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gif" ContentType="image/gif"/>
  <Default Extension="jpg" ContentType="image/jpeg"/>
  <Default Extension="png" ContentType="image/png"/>
  <Default Extension="rels" ContentType="application/vnd.openxmlformats-package.relationships+xml"/>
  <Default Extension="vml" ContentType="application/vnd.openxmlformats-officedocument.vmlDrawing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ctrlProps/ctrlProp1.xml" ContentType="application/vnd.ms-excel.controlproperties+xml"/>
  <Override PartName="/xl/drawings/drawing2.xml" ContentType="application/vnd.openxmlformats-officedocument.drawing+xml"/>
  <Override PartName="/xl/ctrlProps/ctrlProp2.xml" ContentType="application/vnd.ms-excel.controlproperties+xml"/>
  <Override PartName="/xl/ctrlProps/ctrlProp3.xml" ContentType="application/vnd.ms-excel.controlproperties+xml"/>
  <Override PartName="/xl/ctrlProps/ctrlProp4.xml" ContentType="application/vnd.ms-excel.controlproperties+xml"/>
  <Override PartName="/xl/drawings/drawing3.xml" ContentType="application/vnd.openxmlformats-officedocument.drawing+xml"/>
  <Override PartName="/xl/ctrlProps/ctrlProp5.xml" ContentType="application/vnd.ms-excel.controlproperties+xml"/>
  <Override PartName="/xl/ctrlProps/ctrlProp6.xml" ContentType="application/vnd.ms-excel.controlproperties+xml"/>
  <Override PartName="/xl/ctrlProps/ctrlProp7.xml" ContentType="application/vnd.ms-excel.controlproperties+xml"/>
  <Override PartName="/xl/drawings/drawing4.xml" ContentType="application/vnd.openxmlformats-officedocument.drawing+xml"/>
  <Override PartName="/xl/ctrlProps/ctrlProp8.xml" ContentType="application/vnd.ms-excel.controlproperties+xml"/>
  <Override PartName="/xl/ctrlProps/ctrlProp9.xml" ContentType="application/vnd.ms-excel.controlproperties+xml"/>
  <Override PartName="/xl/ctrlProps/ctrlProp10.xml" ContentType="application/vnd.ms-excel.controlproperties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4" rupBuild="27932"/>
  <workbookPr codeName="ЭтаКнига" defaultThemeVersion="124226"/>
  <mc:AlternateContent xmlns:mc="http://schemas.openxmlformats.org/markup-compatibility/2006">
    <mc:Choice Requires="x15">
      <x15ac:absPath xmlns:x15ac="http://schemas.microsoft.com/office/spreadsheetml/2010/11/ac" url="C:\Users\vseme\Desktop\"/>
    </mc:Choice>
  </mc:AlternateContent>
  <xr:revisionPtr revIDLastSave="0" documentId="13_ncr:1_{7EFE5449-F7FA-477C-829C-CB890C1D8CC0}" xr6:coauthVersionLast="47" xr6:coauthVersionMax="47" xr10:uidLastSave="{00000000-0000-0000-0000-000000000000}"/>
  <bookViews>
    <workbookView xWindow="-108" yWindow="-108" windowWidth="23256" windowHeight="12456" activeTab="3" xr2:uid="{00000000-000D-0000-FFFF-FFFF00000000}"/>
  </bookViews>
  <sheets>
    <sheet name="Приставки" sheetId="1" r:id="rId1"/>
    <sheet name="Аксессуары" sheetId="5" r:id="rId2"/>
    <sheet name="Игрушки" sheetId="10" r:id="rId3"/>
    <sheet name="Игры" sheetId="6" r:id="rId4"/>
  </sheets>
  <definedNames>
    <definedName name="_FilterDatabase" localSheetId="1" hidden="1">Аксессуары!$A$8:$O$8</definedName>
    <definedName name="_FilterDatabase" localSheetId="2" hidden="1">Игрушки!$A$8:$O$9</definedName>
    <definedName name="_FilterDatabase" localSheetId="3" hidden="1">Игры!$A$8:$O$9</definedName>
    <definedName name="_FilterDatabase" localSheetId="0" hidden="1">Приставки!$A$8:$O$8</definedName>
    <definedName name="Area" localSheetId="1">#REF!</definedName>
    <definedName name="Area" localSheetId="2">#REF!</definedName>
    <definedName name="Area" localSheetId="3">#REF!</definedName>
    <definedName name="Area">#REF!</definedName>
    <definedName name="Area1" localSheetId="1">#REF!</definedName>
    <definedName name="Area1" localSheetId="2">#REF!</definedName>
    <definedName name="Area1" localSheetId="3">#REF!</definedName>
    <definedName name="Area1">#REF!</definedName>
    <definedName name="SpecOffer" localSheetId="1">#REF!</definedName>
    <definedName name="SpecOffer" localSheetId="2">#REF!</definedName>
    <definedName name="SpecOffer" localSheetId="3">#REF!</definedName>
    <definedName name="SpecOffer">#REF!</definedName>
    <definedName name="Игрушки" localSheetId="2">#REF!</definedName>
    <definedName name="Игрушки">#REF!</definedName>
    <definedName name="Игрушки2">#REF!</definedName>
    <definedName name="Игры" localSheetId="2">#REF!</definedName>
    <definedName name="Игры">#REF!</definedName>
    <definedName name="фывпафыпа" localSheetId="2">#REF!</definedName>
    <definedName name="фывпафыпа">#REF!</definedName>
  </definedNames>
  <calcPr calcId="191029" refMode="R1C1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M334" i="6" l="1"/>
  <c r="M333" i="6"/>
  <c r="M332" i="6"/>
  <c r="M331" i="6"/>
  <c r="M330" i="6"/>
  <c r="M329" i="6"/>
  <c r="M328" i="6"/>
  <c r="M327" i="6"/>
  <c r="M326" i="6"/>
  <c r="M325" i="6"/>
  <c r="M324" i="6"/>
  <c r="M323" i="6"/>
  <c r="M322" i="6"/>
  <c r="M321" i="6"/>
  <c r="M320" i="6"/>
  <c r="M319" i="6"/>
  <c r="M318" i="6"/>
  <c r="M317" i="6"/>
  <c r="M316" i="6"/>
  <c r="M315" i="6"/>
  <c r="M314" i="6"/>
  <c r="M312" i="6"/>
  <c r="M311" i="6"/>
  <c r="M310" i="6"/>
  <c r="M309" i="6"/>
  <c r="M308" i="6"/>
  <c r="M307" i="6"/>
  <c r="M306" i="6"/>
  <c r="M305" i="6"/>
  <c r="M304" i="6"/>
  <c r="M303" i="6"/>
  <c r="M302" i="6"/>
  <c r="M301" i="6"/>
  <c r="M300" i="6"/>
  <c r="M299" i="6"/>
  <c r="M298" i="6"/>
  <c r="M297" i="6"/>
  <c r="M296" i="6"/>
  <c r="M295" i="6"/>
  <c r="M294" i="6"/>
  <c r="M293" i="6"/>
  <c r="M292" i="6"/>
  <c r="M291" i="6"/>
  <c r="M290" i="6"/>
  <c r="M289" i="6"/>
  <c r="M288" i="6"/>
  <c r="M287" i="6"/>
  <c r="M286" i="6"/>
  <c r="M285" i="6"/>
  <c r="M284" i="6"/>
  <c r="M282" i="6"/>
  <c r="M281" i="6"/>
  <c r="M278" i="6"/>
  <c r="M276" i="6"/>
  <c r="M275" i="6"/>
  <c r="M274" i="6"/>
  <c r="M273" i="6"/>
  <c r="M271" i="6"/>
  <c r="M270" i="6"/>
  <c r="M269" i="6"/>
  <c r="M268" i="6"/>
  <c r="M267" i="6"/>
  <c r="M266" i="6"/>
  <c r="M265" i="6"/>
  <c r="M264" i="6"/>
  <c r="M263" i="6"/>
  <c r="M262" i="6"/>
  <c r="M260" i="6"/>
  <c r="M259" i="6"/>
  <c r="M258" i="6"/>
  <c r="M257" i="6"/>
  <c r="M256" i="6"/>
  <c r="M255" i="6"/>
  <c r="M254" i="6"/>
  <c r="M253" i="6"/>
  <c r="M252" i="6"/>
  <c r="M251" i="6"/>
  <c r="M250" i="6"/>
  <c r="M249" i="6"/>
  <c r="M248" i="6"/>
  <c r="M247" i="6"/>
  <c r="M246" i="6"/>
  <c r="M245" i="6"/>
  <c r="M244" i="6"/>
  <c r="M243" i="6"/>
  <c r="M242" i="6"/>
  <c r="M241" i="6"/>
  <c r="M240" i="6"/>
  <c r="M239" i="6"/>
  <c r="M238" i="6"/>
  <c r="M237" i="6"/>
  <c r="M236" i="6"/>
  <c r="M235" i="6"/>
  <c r="M233" i="6"/>
  <c r="M232" i="6"/>
  <c r="M231" i="6"/>
  <c r="M230" i="6"/>
  <c r="M229" i="6"/>
  <c r="M228" i="6"/>
  <c r="M227" i="6"/>
  <c r="M226" i="6"/>
  <c r="M225" i="6"/>
  <c r="M224" i="6"/>
  <c r="M220" i="6"/>
  <c r="M219" i="6"/>
  <c r="M218" i="6"/>
  <c r="M217" i="6"/>
  <c r="M216" i="6"/>
  <c r="M215" i="6"/>
  <c r="M214" i="6"/>
  <c r="M213" i="6"/>
  <c r="M211" i="6"/>
  <c r="M209" i="6"/>
  <c r="M205" i="6"/>
  <c r="M204" i="6"/>
  <c r="M203" i="6"/>
  <c r="M202" i="6"/>
  <c r="M201" i="6"/>
  <c r="M200" i="6"/>
  <c r="M199" i="6"/>
  <c r="M198" i="6"/>
  <c r="M197" i="6"/>
  <c r="M196" i="6"/>
  <c r="M195" i="6"/>
  <c r="M194" i="6"/>
  <c r="M193" i="6"/>
  <c r="M192" i="6"/>
  <c r="M191" i="6"/>
  <c r="M188" i="6"/>
  <c r="M187" i="6"/>
  <c r="M186" i="6"/>
  <c r="M185" i="6"/>
  <c r="M184" i="6"/>
  <c r="M183" i="6"/>
  <c r="M182" i="6"/>
  <c r="M180" i="6"/>
  <c r="M178" i="6"/>
  <c r="M177" i="6"/>
  <c r="M176" i="6"/>
  <c r="M170" i="6"/>
  <c r="M169" i="6"/>
  <c r="M167" i="6"/>
  <c r="M166" i="6"/>
  <c r="M165" i="6"/>
  <c r="M164" i="6"/>
  <c r="M163" i="6"/>
  <c r="M162" i="6"/>
  <c r="M161" i="6"/>
  <c r="M160" i="6"/>
  <c r="M159" i="6"/>
  <c r="M158" i="6"/>
  <c r="M157" i="6"/>
  <c r="M156" i="6"/>
  <c r="M155" i="6"/>
  <c r="M154" i="6"/>
  <c r="M153" i="6"/>
  <c r="M152" i="6"/>
  <c r="M151" i="6"/>
  <c r="M150" i="6"/>
  <c r="M149" i="6"/>
  <c r="M148" i="6"/>
  <c r="M147" i="6"/>
  <c r="M146" i="6"/>
  <c r="M145" i="6"/>
  <c r="M143" i="6"/>
  <c r="M142" i="6"/>
  <c r="M141" i="6"/>
  <c r="M140" i="6"/>
  <c r="M139" i="6"/>
  <c r="M138" i="6"/>
  <c r="M137" i="6"/>
  <c r="M136" i="6"/>
  <c r="M135" i="6"/>
  <c r="M134" i="6"/>
  <c r="M133" i="6"/>
  <c r="M132" i="6"/>
  <c r="M131" i="6"/>
  <c r="M130" i="6"/>
  <c r="M129" i="6"/>
  <c r="M128" i="6"/>
  <c r="M127" i="6"/>
  <c r="M126" i="6"/>
  <c r="M124" i="6"/>
  <c r="M121" i="6"/>
  <c r="M120" i="6"/>
  <c r="M119" i="6"/>
  <c r="M118" i="6"/>
  <c r="M116" i="6"/>
  <c r="M115" i="6"/>
  <c r="M114" i="6"/>
  <c r="M113" i="6"/>
  <c r="M111" i="6"/>
  <c r="M110" i="6"/>
  <c r="M109" i="6"/>
  <c r="M107" i="6"/>
  <c r="M106" i="6"/>
  <c r="M105" i="6"/>
  <c r="M104" i="6"/>
  <c r="M102" i="6"/>
  <c r="M101" i="6"/>
  <c r="M100" i="6"/>
  <c r="M99" i="6"/>
  <c r="M98" i="6"/>
  <c r="M97" i="6"/>
  <c r="M96" i="6"/>
  <c r="M95" i="6"/>
  <c r="M94" i="6"/>
  <c r="M93" i="6"/>
  <c r="M92" i="6"/>
  <c r="M91" i="6"/>
  <c r="M90" i="6"/>
  <c r="M89" i="6"/>
  <c r="M88" i="6"/>
  <c r="M87" i="6"/>
  <c r="M86" i="6"/>
  <c r="M84" i="6"/>
  <c r="M83" i="6"/>
  <c r="M82" i="6"/>
  <c r="M81" i="6"/>
  <c r="M80" i="6"/>
  <c r="M78" i="6"/>
  <c r="M77" i="6"/>
  <c r="M76" i="6"/>
  <c r="M75" i="6"/>
  <c r="M74" i="6"/>
  <c r="M73" i="6"/>
  <c r="M71" i="6"/>
  <c r="M70" i="6"/>
  <c r="M69" i="6"/>
  <c r="M68" i="6"/>
  <c r="M67" i="6"/>
  <c r="M66" i="6"/>
  <c r="M65" i="6"/>
  <c r="M64" i="6"/>
  <c r="M63" i="6"/>
  <c r="M62" i="6"/>
  <c r="M61" i="6"/>
  <c r="M60" i="6"/>
  <c r="M59" i="6"/>
  <c r="M58" i="6"/>
  <c r="M57" i="6"/>
  <c r="M56" i="6"/>
  <c r="M55" i="6"/>
  <c r="M54" i="6"/>
  <c r="M52" i="6"/>
  <c r="M51" i="6"/>
  <c r="M50" i="6"/>
  <c r="M49" i="6"/>
  <c r="M47" i="6"/>
  <c r="M46" i="6"/>
  <c r="M45" i="6"/>
  <c r="M44" i="6"/>
  <c r="M43" i="6"/>
  <c r="M42" i="6"/>
  <c r="M41" i="6"/>
  <c r="M40" i="6"/>
  <c r="M39" i="6"/>
  <c r="M37" i="6"/>
  <c r="M36" i="6"/>
  <c r="M34" i="6"/>
  <c r="M33" i="6"/>
  <c r="M28" i="6"/>
  <c r="M27" i="6"/>
  <c r="M26" i="6"/>
  <c r="M25" i="6"/>
  <c r="M24" i="6"/>
  <c r="M23" i="6"/>
  <c r="M22" i="6"/>
  <c r="M21" i="6"/>
  <c r="M20" i="6"/>
  <c r="M19" i="6"/>
  <c r="M18" i="6"/>
  <c r="M17" i="6"/>
  <c r="M16" i="6"/>
  <c r="M15" i="6"/>
  <c r="M14" i="6"/>
  <c r="M13" i="6"/>
  <c r="M12" i="6"/>
  <c r="M11" i="6"/>
  <c r="M10" i="6"/>
  <c r="M9" i="6"/>
  <c r="M4548" i="10"/>
  <c r="M4547" i="10"/>
  <c r="M4546" i="10"/>
  <c r="M4545" i="10"/>
  <c r="M4544" i="10"/>
  <c r="M4543" i="10"/>
  <c r="M4542" i="10"/>
  <c r="M4539" i="10"/>
  <c r="M4538" i="10"/>
  <c r="M4537" i="10"/>
  <c r="M4536" i="10"/>
  <c r="M4535" i="10"/>
  <c r="M4534" i="10"/>
  <c r="M4533" i="10"/>
  <c r="M4532" i="10"/>
  <c r="M4531" i="10"/>
  <c r="M4530" i="10"/>
  <c r="M4529" i="10"/>
  <c r="M4528" i="10"/>
  <c r="M4527" i="10"/>
  <c r="M4526" i="10"/>
  <c r="M4525" i="10"/>
  <c r="M4524" i="10"/>
  <c r="M4523" i="10"/>
  <c r="M4522" i="10"/>
  <c r="M4521" i="10"/>
  <c r="M4520" i="10"/>
  <c r="M4519" i="10"/>
  <c r="M4518" i="10"/>
  <c r="M4517" i="10"/>
  <c r="M4516" i="10"/>
  <c r="M4515" i="10"/>
  <c r="M4514" i="10"/>
  <c r="M4513" i="10"/>
  <c r="M4512" i="10"/>
  <c r="M4511" i="10"/>
  <c r="M4510" i="10"/>
  <c r="M4509" i="10"/>
  <c r="M4508" i="10"/>
  <c r="M4507" i="10"/>
  <c r="M4506" i="10"/>
  <c r="M4505" i="10"/>
  <c r="M4504" i="10"/>
  <c r="M4503" i="10"/>
  <c r="M4502" i="10"/>
  <c r="M4501" i="10"/>
  <c r="M4500" i="10"/>
  <c r="M4499" i="10"/>
  <c r="M4498" i="10"/>
  <c r="M4497" i="10"/>
  <c r="M4496" i="10"/>
  <c r="M4495" i="10"/>
  <c r="M4494" i="10"/>
  <c r="M4493" i="10"/>
  <c r="M4492" i="10"/>
  <c r="M4491" i="10"/>
  <c r="M4490" i="10"/>
  <c r="M4489" i="10"/>
  <c r="M4488" i="10"/>
  <c r="M4487" i="10"/>
  <c r="M4486" i="10"/>
  <c r="M4485" i="10"/>
  <c r="M4484" i="10"/>
  <c r="M4483" i="10"/>
  <c r="M4482" i="10"/>
  <c r="M4481" i="10"/>
  <c r="M4480" i="10"/>
  <c r="M4479" i="10"/>
  <c r="M4478" i="10"/>
  <c r="M4477" i="10"/>
  <c r="M4476" i="10"/>
  <c r="M4475" i="10"/>
  <c r="M4474" i="10"/>
  <c r="M4473" i="10"/>
  <c r="M4472" i="10"/>
  <c r="M4471" i="10"/>
  <c r="M4470" i="10"/>
  <c r="M4469" i="10"/>
  <c r="M4468" i="10"/>
  <c r="M4467" i="10"/>
  <c r="M4466" i="10"/>
  <c r="M4465" i="10"/>
  <c r="M4464" i="10"/>
  <c r="M4463" i="10"/>
  <c r="M4462" i="10"/>
  <c r="M4461" i="10"/>
  <c r="M4460" i="10"/>
  <c r="M4459" i="10"/>
  <c r="M4458" i="10"/>
  <c r="M4457" i="10"/>
  <c r="M4456" i="10"/>
  <c r="M4455" i="10"/>
  <c r="M4454" i="10"/>
  <c r="M4453" i="10"/>
  <c r="M4452" i="10"/>
  <c r="M4451" i="10"/>
  <c r="M4450" i="10"/>
  <c r="M4449" i="10"/>
  <c r="M4448" i="10"/>
  <c r="M4447" i="10"/>
  <c r="M4446" i="10"/>
  <c r="M4445" i="10"/>
  <c r="M4444" i="10"/>
  <c r="M4443" i="10"/>
  <c r="M4442" i="10"/>
  <c r="M4441" i="10"/>
  <c r="M4440" i="10"/>
  <c r="M4439" i="10"/>
  <c r="M4438" i="10"/>
  <c r="M4437" i="10"/>
  <c r="M4436" i="10"/>
  <c r="M4435" i="10"/>
  <c r="M4434" i="10"/>
  <c r="M4433" i="10"/>
  <c r="M4432" i="10"/>
  <c r="M4431" i="10"/>
  <c r="M4430" i="10"/>
  <c r="M4429" i="10"/>
  <c r="M4428" i="10"/>
  <c r="M4427" i="10"/>
  <c r="M4426" i="10"/>
  <c r="M4425" i="10"/>
  <c r="M4424" i="10"/>
  <c r="M4423" i="10"/>
  <c r="M4422" i="10"/>
  <c r="M4421" i="10"/>
  <c r="M4420" i="10"/>
  <c r="M4419" i="10"/>
  <c r="M4418" i="10"/>
  <c r="M4417" i="10"/>
  <c r="M4416" i="10"/>
  <c r="M4415" i="10"/>
  <c r="M4414" i="10"/>
  <c r="M4413" i="10"/>
  <c r="M4412" i="10"/>
  <c r="M4411" i="10"/>
  <c r="M4410" i="10"/>
  <c r="M4409" i="10"/>
  <c r="M4408" i="10"/>
  <c r="M4407" i="10"/>
  <c r="M4406" i="10"/>
  <c r="M4405" i="10"/>
  <c r="M4404" i="10"/>
  <c r="M4403" i="10"/>
  <c r="M4402" i="10"/>
  <c r="M4401" i="10"/>
  <c r="M4400" i="10"/>
  <c r="M4399" i="10"/>
  <c r="M4398" i="10"/>
  <c r="M4397" i="10"/>
  <c r="M4396" i="10"/>
  <c r="M4395" i="10"/>
  <c r="M4394" i="10"/>
  <c r="M4393" i="10"/>
  <c r="M4392" i="10"/>
  <c r="M4391" i="10"/>
  <c r="M4390" i="10"/>
  <c r="M4389" i="10"/>
  <c r="M4388" i="10"/>
  <c r="M4387" i="10"/>
  <c r="M4386" i="10"/>
  <c r="M4385" i="10"/>
  <c r="M4384" i="10"/>
  <c r="M4383" i="10"/>
  <c r="M4382" i="10"/>
  <c r="M4381" i="10"/>
  <c r="M4380" i="10"/>
  <c r="M4379" i="10"/>
  <c r="M4378" i="10"/>
  <c r="M4377" i="10"/>
  <c r="M4376" i="10"/>
  <c r="M4375" i="10"/>
  <c r="M4374" i="10"/>
  <c r="M4373" i="10"/>
  <c r="M4372" i="10"/>
  <c r="M4371" i="10"/>
  <c r="M4370" i="10"/>
  <c r="M4369" i="10"/>
  <c r="M4368" i="10"/>
  <c r="M4367" i="10"/>
  <c r="M4366" i="10"/>
  <c r="M4365" i="10"/>
  <c r="M4364" i="10"/>
  <c r="M4363" i="10"/>
  <c r="M4362" i="10"/>
  <c r="M4361" i="10"/>
  <c r="M4360" i="10"/>
  <c r="M4359" i="10"/>
  <c r="M4358" i="10"/>
  <c r="M4357" i="10"/>
  <c r="M4356" i="10"/>
  <c r="M4355" i="10"/>
  <c r="M4354" i="10"/>
  <c r="M4353" i="10"/>
  <c r="M4352" i="10"/>
  <c r="M4351" i="10"/>
  <c r="M4350" i="10"/>
  <c r="M4349" i="10"/>
  <c r="M4348" i="10"/>
  <c r="M4347" i="10"/>
  <c r="M4346" i="10"/>
  <c r="M4345" i="10"/>
  <c r="M4344" i="10"/>
  <c r="M4343" i="10"/>
  <c r="M4342" i="10"/>
  <c r="M4341" i="10"/>
  <c r="M4340" i="10"/>
  <c r="M4339" i="10"/>
  <c r="M4338" i="10"/>
  <c r="M4337" i="10"/>
  <c r="M4336" i="10"/>
  <c r="M4335" i="10"/>
  <c r="M4334" i="10"/>
  <c r="M4333" i="10"/>
  <c r="M4332" i="10"/>
  <c r="M4331" i="10"/>
  <c r="M4330" i="10"/>
  <c r="M4329" i="10"/>
  <c r="M4328" i="10"/>
  <c r="M4327" i="10"/>
  <c r="M4326" i="10"/>
  <c r="M4325" i="10"/>
  <c r="M4324" i="10"/>
  <c r="M4323" i="10"/>
  <c r="M4322" i="10"/>
  <c r="M4321" i="10"/>
  <c r="M4320" i="10"/>
  <c r="M4319" i="10"/>
  <c r="M4318" i="10"/>
  <c r="M4317" i="10"/>
  <c r="M4316" i="10"/>
  <c r="M4315" i="10"/>
  <c r="M4314" i="10"/>
  <c r="M4313" i="10"/>
  <c r="M4312" i="10"/>
  <c r="M4311" i="10"/>
  <c r="M4310" i="10"/>
  <c r="M4309" i="10"/>
  <c r="M4308" i="10"/>
  <c r="M4307" i="10"/>
  <c r="M4306" i="10"/>
  <c r="M4305" i="10"/>
  <c r="M4304" i="10"/>
  <c r="M4303" i="10"/>
  <c r="M4302" i="10"/>
  <c r="M4301" i="10"/>
  <c r="M4300" i="10"/>
  <c r="M4299" i="10"/>
  <c r="M4298" i="10"/>
  <c r="M4297" i="10"/>
  <c r="M4296" i="10"/>
  <c r="M4295" i="10"/>
  <c r="M4294" i="10"/>
  <c r="M4293" i="10"/>
  <c r="M4292" i="10"/>
  <c r="M4291" i="10"/>
  <c r="M4290" i="10"/>
  <c r="M4289" i="10"/>
  <c r="M4288" i="10"/>
  <c r="M4287" i="10"/>
  <c r="M4286" i="10"/>
  <c r="M4285" i="10"/>
  <c r="M4284" i="10"/>
  <c r="M4283" i="10"/>
  <c r="M4281" i="10"/>
  <c r="M4280" i="10"/>
  <c r="M4279" i="10"/>
  <c r="M4278" i="10"/>
  <c r="M4277" i="10"/>
  <c r="M4276" i="10"/>
  <c r="M4275" i="10"/>
  <c r="M4274" i="10"/>
  <c r="M4273" i="10"/>
  <c r="M4272" i="10"/>
  <c r="M4271" i="10"/>
  <c r="M4270" i="10"/>
  <c r="M4269" i="10"/>
  <c r="M4268" i="10"/>
  <c r="M4267" i="10"/>
  <c r="M4266" i="10"/>
  <c r="M4265" i="10"/>
  <c r="M4264" i="10"/>
  <c r="M4263" i="10"/>
  <c r="M4262" i="10"/>
  <c r="M4261" i="10"/>
  <c r="M4260" i="10"/>
  <c r="M4259" i="10"/>
  <c r="M4258" i="10"/>
  <c r="M4257" i="10"/>
  <c r="M4256" i="10"/>
  <c r="M4255" i="10"/>
  <c r="M4254" i="10"/>
  <c r="M4253" i="10"/>
  <c r="M4252" i="10"/>
  <c r="M4251" i="10"/>
  <c r="M4250" i="10"/>
  <c r="M4249" i="10"/>
  <c r="M4248" i="10"/>
  <c r="M4247" i="10"/>
  <c r="M4246" i="10"/>
  <c r="M4245" i="10"/>
  <c r="M4244" i="10"/>
  <c r="M4243" i="10"/>
  <c r="M4242" i="10"/>
  <c r="M4241" i="10"/>
  <c r="M4240" i="10"/>
  <c r="M4239" i="10"/>
  <c r="M4238" i="10"/>
  <c r="M4237" i="10"/>
  <c r="M4236" i="10"/>
  <c r="M4235" i="10"/>
  <c r="M4234" i="10"/>
  <c r="M4233" i="10"/>
  <c r="M4232" i="10"/>
  <c r="M4231" i="10"/>
  <c r="M4230" i="10"/>
  <c r="M4229" i="10"/>
  <c r="M4228" i="10"/>
  <c r="M4227" i="10"/>
  <c r="M4226" i="10"/>
  <c r="M4225" i="10"/>
  <c r="M4224" i="10"/>
  <c r="M4223" i="10"/>
  <c r="M4222" i="10"/>
  <c r="M4221" i="10"/>
  <c r="M4220" i="10"/>
  <c r="M4219" i="10"/>
  <c r="M4218" i="10"/>
  <c r="M4217" i="10"/>
  <c r="M4216" i="10"/>
  <c r="M4215" i="10"/>
  <c r="M4214" i="10"/>
  <c r="M4213" i="10"/>
  <c r="M4212" i="10"/>
  <c r="M4211" i="10"/>
  <c r="M4210" i="10"/>
  <c r="M4209" i="10"/>
  <c r="M4208" i="10"/>
  <c r="M4207" i="10"/>
  <c r="M4206" i="10"/>
  <c r="M4205" i="10"/>
  <c r="M4204" i="10"/>
  <c r="M4203" i="10"/>
  <c r="M4202" i="10"/>
  <c r="M4201" i="10"/>
  <c r="M4200" i="10"/>
  <c r="M4199" i="10"/>
  <c r="M4198" i="10"/>
  <c r="M4197" i="10"/>
  <c r="M4196" i="10"/>
  <c r="M4195" i="10"/>
  <c r="M4194" i="10"/>
  <c r="M4193" i="10"/>
  <c r="M4192" i="10"/>
  <c r="M4191" i="10"/>
  <c r="M4190" i="10"/>
  <c r="M4189" i="10"/>
  <c r="M4188" i="10"/>
  <c r="M4187" i="10"/>
  <c r="M4186" i="10"/>
  <c r="M4185" i="10"/>
  <c r="M4184" i="10"/>
  <c r="M4183" i="10"/>
  <c r="M4182" i="10"/>
  <c r="M4181" i="10"/>
  <c r="M4180" i="10"/>
  <c r="M4179" i="10"/>
  <c r="M4178" i="10"/>
  <c r="M4177" i="10"/>
  <c r="M4176" i="10"/>
  <c r="M4175" i="10"/>
  <c r="M4174" i="10"/>
  <c r="M4173" i="10"/>
  <c r="M4172" i="10"/>
  <c r="M4171" i="10"/>
  <c r="M4170" i="10"/>
  <c r="M4169" i="10"/>
  <c r="M4168" i="10"/>
  <c r="M4167" i="10"/>
  <c r="M4166" i="10"/>
  <c r="M4165" i="10"/>
  <c r="M4164" i="10"/>
  <c r="M4163" i="10"/>
  <c r="M4162" i="10"/>
  <c r="M4161" i="10"/>
  <c r="M4160" i="10"/>
  <c r="M4159" i="10"/>
  <c r="M4158" i="10"/>
  <c r="M4157" i="10"/>
  <c r="M4156" i="10"/>
  <c r="M4155" i="10"/>
  <c r="M4154" i="10"/>
  <c r="M4153" i="10"/>
  <c r="M4152" i="10"/>
  <c r="M4151" i="10"/>
  <c r="M4150" i="10"/>
  <c r="M4149" i="10"/>
  <c r="M4148" i="10"/>
  <c r="M4147" i="10"/>
  <c r="M4146" i="10"/>
  <c r="M4145" i="10"/>
  <c r="M4144" i="10"/>
  <c r="M4143" i="10"/>
  <c r="M4142" i="10"/>
  <c r="M4141" i="10"/>
  <c r="M4140" i="10"/>
  <c r="M4139" i="10"/>
  <c r="M4138" i="10"/>
  <c r="M4137" i="10"/>
  <c r="M4136" i="10"/>
  <c r="M4135" i="10"/>
  <c r="M4134" i="10"/>
  <c r="M4133" i="10"/>
  <c r="M4132" i="10"/>
  <c r="M4131" i="10"/>
  <c r="M4130" i="10"/>
  <c r="M4129" i="10"/>
  <c r="M4128" i="10"/>
  <c r="M4127" i="10"/>
  <c r="M4126" i="10"/>
  <c r="M4125" i="10"/>
  <c r="M4124" i="10"/>
  <c r="M4123" i="10"/>
  <c r="M4122" i="10"/>
  <c r="M4121" i="10"/>
  <c r="M4120" i="10"/>
  <c r="M4119" i="10"/>
  <c r="M4118" i="10"/>
  <c r="M4117" i="10"/>
  <c r="M4116" i="10"/>
  <c r="M4115" i="10"/>
  <c r="M4114" i="10"/>
  <c r="M4113" i="10"/>
  <c r="M4112" i="10"/>
  <c r="M4111" i="10"/>
  <c r="M4110" i="10"/>
  <c r="M4109" i="10"/>
  <c r="M4108" i="10"/>
  <c r="M4107" i="10"/>
  <c r="M4106" i="10"/>
  <c r="M4105" i="10"/>
  <c r="M4104" i="10"/>
  <c r="M4103" i="10"/>
  <c r="M4102" i="10"/>
  <c r="M4101" i="10"/>
  <c r="M4100" i="10"/>
  <c r="M4099" i="10"/>
  <c r="M4098" i="10"/>
  <c r="M4097" i="10"/>
  <c r="M4096" i="10"/>
  <c r="M4095" i="10"/>
  <c r="M4094" i="10"/>
  <c r="M4093" i="10"/>
  <c r="M4092" i="10"/>
  <c r="M4091" i="10"/>
  <c r="M4090" i="10"/>
  <c r="M4089" i="10"/>
  <c r="M4088" i="10"/>
  <c r="M4087" i="10"/>
  <c r="M4086" i="10"/>
  <c r="M4085" i="10"/>
  <c r="M4084" i="10"/>
  <c r="M4083" i="10"/>
  <c r="M4082" i="10"/>
  <c r="M4081" i="10"/>
  <c r="M4080" i="10"/>
  <c r="M4079" i="10"/>
  <c r="M4078" i="10"/>
  <c r="M4077" i="10"/>
  <c r="M4076" i="10"/>
  <c r="M4075" i="10"/>
  <c r="M4074" i="10"/>
  <c r="M4073" i="10"/>
  <c r="M4072" i="10"/>
  <c r="M4071" i="10"/>
  <c r="M4070" i="10"/>
  <c r="M4069" i="10"/>
  <c r="M4068" i="10"/>
  <c r="M4067" i="10"/>
  <c r="M4066" i="10"/>
  <c r="M4065" i="10"/>
  <c r="M4064" i="10"/>
  <c r="M4063" i="10"/>
  <c r="M4062" i="10"/>
  <c r="M4061" i="10"/>
  <c r="M4060" i="10"/>
  <c r="M4059" i="10"/>
  <c r="M4058" i="10"/>
  <c r="M4057" i="10"/>
  <c r="M4056" i="10"/>
  <c r="M4055" i="10"/>
  <c r="M4054" i="10"/>
  <c r="M4053" i="10"/>
  <c r="M4052" i="10"/>
  <c r="M4051" i="10"/>
  <c r="M4050" i="10"/>
  <c r="M4049" i="10"/>
  <c r="M4048" i="10"/>
  <c r="M4047" i="10"/>
  <c r="M4046" i="10"/>
  <c r="M4045" i="10"/>
  <c r="M4044" i="10"/>
  <c r="M4043" i="10"/>
  <c r="M4042" i="10"/>
  <c r="M4041" i="10"/>
  <c r="M4040" i="10"/>
  <c r="M4039" i="10"/>
  <c r="M4038" i="10"/>
  <c r="M4037" i="10"/>
  <c r="M4036" i="10"/>
  <c r="M4035" i="10"/>
  <c r="M4034" i="10"/>
  <c r="M4033" i="10"/>
  <c r="M4032" i="10"/>
  <c r="M4031" i="10"/>
  <c r="M4030" i="10"/>
  <c r="M4029" i="10"/>
  <c r="M4028" i="10"/>
  <c r="M4027" i="10"/>
  <c r="M4026" i="10"/>
  <c r="M4025" i="10"/>
  <c r="M4024" i="10"/>
  <c r="M4023" i="10"/>
  <c r="M4022" i="10"/>
  <c r="M4021" i="10"/>
  <c r="M4020" i="10"/>
  <c r="M4019" i="10"/>
  <c r="M4018" i="10"/>
  <c r="M4017" i="10"/>
  <c r="M4016" i="10"/>
  <c r="M4015" i="10"/>
  <c r="M4014" i="10"/>
  <c r="M4013" i="10"/>
  <c r="M4012" i="10"/>
  <c r="M4011" i="10"/>
  <c r="M4010" i="10"/>
  <c r="M4009" i="10"/>
  <c r="M4008" i="10"/>
  <c r="M4007" i="10"/>
  <c r="M4006" i="10"/>
  <c r="M4005" i="10"/>
  <c r="M4004" i="10"/>
  <c r="M4003" i="10"/>
  <c r="M4002" i="10"/>
  <c r="M4001" i="10"/>
  <c r="M4000" i="10"/>
  <c r="M3999" i="10"/>
  <c r="M3998" i="10"/>
  <c r="M3997" i="10"/>
  <c r="M3996" i="10"/>
  <c r="M3995" i="10"/>
  <c r="M3994" i="10"/>
  <c r="M3993" i="10"/>
  <c r="M3992" i="10"/>
  <c r="M3991" i="10"/>
  <c r="M3990" i="10"/>
  <c r="M3989" i="10"/>
  <c r="M3988" i="10"/>
  <c r="M3987" i="10"/>
  <c r="M3986" i="10"/>
  <c r="M3985" i="10"/>
  <c r="M3984" i="10"/>
  <c r="M3983" i="10"/>
  <c r="M3982" i="10"/>
  <c r="M3981" i="10"/>
  <c r="M3980" i="10"/>
  <c r="M3979" i="10"/>
  <c r="M3978" i="10"/>
  <c r="M3977" i="10"/>
  <c r="M3976" i="10"/>
  <c r="M3975" i="10"/>
  <c r="M3974" i="10"/>
  <c r="M3973" i="10"/>
  <c r="M3972" i="10"/>
  <c r="M3971" i="10"/>
  <c r="M3970" i="10"/>
  <c r="M3969" i="10"/>
  <c r="M3968" i="10"/>
  <c r="M3967" i="10"/>
  <c r="M3966" i="10"/>
  <c r="M3965" i="10"/>
  <c r="M3964" i="10"/>
  <c r="M3963" i="10"/>
  <c r="M3962" i="10"/>
  <c r="M3961" i="10"/>
  <c r="M3960" i="10"/>
  <c r="M3959" i="10"/>
  <c r="M3958" i="10"/>
  <c r="M3957" i="10"/>
  <c r="M3956" i="10"/>
  <c r="M3955" i="10"/>
  <c r="M3954" i="10"/>
  <c r="M3953" i="10"/>
  <c r="M3952" i="10"/>
  <c r="M3951" i="10"/>
  <c r="M3950" i="10"/>
  <c r="M3949" i="10"/>
  <c r="M3948" i="10"/>
  <c r="M3947" i="10"/>
  <c r="M3946" i="10"/>
  <c r="M3945" i="10"/>
  <c r="M3944" i="10"/>
  <c r="M3943" i="10"/>
  <c r="M3942" i="10"/>
  <c r="M3941" i="10"/>
  <c r="M3940" i="10"/>
  <c r="M3939" i="10"/>
  <c r="M3938" i="10"/>
  <c r="M3937" i="10"/>
  <c r="M3936" i="10"/>
  <c r="M3935" i="10"/>
  <c r="M3934" i="10"/>
  <c r="M3933" i="10"/>
  <c r="M3932" i="10"/>
  <c r="M3931" i="10"/>
  <c r="M3930" i="10"/>
  <c r="M3929" i="10"/>
  <c r="M3928" i="10"/>
  <c r="M3927" i="10"/>
  <c r="M3926" i="10"/>
  <c r="M3925" i="10"/>
  <c r="M3924" i="10"/>
  <c r="M3923" i="10"/>
  <c r="M3922" i="10"/>
  <c r="M3921" i="10"/>
  <c r="M3920" i="10"/>
  <c r="M3919" i="10"/>
  <c r="M3918" i="10"/>
  <c r="M3917" i="10"/>
  <c r="M3916" i="10"/>
  <c r="M3915" i="10"/>
  <c r="M3914" i="10"/>
  <c r="M3913" i="10"/>
  <c r="M3912" i="10"/>
  <c r="M3911" i="10"/>
  <c r="M3910" i="10"/>
  <c r="M3909" i="10"/>
  <c r="M3908" i="10"/>
  <c r="M3907" i="10"/>
  <c r="M3906" i="10"/>
  <c r="M3905" i="10"/>
  <c r="M3904" i="10"/>
  <c r="M3903" i="10"/>
  <c r="M3902" i="10"/>
  <c r="M3901" i="10"/>
  <c r="M3900" i="10"/>
  <c r="M3899" i="10"/>
  <c r="M3898" i="10"/>
  <c r="M3897" i="10"/>
  <c r="M3896" i="10"/>
  <c r="M3895" i="10"/>
  <c r="M3894" i="10"/>
  <c r="M3893" i="10"/>
  <c r="M3892" i="10"/>
  <c r="M3891" i="10"/>
  <c r="M3890" i="10"/>
  <c r="M3889" i="10"/>
  <c r="M3888" i="10"/>
  <c r="M3887" i="10"/>
  <c r="M3886" i="10"/>
  <c r="M3885" i="10"/>
  <c r="M3884" i="10"/>
  <c r="M3883" i="10"/>
  <c r="M3882" i="10"/>
  <c r="M3881" i="10"/>
  <c r="M3880" i="10"/>
  <c r="M3879" i="10"/>
  <c r="M3878" i="10"/>
  <c r="M3877" i="10"/>
  <c r="M3876" i="10"/>
  <c r="M3875" i="10"/>
  <c r="M3874" i="10"/>
  <c r="M3873" i="10"/>
  <c r="M3872" i="10"/>
  <c r="M3871" i="10"/>
  <c r="M3870" i="10"/>
  <c r="M3869" i="10"/>
  <c r="M3868" i="10"/>
  <c r="M3867" i="10"/>
  <c r="M3866" i="10"/>
  <c r="M3865" i="10"/>
  <c r="M3864" i="10"/>
  <c r="M3863" i="10"/>
  <c r="M3862" i="10"/>
  <c r="M3861" i="10"/>
  <c r="M3860" i="10"/>
  <c r="M3859" i="10"/>
  <c r="M3858" i="10"/>
  <c r="M3857" i="10"/>
  <c r="M3856" i="10"/>
  <c r="M3855" i="10"/>
  <c r="M3854" i="10"/>
  <c r="M3853" i="10"/>
  <c r="M3852" i="10"/>
  <c r="M3851" i="10"/>
  <c r="M3850" i="10"/>
  <c r="M3849" i="10"/>
  <c r="M3848" i="10"/>
  <c r="M3847" i="10"/>
  <c r="M3846" i="10"/>
  <c r="M3845" i="10"/>
  <c r="M3844" i="10"/>
  <c r="M3843" i="10"/>
  <c r="M3842" i="10"/>
  <c r="M3841" i="10"/>
  <c r="M3840" i="10"/>
  <c r="M3839" i="10"/>
  <c r="M3838" i="10"/>
  <c r="M3837" i="10"/>
  <c r="M3836" i="10"/>
  <c r="M3835" i="10"/>
  <c r="M3834" i="10"/>
  <c r="M3833" i="10"/>
  <c r="M3832" i="10"/>
  <c r="M3831" i="10"/>
  <c r="M3830" i="10"/>
  <c r="M3829" i="10"/>
  <c r="M3828" i="10"/>
  <c r="M3827" i="10"/>
  <c r="M3826" i="10"/>
  <c r="M3825" i="10"/>
  <c r="M3824" i="10"/>
  <c r="M3823" i="10"/>
  <c r="M3822" i="10"/>
  <c r="M3821" i="10"/>
  <c r="M3820" i="10"/>
  <c r="M3819" i="10"/>
  <c r="M3818" i="10"/>
  <c r="M3817" i="10"/>
  <c r="M3816" i="10"/>
  <c r="M3815" i="10"/>
  <c r="M3814" i="10"/>
  <c r="M3813" i="10"/>
  <c r="M3812" i="10"/>
  <c r="M3811" i="10"/>
  <c r="M3810" i="10"/>
  <c r="M3809" i="10"/>
  <c r="M3808" i="10"/>
  <c r="M3807" i="10"/>
  <c r="M3806" i="10"/>
  <c r="M3805" i="10"/>
  <c r="M3804" i="10"/>
  <c r="M3803" i="10"/>
  <c r="M3802" i="10"/>
  <c r="M3801" i="10"/>
  <c r="M3800" i="10"/>
  <c r="M3799" i="10"/>
  <c r="M3798" i="10"/>
  <c r="M3797" i="10"/>
  <c r="M3796" i="10"/>
  <c r="M3795" i="10"/>
  <c r="M3794" i="10"/>
  <c r="M3793" i="10"/>
  <c r="M3792" i="10"/>
  <c r="M3791" i="10"/>
  <c r="M3790" i="10"/>
  <c r="M3789" i="10"/>
  <c r="M3788" i="10"/>
  <c r="M3787" i="10"/>
  <c r="M3786" i="10"/>
  <c r="M3785" i="10"/>
  <c r="M3784" i="10"/>
  <c r="M3783" i="10"/>
  <c r="M3782" i="10"/>
  <c r="M3781" i="10"/>
  <c r="M3780" i="10"/>
  <c r="M3779" i="10"/>
  <c r="M3778" i="10"/>
  <c r="M3777" i="10"/>
  <c r="M3776" i="10"/>
  <c r="M3775" i="10"/>
  <c r="M3774" i="10"/>
  <c r="M3773" i="10"/>
  <c r="M3772" i="10"/>
  <c r="M3771" i="10"/>
  <c r="M3770" i="10"/>
  <c r="M3769" i="10"/>
  <c r="M3768" i="10"/>
  <c r="M3767" i="10"/>
  <c r="M3766" i="10"/>
  <c r="M3765" i="10"/>
  <c r="M3764" i="10"/>
  <c r="M3763" i="10"/>
  <c r="M3762" i="10"/>
  <c r="M3761" i="10"/>
  <c r="M3760" i="10"/>
  <c r="M3759" i="10"/>
  <c r="M3758" i="10"/>
  <c r="M3757" i="10"/>
  <c r="M3756" i="10"/>
  <c r="M3755" i="10"/>
  <c r="M3754" i="10"/>
  <c r="M3753" i="10"/>
  <c r="M3752" i="10"/>
  <c r="M3751" i="10"/>
  <c r="M3750" i="10"/>
  <c r="M3749" i="10"/>
  <c r="M3748" i="10"/>
  <c r="M3747" i="10"/>
  <c r="M3746" i="10"/>
  <c r="M3745" i="10"/>
  <c r="M3744" i="10"/>
  <c r="M3743" i="10"/>
  <c r="M3742" i="10"/>
  <c r="M3741" i="10"/>
  <c r="M3740" i="10"/>
  <c r="M3739" i="10"/>
  <c r="M3738" i="10"/>
  <c r="M3737" i="10"/>
  <c r="M3736" i="10"/>
  <c r="M3735" i="10"/>
  <c r="M3734" i="10"/>
  <c r="M3733" i="10"/>
  <c r="M3732" i="10"/>
  <c r="M3731" i="10"/>
  <c r="M3730" i="10"/>
  <c r="M3729" i="10"/>
  <c r="M3728" i="10"/>
  <c r="M3727" i="10"/>
  <c r="M3726" i="10"/>
  <c r="M3725" i="10"/>
  <c r="M3724" i="10"/>
  <c r="M3723" i="10"/>
  <c r="M3722" i="10"/>
  <c r="M3721" i="10"/>
  <c r="M3720" i="10"/>
  <c r="M3719" i="10"/>
  <c r="M3718" i="10"/>
  <c r="M3717" i="10"/>
  <c r="M3716" i="10"/>
  <c r="M3715" i="10"/>
  <c r="M3714" i="10"/>
  <c r="M3713" i="10"/>
  <c r="M3712" i="10"/>
  <c r="M3711" i="10"/>
  <c r="M3710" i="10"/>
  <c r="M3709" i="10"/>
  <c r="M3708" i="10"/>
  <c r="M3707" i="10"/>
  <c r="M3706" i="10"/>
  <c r="M3705" i="10"/>
  <c r="M3704" i="10"/>
  <c r="M3703" i="10"/>
  <c r="M3702" i="10"/>
  <c r="M3701" i="10"/>
  <c r="M3700" i="10"/>
  <c r="M3699" i="10"/>
  <c r="M3698" i="10"/>
  <c r="M3697" i="10"/>
  <c r="M3696" i="10"/>
  <c r="M3695" i="10"/>
  <c r="M3694" i="10"/>
  <c r="M3693" i="10"/>
  <c r="M3692" i="10"/>
  <c r="M3691" i="10"/>
  <c r="M3690" i="10"/>
  <c r="M3689" i="10"/>
  <c r="M3688" i="10"/>
  <c r="M3687" i="10"/>
  <c r="M3686" i="10"/>
  <c r="M3685" i="10"/>
  <c r="M3684" i="10"/>
  <c r="M3683" i="10"/>
  <c r="M3682" i="10"/>
  <c r="M3681" i="10"/>
  <c r="M3680" i="10"/>
  <c r="M3679" i="10"/>
  <c r="M3678" i="10"/>
  <c r="M3677" i="10"/>
  <c r="M3676" i="10"/>
  <c r="M3675" i="10"/>
  <c r="M3674" i="10"/>
  <c r="M3673" i="10"/>
  <c r="M3672" i="10"/>
  <c r="M3671" i="10"/>
  <c r="M3670" i="10"/>
  <c r="M3669" i="10"/>
  <c r="M3668" i="10"/>
  <c r="M3667" i="10"/>
  <c r="M3666" i="10"/>
  <c r="M3665" i="10"/>
  <c r="M3664" i="10"/>
  <c r="M3663" i="10"/>
  <c r="M3662" i="10"/>
  <c r="M3661" i="10"/>
  <c r="M3660" i="10"/>
  <c r="M3659" i="10"/>
  <c r="M3658" i="10"/>
  <c r="M3657" i="10"/>
  <c r="M3656" i="10"/>
  <c r="M3655" i="10"/>
  <c r="M3654" i="10"/>
  <c r="M3653" i="10"/>
  <c r="M3652" i="10"/>
  <c r="M3651" i="10"/>
  <c r="M3650" i="10"/>
  <c r="M3649" i="10"/>
  <c r="M3648" i="10"/>
  <c r="M3647" i="10"/>
  <c r="M3646" i="10"/>
  <c r="M3645" i="10"/>
  <c r="M3644" i="10"/>
  <c r="M3643" i="10"/>
  <c r="M3642" i="10"/>
  <c r="M3641" i="10"/>
  <c r="M3640" i="10"/>
  <c r="M3639" i="10"/>
  <c r="M3638" i="10"/>
  <c r="M3637" i="10"/>
  <c r="M3636" i="10"/>
  <c r="M3635" i="10"/>
  <c r="M3634" i="10"/>
  <c r="M3633" i="10"/>
  <c r="M3632" i="10"/>
  <c r="M3631" i="10"/>
  <c r="M3630" i="10"/>
  <c r="M3629" i="10"/>
  <c r="M3628" i="10"/>
  <c r="M3627" i="10"/>
  <c r="M3626" i="10"/>
  <c r="M3625" i="10"/>
  <c r="M3624" i="10"/>
  <c r="M3623" i="10"/>
  <c r="M3622" i="10"/>
  <c r="M3621" i="10"/>
  <c r="M3620" i="10"/>
  <c r="M3619" i="10"/>
  <c r="M3618" i="10"/>
  <c r="M3617" i="10"/>
  <c r="M3616" i="10"/>
  <c r="M3615" i="10"/>
  <c r="M3614" i="10"/>
  <c r="M3613" i="10"/>
  <c r="M3612" i="10"/>
  <c r="M3611" i="10"/>
  <c r="M3610" i="10"/>
  <c r="M3609" i="10"/>
  <c r="M3608" i="10"/>
  <c r="M3607" i="10"/>
  <c r="M3606" i="10"/>
  <c r="M3605" i="10"/>
  <c r="M3604" i="10"/>
  <c r="M3603" i="10"/>
  <c r="M3602" i="10"/>
  <c r="M3601" i="10"/>
  <c r="M3600" i="10"/>
  <c r="M3599" i="10"/>
  <c r="M3598" i="10"/>
  <c r="M3597" i="10"/>
  <c r="M3596" i="10"/>
  <c r="M3595" i="10"/>
  <c r="M3594" i="10"/>
  <c r="M3593" i="10"/>
  <c r="M3592" i="10"/>
  <c r="M3591" i="10"/>
  <c r="M3590" i="10"/>
  <c r="M3589" i="10"/>
  <c r="M3588" i="10"/>
  <c r="M3587" i="10"/>
  <c r="M3586" i="10"/>
  <c r="M3585" i="10"/>
  <c r="M3584" i="10"/>
  <c r="M3583" i="10"/>
  <c r="M3582" i="10"/>
  <c r="M3581" i="10"/>
  <c r="M3580" i="10"/>
  <c r="M3579" i="10"/>
  <c r="M3578" i="10"/>
  <c r="M3577" i="10"/>
  <c r="M3576" i="10"/>
  <c r="M3575" i="10"/>
  <c r="M3574" i="10"/>
  <c r="M3573" i="10"/>
  <c r="M3572" i="10"/>
  <c r="M3571" i="10"/>
  <c r="M3570" i="10"/>
  <c r="M3569" i="10"/>
  <c r="M3568" i="10"/>
  <c r="M3567" i="10"/>
  <c r="M3566" i="10"/>
  <c r="M3565" i="10"/>
  <c r="M3564" i="10"/>
  <c r="M3563" i="10"/>
  <c r="M3562" i="10"/>
  <c r="M3561" i="10"/>
  <c r="M3560" i="10"/>
  <c r="M3559" i="10"/>
  <c r="M3558" i="10"/>
  <c r="M3557" i="10"/>
  <c r="M3556" i="10"/>
  <c r="M3555" i="10"/>
  <c r="M3554" i="10"/>
  <c r="M3553" i="10"/>
  <c r="M3552" i="10"/>
  <c r="M3551" i="10"/>
  <c r="M3550" i="10"/>
  <c r="M3549" i="10"/>
  <c r="M3548" i="10"/>
  <c r="M3547" i="10"/>
  <c r="M3546" i="10"/>
  <c r="M3545" i="10"/>
  <c r="M3544" i="10"/>
  <c r="M3543" i="10"/>
  <c r="M3542" i="10"/>
  <c r="M3541" i="10"/>
  <c r="M3540" i="10"/>
  <c r="M3539" i="10"/>
  <c r="M3538" i="10"/>
  <c r="M3537" i="10"/>
  <c r="M3536" i="10"/>
  <c r="M3535" i="10"/>
  <c r="M3534" i="10"/>
  <c r="M3533" i="10"/>
  <c r="M3532" i="10"/>
  <c r="M3531" i="10"/>
  <c r="M3530" i="10"/>
  <c r="M3529" i="10"/>
  <c r="M3528" i="10"/>
  <c r="M3527" i="10"/>
  <c r="M3526" i="10"/>
  <c r="M3525" i="10"/>
  <c r="M3524" i="10"/>
  <c r="M3523" i="10"/>
  <c r="M3522" i="10"/>
  <c r="M3521" i="10"/>
  <c r="M3520" i="10"/>
  <c r="M3519" i="10"/>
  <c r="M3518" i="10"/>
  <c r="M3517" i="10"/>
  <c r="M3516" i="10"/>
  <c r="M3515" i="10"/>
  <c r="M3514" i="10"/>
  <c r="M3513" i="10"/>
  <c r="M3512" i="10"/>
  <c r="M3511" i="10"/>
  <c r="M3510" i="10"/>
  <c r="M3509" i="10"/>
  <c r="M3508" i="10"/>
  <c r="M3507" i="10"/>
  <c r="M3506" i="10"/>
  <c r="M3505" i="10"/>
  <c r="M3504" i="10"/>
  <c r="M3503" i="10"/>
  <c r="M3502" i="10"/>
  <c r="M3501" i="10"/>
  <c r="M3500" i="10"/>
  <c r="M3499" i="10"/>
  <c r="M3498" i="10"/>
  <c r="M3497" i="10"/>
  <c r="M3496" i="10"/>
  <c r="M3495" i="10"/>
  <c r="M3494" i="10"/>
  <c r="M3493" i="10"/>
  <c r="M3492" i="10"/>
  <c r="M3491" i="10"/>
  <c r="M3490" i="10"/>
  <c r="M3489" i="10"/>
  <c r="M3488" i="10"/>
  <c r="M3487" i="10"/>
  <c r="M3486" i="10"/>
  <c r="M3485" i="10"/>
  <c r="M3484" i="10"/>
  <c r="M3483" i="10"/>
  <c r="M3482" i="10"/>
  <c r="M3481" i="10"/>
  <c r="M3480" i="10"/>
  <c r="M3479" i="10"/>
  <c r="M3478" i="10"/>
  <c r="M3477" i="10"/>
  <c r="M3476" i="10"/>
  <c r="M3475" i="10"/>
  <c r="M3474" i="10"/>
  <c r="M3473" i="10"/>
  <c r="M3472" i="10"/>
  <c r="M3471" i="10"/>
  <c r="M3470" i="10"/>
  <c r="M3469" i="10"/>
  <c r="M3468" i="10"/>
  <c r="M3467" i="10"/>
  <c r="M3466" i="10"/>
  <c r="M3465" i="10"/>
  <c r="M3464" i="10"/>
  <c r="M3463" i="10"/>
  <c r="M3462" i="10"/>
  <c r="M3461" i="10"/>
  <c r="M3460" i="10"/>
  <c r="M3459" i="10"/>
  <c r="M3458" i="10"/>
  <c r="M3457" i="10"/>
  <c r="M3456" i="10"/>
  <c r="M3455" i="10"/>
  <c r="M3454" i="10"/>
  <c r="M3453" i="10"/>
  <c r="M3452" i="10"/>
  <c r="M3451" i="10"/>
  <c r="M3450" i="10"/>
  <c r="M3449" i="10"/>
  <c r="M3448" i="10"/>
  <c r="M3447" i="10"/>
  <c r="M3446" i="10"/>
  <c r="M3445" i="10"/>
  <c r="M3444" i="10"/>
  <c r="M3443" i="10"/>
  <c r="M3442" i="10"/>
  <c r="M3441" i="10"/>
  <c r="M3440" i="10"/>
  <c r="M3439" i="10"/>
  <c r="M3438" i="10"/>
  <c r="M3437" i="10"/>
  <c r="M3436" i="10"/>
  <c r="M3435" i="10"/>
  <c r="M3434" i="10"/>
  <c r="M3433" i="10"/>
  <c r="M3432" i="10"/>
  <c r="M3431" i="10"/>
  <c r="M3430" i="10"/>
  <c r="M3429" i="10"/>
  <c r="M3428" i="10"/>
  <c r="M3427" i="10"/>
  <c r="M3426" i="10"/>
  <c r="M3425" i="10"/>
  <c r="M3424" i="10"/>
  <c r="M3423" i="10"/>
  <c r="M3422" i="10"/>
  <c r="M3421" i="10"/>
  <c r="M3420" i="10"/>
  <c r="M3419" i="10"/>
  <c r="M3418" i="10"/>
  <c r="M3417" i="10"/>
  <c r="M3416" i="10"/>
  <c r="M3415" i="10"/>
  <c r="M3414" i="10"/>
  <c r="M3413" i="10"/>
  <c r="M3412" i="10"/>
  <c r="M3411" i="10"/>
  <c r="M3410" i="10"/>
  <c r="M3409" i="10"/>
  <c r="M3408" i="10"/>
  <c r="M3407" i="10"/>
  <c r="M3406" i="10"/>
  <c r="M3405" i="10"/>
  <c r="M3404" i="10"/>
  <c r="M3403" i="10"/>
  <c r="M3402" i="10"/>
  <c r="M3401" i="10"/>
  <c r="M3400" i="10"/>
  <c r="M3399" i="10"/>
  <c r="M3398" i="10"/>
  <c r="M3397" i="10"/>
  <c r="M3396" i="10"/>
  <c r="M3395" i="10"/>
  <c r="M3394" i="10"/>
  <c r="M3393" i="10"/>
  <c r="M3392" i="10"/>
  <c r="M3391" i="10"/>
  <c r="M3390" i="10"/>
  <c r="M3389" i="10"/>
  <c r="M3388" i="10"/>
  <c r="M3387" i="10"/>
  <c r="M3386" i="10"/>
  <c r="M3385" i="10"/>
  <c r="M3384" i="10"/>
  <c r="M3383" i="10"/>
  <c r="M3382" i="10"/>
  <c r="M3381" i="10"/>
  <c r="M3380" i="10"/>
  <c r="M3379" i="10"/>
  <c r="M3378" i="10"/>
  <c r="M3377" i="10"/>
  <c r="M3376" i="10"/>
  <c r="M3375" i="10"/>
  <c r="M3374" i="10"/>
  <c r="M3373" i="10"/>
  <c r="M3372" i="10"/>
  <c r="M3371" i="10"/>
  <c r="M3370" i="10"/>
  <c r="M3369" i="10"/>
  <c r="M3368" i="10"/>
  <c r="M3367" i="10"/>
  <c r="M3366" i="10"/>
  <c r="M3365" i="10"/>
  <c r="M3364" i="10"/>
  <c r="M3363" i="10"/>
  <c r="M3362" i="10"/>
  <c r="M3361" i="10"/>
  <c r="M3360" i="10"/>
  <c r="M3359" i="10"/>
  <c r="M3358" i="10"/>
  <c r="M3357" i="10"/>
  <c r="M3356" i="10"/>
  <c r="M3355" i="10"/>
  <c r="M3354" i="10"/>
  <c r="M3353" i="10"/>
  <c r="M3352" i="10"/>
  <c r="M3351" i="10"/>
  <c r="M3350" i="10"/>
  <c r="M3349" i="10"/>
  <c r="M3348" i="10"/>
  <c r="M3347" i="10"/>
  <c r="M3346" i="10"/>
  <c r="M3345" i="10"/>
  <c r="M3344" i="10"/>
  <c r="M3343" i="10"/>
  <c r="M3342" i="10"/>
  <c r="M3341" i="10"/>
  <c r="M3340" i="10"/>
  <c r="M3339" i="10"/>
  <c r="M3338" i="10"/>
  <c r="M3337" i="10"/>
  <c r="M3336" i="10"/>
  <c r="M3335" i="10"/>
  <c r="M3334" i="10"/>
  <c r="M3333" i="10"/>
  <c r="M3332" i="10"/>
  <c r="M3331" i="10"/>
  <c r="M3330" i="10"/>
  <c r="M3329" i="10"/>
  <c r="M3328" i="10"/>
  <c r="M3327" i="10"/>
  <c r="M3326" i="10"/>
  <c r="M3325" i="10"/>
  <c r="M3324" i="10"/>
  <c r="M3323" i="10"/>
  <c r="M3322" i="10"/>
  <c r="M3321" i="10"/>
  <c r="M3320" i="10"/>
  <c r="M3319" i="10"/>
  <c r="M3318" i="10"/>
  <c r="M3317" i="10"/>
  <c r="M3316" i="10"/>
  <c r="M3315" i="10"/>
  <c r="M3314" i="10"/>
  <c r="M3313" i="10"/>
  <c r="M3312" i="10"/>
  <c r="M3311" i="10"/>
  <c r="M3310" i="10"/>
  <c r="M3309" i="10"/>
  <c r="M3308" i="10"/>
  <c r="M3307" i="10"/>
  <c r="M3306" i="10"/>
  <c r="M3305" i="10"/>
  <c r="M3304" i="10"/>
  <c r="M3303" i="10"/>
  <c r="M3302" i="10"/>
  <c r="M3301" i="10"/>
  <c r="M3300" i="10"/>
  <c r="M3299" i="10"/>
  <c r="M3298" i="10"/>
  <c r="M3297" i="10"/>
  <c r="M3296" i="10"/>
  <c r="M3295" i="10"/>
  <c r="M3294" i="10"/>
  <c r="M3293" i="10"/>
  <c r="M3292" i="10"/>
  <c r="M3291" i="10"/>
  <c r="M3290" i="10"/>
  <c r="M3289" i="10"/>
  <c r="M3288" i="10"/>
  <c r="M3287" i="10"/>
  <c r="M3286" i="10"/>
  <c r="M3285" i="10"/>
  <c r="M3284" i="10"/>
  <c r="M3283" i="10"/>
  <c r="M3282" i="10"/>
  <c r="M3281" i="10"/>
  <c r="M3280" i="10"/>
  <c r="M3279" i="10"/>
  <c r="M3278" i="10"/>
  <c r="M3277" i="10"/>
  <c r="M3276" i="10"/>
  <c r="M3275" i="10"/>
  <c r="M3274" i="10"/>
  <c r="M3273" i="10"/>
  <c r="M3272" i="10"/>
  <c r="M3271" i="10"/>
  <c r="M3270" i="10"/>
  <c r="M3269" i="10"/>
  <c r="M3268" i="10"/>
  <c r="M3267" i="10"/>
  <c r="M3266" i="10"/>
  <c r="M3265" i="10"/>
  <c r="M3264" i="10"/>
  <c r="M3263" i="10"/>
  <c r="M3262" i="10"/>
  <c r="M3261" i="10"/>
  <c r="M3260" i="10"/>
  <c r="M3259" i="10"/>
  <c r="M3258" i="10"/>
  <c r="M3257" i="10"/>
  <c r="M3256" i="10"/>
  <c r="M3255" i="10"/>
  <c r="M3254" i="10"/>
  <c r="M3253" i="10"/>
  <c r="M3252" i="10"/>
  <c r="M3251" i="10"/>
  <c r="M3250" i="10"/>
  <c r="M3249" i="10"/>
  <c r="M3248" i="10"/>
  <c r="M3247" i="10"/>
  <c r="M3246" i="10"/>
  <c r="M3245" i="10"/>
  <c r="M3244" i="10"/>
  <c r="M3243" i="10"/>
  <c r="M3242" i="10"/>
  <c r="M3241" i="10"/>
  <c r="M3240" i="10"/>
  <c r="M3239" i="10"/>
  <c r="M3238" i="10"/>
  <c r="M3237" i="10"/>
  <c r="M3236" i="10"/>
  <c r="M3235" i="10"/>
  <c r="M3234" i="10"/>
  <c r="M3233" i="10"/>
  <c r="M3232" i="10"/>
  <c r="M3231" i="10"/>
  <c r="M3230" i="10"/>
  <c r="M3229" i="10"/>
  <c r="M3228" i="10"/>
  <c r="M3227" i="10"/>
  <c r="M3226" i="10"/>
  <c r="M3225" i="10"/>
  <c r="M3224" i="10"/>
  <c r="M3223" i="10"/>
  <c r="M3222" i="10"/>
  <c r="M3221" i="10"/>
  <c r="M3220" i="10"/>
  <c r="M3219" i="10"/>
  <c r="M3218" i="10"/>
  <c r="M3217" i="10"/>
  <c r="M3216" i="10"/>
  <c r="M3215" i="10"/>
  <c r="M3214" i="10"/>
  <c r="M3213" i="10"/>
  <c r="M3212" i="10"/>
  <c r="M3211" i="10"/>
  <c r="M3210" i="10"/>
  <c r="M3209" i="10"/>
  <c r="M3208" i="10"/>
  <c r="M3207" i="10"/>
  <c r="M3206" i="10"/>
  <c r="M3205" i="10"/>
  <c r="M3204" i="10"/>
  <c r="M3203" i="10"/>
  <c r="M3202" i="10"/>
  <c r="M3201" i="10"/>
  <c r="M3200" i="10"/>
  <c r="M3199" i="10"/>
  <c r="M3198" i="10"/>
  <c r="M3197" i="10"/>
  <c r="M3196" i="10"/>
  <c r="M3195" i="10"/>
  <c r="M3194" i="10"/>
  <c r="M3193" i="10"/>
  <c r="M3192" i="10"/>
  <c r="M3191" i="10"/>
  <c r="M3190" i="10"/>
  <c r="M3189" i="10"/>
  <c r="M3188" i="10"/>
  <c r="M3187" i="10"/>
  <c r="M3186" i="10"/>
  <c r="M3185" i="10"/>
  <c r="M3184" i="10"/>
  <c r="M3183" i="10"/>
  <c r="M3182" i="10"/>
  <c r="M3181" i="10"/>
  <c r="M3180" i="10"/>
  <c r="M3179" i="10"/>
  <c r="M3178" i="10"/>
  <c r="M3177" i="10"/>
  <c r="M3176" i="10"/>
  <c r="M3175" i="10"/>
  <c r="M3174" i="10"/>
  <c r="M3173" i="10"/>
  <c r="M3172" i="10"/>
  <c r="M3171" i="10"/>
  <c r="M3170" i="10"/>
  <c r="M3169" i="10"/>
  <c r="M3168" i="10"/>
  <c r="M3167" i="10"/>
  <c r="M3166" i="10"/>
  <c r="M3165" i="10"/>
  <c r="M3164" i="10"/>
  <c r="M3163" i="10"/>
  <c r="M3162" i="10"/>
  <c r="M3161" i="10"/>
  <c r="M3160" i="10"/>
  <c r="M3159" i="10"/>
  <c r="M3158" i="10"/>
  <c r="M3157" i="10"/>
  <c r="M3156" i="10"/>
  <c r="M3155" i="10"/>
  <c r="M3154" i="10"/>
  <c r="M3153" i="10"/>
  <c r="M3152" i="10"/>
  <c r="M3151" i="10"/>
  <c r="M3150" i="10"/>
  <c r="M3149" i="10"/>
  <c r="M3148" i="10"/>
  <c r="M3147" i="10"/>
  <c r="M3146" i="10"/>
  <c r="M3145" i="10"/>
  <c r="M3144" i="10"/>
  <c r="M3143" i="10"/>
  <c r="M3142" i="10"/>
  <c r="M3141" i="10"/>
  <c r="M3140" i="10"/>
  <c r="M3139" i="10"/>
  <c r="M3138" i="10"/>
  <c r="M3137" i="10"/>
  <c r="M3136" i="10"/>
  <c r="M3135" i="10"/>
  <c r="M3134" i="10"/>
  <c r="M3133" i="10"/>
  <c r="M3132" i="10"/>
  <c r="M3131" i="10"/>
  <c r="M3130" i="10"/>
  <c r="M3129" i="10"/>
  <c r="M3128" i="10"/>
  <c r="M3127" i="10"/>
  <c r="M3126" i="10"/>
  <c r="M3125" i="10"/>
  <c r="M3124" i="10"/>
  <c r="M3123" i="10"/>
  <c r="M3122" i="10"/>
  <c r="M3121" i="10"/>
  <c r="M3120" i="10"/>
  <c r="M3119" i="10"/>
  <c r="M3118" i="10"/>
  <c r="M3117" i="10"/>
  <c r="M3116" i="10"/>
  <c r="M3115" i="10"/>
  <c r="M3114" i="10"/>
  <c r="M3113" i="10"/>
  <c r="M3112" i="10"/>
  <c r="M3111" i="10"/>
  <c r="M3110" i="10"/>
  <c r="M3109" i="10"/>
  <c r="M3108" i="10"/>
  <c r="M3107" i="10"/>
  <c r="M3106" i="10"/>
  <c r="M3105" i="10"/>
  <c r="M3104" i="10"/>
  <c r="M3103" i="10"/>
  <c r="M3102" i="10"/>
  <c r="M3101" i="10"/>
  <c r="M3100" i="10"/>
  <c r="M3099" i="10"/>
  <c r="M3098" i="10"/>
  <c r="M3097" i="10"/>
  <c r="M3096" i="10"/>
  <c r="M3095" i="10"/>
  <c r="M3094" i="10"/>
  <c r="M3093" i="10"/>
  <c r="M3092" i="10"/>
  <c r="M3091" i="10"/>
  <c r="M3090" i="10"/>
  <c r="M3089" i="10"/>
  <c r="M3088" i="10"/>
  <c r="M3087" i="10"/>
  <c r="M3086" i="10"/>
  <c r="M3085" i="10"/>
  <c r="M3084" i="10"/>
  <c r="M3083" i="10"/>
  <c r="M3082" i="10"/>
  <c r="M3081" i="10"/>
  <c r="M3080" i="10"/>
  <c r="M3079" i="10"/>
  <c r="M3078" i="10"/>
  <c r="M3077" i="10"/>
  <c r="M3076" i="10"/>
  <c r="M3075" i="10"/>
  <c r="M3074" i="10"/>
  <c r="M3073" i="10"/>
  <c r="M3072" i="10"/>
  <c r="M3071" i="10"/>
  <c r="M3070" i="10"/>
  <c r="M3069" i="10"/>
  <c r="M3068" i="10"/>
  <c r="M3067" i="10"/>
  <c r="M3066" i="10"/>
  <c r="M3065" i="10"/>
  <c r="M3064" i="10"/>
  <c r="M3063" i="10"/>
  <c r="M3062" i="10"/>
  <c r="M3061" i="10"/>
  <c r="M3060" i="10"/>
  <c r="M3059" i="10"/>
  <c r="M3058" i="10"/>
  <c r="M3057" i="10"/>
  <c r="M3056" i="10"/>
  <c r="M3055" i="10"/>
  <c r="M3054" i="10"/>
  <c r="M3053" i="10"/>
  <c r="M3052" i="10"/>
  <c r="M3051" i="10"/>
  <c r="M3050" i="10"/>
  <c r="M3049" i="10"/>
  <c r="M3048" i="10"/>
  <c r="M3047" i="10"/>
  <c r="M3046" i="10"/>
  <c r="M3045" i="10"/>
  <c r="M3044" i="10"/>
  <c r="M3043" i="10"/>
  <c r="M3042" i="10"/>
  <c r="M3041" i="10"/>
  <c r="M3040" i="10"/>
  <c r="M3039" i="10"/>
  <c r="M3038" i="10"/>
  <c r="M3037" i="10"/>
  <c r="M3036" i="10"/>
  <c r="M3035" i="10"/>
  <c r="M3034" i="10"/>
  <c r="M3033" i="10"/>
  <c r="M3032" i="10"/>
  <c r="M3031" i="10"/>
  <c r="M3030" i="10"/>
  <c r="M3029" i="10"/>
  <c r="M3028" i="10"/>
  <c r="M3027" i="10"/>
  <c r="M3026" i="10"/>
  <c r="M3025" i="10"/>
  <c r="M3024" i="10"/>
  <c r="M3023" i="10"/>
  <c r="M3022" i="10"/>
  <c r="M3021" i="10"/>
  <c r="M3020" i="10"/>
  <c r="M3019" i="10"/>
  <c r="M3018" i="10"/>
  <c r="M3017" i="10"/>
  <c r="M3016" i="10"/>
  <c r="M3015" i="10"/>
  <c r="M3014" i="10"/>
  <c r="M3013" i="10"/>
  <c r="M3012" i="10"/>
  <c r="M3011" i="10"/>
  <c r="M3010" i="10"/>
  <c r="M3009" i="10"/>
  <c r="M3008" i="10"/>
  <c r="M3007" i="10"/>
  <c r="M3006" i="10"/>
  <c r="M3005" i="10"/>
  <c r="M3004" i="10"/>
  <c r="M3003" i="10"/>
  <c r="M3002" i="10"/>
  <c r="M3001" i="10"/>
  <c r="M3000" i="10"/>
  <c r="M2999" i="10"/>
  <c r="M2998" i="10"/>
  <c r="M2997" i="10"/>
  <c r="M2996" i="10"/>
  <c r="M2995" i="10"/>
  <c r="M2994" i="10"/>
  <c r="M2993" i="10"/>
  <c r="M2992" i="10"/>
  <c r="M2991" i="10"/>
  <c r="M2990" i="10"/>
  <c r="M2989" i="10"/>
  <c r="M2988" i="10"/>
  <c r="M2987" i="10"/>
  <c r="M2986" i="10"/>
  <c r="M2985" i="10"/>
  <c r="M2984" i="10"/>
  <c r="M2983" i="10"/>
  <c r="M2982" i="10"/>
  <c r="M2981" i="10"/>
  <c r="M2980" i="10"/>
  <c r="M2979" i="10"/>
  <c r="M2978" i="10"/>
  <c r="M2977" i="10"/>
  <c r="M2976" i="10"/>
  <c r="M2975" i="10"/>
  <c r="M2974" i="10"/>
  <c r="M2973" i="10"/>
  <c r="M2972" i="10"/>
  <c r="M2971" i="10"/>
  <c r="M2970" i="10"/>
  <c r="M2969" i="10"/>
  <c r="M2968" i="10"/>
  <c r="M2967" i="10"/>
  <c r="M2966" i="10"/>
  <c r="M2965" i="10"/>
  <c r="M2964" i="10"/>
  <c r="M2963" i="10"/>
  <c r="M2962" i="10"/>
  <c r="M2961" i="10"/>
  <c r="M2960" i="10"/>
  <c r="M2959" i="10"/>
  <c r="M2958" i="10"/>
  <c r="M2957" i="10"/>
  <c r="M2956" i="10"/>
  <c r="M2955" i="10"/>
  <c r="M2954" i="10"/>
  <c r="M2953" i="10"/>
  <c r="M2952" i="10"/>
  <c r="M2951" i="10"/>
  <c r="M2950" i="10"/>
  <c r="M2949" i="10"/>
  <c r="M2948" i="10"/>
  <c r="M2947" i="10"/>
  <c r="M2946" i="10"/>
  <c r="M2945" i="10"/>
  <c r="M2944" i="10"/>
  <c r="M2943" i="10"/>
  <c r="M2942" i="10"/>
  <c r="M2941" i="10"/>
  <c r="M2940" i="10"/>
  <c r="M2939" i="10"/>
  <c r="M2938" i="10"/>
  <c r="M2937" i="10"/>
  <c r="M2936" i="10"/>
  <c r="M2935" i="10"/>
  <c r="M2934" i="10"/>
  <c r="M2933" i="10"/>
  <c r="M2932" i="10"/>
  <c r="M2931" i="10"/>
  <c r="M2930" i="10"/>
  <c r="M2929" i="10"/>
  <c r="M2928" i="10"/>
  <c r="M2927" i="10"/>
  <c r="M2926" i="10"/>
  <c r="M2925" i="10"/>
  <c r="M2924" i="10"/>
  <c r="M2923" i="10"/>
  <c r="M2922" i="10"/>
  <c r="M2921" i="10"/>
  <c r="M2920" i="10"/>
  <c r="M2919" i="10"/>
  <c r="M2918" i="10"/>
  <c r="M2917" i="10"/>
  <c r="M2916" i="10"/>
  <c r="M2915" i="10"/>
  <c r="M2914" i="10"/>
  <c r="M2913" i="10"/>
  <c r="M2912" i="10"/>
  <c r="M2911" i="10"/>
  <c r="M2910" i="10"/>
  <c r="M2909" i="10"/>
  <c r="M2908" i="10"/>
  <c r="M2907" i="10"/>
  <c r="M2906" i="10"/>
  <c r="M2905" i="10"/>
  <c r="M2904" i="10"/>
  <c r="M2903" i="10"/>
  <c r="M2902" i="10"/>
  <c r="M2901" i="10"/>
  <c r="M2900" i="10"/>
  <c r="M2899" i="10"/>
  <c r="M2898" i="10"/>
  <c r="M2897" i="10"/>
  <c r="M2896" i="10"/>
  <c r="M2895" i="10"/>
  <c r="M2894" i="10"/>
  <c r="M2893" i="10"/>
  <c r="M2892" i="10"/>
  <c r="M2891" i="10"/>
  <c r="M2890" i="10"/>
  <c r="M2889" i="10"/>
  <c r="M2888" i="10"/>
  <c r="M2887" i="10"/>
  <c r="M2886" i="10"/>
  <c r="M2885" i="10"/>
  <c r="M2884" i="10"/>
  <c r="M2883" i="10"/>
  <c r="M2882" i="10"/>
  <c r="M2881" i="10"/>
  <c r="M2880" i="10"/>
  <c r="M2879" i="10"/>
  <c r="M2878" i="10"/>
  <c r="M2877" i="10"/>
  <c r="M2876" i="10"/>
  <c r="M2875" i="10"/>
  <c r="M2874" i="10"/>
  <c r="M2873" i="10"/>
  <c r="M2872" i="10"/>
  <c r="M2871" i="10"/>
  <c r="M2870" i="10"/>
  <c r="M2869" i="10"/>
  <c r="M2868" i="10"/>
  <c r="M2867" i="10"/>
  <c r="M2866" i="10"/>
  <c r="M2865" i="10"/>
  <c r="M2864" i="10"/>
  <c r="M2863" i="10"/>
  <c r="M2862" i="10"/>
  <c r="M2861" i="10"/>
  <c r="M2860" i="10"/>
  <c r="M2859" i="10"/>
  <c r="M2858" i="10"/>
  <c r="M2857" i="10"/>
  <c r="M2856" i="10"/>
  <c r="M2855" i="10"/>
  <c r="M2854" i="10"/>
  <c r="M2853" i="10"/>
  <c r="M2852" i="10"/>
  <c r="M2851" i="10"/>
  <c r="M2850" i="10"/>
  <c r="M2849" i="10"/>
  <c r="M2848" i="10"/>
  <c r="M2847" i="10"/>
  <c r="M2846" i="10"/>
  <c r="M2845" i="10"/>
  <c r="M2844" i="10"/>
  <c r="M2843" i="10"/>
  <c r="M2842" i="10"/>
  <c r="M2841" i="10"/>
  <c r="M2840" i="10"/>
  <c r="M2839" i="10"/>
  <c r="M2838" i="10"/>
  <c r="M2837" i="10"/>
  <c r="M2836" i="10"/>
  <c r="M2835" i="10"/>
  <c r="M2834" i="10"/>
  <c r="M2833" i="10"/>
  <c r="M2832" i="10"/>
  <c r="M2831" i="10"/>
  <c r="M2830" i="10"/>
  <c r="M2829" i="10"/>
  <c r="M2828" i="10"/>
  <c r="M2827" i="10"/>
  <c r="M2826" i="10"/>
  <c r="M2825" i="10"/>
  <c r="M2824" i="10"/>
  <c r="M2823" i="10"/>
  <c r="M2822" i="10"/>
  <c r="M2821" i="10"/>
  <c r="M2820" i="10"/>
  <c r="M2819" i="10"/>
  <c r="M2818" i="10"/>
  <c r="M2817" i="10"/>
  <c r="M2816" i="10"/>
  <c r="M2815" i="10"/>
  <c r="M2814" i="10"/>
  <c r="M2813" i="10"/>
  <c r="M2812" i="10"/>
  <c r="M2811" i="10"/>
  <c r="M2810" i="10"/>
  <c r="M2809" i="10"/>
  <c r="M2808" i="10"/>
  <c r="M2807" i="10"/>
  <c r="M2806" i="10"/>
  <c r="M2805" i="10"/>
  <c r="M2804" i="10"/>
  <c r="M2803" i="10"/>
  <c r="M2802" i="10"/>
  <c r="M2801" i="10"/>
  <c r="M2800" i="10"/>
  <c r="M2799" i="10"/>
  <c r="M2798" i="10"/>
  <c r="M2797" i="10"/>
  <c r="M2796" i="10"/>
  <c r="M2795" i="10"/>
  <c r="M2794" i="10"/>
  <c r="M2793" i="10"/>
  <c r="M2792" i="10"/>
  <c r="M2791" i="10"/>
  <c r="M2790" i="10"/>
  <c r="M2789" i="10"/>
  <c r="M2788" i="10"/>
  <c r="M2787" i="10"/>
  <c r="M2786" i="10"/>
  <c r="M2785" i="10"/>
  <c r="M2784" i="10"/>
  <c r="M2783" i="10"/>
  <c r="M2782" i="10"/>
  <c r="M2781" i="10"/>
  <c r="M2780" i="10"/>
  <c r="M2779" i="10"/>
  <c r="M2778" i="10"/>
  <c r="M2777" i="10"/>
  <c r="M2776" i="10"/>
  <c r="M2775" i="10"/>
  <c r="M2774" i="10"/>
  <c r="M2773" i="10"/>
  <c r="M2772" i="10"/>
  <c r="M2771" i="10"/>
  <c r="M2770" i="10"/>
  <c r="M2769" i="10"/>
  <c r="M2768" i="10"/>
  <c r="M2767" i="10"/>
  <c r="M2766" i="10"/>
  <c r="M2765" i="10"/>
  <c r="M2764" i="10"/>
  <c r="M2763" i="10"/>
  <c r="M2762" i="10"/>
  <c r="M2761" i="10"/>
  <c r="M2760" i="10"/>
  <c r="M2759" i="10"/>
  <c r="M2758" i="10"/>
  <c r="M2757" i="10"/>
  <c r="M2756" i="10"/>
  <c r="M2755" i="10"/>
  <c r="M2754" i="10"/>
  <c r="M2753" i="10"/>
  <c r="M2752" i="10"/>
  <c r="M2751" i="10"/>
  <c r="M2750" i="10"/>
  <c r="M2749" i="10"/>
  <c r="M2748" i="10"/>
  <c r="M2747" i="10"/>
  <c r="M2746" i="10"/>
  <c r="M2745" i="10"/>
  <c r="M2744" i="10"/>
  <c r="M2743" i="10"/>
  <c r="M2742" i="10"/>
  <c r="M2741" i="10"/>
  <c r="M2740" i="10"/>
  <c r="M2739" i="10"/>
  <c r="M2738" i="10"/>
  <c r="M2737" i="10"/>
  <c r="M2736" i="10"/>
  <c r="M2735" i="10"/>
  <c r="M2734" i="10"/>
  <c r="M2733" i="10"/>
  <c r="M2732" i="10"/>
  <c r="M2731" i="10"/>
  <c r="M2730" i="10"/>
  <c r="M2729" i="10"/>
  <c r="M2728" i="10"/>
  <c r="M2727" i="10"/>
  <c r="M2726" i="10"/>
  <c r="M2725" i="10"/>
  <c r="M2724" i="10"/>
  <c r="M2723" i="10"/>
  <c r="M2722" i="10"/>
  <c r="M2721" i="10"/>
  <c r="M2720" i="10"/>
  <c r="M2719" i="10"/>
  <c r="M2718" i="10"/>
  <c r="M2717" i="10"/>
  <c r="M2716" i="10"/>
  <c r="M2715" i="10"/>
  <c r="M2714" i="10"/>
  <c r="M2713" i="10"/>
  <c r="M2712" i="10"/>
  <c r="M2711" i="10"/>
  <c r="M2710" i="10"/>
  <c r="M2709" i="10"/>
  <c r="M2708" i="10"/>
  <c r="M2707" i="10"/>
  <c r="M2706" i="10"/>
  <c r="M2705" i="10"/>
  <c r="M2704" i="10"/>
  <c r="M2703" i="10"/>
  <c r="M2702" i="10"/>
  <c r="M2701" i="10"/>
  <c r="M2700" i="10"/>
  <c r="M2699" i="10"/>
  <c r="M2698" i="10"/>
  <c r="M2697" i="10"/>
  <c r="M2696" i="10"/>
  <c r="M2695" i="10"/>
  <c r="M2694" i="10"/>
  <c r="M2693" i="10"/>
  <c r="M2692" i="10"/>
  <c r="M2691" i="10"/>
  <c r="M2690" i="10"/>
  <c r="M2689" i="10"/>
  <c r="M2688" i="10"/>
  <c r="M2687" i="10"/>
  <c r="M2686" i="10"/>
  <c r="M2685" i="10"/>
  <c r="M2684" i="10"/>
  <c r="M2683" i="10"/>
  <c r="M2682" i="10"/>
  <c r="M2681" i="10"/>
  <c r="M2680" i="10"/>
  <c r="M2679" i="10"/>
  <c r="M2678" i="10"/>
  <c r="M2677" i="10"/>
  <c r="M2676" i="10"/>
  <c r="M2675" i="10"/>
  <c r="M2674" i="10"/>
  <c r="M2673" i="10"/>
  <c r="M2672" i="10"/>
  <c r="M2671" i="10"/>
  <c r="M2670" i="10"/>
  <c r="M2669" i="10"/>
  <c r="M2668" i="10"/>
  <c r="M2667" i="10"/>
  <c r="M2666" i="10"/>
  <c r="M2665" i="10"/>
  <c r="M2664" i="10"/>
  <c r="M2663" i="10"/>
  <c r="M2662" i="10"/>
  <c r="M2661" i="10"/>
  <c r="M2660" i="10"/>
  <c r="M2659" i="10"/>
  <c r="M2658" i="10"/>
  <c r="M2657" i="10"/>
  <c r="M2656" i="10"/>
  <c r="M2655" i="10"/>
  <c r="M2654" i="10"/>
  <c r="M2653" i="10"/>
  <c r="M2652" i="10"/>
  <c r="M2651" i="10"/>
  <c r="M2650" i="10"/>
  <c r="M2649" i="10"/>
  <c r="M2648" i="10"/>
  <c r="M2647" i="10"/>
  <c r="M2646" i="10"/>
  <c r="M2645" i="10"/>
  <c r="M2644" i="10"/>
  <c r="M2643" i="10"/>
  <c r="M2642" i="10"/>
  <c r="M2641" i="10"/>
  <c r="M2640" i="10"/>
  <c r="M2639" i="10"/>
  <c r="M2638" i="10"/>
  <c r="M2637" i="10"/>
  <c r="M2636" i="10"/>
  <c r="M2635" i="10"/>
  <c r="M2634" i="10"/>
  <c r="M2633" i="10"/>
  <c r="M2632" i="10"/>
  <c r="M2631" i="10"/>
  <c r="M2630" i="10"/>
  <c r="M2629" i="10"/>
  <c r="M2628" i="10"/>
  <c r="M2627" i="10"/>
  <c r="M2626" i="10"/>
  <c r="M2625" i="10"/>
  <c r="M2624" i="10"/>
  <c r="M2623" i="10"/>
  <c r="M2622" i="10"/>
  <c r="M2621" i="10"/>
  <c r="M2620" i="10"/>
  <c r="M2619" i="10"/>
  <c r="M2618" i="10"/>
  <c r="M2617" i="10"/>
  <c r="M2616" i="10"/>
  <c r="M2615" i="10"/>
  <c r="M2614" i="10"/>
  <c r="M2613" i="10"/>
  <c r="M2612" i="10"/>
  <c r="M2611" i="10"/>
  <c r="M2610" i="10"/>
  <c r="M2609" i="10"/>
  <c r="M2608" i="10"/>
  <c r="M2607" i="10"/>
  <c r="M2606" i="10"/>
  <c r="M2605" i="10"/>
  <c r="M2604" i="10"/>
  <c r="M2603" i="10"/>
  <c r="M2602" i="10"/>
  <c r="M2601" i="10"/>
  <c r="M2600" i="10"/>
  <c r="M2599" i="10"/>
  <c r="M2598" i="10"/>
  <c r="M2597" i="10"/>
  <c r="M2596" i="10"/>
  <c r="M2595" i="10"/>
  <c r="M2594" i="10"/>
  <c r="M2593" i="10"/>
  <c r="M2592" i="10"/>
  <c r="M2591" i="10"/>
  <c r="M2590" i="10"/>
  <c r="M2589" i="10"/>
  <c r="M2588" i="10"/>
  <c r="M2587" i="10"/>
  <c r="M2586" i="10"/>
  <c r="M2585" i="10"/>
  <c r="M2584" i="10"/>
  <c r="M2583" i="10"/>
  <c r="M2582" i="10"/>
  <c r="M2581" i="10"/>
  <c r="M2580" i="10"/>
  <c r="M2579" i="10"/>
  <c r="M2578" i="10"/>
  <c r="M2577" i="10"/>
  <c r="M2576" i="10"/>
  <c r="M2575" i="10"/>
  <c r="M2574" i="10"/>
  <c r="M2573" i="10"/>
  <c r="M2572" i="10"/>
  <c r="M2571" i="10"/>
  <c r="M2570" i="10"/>
  <c r="M2569" i="10"/>
  <c r="M2568" i="10"/>
  <c r="M2567" i="10"/>
  <c r="M2566" i="10"/>
  <c r="M2565" i="10"/>
  <c r="M2564" i="10"/>
  <c r="M2563" i="10"/>
  <c r="M2562" i="10"/>
  <c r="M2561" i="10"/>
  <c r="M2560" i="10"/>
  <c r="M2559" i="10"/>
  <c r="M2558" i="10"/>
  <c r="M2557" i="10"/>
  <c r="M2556" i="10"/>
  <c r="M2555" i="10"/>
  <c r="M2554" i="10"/>
  <c r="M2553" i="10"/>
  <c r="M2552" i="10"/>
  <c r="M2551" i="10"/>
  <c r="M2550" i="10"/>
  <c r="M2549" i="10"/>
  <c r="M2548" i="10"/>
  <c r="M2547" i="10"/>
  <c r="M2546" i="10"/>
  <c r="M2545" i="10"/>
  <c r="M2544" i="10"/>
  <c r="M2543" i="10"/>
  <c r="M2542" i="10"/>
  <c r="M2541" i="10"/>
  <c r="M2540" i="10"/>
  <c r="M2539" i="10"/>
  <c r="M2538" i="10"/>
  <c r="M2537" i="10"/>
  <c r="M2536" i="10"/>
  <c r="M2535" i="10"/>
  <c r="M2534" i="10"/>
  <c r="M2533" i="10"/>
  <c r="M2532" i="10"/>
  <c r="M2531" i="10"/>
  <c r="M2530" i="10"/>
  <c r="M2529" i="10"/>
  <c r="M2528" i="10"/>
  <c r="M2527" i="10"/>
  <c r="M2526" i="10"/>
  <c r="M2525" i="10"/>
  <c r="M2524" i="10"/>
  <c r="M2523" i="10"/>
  <c r="M2522" i="10"/>
  <c r="M2521" i="10"/>
  <c r="M2520" i="10"/>
  <c r="M2519" i="10"/>
  <c r="M2518" i="10"/>
  <c r="M2517" i="10"/>
  <c r="M2516" i="10"/>
  <c r="M2515" i="10"/>
  <c r="M2514" i="10"/>
  <c r="M2513" i="10"/>
  <c r="M2512" i="10"/>
  <c r="M2511" i="10"/>
  <c r="M2510" i="10"/>
  <c r="M2509" i="10"/>
  <c r="M2508" i="10"/>
  <c r="M2507" i="10"/>
  <c r="M2506" i="10"/>
  <c r="M2505" i="10"/>
  <c r="M2504" i="10"/>
  <c r="M2503" i="10"/>
  <c r="M2502" i="10"/>
  <c r="M2501" i="10"/>
  <c r="M2500" i="10"/>
  <c r="M2499" i="10"/>
  <c r="M2498" i="10"/>
  <c r="M2497" i="10"/>
  <c r="M2496" i="10"/>
  <c r="M2495" i="10"/>
  <c r="M2494" i="10"/>
  <c r="M2493" i="10"/>
  <c r="M2492" i="10"/>
  <c r="M2491" i="10"/>
  <c r="M2490" i="10"/>
  <c r="M2489" i="10"/>
  <c r="M2488" i="10"/>
  <c r="M2487" i="10"/>
  <c r="M2486" i="10"/>
  <c r="M2485" i="10"/>
  <c r="M2484" i="10"/>
  <c r="M2483" i="10"/>
  <c r="M2482" i="10"/>
  <c r="M2481" i="10"/>
  <c r="M2480" i="10"/>
  <c r="M2479" i="10"/>
  <c r="M2478" i="10"/>
  <c r="M2477" i="10"/>
  <c r="M2476" i="10"/>
  <c r="M2475" i="10"/>
  <c r="M2474" i="10"/>
  <c r="M2473" i="10"/>
  <c r="M2472" i="10"/>
  <c r="M2471" i="10"/>
  <c r="M2470" i="10"/>
  <c r="M2469" i="10"/>
  <c r="M2468" i="10"/>
  <c r="M2467" i="10"/>
  <c r="M2466" i="10"/>
  <c r="M2465" i="10"/>
  <c r="M2464" i="10"/>
  <c r="M2463" i="10"/>
  <c r="M2462" i="10"/>
  <c r="M2461" i="10"/>
  <c r="M2460" i="10"/>
  <c r="M2459" i="10"/>
  <c r="M2458" i="10"/>
  <c r="M2457" i="10"/>
  <c r="M2456" i="10"/>
  <c r="M2455" i="10"/>
  <c r="M2454" i="10"/>
  <c r="M2453" i="10"/>
  <c r="M2452" i="10"/>
  <c r="M2451" i="10"/>
  <c r="M2450" i="10"/>
  <c r="M2449" i="10"/>
  <c r="M2448" i="10"/>
  <c r="M2447" i="10"/>
  <c r="M2446" i="10"/>
  <c r="M2445" i="10"/>
  <c r="M2444" i="10"/>
  <c r="M2443" i="10"/>
  <c r="M2442" i="10"/>
  <c r="M2441" i="10"/>
  <c r="M2440" i="10"/>
  <c r="M2439" i="10"/>
  <c r="M2438" i="10"/>
  <c r="M2437" i="10"/>
  <c r="M2436" i="10"/>
  <c r="M2435" i="10"/>
  <c r="M2434" i="10"/>
  <c r="M2433" i="10"/>
  <c r="M2432" i="10"/>
  <c r="M2431" i="10"/>
  <c r="M2430" i="10"/>
  <c r="M2429" i="10"/>
  <c r="M2428" i="10"/>
  <c r="M2427" i="10"/>
  <c r="M2426" i="10"/>
  <c r="M2424" i="10"/>
  <c r="M2423" i="10"/>
  <c r="M2422" i="10"/>
  <c r="M2420" i="10"/>
  <c r="M2419" i="10"/>
  <c r="M2418" i="10"/>
  <c r="M2417" i="10"/>
  <c r="M2416" i="10"/>
  <c r="M2415" i="10"/>
  <c r="M2414" i="10"/>
  <c r="M2413" i="10"/>
  <c r="M2412" i="10"/>
  <c r="M2411" i="10"/>
  <c r="M2410" i="10"/>
  <c r="M2409" i="10"/>
  <c r="M2408" i="10"/>
  <c r="M2407" i="10"/>
  <c r="M2406" i="10"/>
  <c r="M2405" i="10"/>
  <c r="M2404" i="10"/>
  <c r="M2403" i="10"/>
  <c r="M2402" i="10"/>
  <c r="M2401" i="10"/>
  <c r="M2400" i="10"/>
  <c r="M2399" i="10"/>
  <c r="M2398" i="10"/>
  <c r="M2397" i="10"/>
  <c r="M2396" i="10"/>
  <c r="M2395" i="10"/>
  <c r="M2394" i="10"/>
  <c r="M2393" i="10"/>
  <c r="M2392" i="10"/>
  <c r="M2391" i="10"/>
  <c r="M2390" i="10"/>
  <c r="M2389" i="10"/>
  <c r="M2388" i="10"/>
  <c r="M2387" i="10"/>
  <c r="M2386" i="10"/>
  <c r="M2385" i="10"/>
  <c r="M2384" i="10"/>
  <c r="M2383" i="10"/>
  <c r="M2382" i="10"/>
  <c r="M2381" i="10"/>
  <c r="M2380" i="10"/>
  <c r="M2379" i="10"/>
  <c r="M2378" i="10"/>
  <c r="M2377" i="10"/>
  <c r="M2376" i="10"/>
  <c r="M2375" i="10"/>
  <c r="M2374" i="10"/>
  <c r="M2373" i="10"/>
  <c r="M2372" i="10"/>
  <c r="M2371" i="10"/>
  <c r="M2370" i="10"/>
  <c r="M2369" i="10"/>
  <c r="M2368" i="10"/>
  <c r="M2367" i="10"/>
  <c r="M2366" i="10"/>
  <c r="M2365" i="10"/>
  <c r="M2364" i="10"/>
  <c r="M2363" i="10"/>
  <c r="M2362" i="10"/>
  <c r="M2361" i="10"/>
  <c r="M2360" i="10"/>
  <c r="M2359" i="10"/>
  <c r="M2358" i="10"/>
  <c r="M2357" i="10"/>
  <c r="M2356" i="10"/>
  <c r="M2355" i="10"/>
  <c r="M2354" i="10"/>
  <c r="M2353" i="10"/>
  <c r="M2352" i="10"/>
  <c r="M2351" i="10"/>
  <c r="M2350" i="10"/>
  <c r="M2349" i="10"/>
  <c r="M2348" i="10"/>
  <c r="M2347" i="10"/>
  <c r="M2346" i="10"/>
  <c r="M2345" i="10"/>
  <c r="M2344" i="10"/>
  <c r="M2343" i="10"/>
  <c r="M2342" i="10"/>
  <c r="M2341" i="10"/>
  <c r="M2340" i="10"/>
  <c r="M2339" i="10"/>
  <c r="M2338" i="10"/>
  <c r="M2337" i="10"/>
  <c r="M2336" i="10"/>
  <c r="M2335" i="10"/>
  <c r="M2334" i="10"/>
  <c r="M2333" i="10"/>
  <c r="M2332" i="10"/>
  <c r="M2331" i="10"/>
  <c r="M2330" i="10"/>
  <c r="M2329" i="10"/>
  <c r="M2328" i="10"/>
  <c r="M2327" i="10"/>
  <c r="M2326" i="10"/>
  <c r="M2325" i="10"/>
  <c r="M2324" i="10"/>
  <c r="M2323" i="10"/>
  <c r="M2322" i="10"/>
  <c r="M2321" i="10"/>
  <c r="M2320" i="10"/>
  <c r="M2319" i="10"/>
  <c r="M2318" i="10"/>
  <c r="M2317" i="10"/>
  <c r="M2316" i="10"/>
  <c r="M2315" i="10"/>
  <c r="M2314" i="10"/>
  <c r="M2313" i="10"/>
  <c r="M2312" i="10"/>
  <c r="M2311" i="10"/>
  <c r="M2310" i="10"/>
  <c r="M2309" i="10"/>
  <c r="M2308" i="10"/>
  <c r="M2307" i="10"/>
  <c r="M2306" i="10"/>
  <c r="M2305" i="10"/>
  <c r="M2304" i="10"/>
  <c r="M2303" i="10"/>
  <c r="M2302" i="10"/>
  <c r="M2301" i="10"/>
  <c r="M2300" i="10"/>
  <c r="M2299" i="10"/>
  <c r="M2298" i="10"/>
  <c r="M2297" i="10"/>
  <c r="M2296" i="10"/>
  <c r="M2295" i="10"/>
  <c r="M2294" i="10"/>
  <c r="M2293" i="10"/>
  <c r="M2292" i="10"/>
  <c r="M2291" i="10"/>
  <c r="M2290" i="10"/>
  <c r="M2289" i="10"/>
  <c r="M2288" i="10"/>
  <c r="M2287" i="10"/>
  <c r="M2286" i="10"/>
  <c r="M2285" i="10"/>
  <c r="M2284" i="10"/>
  <c r="M2283" i="10"/>
  <c r="M2282" i="10"/>
  <c r="M2281" i="10"/>
  <c r="M2280" i="10"/>
  <c r="M2279" i="10"/>
  <c r="M2278" i="10"/>
  <c r="M2277" i="10"/>
  <c r="M2276" i="10"/>
  <c r="M2275" i="10"/>
  <c r="M2274" i="10"/>
  <c r="M2273" i="10"/>
  <c r="M2272" i="10"/>
  <c r="M2271" i="10"/>
  <c r="M2270" i="10"/>
  <c r="M2269" i="10"/>
  <c r="M2268" i="10"/>
  <c r="M2267" i="10"/>
  <c r="M2266" i="10"/>
  <c r="M2265" i="10"/>
  <c r="M2264" i="10"/>
  <c r="M2263" i="10"/>
  <c r="M2262" i="10"/>
  <c r="M2261" i="10"/>
  <c r="M2260" i="10"/>
  <c r="M2259" i="10"/>
  <c r="M2258" i="10"/>
  <c r="M2257" i="10"/>
  <c r="M2256" i="10"/>
  <c r="M2255" i="10"/>
  <c r="M2254" i="10"/>
  <c r="M2253" i="10"/>
  <c r="M2252" i="10"/>
  <c r="M2251" i="10"/>
  <c r="M2250" i="10"/>
  <c r="M2249" i="10"/>
  <c r="M2248" i="10"/>
  <c r="M2247" i="10"/>
  <c r="M2246" i="10"/>
  <c r="M2245" i="10"/>
  <c r="M2244" i="10"/>
  <c r="M2243" i="10"/>
  <c r="M2242" i="10"/>
  <c r="M2241" i="10"/>
  <c r="M2240" i="10"/>
  <c r="M2239" i="10"/>
  <c r="M2238" i="10"/>
  <c r="M2237" i="10"/>
  <c r="M2236" i="10"/>
  <c r="M2235" i="10"/>
  <c r="M2234" i="10"/>
  <c r="M2233" i="10"/>
  <c r="M2232" i="10"/>
  <c r="M2231" i="10"/>
  <c r="M2230" i="10"/>
  <c r="M2229" i="10"/>
  <c r="M2228" i="10"/>
  <c r="M2227" i="10"/>
  <c r="M2226" i="10"/>
  <c r="M2225" i="10"/>
  <c r="M2224" i="10"/>
  <c r="M2223" i="10"/>
  <c r="M2222" i="10"/>
  <c r="M2221" i="10"/>
  <c r="M2220" i="10"/>
  <c r="M2219" i="10"/>
  <c r="M2218" i="10"/>
  <c r="M2217" i="10"/>
  <c r="M2216" i="10"/>
  <c r="M2215" i="10"/>
  <c r="M2214" i="10"/>
  <c r="M2213" i="10"/>
  <c r="M2212" i="10"/>
  <c r="M2211" i="10"/>
  <c r="M2210" i="10"/>
  <c r="M2209" i="10"/>
  <c r="M2208" i="10"/>
  <c r="M2207" i="10"/>
  <c r="M2206" i="10"/>
  <c r="M2205" i="10"/>
  <c r="M2204" i="10"/>
  <c r="M2203" i="10"/>
  <c r="M2202" i="10"/>
  <c r="M2201" i="10"/>
  <c r="M2200" i="10"/>
  <c r="M2199" i="10"/>
  <c r="M2198" i="10"/>
  <c r="M2197" i="10"/>
  <c r="M2196" i="10"/>
  <c r="M2195" i="10"/>
  <c r="M2194" i="10"/>
  <c r="M2193" i="10"/>
  <c r="M2192" i="10"/>
  <c r="M2191" i="10"/>
  <c r="M2190" i="10"/>
  <c r="M2189" i="10"/>
  <c r="M2188" i="10"/>
  <c r="M2187" i="10"/>
  <c r="M2186" i="10"/>
  <c r="M2185" i="10"/>
  <c r="M2184" i="10"/>
  <c r="M2183" i="10"/>
  <c r="M2182" i="10"/>
  <c r="M2181" i="10"/>
  <c r="M2180" i="10"/>
  <c r="M2179" i="10"/>
  <c r="M2178" i="10"/>
  <c r="M2177" i="10"/>
  <c r="M2176" i="10"/>
  <c r="M2175" i="10"/>
  <c r="M2174" i="10"/>
  <c r="M2173" i="10"/>
  <c r="M2172" i="10"/>
  <c r="M2171" i="10"/>
  <c r="M2170" i="10"/>
  <c r="M2169" i="10"/>
  <c r="M2168" i="10"/>
  <c r="M2167" i="10"/>
  <c r="M2166" i="10"/>
  <c r="M2165" i="10"/>
  <c r="M2164" i="10"/>
  <c r="M2163" i="10"/>
  <c r="M2162" i="10"/>
  <c r="M2161" i="10"/>
  <c r="M2160" i="10"/>
  <c r="M2159" i="10"/>
  <c r="M2158" i="10"/>
  <c r="M2157" i="10"/>
  <c r="M2156" i="10"/>
  <c r="M2155" i="10"/>
  <c r="M2154" i="10"/>
  <c r="M2153" i="10"/>
  <c r="M2152" i="10"/>
  <c r="M2151" i="10"/>
  <c r="M2150" i="10"/>
  <c r="M2149" i="10"/>
  <c r="M2148" i="10"/>
  <c r="M2147" i="10"/>
  <c r="M2146" i="10"/>
  <c r="M2145" i="10"/>
  <c r="M2144" i="10"/>
  <c r="M2143" i="10"/>
  <c r="M2142" i="10"/>
  <c r="M2141" i="10"/>
  <c r="M2140" i="10"/>
  <c r="M2139" i="10"/>
  <c r="M2138" i="10"/>
  <c r="M2137" i="10"/>
  <c r="M2136" i="10"/>
  <c r="M2135" i="10"/>
  <c r="M2134" i="10"/>
  <c r="M2133" i="10"/>
  <c r="M2132" i="10"/>
  <c r="M2131" i="10"/>
  <c r="M2130" i="10"/>
  <c r="M2129" i="10"/>
  <c r="M2128" i="10"/>
  <c r="M2127" i="10"/>
  <c r="M2126" i="10"/>
  <c r="M2125" i="10"/>
  <c r="M2124" i="10"/>
  <c r="M2123" i="10"/>
  <c r="M2122" i="10"/>
  <c r="M2121" i="10"/>
  <c r="M2120" i="10"/>
  <c r="M2119" i="10"/>
  <c r="M2118" i="10"/>
  <c r="M2117" i="10"/>
  <c r="M2116" i="10"/>
  <c r="M2115" i="10"/>
  <c r="M2114" i="10"/>
  <c r="M2113" i="10"/>
  <c r="M2112" i="10"/>
  <c r="M2111" i="10"/>
  <c r="M2110" i="10"/>
  <c r="M2109" i="10"/>
  <c r="M2108" i="10"/>
  <c r="M2107" i="10"/>
  <c r="M2106" i="10"/>
  <c r="M2105" i="10"/>
  <c r="M2104" i="10"/>
  <c r="M2103" i="10"/>
  <c r="M2102" i="10"/>
  <c r="M2101" i="10"/>
  <c r="M2100" i="10"/>
  <c r="M2099" i="10"/>
  <c r="M2098" i="10"/>
  <c r="M2097" i="10"/>
  <c r="M2096" i="10"/>
  <c r="M2095" i="10"/>
  <c r="M2094" i="10"/>
  <c r="M2093" i="10"/>
  <c r="M2092" i="10"/>
  <c r="M2091" i="10"/>
  <c r="M2090" i="10"/>
  <c r="M2089" i="10"/>
  <c r="M2088" i="10"/>
  <c r="M2087" i="10"/>
  <c r="M2086" i="10"/>
  <c r="M2085" i="10"/>
  <c r="M2084" i="10"/>
  <c r="M2083" i="10"/>
  <c r="M2082" i="10"/>
  <c r="M2081" i="10"/>
  <c r="M2080" i="10"/>
  <c r="M2079" i="10"/>
  <c r="M2078" i="10"/>
  <c r="M2077" i="10"/>
  <c r="M2076" i="10"/>
  <c r="M2075" i="10"/>
  <c r="M2074" i="10"/>
  <c r="M2073" i="10"/>
  <c r="M2072" i="10"/>
  <c r="M2071" i="10"/>
  <c r="M2070" i="10"/>
  <c r="M2069" i="10"/>
  <c r="M2068" i="10"/>
  <c r="M2067" i="10"/>
  <c r="M2066" i="10"/>
  <c r="M2065" i="10"/>
  <c r="M2064" i="10"/>
  <c r="M2063" i="10"/>
  <c r="M2062" i="10"/>
  <c r="M2061" i="10"/>
  <c r="M2060" i="10"/>
  <c r="M2059" i="10"/>
  <c r="M2058" i="10"/>
  <c r="M2057" i="10"/>
  <c r="M2056" i="10"/>
  <c r="M2055" i="10"/>
  <c r="M2054" i="10"/>
  <c r="M2053" i="10"/>
  <c r="M2052" i="10"/>
  <c r="M2051" i="10"/>
  <c r="M2050" i="10"/>
  <c r="M2049" i="10"/>
  <c r="M2048" i="10"/>
  <c r="M2047" i="10"/>
  <c r="M2046" i="10"/>
  <c r="M2045" i="10"/>
  <c r="M2044" i="10"/>
  <c r="M2043" i="10"/>
  <c r="M2042" i="10"/>
  <c r="M2041" i="10"/>
  <c r="M2040" i="10"/>
  <c r="M2039" i="10"/>
  <c r="M2038" i="10"/>
  <c r="M2037" i="10"/>
  <c r="M2036" i="10"/>
  <c r="M2035" i="10"/>
  <c r="M2034" i="10"/>
  <c r="M2033" i="10"/>
  <c r="M2032" i="10"/>
  <c r="M2031" i="10"/>
  <c r="M2030" i="10"/>
  <c r="M2029" i="10"/>
  <c r="M2028" i="10"/>
  <c r="M2027" i="10"/>
  <c r="M2026" i="10"/>
  <c r="M2025" i="10"/>
  <c r="M2024" i="10"/>
  <c r="M2023" i="10"/>
  <c r="M2022" i="10"/>
  <c r="M2021" i="10"/>
  <c r="M2020" i="10"/>
  <c r="M2019" i="10"/>
  <c r="M2018" i="10"/>
  <c r="M2017" i="10"/>
  <c r="M2016" i="10"/>
  <c r="M2015" i="10"/>
  <c r="M2014" i="10"/>
  <c r="M2013" i="10"/>
  <c r="M2012" i="10"/>
  <c r="M2011" i="10"/>
  <c r="M2010" i="10"/>
  <c r="M2009" i="10"/>
  <c r="M2008" i="10"/>
  <c r="M2007" i="10"/>
  <c r="M2006" i="10"/>
  <c r="M2005" i="10"/>
  <c r="M2004" i="10"/>
  <c r="M2003" i="10"/>
  <c r="M2002" i="10"/>
  <c r="M2001" i="10"/>
  <c r="M2000" i="10"/>
  <c r="M1999" i="10"/>
  <c r="M1998" i="10"/>
  <c r="M1997" i="10"/>
  <c r="M1996" i="10"/>
  <c r="M1995" i="10"/>
  <c r="M1994" i="10"/>
  <c r="M1993" i="10"/>
  <c r="M1992" i="10"/>
  <c r="M1991" i="10"/>
  <c r="M1990" i="10"/>
  <c r="M1989" i="10"/>
  <c r="M1988" i="10"/>
  <c r="M1987" i="10"/>
  <c r="M1986" i="10"/>
  <c r="M1985" i="10"/>
  <c r="M1984" i="10"/>
  <c r="M1983" i="10"/>
  <c r="M1982" i="10"/>
  <c r="M1981" i="10"/>
  <c r="M1980" i="10"/>
  <c r="M1979" i="10"/>
  <c r="M1978" i="10"/>
  <c r="M1977" i="10"/>
  <c r="M1976" i="10"/>
  <c r="M1975" i="10"/>
  <c r="M1974" i="10"/>
  <c r="M1973" i="10"/>
  <c r="M1972" i="10"/>
  <c r="M1971" i="10"/>
  <c r="M1970" i="10"/>
  <c r="M1969" i="10"/>
  <c r="M1968" i="10"/>
  <c r="M1967" i="10"/>
  <c r="M1966" i="10"/>
  <c r="M1965" i="10"/>
  <c r="M1964" i="10"/>
  <c r="M1963" i="10"/>
  <c r="M1962" i="10"/>
  <c r="M1961" i="10"/>
  <c r="M1960" i="10"/>
  <c r="M1959" i="10"/>
  <c r="M1958" i="10"/>
  <c r="M1957" i="10"/>
  <c r="M1956" i="10"/>
  <c r="M1955" i="10"/>
  <c r="M1954" i="10"/>
  <c r="M1953" i="10"/>
  <c r="M1952" i="10"/>
  <c r="M1951" i="10"/>
  <c r="M1950" i="10"/>
  <c r="M1949" i="10"/>
  <c r="M1948" i="10"/>
  <c r="M1947" i="10"/>
  <c r="M1946" i="10"/>
  <c r="M1945" i="10"/>
  <c r="M1944" i="10"/>
  <c r="M1943" i="10"/>
  <c r="M1942" i="10"/>
  <c r="M1941" i="10"/>
  <c r="M1940" i="10"/>
  <c r="M1939" i="10"/>
  <c r="M1938" i="10"/>
  <c r="M1937" i="10"/>
  <c r="M1936" i="10"/>
  <c r="M1935" i="10"/>
  <c r="M1934" i="10"/>
  <c r="M1933" i="10"/>
  <c r="M1932" i="10"/>
  <c r="M1931" i="10"/>
  <c r="M1930" i="10"/>
  <c r="M1929" i="10"/>
  <c r="M1928" i="10"/>
  <c r="M1927" i="10"/>
  <c r="M1926" i="10"/>
  <c r="M1925" i="10"/>
  <c r="M1924" i="10"/>
  <c r="M1923" i="10"/>
  <c r="M1922" i="10"/>
  <c r="M1921" i="10"/>
  <c r="M1920" i="10"/>
  <c r="M1919" i="10"/>
  <c r="M1918" i="10"/>
  <c r="M1917" i="10"/>
  <c r="M1916" i="10"/>
  <c r="M1915" i="10"/>
  <c r="M1914" i="10"/>
  <c r="M1913" i="10"/>
  <c r="M1912" i="10"/>
  <c r="M1911" i="10"/>
  <c r="M1910" i="10"/>
  <c r="M1909" i="10"/>
  <c r="M1908" i="10"/>
  <c r="M1907" i="10"/>
  <c r="M1906" i="10"/>
  <c r="M1905" i="10"/>
  <c r="M1904" i="10"/>
  <c r="M1903" i="10"/>
  <c r="M1902" i="10"/>
  <c r="M1901" i="10"/>
  <c r="M1900" i="10"/>
  <c r="M1899" i="10"/>
  <c r="M1898" i="10"/>
  <c r="M1897" i="10"/>
  <c r="M1896" i="10"/>
  <c r="M1895" i="10"/>
  <c r="M1894" i="10"/>
  <c r="M1893" i="10"/>
  <c r="M1892" i="10"/>
  <c r="M1891" i="10"/>
  <c r="M1890" i="10"/>
  <c r="M1889" i="10"/>
  <c r="M1888" i="10"/>
  <c r="M1887" i="10"/>
  <c r="M1886" i="10"/>
  <c r="M1885" i="10"/>
  <c r="M1884" i="10"/>
  <c r="M1883" i="10"/>
  <c r="M1882" i="10"/>
  <c r="M1881" i="10"/>
  <c r="M1880" i="10"/>
  <c r="M1879" i="10"/>
  <c r="M1878" i="10"/>
  <c r="M1877" i="10"/>
  <c r="M1876" i="10"/>
  <c r="M1875" i="10"/>
  <c r="M1874" i="10"/>
  <c r="M1873" i="10"/>
  <c r="M1872" i="10"/>
  <c r="M1871" i="10"/>
  <c r="M1870" i="10"/>
  <c r="M1869" i="10"/>
  <c r="M1868" i="10"/>
  <c r="M1867" i="10"/>
  <c r="M1866" i="10"/>
  <c r="M1865" i="10"/>
  <c r="M1864" i="10"/>
  <c r="M1863" i="10"/>
  <c r="M1862" i="10"/>
  <c r="M1861" i="10"/>
  <c r="M1860" i="10"/>
  <c r="M1859" i="10"/>
  <c r="M1858" i="10"/>
  <c r="M1857" i="10"/>
  <c r="M1856" i="10"/>
  <c r="M1855" i="10"/>
  <c r="M1854" i="10"/>
  <c r="M1853" i="10"/>
  <c r="M1852" i="10"/>
  <c r="M1851" i="10"/>
  <c r="M1850" i="10"/>
  <c r="M1849" i="10"/>
  <c r="M1848" i="10"/>
  <c r="M1847" i="10"/>
  <c r="M1846" i="10"/>
  <c r="M1845" i="10"/>
  <c r="M1844" i="10"/>
  <c r="M1843" i="10"/>
  <c r="M1842" i="10"/>
  <c r="M1841" i="10"/>
  <c r="M1840" i="10"/>
  <c r="M1839" i="10"/>
  <c r="M1838" i="10"/>
  <c r="M1837" i="10"/>
  <c r="M1836" i="10"/>
  <c r="M1835" i="10"/>
  <c r="M1834" i="10"/>
  <c r="M1833" i="10"/>
  <c r="M1832" i="10"/>
  <c r="M1831" i="10"/>
  <c r="M1830" i="10"/>
  <c r="M1829" i="10"/>
  <c r="M1828" i="10"/>
  <c r="M1827" i="10"/>
  <c r="M1826" i="10"/>
  <c r="M1825" i="10"/>
  <c r="M1824" i="10"/>
  <c r="M1823" i="10"/>
  <c r="M1822" i="10"/>
  <c r="M1821" i="10"/>
  <c r="M1820" i="10"/>
  <c r="M1819" i="10"/>
  <c r="M1818" i="10"/>
  <c r="M1817" i="10"/>
  <c r="M1816" i="10"/>
  <c r="M1815" i="10"/>
  <c r="M1814" i="10"/>
  <c r="M1813" i="10"/>
  <c r="M1812" i="10"/>
  <c r="M1811" i="10"/>
  <c r="M1810" i="10"/>
  <c r="M1809" i="10"/>
  <c r="M1808" i="10"/>
  <c r="M1807" i="10"/>
  <c r="M1806" i="10"/>
  <c r="M1805" i="10"/>
  <c r="M1804" i="10"/>
  <c r="M1803" i="10"/>
  <c r="M1802" i="10"/>
  <c r="M1801" i="10"/>
  <c r="M1800" i="10"/>
  <c r="M1799" i="10"/>
  <c r="M1798" i="10"/>
  <c r="M1797" i="10"/>
  <c r="M1796" i="10"/>
  <c r="M1795" i="10"/>
  <c r="M1794" i="10"/>
  <c r="M1793" i="10"/>
  <c r="M1792" i="10"/>
  <c r="M1791" i="10"/>
  <c r="M1790" i="10"/>
  <c r="M1789" i="10"/>
  <c r="M1788" i="10"/>
  <c r="M1787" i="10"/>
  <c r="M1786" i="10"/>
  <c r="M1785" i="10"/>
  <c r="M1784" i="10"/>
  <c r="M1783" i="10"/>
  <c r="M1782" i="10"/>
  <c r="M1781" i="10"/>
  <c r="M1780" i="10"/>
  <c r="M1779" i="10"/>
  <c r="M1778" i="10"/>
  <c r="M1777" i="10"/>
  <c r="M1776" i="10"/>
  <c r="M1775" i="10"/>
  <c r="M1774" i="10"/>
  <c r="M1773" i="10"/>
  <c r="M1772" i="10"/>
  <c r="M1771" i="10"/>
  <c r="M1770" i="10"/>
  <c r="M1769" i="10"/>
  <c r="M1768" i="10"/>
  <c r="M1767" i="10"/>
  <c r="M1766" i="10"/>
  <c r="M1765" i="10"/>
  <c r="M1764" i="10"/>
  <c r="M1763" i="10"/>
  <c r="M1762" i="10"/>
  <c r="M1761" i="10"/>
  <c r="M1760" i="10"/>
  <c r="M1759" i="10"/>
  <c r="M1758" i="10"/>
  <c r="M1757" i="10"/>
  <c r="M1756" i="10"/>
  <c r="M1755" i="10"/>
  <c r="M1754" i="10"/>
  <c r="M1753" i="10"/>
  <c r="M1752" i="10"/>
  <c r="M1751" i="10"/>
  <c r="M1750" i="10"/>
  <c r="M1749" i="10"/>
  <c r="M1748" i="10"/>
  <c r="M1747" i="10"/>
  <c r="M1746" i="10"/>
  <c r="M1745" i="10"/>
  <c r="M1744" i="10"/>
  <c r="M1743" i="10"/>
  <c r="M1742" i="10"/>
  <c r="M1741" i="10"/>
  <c r="M1740" i="10"/>
  <c r="M1739" i="10"/>
  <c r="M1738" i="10"/>
  <c r="M1737" i="10"/>
  <c r="M1736" i="10"/>
  <c r="M1735" i="10"/>
  <c r="M1734" i="10"/>
  <c r="M1733" i="10"/>
  <c r="M1732" i="10"/>
  <c r="M1731" i="10"/>
  <c r="M1730" i="10"/>
  <c r="M1729" i="10"/>
  <c r="M1728" i="10"/>
  <c r="M1727" i="10"/>
  <c r="M1726" i="10"/>
  <c r="M1725" i="10"/>
  <c r="M1724" i="10"/>
  <c r="M1723" i="10"/>
  <c r="M1722" i="10"/>
  <c r="M1721" i="10"/>
  <c r="M1720" i="10"/>
  <c r="M1719" i="10"/>
  <c r="M1718" i="10"/>
  <c r="M1717" i="10"/>
  <c r="M1716" i="10"/>
  <c r="M1715" i="10"/>
  <c r="M1714" i="10"/>
  <c r="M1713" i="10"/>
  <c r="M1712" i="10"/>
  <c r="M1711" i="10"/>
  <c r="M1710" i="10"/>
  <c r="M1709" i="10"/>
  <c r="M1708" i="10"/>
  <c r="M1707" i="10"/>
  <c r="M1706" i="10"/>
  <c r="M1705" i="10"/>
  <c r="M1704" i="10"/>
  <c r="M1703" i="10"/>
  <c r="M1702" i="10"/>
  <c r="M1701" i="10"/>
  <c r="M1700" i="10"/>
  <c r="M1699" i="10"/>
  <c r="M1698" i="10"/>
  <c r="M1697" i="10"/>
  <c r="M1696" i="10"/>
  <c r="M1695" i="10"/>
  <c r="M1694" i="10"/>
  <c r="M1693" i="10"/>
  <c r="M1692" i="10"/>
  <c r="M1691" i="10"/>
  <c r="M1690" i="10"/>
  <c r="M1689" i="10"/>
  <c r="M1688" i="10"/>
  <c r="M1687" i="10"/>
  <c r="M1686" i="10"/>
  <c r="M1685" i="10"/>
  <c r="M1684" i="10"/>
  <c r="M1683" i="10"/>
  <c r="M1682" i="10"/>
  <c r="M1681" i="10"/>
  <c r="M1680" i="10"/>
  <c r="M1679" i="10"/>
  <c r="M1678" i="10"/>
  <c r="M1677" i="10"/>
  <c r="M1676" i="10"/>
  <c r="M1675" i="10"/>
  <c r="M1674" i="10"/>
  <c r="M1673" i="10"/>
  <c r="M1672" i="10"/>
  <c r="M1671" i="10"/>
  <c r="M1670" i="10"/>
  <c r="M1669" i="10"/>
  <c r="M1668" i="10"/>
  <c r="M1667" i="10"/>
  <c r="M1666" i="10"/>
  <c r="M1665" i="10"/>
  <c r="M1664" i="10"/>
  <c r="M1663" i="10"/>
  <c r="M1662" i="10"/>
  <c r="M1661" i="10"/>
  <c r="M1660" i="10"/>
  <c r="M1659" i="10"/>
  <c r="M1658" i="10"/>
  <c r="M1657" i="10"/>
  <c r="M1656" i="10"/>
  <c r="M1655" i="10"/>
  <c r="M1654" i="10"/>
  <c r="M1653" i="10"/>
  <c r="M1652" i="10"/>
  <c r="M1651" i="10"/>
  <c r="M1650" i="10"/>
  <c r="M1649" i="10"/>
  <c r="M1648" i="10"/>
  <c r="M1647" i="10"/>
  <c r="M1646" i="10"/>
  <c r="M1645" i="10"/>
  <c r="M1644" i="10"/>
  <c r="M1643" i="10"/>
  <c r="M1642" i="10"/>
  <c r="M1641" i="10"/>
  <c r="M1640" i="10"/>
  <c r="M1639" i="10"/>
  <c r="M1638" i="10"/>
  <c r="M1637" i="10"/>
  <c r="M1636" i="10"/>
  <c r="M1635" i="10"/>
  <c r="M1634" i="10"/>
  <c r="M1633" i="10"/>
  <c r="M1632" i="10"/>
  <c r="M1631" i="10"/>
  <c r="M1630" i="10"/>
  <c r="M1629" i="10"/>
  <c r="M1628" i="10"/>
  <c r="M1627" i="10"/>
  <c r="M1626" i="10"/>
  <c r="M1625" i="10"/>
  <c r="M1624" i="10"/>
  <c r="M1623" i="10"/>
  <c r="M1622" i="10"/>
  <c r="M1621" i="10"/>
  <c r="M1620" i="10"/>
  <c r="M1619" i="10"/>
  <c r="M1618" i="10"/>
  <c r="M1617" i="10"/>
  <c r="M1616" i="10"/>
  <c r="M1615" i="10"/>
  <c r="M1614" i="10"/>
  <c r="M1613" i="10"/>
  <c r="M1612" i="10"/>
  <c r="M1611" i="10"/>
  <c r="M1610" i="10"/>
  <c r="M1609" i="10"/>
  <c r="M1608" i="10"/>
  <c r="M1607" i="10"/>
  <c r="M1606" i="10"/>
  <c r="M1605" i="10"/>
  <c r="M1604" i="10"/>
  <c r="M1603" i="10"/>
  <c r="M1602" i="10"/>
  <c r="M1601" i="10"/>
  <c r="M1600" i="10"/>
  <c r="M1599" i="10"/>
  <c r="M1598" i="10"/>
  <c r="M1597" i="10"/>
  <c r="M1596" i="10"/>
  <c r="M1595" i="10"/>
  <c r="M1594" i="10"/>
  <c r="M1593" i="10"/>
  <c r="M1592" i="10"/>
  <c r="M1591" i="10"/>
  <c r="M1590" i="10"/>
  <c r="M1589" i="10"/>
  <c r="M1588" i="10"/>
  <c r="M1587" i="10"/>
  <c r="M1586" i="10"/>
  <c r="M1585" i="10"/>
  <c r="M1584" i="10"/>
  <c r="M1583" i="10"/>
  <c r="M1582" i="10"/>
  <c r="M1581" i="10"/>
  <c r="M1580" i="10"/>
  <c r="M1579" i="10"/>
  <c r="M1578" i="10"/>
  <c r="M1577" i="10"/>
  <c r="M1576" i="10"/>
  <c r="M1575" i="10"/>
  <c r="M1574" i="10"/>
  <c r="M1573" i="10"/>
  <c r="M1572" i="10"/>
  <c r="M1571" i="10"/>
  <c r="M1570" i="10"/>
  <c r="M1569" i="10"/>
  <c r="M1568" i="10"/>
  <c r="M1567" i="10"/>
  <c r="M1566" i="10"/>
  <c r="M1565" i="10"/>
  <c r="M1564" i="10"/>
  <c r="M1563" i="10"/>
  <c r="M1562" i="10"/>
  <c r="M1561" i="10"/>
  <c r="M1560" i="10"/>
  <c r="M1559" i="10"/>
  <c r="M1558" i="10"/>
  <c r="M1557" i="10"/>
  <c r="M1556" i="10"/>
  <c r="M1555" i="10"/>
  <c r="M1554" i="10"/>
  <c r="M1553" i="10"/>
  <c r="M1552" i="10"/>
  <c r="M1551" i="10"/>
  <c r="M1550" i="10"/>
  <c r="M1549" i="10"/>
  <c r="M1548" i="10"/>
  <c r="M1547" i="10"/>
  <c r="M1546" i="10"/>
  <c r="M1545" i="10"/>
  <c r="M1544" i="10"/>
  <c r="M1543" i="10"/>
  <c r="M1542" i="10"/>
  <c r="M1541" i="10"/>
  <c r="M1540" i="10"/>
  <c r="M1539" i="10"/>
  <c r="M1538" i="10"/>
  <c r="M1537" i="10"/>
  <c r="M1536" i="10"/>
  <c r="M1535" i="10"/>
  <c r="M1534" i="10"/>
  <c r="M1533" i="10"/>
  <c r="M1532" i="10"/>
  <c r="M1531" i="10"/>
  <c r="M1530" i="10"/>
  <c r="M1529" i="10"/>
  <c r="M1528" i="10"/>
  <c r="M1527" i="10"/>
  <c r="M1526" i="10"/>
  <c r="M1525" i="10"/>
  <c r="M1524" i="10"/>
  <c r="M1523" i="10"/>
  <c r="M1522" i="10"/>
  <c r="M1521" i="10"/>
  <c r="M1520" i="10"/>
  <c r="M1519" i="10"/>
  <c r="M1518" i="10"/>
  <c r="M1517" i="10"/>
  <c r="M1516" i="10"/>
  <c r="M1515" i="10"/>
  <c r="M1514" i="10"/>
  <c r="M1513" i="10"/>
  <c r="M1512" i="10"/>
  <c r="M1511" i="10"/>
  <c r="M1510" i="10"/>
  <c r="M1509" i="10"/>
  <c r="M1508" i="10"/>
  <c r="M1507" i="10"/>
  <c r="M1506" i="10"/>
  <c r="M1505" i="10"/>
  <c r="M1504" i="10"/>
  <c r="M1503" i="10"/>
  <c r="M1502" i="10"/>
  <c r="M1501" i="10"/>
  <c r="M1500" i="10"/>
  <c r="M1499" i="10"/>
  <c r="M1498" i="10"/>
  <c r="M1497" i="10"/>
  <c r="M1496" i="10"/>
  <c r="M1495" i="10"/>
  <c r="M1494" i="10"/>
  <c r="M1493" i="10"/>
  <c r="M1492" i="10"/>
  <c r="M1491" i="10"/>
  <c r="M1490" i="10"/>
  <c r="M1489" i="10"/>
  <c r="M1488" i="10"/>
  <c r="M1487" i="10"/>
  <c r="M1486" i="10"/>
  <c r="M1485" i="10"/>
  <c r="M1484" i="10"/>
  <c r="M1483" i="10"/>
  <c r="M1482" i="10"/>
  <c r="M1481" i="10"/>
  <c r="M1480" i="10"/>
  <c r="M1479" i="10"/>
  <c r="M1478" i="10"/>
  <c r="M1477" i="10"/>
  <c r="M1476" i="10"/>
  <c r="M1475" i="10"/>
  <c r="M1474" i="10"/>
  <c r="M1473" i="10"/>
  <c r="M1472" i="10"/>
  <c r="M1471" i="10"/>
  <c r="M1470" i="10"/>
  <c r="M1469" i="10"/>
  <c r="M1468" i="10"/>
  <c r="M1467" i="10"/>
  <c r="M1466" i="10"/>
  <c r="M1465" i="10"/>
  <c r="M1464" i="10"/>
  <c r="M1463" i="10"/>
  <c r="M1462" i="10"/>
  <c r="M1461" i="10"/>
  <c r="M1460" i="10"/>
  <c r="M1459" i="10"/>
  <c r="M1458" i="10"/>
  <c r="M1457" i="10"/>
  <c r="M1456" i="10"/>
  <c r="M1455" i="10"/>
  <c r="M1454" i="10"/>
  <c r="M1453" i="10"/>
  <c r="M1452" i="10"/>
  <c r="M1451" i="10"/>
  <c r="M1450" i="10"/>
  <c r="M1449" i="10"/>
  <c r="M1448" i="10"/>
  <c r="M1447" i="10"/>
  <c r="M1446" i="10"/>
  <c r="M1445" i="10"/>
  <c r="M1444" i="10"/>
  <c r="M1443" i="10"/>
  <c r="M1442" i="10"/>
  <c r="M1441" i="10"/>
  <c r="M1440" i="10"/>
  <c r="M1439" i="10"/>
  <c r="M1438" i="10"/>
  <c r="M1437" i="10"/>
  <c r="M1436" i="10"/>
  <c r="M1435" i="10"/>
  <c r="M1434" i="10"/>
  <c r="M1433" i="10"/>
  <c r="M1432" i="10"/>
  <c r="M1431" i="10"/>
  <c r="M1430" i="10"/>
  <c r="M1429" i="10"/>
  <c r="M1428" i="10"/>
  <c r="M1427" i="10"/>
  <c r="M1426" i="10"/>
  <c r="M1425" i="10"/>
  <c r="M1424" i="10"/>
  <c r="M1423" i="10"/>
  <c r="M1422" i="10"/>
  <c r="M1421" i="10"/>
  <c r="M1420" i="10"/>
  <c r="M1419" i="10"/>
  <c r="M1418" i="10"/>
  <c r="M1417" i="10"/>
  <c r="M1416" i="10"/>
  <c r="M1415" i="10"/>
  <c r="M1414" i="10"/>
  <c r="M1413" i="10"/>
  <c r="M1412" i="10"/>
  <c r="M1411" i="10"/>
  <c r="M1410" i="10"/>
  <c r="M1409" i="10"/>
  <c r="M1408" i="10"/>
  <c r="M1407" i="10"/>
  <c r="M1406" i="10"/>
  <c r="M1405" i="10"/>
  <c r="M1404" i="10"/>
  <c r="M1403" i="10"/>
  <c r="M1402" i="10"/>
  <c r="M1401" i="10"/>
  <c r="M1400" i="10"/>
  <c r="M1399" i="10"/>
  <c r="M1398" i="10"/>
  <c r="M1397" i="10"/>
  <c r="M1396" i="10"/>
  <c r="M1395" i="10"/>
  <c r="M1394" i="10"/>
  <c r="M1393" i="10"/>
  <c r="M1392" i="10"/>
  <c r="M1391" i="10"/>
  <c r="M1390" i="10"/>
  <c r="M1389" i="10"/>
  <c r="M1388" i="10"/>
  <c r="M1387" i="10"/>
  <c r="M1386" i="10"/>
  <c r="M1385" i="10"/>
  <c r="M1384" i="10"/>
  <c r="M1383" i="10"/>
  <c r="M1382" i="10"/>
  <c r="M1381" i="10"/>
  <c r="M1380" i="10"/>
  <c r="M1379" i="10"/>
  <c r="M1378" i="10"/>
  <c r="M1377" i="10"/>
  <c r="M1376" i="10"/>
  <c r="M1375" i="10"/>
  <c r="M1374" i="10"/>
  <c r="M1373" i="10"/>
  <c r="M1372" i="10"/>
  <c r="M1371" i="10"/>
  <c r="M1370" i="10"/>
  <c r="M1369" i="10"/>
  <c r="M1368" i="10"/>
  <c r="M1367" i="10"/>
  <c r="M1366" i="10"/>
  <c r="M1365" i="10"/>
  <c r="M1364" i="10"/>
  <c r="M1363" i="10"/>
  <c r="M1362" i="10"/>
  <c r="M1361" i="10"/>
  <c r="M1360" i="10"/>
  <c r="M1359" i="10"/>
  <c r="M1358" i="10"/>
  <c r="M1357" i="10"/>
  <c r="M1356" i="10"/>
  <c r="M1355" i="10"/>
  <c r="M1354" i="10"/>
  <c r="M1353" i="10"/>
  <c r="M1352" i="10"/>
  <c r="M1351" i="10"/>
  <c r="M1350" i="10"/>
  <c r="M1349" i="10"/>
  <c r="M1348" i="10"/>
  <c r="M1347" i="10"/>
  <c r="M1346" i="10"/>
  <c r="M1345" i="10"/>
  <c r="M1344" i="10"/>
  <c r="M1343" i="10"/>
  <c r="M1342" i="10"/>
  <c r="M1341" i="10"/>
  <c r="M1340" i="10"/>
  <c r="M1339" i="10"/>
  <c r="M1338" i="10"/>
  <c r="M1337" i="10"/>
  <c r="M1336" i="10"/>
  <c r="M1335" i="10"/>
  <c r="M1334" i="10"/>
  <c r="M1333" i="10"/>
  <c r="M1332" i="10"/>
  <c r="M1331" i="10"/>
  <c r="M1330" i="10"/>
  <c r="M1329" i="10"/>
  <c r="M1328" i="10"/>
  <c r="M1327" i="10"/>
  <c r="M1326" i="10"/>
  <c r="M1325" i="10"/>
  <c r="M1324" i="10"/>
  <c r="M1323" i="10"/>
  <c r="M1322" i="10"/>
  <c r="M1321" i="10"/>
  <c r="M1320" i="10"/>
  <c r="M1319" i="10"/>
  <c r="M1318" i="10"/>
  <c r="M1317" i="10"/>
  <c r="M1316" i="10"/>
  <c r="M1315" i="10"/>
  <c r="M1314" i="10"/>
  <c r="M1313" i="10"/>
  <c r="M1312" i="10"/>
  <c r="M1311" i="10"/>
  <c r="M1310" i="10"/>
  <c r="M1309" i="10"/>
  <c r="M1308" i="10"/>
  <c r="M1307" i="10"/>
  <c r="M1306" i="10"/>
  <c r="M1305" i="10"/>
  <c r="M1304" i="10"/>
  <c r="M1303" i="10"/>
  <c r="M1302" i="10"/>
  <c r="M1301" i="10"/>
  <c r="M1300" i="10"/>
  <c r="M1299" i="10"/>
  <c r="M1298" i="10"/>
  <c r="M1297" i="10"/>
  <c r="M1296" i="10"/>
  <c r="M1295" i="10"/>
  <c r="M1294" i="10"/>
  <c r="M1293" i="10"/>
  <c r="M1292" i="10"/>
  <c r="M1291" i="10"/>
  <c r="M1290" i="10"/>
  <c r="M1289" i="10"/>
  <c r="M1288" i="10"/>
  <c r="M1287" i="10"/>
  <c r="M1286" i="10"/>
  <c r="M1285" i="10"/>
  <c r="M1284" i="10"/>
  <c r="M1283" i="10"/>
  <c r="M1282" i="10"/>
  <c r="M1281" i="10"/>
  <c r="M1280" i="10"/>
  <c r="M1279" i="10"/>
  <c r="M1278" i="10"/>
  <c r="M1277" i="10"/>
  <c r="M1276" i="10"/>
  <c r="M1275" i="10"/>
  <c r="M1274" i="10"/>
  <c r="M1273" i="10"/>
  <c r="M1272" i="10"/>
  <c r="M1271" i="10"/>
  <c r="M1270" i="10"/>
  <c r="M1269" i="10"/>
  <c r="M1268" i="10"/>
  <c r="M1267" i="10"/>
  <c r="M1266" i="10"/>
  <c r="M1265" i="10"/>
  <c r="M1264" i="10"/>
  <c r="M1263" i="10"/>
  <c r="M1262" i="10"/>
  <c r="M1261" i="10"/>
  <c r="M1260" i="10"/>
  <c r="M1259" i="10"/>
  <c r="M1258" i="10"/>
  <c r="M1257" i="10"/>
  <c r="M1256" i="10"/>
  <c r="M1255" i="10"/>
  <c r="M1254" i="10"/>
  <c r="M1253" i="10"/>
  <c r="M1252" i="10"/>
  <c r="M1251" i="10"/>
  <c r="M1250" i="10"/>
  <c r="M1249" i="10"/>
  <c r="M1248" i="10"/>
  <c r="M1247" i="10"/>
  <c r="M1246" i="10"/>
  <c r="M1245" i="10"/>
  <c r="M1244" i="10"/>
  <c r="M1243" i="10"/>
  <c r="M1242" i="10"/>
  <c r="M1241" i="10"/>
  <c r="M1240" i="10"/>
  <c r="M1239" i="10"/>
  <c r="M1238" i="10"/>
  <c r="M1237" i="10"/>
  <c r="M1236" i="10"/>
  <c r="M1235" i="10"/>
  <c r="M1234" i="10"/>
  <c r="M1233" i="10"/>
  <c r="M1232" i="10"/>
  <c r="M1231" i="10"/>
  <c r="M1230" i="10"/>
  <c r="M1229" i="10"/>
  <c r="M1228" i="10"/>
  <c r="M1227" i="10"/>
  <c r="M1226" i="10"/>
  <c r="M1225" i="10"/>
  <c r="M1224" i="10"/>
  <c r="M1223" i="10"/>
  <c r="M1222" i="10"/>
  <c r="M1221" i="10"/>
  <c r="M1220" i="10"/>
  <c r="M1219" i="10"/>
  <c r="M1218" i="10"/>
  <c r="M1217" i="10"/>
  <c r="M1216" i="10"/>
  <c r="M1215" i="10"/>
  <c r="M1214" i="10"/>
  <c r="M1213" i="10"/>
  <c r="M1212" i="10"/>
  <c r="M1211" i="10"/>
  <c r="M1210" i="10"/>
  <c r="M1209" i="10"/>
  <c r="M1208" i="10"/>
  <c r="M1207" i="10"/>
  <c r="M1206" i="10"/>
  <c r="M1205" i="10"/>
  <c r="M1204" i="10"/>
  <c r="M1203" i="10"/>
  <c r="M1202" i="10"/>
  <c r="M1201" i="10"/>
  <c r="M1200" i="10"/>
  <c r="M1199" i="10"/>
  <c r="M1198" i="10"/>
  <c r="M1197" i="10"/>
  <c r="M1196" i="10"/>
  <c r="M1195" i="10"/>
  <c r="M1194" i="10"/>
  <c r="M1193" i="10"/>
  <c r="M1192" i="10"/>
  <c r="M1191" i="10"/>
  <c r="M1190" i="10"/>
  <c r="M1189" i="10"/>
  <c r="M1188" i="10"/>
  <c r="M1187" i="10"/>
  <c r="M1186" i="10"/>
  <c r="M1185" i="10"/>
  <c r="M1184" i="10"/>
  <c r="M1183" i="10"/>
  <c r="M1182" i="10"/>
  <c r="M1181" i="10"/>
  <c r="M1180" i="10"/>
  <c r="M1179" i="10"/>
  <c r="M1178" i="10"/>
  <c r="M1177" i="10"/>
  <c r="M1176" i="10"/>
  <c r="M1175" i="10"/>
  <c r="M1174" i="10"/>
  <c r="M1173" i="10"/>
  <c r="M1172" i="10"/>
  <c r="M1171" i="10"/>
  <c r="M1170" i="10"/>
  <c r="M1169" i="10"/>
  <c r="M1168" i="10"/>
  <c r="M1167" i="10"/>
  <c r="M1166" i="10"/>
  <c r="M1165" i="10"/>
  <c r="M1164" i="10"/>
  <c r="M1163" i="10"/>
  <c r="M1162" i="10"/>
  <c r="M1161" i="10"/>
  <c r="M1160" i="10"/>
  <c r="M1159" i="10"/>
  <c r="M1158" i="10"/>
  <c r="M1157" i="10"/>
  <c r="M1156" i="10"/>
  <c r="M1155" i="10"/>
  <c r="M1154" i="10"/>
  <c r="M1153" i="10"/>
  <c r="M1152" i="10"/>
  <c r="M1151" i="10"/>
  <c r="M1150" i="10"/>
  <c r="M1149" i="10"/>
  <c r="M1148" i="10"/>
  <c r="M1147" i="10"/>
  <c r="M1146" i="10"/>
  <c r="M1145" i="10"/>
  <c r="M1144" i="10"/>
  <c r="M1143" i="10"/>
  <c r="M1142" i="10"/>
  <c r="M1141" i="10"/>
  <c r="M1140" i="10"/>
  <c r="M1139" i="10"/>
  <c r="M1138" i="10"/>
  <c r="M1137" i="10"/>
  <c r="M1136" i="10"/>
  <c r="M1135" i="10"/>
  <c r="M1134" i="10"/>
  <c r="M1133" i="10"/>
  <c r="M1132" i="10"/>
  <c r="M1131" i="10"/>
  <c r="M1130" i="10"/>
  <c r="M1129" i="10"/>
  <c r="M1128" i="10"/>
  <c r="M1127" i="10"/>
  <c r="M1126" i="10"/>
  <c r="M1125" i="10"/>
  <c r="M1124" i="10"/>
  <c r="M1123" i="10"/>
  <c r="M1122" i="10"/>
  <c r="M1121" i="10"/>
  <c r="M1120" i="10"/>
  <c r="M1119" i="10"/>
  <c r="M1118" i="10"/>
  <c r="M1117" i="10"/>
  <c r="M1116" i="10"/>
  <c r="M1115" i="10"/>
  <c r="M1114" i="10"/>
  <c r="M1113" i="10"/>
  <c r="M1112" i="10"/>
  <c r="M1111" i="10"/>
  <c r="M1110" i="10"/>
  <c r="M1109" i="10"/>
  <c r="M1108" i="10"/>
  <c r="M1107" i="10"/>
  <c r="M1106" i="10"/>
  <c r="M1105" i="10"/>
  <c r="M1104" i="10"/>
  <c r="M1103" i="10"/>
  <c r="M1102" i="10"/>
  <c r="M1101" i="10"/>
  <c r="M1100" i="10"/>
  <c r="M1099" i="10"/>
  <c r="M1098" i="10"/>
  <c r="M1097" i="10"/>
  <c r="M1096" i="10"/>
  <c r="M1095" i="10"/>
  <c r="M1094" i="10"/>
  <c r="M1093" i="10"/>
  <c r="M1092" i="10"/>
  <c r="M1091" i="10"/>
  <c r="M1090" i="10"/>
  <c r="M1089" i="10"/>
  <c r="M1088" i="10"/>
  <c r="M1087" i="10"/>
  <c r="M1086" i="10"/>
  <c r="M1085" i="10"/>
  <c r="M1084" i="10"/>
  <c r="M1083" i="10"/>
  <c r="M1082" i="10"/>
  <c r="M1081" i="10"/>
  <c r="M1080" i="10"/>
  <c r="M1079" i="10"/>
  <c r="M1078" i="10"/>
  <c r="M1077" i="10"/>
  <c r="M1076" i="10"/>
  <c r="M1075" i="10"/>
  <c r="M1074" i="10"/>
  <c r="M1073" i="10"/>
  <c r="M1072" i="10"/>
  <c r="M1071" i="10"/>
  <c r="M1070" i="10"/>
  <c r="M1069" i="10"/>
  <c r="M1068" i="10"/>
  <c r="M1067" i="10"/>
  <c r="M1066" i="10"/>
  <c r="M1065" i="10"/>
  <c r="M1064" i="10"/>
  <c r="M1063" i="10"/>
  <c r="M1062" i="10"/>
  <c r="M1061" i="10"/>
  <c r="M1060" i="10"/>
  <c r="M1059" i="10"/>
  <c r="M1058" i="10"/>
  <c r="M1057" i="10"/>
  <c r="M1056" i="10"/>
  <c r="M1055" i="10"/>
  <c r="M1054" i="10"/>
  <c r="M1053" i="10"/>
  <c r="M1052" i="10"/>
  <c r="M1051" i="10"/>
  <c r="M1050" i="10"/>
  <c r="M1049" i="10"/>
  <c r="M1048" i="10"/>
  <c r="M1047" i="10"/>
  <c r="M1046" i="10"/>
  <c r="M1045" i="10"/>
  <c r="M1044" i="10"/>
  <c r="M1043" i="10"/>
  <c r="M1042" i="10"/>
  <c r="M1041" i="10"/>
  <c r="M1040" i="10"/>
  <c r="M1039" i="10"/>
  <c r="M1038" i="10"/>
  <c r="M1037" i="10"/>
  <c r="M1036" i="10"/>
  <c r="M1035" i="10"/>
  <c r="M1034" i="10"/>
  <c r="M1033" i="10"/>
  <c r="M1032" i="10"/>
  <c r="M1031" i="10"/>
  <c r="M1030" i="10"/>
  <c r="M1029" i="10"/>
  <c r="M1028" i="10"/>
  <c r="M1027" i="10"/>
  <c r="M1026" i="10"/>
  <c r="M1025" i="10"/>
  <c r="M1024" i="10"/>
  <c r="M1023" i="10"/>
  <c r="M1022" i="10"/>
  <c r="M1021" i="10"/>
  <c r="M1020" i="10"/>
  <c r="M1019" i="10"/>
  <c r="M1018" i="10"/>
  <c r="M1017" i="10"/>
  <c r="M1016" i="10"/>
  <c r="M1015" i="10"/>
  <c r="M1014" i="10"/>
  <c r="M1013" i="10"/>
  <c r="M1012" i="10"/>
  <c r="M1011" i="10"/>
  <c r="M1010" i="10"/>
  <c r="M1009" i="10"/>
  <c r="M1008" i="10"/>
  <c r="M1007" i="10"/>
  <c r="M1006" i="10"/>
  <c r="M1005" i="10"/>
  <c r="M1004" i="10"/>
  <c r="M1003" i="10"/>
  <c r="M1002" i="10"/>
  <c r="M1001" i="10"/>
  <c r="M1000" i="10"/>
  <c r="M999" i="10"/>
  <c r="M998" i="10"/>
  <c r="M997" i="10"/>
  <c r="M996" i="10"/>
  <c r="M995" i="10"/>
  <c r="M994" i="10"/>
  <c r="M993" i="10"/>
  <c r="M992" i="10"/>
  <c r="M991" i="10"/>
  <c r="M990" i="10"/>
  <c r="M989" i="10"/>
  <c r="M988" i="10"/>
  <c r="M987" i="10"/>
  <c r="M986" i="10"/>
  <c r="M985" i="10"/>
  <c r="M984" i="10"/>
  <c r="M983" i="10"/>
  <c r="M982" i="10"/>
  <c r="M981" i="10"/>
  <c r="M980" i="10"/>
  <c r="M979" i="10"/>
  <c r="M978" i="10"/>
  <c r="M977" i="10"/>
  <c r="M976" i="10"/>
  <c r="M975" i="10"/>
  <c r="M974" i="10"/>
  <c r="M973" i="10"/>
  <c r="M972" i="10"/>
  <c r="M971" i="10"/>
  <c r="M970" i="10"/>
  <c r="M969" i="10"/>
  <c r="M968" i="10"/>
  <c r="M967" i="10"/>
  <c r="M966" i="10"/>
  <c r="M965" i="10"/>
  <c r="M964" i="10"/>
  <c r="M963" i="10"/>
  <c r="M962" i="10"/>
  <c r="M961" i="10"/>
  <c r="M960" i="10"/>
  <c r="M959" i="10"/>
  <c r="M958" i="10"/>
  <c r="M957" i="10"/>
  <c r="M956" i="10"/>
  <c r="M955" i="10"/>
  <c r="M954" i="10"/>
  <c r="M953" i="10"/>
  <c r="M952" i="10"/>
  <c r="M951" i="10"/>
  <c r="M950" i="10"/>
  <c r="M949" i="10"/>
  <c r="M948" i="10"/>
  <c r="M947" i="10"/>
  <c r="M946" i="10"/>
  <c r="M945" i="10"/>
  <c r="M944" i="10"/>
  <c r="M943" i="10"/>
  <c r="M942" i="10"/>
  <c r="M941" i="10"/>
  <c r="M940" i="10"/>
  <c r="M939" i="10"/>
  <c r="M938" i="10"/>
  <c r="M937" i="10"/>
  <c r="M936" i="10"/>
  <c r="M935" i="10"/>
  <c r="M934" i="10"/>
  <c r="M933" i="10"/>
  <c r="M932" i="10"/>
  <c r="M931" i="10"/>
  <c r="M930" i="10"/>
  <c r="M929" i="10"/>
  <c r="M928" i="10"/>
  <c r="M927" i="10"/>
  <c r="M926" i="10"/>
  <c r="M925" i="10"/>
  <c r="M924" i="10"/>
  <c r="M923" i="10"/>
  <c r="M922" i="10"/>
  <c r="M921" i="10"/>
  <c r="M920" i="10"/>
  <c r="M919" i="10"/>
  <c r="M918" i="10"/>
  <c r="M917" i="10"/>
  <c r="M916" i="10"/>
  <c r="M915" i="10"/>
  <c r="M914" i="10"/>
  <c r="M913" i="10"/>
  <c r="M912" i="10"/>
  <c r="M911" i="10"/>
  <c r="M910" i="10"/>
  <c r="M909" i="10"/>
  <c r="M908" i="10"/>
  <c r="M907" i="10"/>
  <c r="M906" i="10"/>
  <c r="M905" i="10"/>
  <c r="M904" i="10"/>
  <c r="M903" i="10"/>
  <c r="M902" i="10"/>
  <c r="M901" i="10"/>
  <c r="M900" i="10"/>
  <c r="M899" i="10"/>
  <c r="M898" i="10"/>
  <c r="M897" i="10"/>
  <c r="M896" i="10"/>
  <c r="M895" i="10"/>
  <c r="M894" i="10"/>
  <c r="M893" i="10"/>
  <c r="M892" i="10"/>
  <c r="M891" i="10"/>
  <c r="M890" i="10"/>
  <c r="M889" i="10"/>
  <c r="M888" i="10"/>
  <c r="M887" i="10"/>
  <c r="M886" i="10"/>
  <c r="M885" i="10"/>
  <c r="M884" i="10"/>
  <c r="M883" i="10"/>
  <c r="M882" i="10"/>
  <c r="M881" i="10"/>
  <c r="M880" i="10"/>
  <c r="M879" i="10"/>
  <c r="M878" i="10"/>
  <c r="M877" i="10"/>
  <c r="M876" i="10"/>
  <c r="M875" i="10"/>
  <c r="M874" i="10"/>
  <c r="M873" i="10"/>
  <c r="M872" i="10"/>
  <c r="M871" i="10"/>
  <c r="M870" i="10"/>
  <c r="M869" i="10"/>
  <c r="M868" i="10"/>
  <c r="M867" i="10"/>
  <c r="M866" i="10"/>
  <c r="M865" i="10"/>
  <c r="M864" i="10"/>
  <c r="M863" i="10"/>
  <c r="M862" i="10"/>
  <c r="M861" i="10"/>
  <c r="M860" i="10"/>
  <c r="M859" i="10"/>
  <c r="M858" i="10"/>
  <c r="M857" i="10"/>
  <c r="M856" i="10"/>
  <c r="M855" i="10"/>
  <c r="M854" i="10"/>
  <c r="M853" i="10"/>
  <c r="M852" i="10"/>
  <c r="M851" i="10"/>
  <c r="M850" i="10"/>
  <c r="M849" i="10"/>
  <c r="M848" i="10"/>
  <c r="M847" i="10"/>
  <c r="M846" i="10"/>
  <c r="M845" i="10"/>
  <c r="M844" i="10"/>
  <c r="M843" i="10"/>
  <c r="M842" i="10"/>
  <c r="M841" i="10"/>
  <c r="M840" i="10"/>
  <c r="M839" i="10"/>
  <c r="M838" i="10"/>
  <c r="M837" i="10"/>
  <c r="M836" i="10"/>
  <c r="M835" i="10"/>
  <c r="M834" i="10"/>
  <c r="M833" i="10"/>
  <c r="M832" i="10"/>
  <c r="M831" i="10"/>
  <c r="M830" i="10"/>
  <c r="M829" i="10"/>
  <c r="M828" i="10"/>
  <c r="M827" i="10"/>
  <c r="M826" i="10"/>
  <c r="M825" i="10"/>
  <c r="M824" i="10"/>
  <c r="M823" i="10"/>
  <c r="M822" i="10"/>
  <c r="M821" i="10"/>
  <c r="M820" i="10"/>
  <c r="M819" i="10"/>
  <c r="M818" i="10"/>
  <c r="M817" i="10"/>
  <c r="M816" i="10"/>
  <c r="M815" i="10"/>
  <c r="M814" i="10"/>
  <c r="M813" i="10"/>
  <c r="M812" i="10"/>
  <c r="M811" i="10"/>
  <c r="M810" i="10"/>
  <c r="M809" i="10"/>
  <c r="M808" i="10"/>
  <c r="M807" i="10"/>
  <c r="M806" i="10"/>
  <c r="M805" i="10"/>
  <c r="M804" i="10"/>
  <c r="M803" i="10"/>
  <c r="M802" i="10"/>
  <c r="M801" i="10"/>
  <c r="M800" i="10"/>
  <c r="M799" i="10"/>
  <c r="M798" i="10"/>
  <c r="M797" i="10"/>
  <c r="M796" i="10"/>
  <c r="M795" i="10"/>
  <c r="M794" i="10"/>
  <c r="M793" i="10"/>
  <c r="M792" i="10"/>
  <c r="M791" i="10"/>
  <c r="M790" i="10"/>
  <c r="M789" i="10"/>
  <c r="M788" i="10"/>
  <c r="M787" i="10"/>
  <c r="M786" i="10"/>
  <c r="M785" i="10"/>
  <c r="M784" i="10"/>
  <c r="M783" i="10"/>
  <c r="M782" i="10"/>
  <c r="M781" i="10"/>
  <c r="M780" i="10"/>
  <c r="M779" i="10"/>
  <c r="M778" i="10"/>
  <c r="M777" i="10"/>
  <c r="M776" i="10"/>
  <c r="M775" i="10"/>
  <c r="M774" i="10"/>
  <c r="M773" i="10"/>
  <c r="M772" i="10"/>
  <c r="M771" i="10"/>
  <c r="M770" i="10"/>
  <c r="M769" i="10"/>
  <c r="M768" i="10"/>
  <c r="M767" i="10"/>
  <c r="M766" i="10"/>
  <c r="M765" i="10"/>
  <c r="M764" i="10"/>
  <c r="M763" i="10"/>
  <c r="M762" i="10"/>
  <c r="M761" i="10"/>
  <c r="M760" i="10"/>
  <c r="M759" i="10"/>
  <c r="M758" i="10"/>
  <c r="M757" i="10"/>
  <c r="M756" i="10"/>
  <c r="M755" i="10"/>
  <c r="M754" i="10"/>
  <c r="M753" i="10"/>
  <c r="M752" i="10"/>
  <c r="M751" i="10"/>
  <c r="M750" i="10"/>
  <c r="M749" i="10"/>
  <c r="M748" i="10"/>
  <c r="M747" i="10"/>
  <c r="M746" i="10"/>
  <c r="M745" i="10"/>
  <c r="M744" i="10"/>
  <c r="M743" i="10"/>
  <c r="M742" i="10"/>
  <c r="M741" i="10"/>
  <c r="M740" i="10"/>
  <c r="M739" i="10"/>
  <c r="M738" i="10"/>
  <c r="M737" i="10"/>
  <c r="M736" i="10"/>
  <c r="M735" i="10"/>
  <c r="M734" i="10"/>
  <c r="M733" i="10"/>
  <c r="M732" i="10"/>
  <c r="M731" i="10"/>
  <c r="M730" i="10"/>
  <c r="M729" i="10"/>
  <c r="M728" i="10"/>
  <c r="M727" i="10"/>
  <c r="M726" i="10"/>
  <c r="M725" i="10"/>
  <c r="M724" i="10"/>
  <c r="M723" i="10"/>
  <c r="M722" i="10"/>
  <c r="M721" i="10"/>
  <c r="M720" i="10"/>
  <c r="M719" i="10"/>
  <c r="M718" i="10"/>
  <c r="M717" i="10"/>
  <c r="M716" i="10"/>
  <c r="M715" i="10"/>
  <c r="M714" i="10"/>
  <c r="M713" i="10"/>
  <c r="M712" i="10"/>
  <c r="M711" i="10"/>
  <c r="M710" i="10"/>
  <c r="M709" i="10"/>
  <c r="M708" i="10"/>
  <c r="M707" i="10"/>
  <c r="M706" i="10"/>
  <c r="M705" i="10"/>
  <c r="M704" i="10"/>
  <c r="M703" i="10"/>
  <c r="M702" i="10"/>
  <c r="M701" i="10"/>
  <c r="M700" i="10"/>
  <c r="M699" i="10"/>
  <c r="M698" i="10"/>
  <c r="M697" i="10"/>
  <c r="M696" i="10"/>
  <c r="M695" i="10"/>
  <c r="M694" i="10"/>
  <c r="M693" i="10"/>
  <c r="M692" i="10"/>
  <c r="M691" i="10"/>
  <c r="M690" i="10"/>
  <c r="M689" i="10"/>
  <c r="M688" i="10"/>
  <c r="M687" i="10"/>
  <c r="M686" i="10"/>
  <c r="M685" i="10"/>
  <c r="M684" i="10"/>
  <c r="M683" i="10"/>
  <c r="M682" i="10"/>
  <c r="M681" i="10"/>
  <c r="M680" i="10"/>
  <c r="M679" i="10"/>
  <c r="M678" i="10"/>
  <c r="M677" i="10"/>
  <c r="M676" i="10"/>
  <c r="M675" i="10"/>
  <c r="M674" i="10"/>
  <c r="M673" i="10"/>
  <c r="M672" i="10"/>
  <c r="M671" i="10"/>
  <c r="M670" i="10"/>
  <c r="M669" i="10"/>
  <c r="M668" i="10"/>
  <c r="M667" i="10"/>
  <c r="M666" i="10"/>
  <c r="M665" i="10"/>
  <c r="M664" i="10"/>
  <c r="M663" i="10"/>
  <c r="M662" i="10"/>
  <c r="M661" i="10"/>
  <c r="M660" i="10"/>
  <c r="M659" i="10"/>
  <c r="M658" i="10"/>
  <c r="M657" i="10"/>
  <c r="M656" i="10"/>
  <c r="M655" i="10"/>
  <c r="M654" i="10"/>
  <c r="M653" i="10"/>
  <c r="M652" i="10"/>
  <c r="M651" i="10"/>
  <c r="M650" i="10"/>
  <c r="M649" i="10"/>
  <c r="M648" i="10"/>
  <c r="M647" i="10"/>
  <c r="M646" i="10"/>
  <c r="M645" i="10"/>
  <c r="M644" i="10"/>
  <c r="M643" i="10"/>
  <c r="M642" i="10"/>
  <c r="M641" i="10"/>
  <c r="M640" i="10"/>
  <c r="M639" i="10"/>
  <c r="M638" i="10"/>
  <c r="M637" i="10"/>
  <c r="M636" i="10"/>
  <c r="M635" i="10"/>
  <c r="M634" i="10"/>
  <c r="M633" i="10"/>
  <c r="M632" i="10"/>
  <c r="M631" i="10"/>
  <c r="M630" i="10"/>
  <c r="M629" i="10"/>
  <c r="M628" i="10"/>
  <c r="M627" i="10"/>
  <c r="M626" i="10"/>
  <c r="M625" i="10"/>
  <c r="M624" i="10"/>
  <c r="M623" i="10"/>
  <c r="M622" i="10"/>
  <c r="M621" i="10"/>
  <c r="M620" i="10"/>
  <c r="M619" i="10"/>
  <c r="M618" i="10"/>
  <c r="M617" i="10"/>
  <c r="M616" i="10"/>
  <c r="M615" i="10"/>
  <c r="M614" i="10"/>
  <c r="M613" i="10"/>
  <c r="M612" i="10"/>
  <c r="M611" i="10"/>
  <c r="M610" i="10"/>
  <c r="M609" i="10"/>
  <c r="M608" i="10"/>
  <c r="M607" i="10"/>
  <c r="M606" i="10"/>
  <c r="M605" i="10"/>
  <c r="M604" i="10"/>
  <c r="M603" i="10"/>
  <c r="M602" i="10"/>
  <c r="M601" i="10"/>
  <c r="M600" i="10"/>
  <c r="M599" i="10"/>
  <c r="M598" i="10"/>
  <c r="M597" i="10"/>
  <c r="M596" i="10"/>
  <c r="M595" i="10"/>
  <c r="M594" i="10"/>
  <c r="M593" i="10"/>
  <c r="M592" i="10"/>
  <c r="M591" i="10"/>
  <c r="M590" i="10"/>
  <c r="M589" i="10"/>
  <c r="M588" i="10"/>
  <c r="M587" i="10"/>
  <c r="M586" i="10"/>
  <c r="M585" i="10"/>
  <c r="M584" i="10"/>
  <c r="M583" i="10"/>
  <c r="M582" i="10"/>
  <c r="M581" i="10"/>
  <c r="M580" i="10"/>
  <c r="M579" i="10"/>
  <c r="M578" i="10"/>
  <c r="M577" i="10"/>
  <c r="M576" i="10"/>
  <c r="M575" i="10"/>
  <c r="M574" i="10"/>
  <c r="M573" i="10"/>
  <c r="M572" i="10"/>
  <c r="M571" i="10"/>
  <c r="M570" i="10"/>
  <c r="M569" i="10"/>
  <c r="M568" i="10"/>
  <c r="M567" i="10"/>
  <c r="M566" i="10"/>
  <c r="M565" i="10"/>
  <c r="M564" i="10"/>
  <c r="M563" i="10"/>
  <c r="M562" i="10"/>
  <c r="M561" i="10"/>
  <c r="M560" i="10"/>
  <c r="M559" i="10"/>
  <c r="M558" i="10"/>
  <c r="M557" i="10"/>
  <c r="M556" i="10"/>
  <c r="M555" i="10"/>
  <c r="M554" i="10"/>
  <c r="M553" i="10"/>
  <c r="M552" i="10"/>
  <c r="M551" i="10"/>
  <c r="M550" i="10"/>
  <c r="M549" i="10"/>
  <c r="M548" i="10"/>
  <c r="M547" i="10"/>
  <c r="M546" i="10"/>
  <c r="M545" i="10"/>
  <c r="M544" i="10"/>
  <c r="M543" i="10"/>
  <c r="M542" i="10"/>
  <c r="M541" i="10"/>
  <c r="M540" i="10"/>
  <c r="M539" i="10"/>
  <c r="M538" i="10"/>
  <c r="M537" i="10"/>
  <c r="M536" i="10"/>
  <c r="M535" i="10"/>
  <c r="M534" i="10"/>
  <c r="M533" i="10"/>
  <c r="M532" i="10"/>
  <c r="M531" i="10"/>
  <c r="M530" i="10"/>
  <c r="M529" i="10"/>
  <c r="M528" i="10"/>
  <c r="M527" i="10"/>
  <c r="M526" i="10"/>
  <c r="M525" i="10"/>
  <c r="M524" i="10"/>
  <c r="M523" i="10"/>
  <c r="M522" i="10"/>
  <c r="M521" i="10"/>
  <c r="M520" i="10"/>
  <c r="M519" i="10"/>
  <c r="M518" i="10"/>
  <c r="M517" i="10"/>
  <c r="M516" i="10"/>
  <c r="M515" i="10"/>
  <c r="M514" i="10"/>
  <c r="M513" i="10"/>
  <c r="M512" i="10"/>
  <c r="M511" i="10"/>
  <c r="M510" i="10"/>
  <c r="M509" i="10"/>
  <c r="M508" i="10"/>
  <c r="M507" i="10"/>
  <c r="M506" i="10"/>
  <c r="M505" i="10"/>
  <c r="M504" i="10"/>
  <c r="M503" i="10"/>
  <c r="M502" i="10"/>
  <c r="M501" i="10"/>
  <c r="M500" i="10"/>
  <c r="M499" i="10"/>
  <c r="M498" i="10"/>
  <c r="M497" i="10"/>
  <c r="M496" i="10"/>
  <c r="M495" i="10"/>
  <c r="M494" i="10"/>
  <c r="M493" i="10"/>
  <c r="M492" i="10"/>
  <c r="M491" i="10"/>
  <c r="M490" i="10"/>
  <c r="M489" i="10"/>
  <c r="M488" i="10"/>
  <c r="M487" i="10"/>
  <c r="M486" i="10"/>
  <c r="M485" i="10"/>
  <c r="M484" i="10"/>
  <c r="M483" i="10"/>
  <c r="M482" i="10"/>
  <c r="M481" i="10"/>
  <c r="M480" i="10"/>
  <c r="M479" i="10"/>
  <c r="M478" i="10"/>
  <c r="M477" i="10"/>
  <c r="M476" i="10"/>
  <c r="M475" i="10"/>
  <c r="M474" i="10"/>
  <c r="M473" i="10"/>
  <c r="M472" i="10"/>
  <c r="M471" i="10"/>
  <c r="M470" i="10"/>
  <c r="M469" i="10"/>
  <c r="M468" i="10"/>
  <c r="M467" i="10"/>
  <c r="M466" i="10"/>
  <c r="M465" i="10"/>
  <c r="M464" i="10"/>
  <c r="M463" i="10"/>
  <c r="M462" i="10"/>
  <c r="M461" i="10"/>
  <c r="M460" i="10"/>
  <c r="M459" i="10"/>
  <c r="M458" i="10"/>
  <c r="M457" i="10"/>
  <c r="M456" i="10"/>
  <c r="M455" i="10"/>
  <c r="M454" i="10"/>
  <c r="M453" i="10"/>
  <c r="M452" i="10"/>
  <c r="M451" i="10"/>
  <c r="M450" i="10"/>
  <c r="M449" i="10"/>
  <c r="M448" i="10"/>
  <c r="M447" i="10"/>
  <c r="M446" i="10"/>
  <c r="M445" i="10"/>
  <c r="M444" i="10"/>
  <c r="M443" i="10"/>
  <c r="M442" i="10"/>
  <c r="M441" i="10"/>
  <c r="M440" i="10"/>
  <c r="M439" i="10"/>
  <c r="M438" i="10"/>
  <c r="M437" i="10"/>
  <c r="M436" i="10"/>
  <c r="M435" i="10"/>
  <c r="M434" i="10"/>
  <c r="M433" i="10"/>
  <c r="M432" i="10"/>
  <c r="M431" i="10"/>
  <c r="M430" i="10"/>
  <c r="M429" i="10"/>
  <c r="M428" i="10"/>
  <c r="M427" i="10"/>
  <c r="M426" i="10"/>
  <c r="M425" i="10"/>
  <c r="M424" i="10"/>
  <c r="M423" i="10"/>
  <c r="M422" i="10"/>
  <c r="M421" i="10"/>
  <c r="M420" i="10"/>
  <c r="M419" i="10"/>
  <c r="M418" i="10"/>
  <c r="M417" i="10"/>
  <c r="M416" i="10"/>
  <c r="M415" i="10"/>
  <c r="M414" i="10"/>
  <c r="M413" i="10"/>
  <c r="M412" i="10"/>
  <c r="M411" i="10"/>
  <c r="M410" i="10"/>
  <c r="M409" i="10"/>
  <c r="M408" i="10"/>
  <c r="M407" i="10"/>
  <c r="M406" i="10"/>
  <c r="M405" i="10"/>
  <c r="M404" i="10"/>
  <c r="M403" i="10"/>
  <c r="M402" i="10"/>
  <c r="M401" i="10"/>
  <c r="M400" i="10"/>
  <c r="M399" i="10"/>
  <c r="M398" i="10"/>
  <c r="M397" i="10"/>
  <c r="M396" i="10"/>
  <c r="M395" i="10"/>
  <c r="M394" i="10"/>
  <c r="M393" i="10"/>
  <c r="M392" i="10"/>
  <c r="M391" i="10"/>
  <c r="M390" i="10"/>
  <c r="M389" i="10"/>
  <c r="M388" i="10"/>
  <c r="M387" i="10"/>
  <c r="M386" i="10"/>
  <c r="M385" i="10"/>
  <c r="M384" i="10"/>
  <c r="M383" i="10"/>
  <c r="M382" i="10"/>
  <c r="M381" i="10"/>
  <c r="M380" i="10"/>
  <c r="M379" i="10"/>
  <c r="M378" i="10"/>
  <c r="M377" i="10"/>
  <c r="M376" i="10"/>
  <c r="M375" i="10"/>
  <c r="M374" i="10"/>
  <c r="M373" i="10"/>
  <c r="M372" i="10"/>
  <c r="M371" i="10"/>
  <c r="M370" i="10"/>
  <c r="M369" i="10"/>
  <c r="M368" i="10"/>
  <c r="M367" i="10"/>
  <c r="M366" i="10"/>
  <c r="M365" i="10"/>
  <c r="M364" i="10"/>
  <c r="M363" i="10"/>
  <c r="M362" i="10"/>
  <c r="M361" i="10"/>
  <c r="M360" i="10"/>
  <c r="M359" i="10"/>
  <c r="M358" i="10"/>
  <c r="M357" i="10"/>
  <c r="M356" i="10"/>
  <c r="M355" i="10"/>
  <c r="M354" i="10"/>
  <c r="M353" i="10"/>
  <c r="M352" i="10"/>
  <c r="M351" i="10"/>
  <c r="M350" i="10"/>
  <c r="M349" i="10"/>
  <c r="M348" i="10"/>
  <c r="M347" i="10"/>
  <c r="M346" i="10"/>
  <c r="M345" i="10"/>
  <c r="M344" i="10"/>
  <c r="M343" i="10"/>
  <c r="M342" i="10"/>
  <c r="M341" i="10"/>
  <c r="M340" i="10"/>
  <c r="M339" i="10"/>
  <c r="M338" i="10"/>
  <c r="M337" i="10"/>
  <c r="M336" i="10"/>
  <c r="M335" i="10"/>
  <c r="M334" i="10"/>
  <c r="M333" i="10"/>
  <c r="M332" i="10"/>
  <c r="M331" i="10"/>
  <c r="M330" i="10"/>
  <c r="M329" i="10"/>
  <c r="M328" i="10"/>
  <c r="M327" i="10"/>
  <c r="M326" i="10"/>
  <c r="M325" i="10"/>
  <c r="M324" i="10"/>
  <c r="M323" i="10"/>
  <c r="M322" i="10"/>
  <c r="M321" i="10"/>
  <c r="M320" i="10"/>
  <c r="M319" i="10"/>
  <c r="M318" i="10"/>
  <c r="M317" i="10"/>
  <c r="M316" i="10"/>
  <c r="M315" i="10"/>
  <c r="M314" i="10"/>
  <c r="M313" i="10"/>
  <c r="M312" i="10"/>
  <c r="M311" i="10"/>
  <c r="M310" i="10"/>
  <c r="M309" i="10"/>
  <c r="M308" i="10"/>
  <c r="M307" i="10"/>
  <c r="M306" i="10"/>
  <c r="M305" i="10"/>
  <c r="M304" i="10"/>
  <c r="M303" i="10"/>
  <c r="M302" i="10"/>
  <c r="M301" i="10"/>
  <c r="M300" i="10"/>
  <c r="M299" i="10"/>
  <c r="M298" i="10"/>
  <c r="M297" i="10"/>
  <c r="M296" i="10"/>
  <c r="M295" i="10"/>
  <c r="M294" i="10"/>
  <c r="M293" i="10"/>
  <c r="M292" i="10"/>
  <c r="M291" i="10"/>
  <c r="M290" i="10"/>
  <c r="M289" i="10"/>
  <c r="M288" i="10"/>
  <c r="M287" i="10"/>
  <c r="M286" i="10"/>
  <c r="M285" i="10"/>
  <c r="M284" i="10"/>
  <c r="M283" i="10"/>
  <c r="M282" i="10"/>
  <c r="M281" i="10"/>
  <c r="M280" i="10"/>
  <c r="M279" i="10"/>
  <c r="M278" i="10"/>
  <c r="M277" i="10"/>
  <c r="M276" i="10"/>
  <c r="M275" i="10"/>
  <c r="M274" i="10"/>
  <c r="M273" i="10"/>
  <c r="M272" i="10"/>
  <c r="M271" i="10"/>
  <c r="M270" i="10"/>
  <c r="M269" i="10"/>
  <c r="M268" i="10"/>
  <c r="M267" i="10"/>
  <c r="M266" i="10"/>
  <c r="M265" i="10"/>
  <c r="M264" i="10"/>
  <c r="M263" i="10"/>
  <c r="M262" i="10"/>
  <c r="M261" i="10"/>
  <c r="M260" i="10"/>
  <c r="M259" i="10"/>
  <c r="M258" i="10"/>
  <c r="M257" i="10"/>
  <c r="M256" i="10"/>
  <c r="M255" i="10"/>
  <c r="M254" i="10"/>
  <c r="M253" i="10"/>
  <c r="M252" i="10"/>
  <c r="M251" i="10"/>
  <c r="M250" i="10"/>
  <c r="M249" i="10"/>
  <c r="M248" i="10"/>
  <c r="M247" i="10"/>
  <c r="M246" i="10"/>
  <c r="M245" i="10"/>
  <c r="M244" i="10"/>
  <c r="M243" i="10"/>
  <c r="M242" i="10"/>
  <c r="M241" i="10"/>
  <c r="M240" i="10"/>
  <c r="M239" i="10"/>
  <c r="M238" i="10"/>
  <c r="M237" i="10"/>
  <c r="M236" i="10"/>
  <c r="M235" i="10"/>
  <c r="M234" i="10"/>
  <c r="M233" i="10"/>
  <c r="M232" i="10"/>
  <c r="M231" i="10"/>
  <c r="M230" i="10"/>
  <c r="M229" i="10"/>
  <c r="M228" i="10"/>
  <c r="M227" i="10"/>
  <c r="M226" i="10"/>
  <c r="M225" i="10"/>
  <c r="M224" i="10"/>
  <c r="M223" i="10"/>
  <c r="M222" i="10"/>
  <c r="M221" i="10"/>
  <c r="M220" i="10"/>
  <c r="M219" i="10"/>
  <c r="M218" i="10"/>
  <c r="M217" i="10"/>
  <c r="M216" i="10"/>
  <c r="M215" i="10"/>
  <c r="M214" i="10"/>
  <c r="M213" i="10"/>
  <c r="M212" i="10"/>
  <c r="M211" i="10"/>
  <c r="M210" i="10"/>
  <c r="M209" i="10"/>
  <c r="M208" i="10"/>
  <c r="M207" i="10"/>
  <c r="M206" i="10"/>
  <c r="M205" i="10"/>
  <c r="M204" i="10"/>
  <c r="M203" i="10"/>
  <c r="M202" i="10"/>
  <c r="M201" i="10"/>
  <c r="M200" i="10"/>
  <c r="M199" i="10"/>
  <c r="M198" i="10"/>
  <c r="M197" i="10"/>
  <c r="M196" i="10"/>
  <c r="M195" i="10"/>
  <c r="M194" i="10"/>
  <c r="M193" i="10"/>
  <c r="M192" i="10"/>
  <c r="M191" i="10"/>
  <c r="M190" i="10"/>
  <c r="M189" i="10"/>
  <c r="M188" i="10"/>
  <c r="M187" i="10"/>
  <c r="M186" i="10"/>
  <c r="M185" i="10"/>
  <c r="M184" i="10"/>
  <c r="M183" i="10"/>
  <c r="M182" i="10"/>
  <c r="M181" i="10"/>
  <c r="M180" i="10"/>
  <c r="M179" i="10"/>
  <c r="M178" i="10"/>
  <c r="M177" i="10"/>
  <c r="M176" i="10"/>
  <c r="M175" i="10"/>
  <c r="M174" i="10"/>
  <c r="M173" i="10"/>
  <c r="M172" i="10"/>
  <c r="M171" i="10"/>
  <c r="M170" i="10"/>
  <c r="M169" i="10"/>
  <c r="M168" i="10"/>
  <c r="M167" i="10"/>
  <c r="M166" i="10"/>
  <c r="M165" i="10"/>
  <c r="M164" i="10"/>
  <c r="M163" i="10"/>
  <c r="M162" i="10"/>
  <c r="M161" i="10"/>
  <c r="M160" i="10"/>
  <c r="M159" i="10"/>
  <c r="M158" i="10"/>
  <c r="M157" i="10"/>
  <c r="M156" i="10"/>
  <c r="M155" i="10"/>
  <c r="M154" i="10"/>
  <c r="M153" i="10"/>
  <c r="M152" i="10"/>
  <c r="M151" i="10"/>
  <c r="M150" i="10"/>
  <c r="M149" i="10"/>
  <c r="M148" i="10"/>
  <c r="M147" i="10"/>
  <c r="M146" i="10"/>
  <c r="M145" i="10"/>
  <c r="M144" i="10"/>
  <c r="M143" i="10"/>
  <c r="M142" i="10"/>
  <c r="M141" i="10"/>
  <c r="M140" i="10"/>
  <c r="M139" i="10"/>
  <c r="M138" i="10"/>
  <c r="M137" i="10"/>
  <c r="M136" i="10"/>
  <c r="M135" i="10"/>
  <c r="M134" i="10"/>
  <c r="M133" i="10"/>
  <c r="M132" i="10"/>
  <c r="M131" i="10"/>
  <c r="M130" i="10"/>
  <c r="M129" i="10"/>
  <c r="M128" i="10"/>
  <c r="M127" i="10"/>
  <c r="M126" i="10"/>
  <c r="M125" i="10"/>
  <c r="M124" i="10"/>
  <c r="M123" i="10"/>
  <c r="M122" i="10"/>
  <c r="M121" i="10"/>
  <c r="M120" i="10"/>
  <c r="M119" i="10"/>
  <c r="M118" i="10"/>
  <c r="M117" i="10"/>
  <c r="M116" i="10"/>
  <c r="M115" i="10"/>
  <c r="M114" i="10"/>
  <c r="M113" i="10"/>
  <c r="M112" i="10"/>
  <c r="M111" i="10"/>
  <c r="M110" i="10"/>
  <c r="M109" i="10"/>
  <c r="M108" i="10"/>
  <c r="M107" i="10"/>
  <c r="M106" i="10"/>
  <c r="M105" i="10"/>
  <c r="M104" i="10"/>
  <c r="M103" i="10"/>
  <c r="M102" i="10"/>
  <c r="M101" i="10"/>
  <c r="M100" i="10"/>
  <c r="M99" i="10"/>
  <c r="M98" i="10"/>
  <c r="M97" i="10"/>
  <c r="M96" i="10"/>
  <c r="M95" i="10"/>
  <c r="M94" i="10"/>
  <c r="M93" i="10"/>
  <c r="M92" i="10"/>
  <c r="M91" i="10"/>
  <c r="M90" i="10"/>
  <c r="M89" i="10"/>
  <c r="M88" i="10"/>
  <c r="M87" i="10"/>
  <c r="M86" i="10"/>
  <c r="M85" i="10"/>
  <c r="M84" i="10"/>
  <c r="M83" i="10"/>
  <c r="M82" i="10"/>
  <c r="M81" i="10"/>
  <c r="M80" i="10"/>
  <c r="M79" i="10"/>
  <c r="M78" i="10"/>
  <c r="M77" i="10"/>
  <c r="M76" i="10"/>
  <c r="M75" i="10"/>
  <c r="M74" i="10"/>
  <c r="M73" i="10"/>
  <c r="M72" i="10"/>
  <c r="M71" i="10"/>
  <c r="M70" i="10"/>
  <c r="M69" i="10"/>
  <c r="M68" i="10"/>
  <c r="M67" i="10"/>
  <c r="M66" i="10"/>
  <c r="M65" i="10"/>
  <c r="M64" i="10"/>
  <c r="M63" i="10"/>
  <c r="M62" i="10"/>
  <c r="M61" i="10"/>
  <c r="M60" i="10"/>
  <c r="M59" i="10"/>
  <c r="M58" i="10"/>
  <c r="M57" i="10"/>
  <c r="M56" i="10"/>
  <c r="M55" i="10"/>
  <c r="M54" i="10"/>
  <c r="M53" i="10"/>
  <c r="M52" i="10"/>
  <c r="M51" i="10"/>
  <c r="M50" i="10"/>
  <c r="M49" i="10"/>
  <c r="M48" i="10"/>
  <c r="M47" i="10"/>
  <c r="M46" i="10"/>
  <c r="M45" i="10"/>
  <c r="M44" i="10"/>
  <c r="M43" i="10"/>
  <c r="M42" i="10"/>
  <c r="M41" i="10"/>
  <c r="M40" i="10"/>
  <c r="M39" i="10"/>
  <c r="M38" i="10"/>
  <c r="M37" i="10"/>
  <c r="M36" i="10"/>
  <c r="M35" i="10"/>
  <c r="M34" i="10"/>
  <c r="M33" i="10"/>
  <c r="M32" i="10"/>
  <c r="M31" i="10"/>
  <c r="M30" i="10"/>
  <c r="M29" i="10"/>
  <c r="M28" i="10"/>
  <c r="M27" i="10"/>
  <c r="M26" i="10"/>
  <c r="M25" i="10"/>
  <c r="M24" i="10"/>
  <c r="M23" i="10"/>
  <c r="M22" i="10"/>
  <c r="M21" i="10"/>
  <c r="M20" i="10"/>
  <c r="M19" i="10"/>
  <c r="M18" i="10"/>
  <c r="M17" i="10"/>
  <c r="M16" i="10"/>
  <c r="M15" i="10"/>
  <c r="M14" i="10"/>
  <c r="M13" i="10"/>
  <c r="M12" i="10"/>
  <c r="M11" i="10"/>
  <c r="M10" i="10"/>
  <c r="M9" i="10"/>
  <c r="M203" i="5"/>
  <c r="M202" i="5"/>
  <c r="M201" i="5"/>
  <c r="M200" i="5"/>
  <c r="M199" i="5"/>
  <c r="M198" i="5"/>
  <c r="M197" i="5"/>
  <c r="M196" i="5"/>
  <c r="M195" i="5"/>
  <c r="M194" i="5"/>
  <c r="M193" i="5"/>
  <c r="M192" i="5"/>
  <c r="M191" i="5"/>
  <c r="M190" i="5"/>
  <c r="M189" i="5"/>
  <c r="M188" i="5"/>
  <c r="M187" i="5"/>
  <c r="M186" i="5"/>
  <c r="M185" i="5"/>
  <c r="M184" i="5"/>
  <c r="M183" i="5"/>
  <c r="M182" i="5"/>
  <c r="M181" i="5"/>
  <c r="M180" i="5"/>
  <c r="M179" i="5"/>
  <c r="M178" i="5"/>
  <c r="M177" i="5"/>
  <c r="M176" i="5"/>
  <c r="M175" i="5"/>
  <c r="M174" i="5"/>
  <c r="M173" i="5"/>
  <c r="M172" i="5"/>
  <c r="M171" i="5"/>
  <c r="M170" i="5"/>
  <c r="M169" i="5"/>
  <c r="M168" i="5"/>
  <c r="M167" i="5"/>
  <c r="M166" i="5"/>
  <c r="M165" i="5"/>
  <c r="M164" i="5"/>
  <c r="M163" i="5"/>
  <c r="M162" i="5"/>
  <c r="M161" i="5"/>
  <c r="M160" i="5"/>
  <c r="M159" i="5"/>
  <c r="M158" i="5"/>
  <c r="M157" i="5"/>
  <c r="M155" i="5"/>
  <c r="M154" i="5"/>
  <c r="M153" i="5"/>
  <c r="M152" i="5"/>
  <c r="M151" i="5"/>
  <c r="M150" i="5"/>
  <c r="M149" i="5"/>
  <c r="M148" i="5"/>
  <c r="M147" i="5"/>
  <c r="M146" i="5"/>
  <c r="M145" i="5"/>
  <c r="M144" i="5"/>
  <c r="M143" i="5"/>
  <c r="M142" i="5"/>
  <c r="M141" i="5"/>
  <c r="M140" i="5"/>
  <c r="M139" i="5"/>
  <c r="M138" i="5"/>
  <c r="M137" i="5"/>
  <c r="M136" i="5"/>
  <c r="M135" i="5"/>
  <c r="M134" i="5"/>
  <c r="M133" i="5"/>
  <c r="M132" i="5"/>
  <c r="M131" i="5"/>
  <c r="M130" i="5"/>
  <c r="M129" i="5"/>
  <c r="M128" i="5"/>
  <c r="M127" i="5"/>
  <c r="M126" i="5"/>
  <c r="M125" i="5"/>
  <c r="M124" i="5"/>
  <c r="M123" i="5"/>
  <c r="M122" i="5"/>
  <c r="M121" i="5"/>
  <c r="M120" i="5"/>
  <c r="M119" i="5"/>
  <c r="M118" i="5"/>
  <c r="M117" i="5"/>
  <c r="M116" i="5"/>
  <c r="M115" i="5"/>
  <c r="M114" i="5"/>
  <c r="M113" i="5"/>
  <c r="M112" i="5"/>
  <c r="M111" i="5"/>
  <c r="M110" i="5"/>
  <c r="M109" i="5"/>
  <c r="M108" i="5"/>
  <c r="M107" i="5"/>
  <c r="M106" i="5"/>
  <c r="M105" i="5"/>
  <c r="M104" i="5"/>
  <c r="M103" i="5"/>
  <c r="M102" i="5"/>
  <c r="M101" i="5"/>
  <c r="M100" i="5"/>
  <c r="M99" i="5"/>
  <c r="M98" i="5"/>
  <c r="M97" i="5"/>
  <c r="M96" i="5"/>
  <c r="M95" i="5"/>
  <c r="M94" i="5"/>
  <c r="M93" i="5"/>
  <c r="M92" i="5"/>
  <c r="M91" i="5"/>
  <c r="M90" i="5"/>
  <c r="M89" i="5"/>
  <c r="M88" i="5"/>
  <c r="M87" i="5"/>
  <c r="M86" i="5"/>
  <c r="M85" i="5"/>
  <c r="M84" i="5"/>
  <c r="M83" i="5"/>
  <c r="M82" i="5"/>
  <c r="M81" i="5"/>
  <c r="M80" i="5"/>
  <c r="M79" i="5"/>
  <c r="M78" i="5"/>
  <c r="M77" i="5"/>
  <c r="M76" i="5"/>
  <c r="M75" i="5"/>
  <c r="M74" i="5"/>
  <c r="M73" i="5"/>
  <c r="M72" i="5"/>
  <c r="M71" i="5"/>
  <c r="M70" i="5"/>
  <c r="M69" i="5"/>
  <c r="M68" i="5"/>
  <c r="M67" i="5"/>
  <c r="M66" i="5"/>
  <c r="M65" i="5"/>
  <c r="M64" i="5"/>
  <c r="M63" i="5"/>
  <c r="M62" i="5"/>
  <c r="M61" i="5"/>
  <c r="M60" i="5"/>
  <c r="M59" i="5"/>
  <c r="M58" i="5"/>
  <c r="M57" i="5"/>
  <c r="M56" i="5"/>
  <c r="M55" i="5"/>
  <c r="M54" i="5"/>
  <c r="M53" i="5"/>
  <c r="M52" i="5"/>
  <c r="M50" i="5"/>
  <c r="M49" i="5"/>
  <c r="M48" i="5"/>
  <c r="M47" i="5"/>
  <c r="M46" i="5"/>
  <c r="M45" i="5"/>
  <c r="M44" i="5"/>
  <c r="M43" i="5"/>
  <c r="M42" i="5"/>
  <c r="M40" i="5"/>
  <c r="M39" i="5"/>
  <c r="M38" i="5"/>
  <c r="M37" i="5"/>
  <c r="M36" i="5"/>
  <c r="M35" i="5"/>
  <c r="M34" i="5"/>
  <c r="M32" i="5"/>
  <c r="M31" i="5"/>
  <c r="M30" i="5"/>
  <c r="M29" i="5"/>
  <c r="M28" i="5"/>
  <c r="M27" i="5"/>
  <c r="M26" i="5"/>
  <c r="M24" i="5"/>
  <c r="M23" i="5"/>
  <c r="M22" i="5"/>
  <c r="M19" i="5"/>
  <c r="M18" i="5"/>
  <c r="M17" i="5"/>
  <c r="M16" i="5"/>
  <c r="M15" i="5"/>
  <c r="M14" i="5"/>
  <c r="M13" i="5"/>
  <c r="M12" i="5"/>
  <c r="M11" i="5"/>
  <c r="M10" i="5"/>
  <c r="M9" i="5"/>
  <c r="M37" i="1"/>
  <c r="M36" i="1"/>
  <c r="M35" i="1"/>
  <c r="M34" i="1"/>
  <c r="M33" i="1"/>
  <c r="M32" i="1"/>
  <c r="M31" i="1"/>
  <c r="M30" i="1"/>
  <c r="M29" i="1"/>
  <c r="M28" i="1"/>
  <c r="M27" i="1"/>
  <c r="M26" i="1"/>
  <c r="M25" i="1"/>
  <c r="M24" i="1"/>
  <c r="M23" i="1"/>
  <c r="M22" i="1"/>
  <c r="M21" i="1"/>
  <c r="M20" i="1"/>
  <c r="M19" i="1"/>
  <c r="M17" i="1"/>
  <c r="M16" i="1"/>
  <c r="M15" i="1"/>
  <c r="M14" i="1"/>
  <c r="M13" i="1"/>
  <c r="M12" i="1"/>
  <c r="M11" i="1"/>
  <c r="M10" i="1"/>
  <c r="M9" i="1"/>
</calcChain>
</file>

<file path=xl/sharedStrings.xml><?xml version="1.0" encoding="utf-8"?>
<sst xmlns="http://schemas.openxmlformats.org/spreadsheetml/2006/main" count="54217" uniqueCount="18281">
  <si>
    <t>Артикул</t>
  </si>
  <si>
    <t>Статус</t>
  </si>
  <si>
    <t>Платформа</t>
  </si>
  <si>
    <t>Группа</t>
  </si>
  <si>
    <t>Штрихкод</t>
  </si>
  <si>
    <t>Фото</t>
  </si>
  <si>
    <t>Кол-во</t>
  </si>
  <si>
    <t>Описание</t>
  </si>
  <si>
    <t>Прайс-лист</t>
  </si>
  <si>
    <t>Все цены приведены с учетом НДС.</t>
  </si>
  <si>
    <t>Наименование</t>
  </si>
  <si>
    <t>Производитель/ Торговая марка</t>
  </si>
  <si>
    <t xml:space="preserve">Товар может отличатся от видимого на изображении. На изображении могут быть детали и аксесуары, которые не входят в комплектацию товара. </t>
  </si>
  <si>
    <t xml:space="preserve">Производитель товара оставляет за собой право изменять цветовую гамму товара, упаковку товара и т. д. без предварительного уведомления. </t>
  </si>
  <si>
    <r>
      <rPr>
        <sz val="8"/>
        <color rgb="FF0070C0"/>
        <rFont val="Arial"/>
        <family val="2"/>
        <charset val="204"/>
      </rPr>
      <t>Синим цветом выделены новые модели</t>
    </r>
    <r>
      <rPr>
        <sz val="8"/>
        <color theme="1"/>
        <rFont val="Arial"/>
        <family val="2"/>
        <charset val="204"/>
      </rPr>
      <t xml:space="preserve">,  </t>
    </r>
    <r>
      <rPr>
        <sz val="8"/>
        <color rgb="FF00B050"/>
        <rFont val="Arial"/>
        <family val="2"/>
        <charset val="204"/>
      </rPr>
      <t>зеленым - повышение цены</t>
    </r>
    <r>
      <rPr>
        <sz val="8"/>
        <color theme="1"/>
        <rFont val="Arial"/>
        <family val="2"/>
        <charset val="204"/>
      </rPr>
      <t>,</t>
    </r>
    <r>
      <rPr>
        <sz val="8"/>
        <color rgb="FFFF0000"/>
        <rFont val="Arial"/>
        <family val="2"/>
        <charset val="204"/>
      </rPr>
      <t xml:space="preserve"> красным цветом - модели, участвующие в акциях или на которые снижена цена. </t>
    </r>
  </si>
  <si>
    <t>Код производителя</t>
  </si>
  <si>
    <t>Издатель</t>
  </si>
  <si>
    <t>Вендор</t>
  </si>
  <si>
    <t>Ставка НДС</t>
  </si>
  <si>
    <t>Цена, KZT</t>
  </si>
  <si>
    <t>Кол-во, шт</t>
  </si>
  <si>
    <t>Акция</t>
  </si>
  <si>
    <t>Цена РРЦ, KZT</t>
  </si>
  <si>
    <t>Вес</t>
  </si>
  <si>
    <t>Размеры</t>
  </si>
  <si>
    <t>Возраст</t>
  </si>
  <si>
    <t xml:space="preserve"> </t>
  </si>
  <si>
    <t>10+</t>
  </si>
  <si>
    <t>1+</t>
  </si>
  <si>
    <t>PGP AIO</t>
  </si>
  <si>
    <t>PGP AIO Junior FC25a (черная)</t>
  </si>
  <si>
    <t>PktP22</t>
  </si>
  <si>
    <t>6970052150036</t>
  </si>
  <si>
    <t>12 / 21 / 4</t>
  </si>
  <si>
    <t>PGP AIO Junior FC25b (зеленая)</t>
  </si>
  <si>
    <t>PktP23</t>
  </si>
  <si>
    <t>6970052150043</t>
  </si>
  <si>
    <t>PGP AIO Junior FC25c (синяя)</t>
  </si>
  <si>
    <t>PktP24</t>
  </si>
  <si>
    <t>6970052150050</t>
  </si>
  <si>
    <t>PGP AIO Junior FC32b Slim (серая)</t>
  </si>
  <si>
    <t>PktP29</t>
  </si>
  <si>
    <t>6926556542426</t>
  </si>
  <si>
    <t>PGP AIO Union C35a (серая)</t>
  </si>
  <si>
    <t>PktP26</t>
  </si>
  <si>
    <t>6970052150074</t>
  </si>
  <si>
    <t>PGP AIO Union C35c (желтая)</t>
  </si>
  <si>
    <t>PktP21</t>
  </si>
  <si>
    <t>6970052150029</t>
  </si>
  <si>
    <t>PGP AIO Union NV40 (красно-синяя)</t>
  </si>
  <si>
    <t>PktP27</t>
  </si>
  <si>
    <t>6970052150081</t>
  </si>
  <si>
    <t>12+</t>
  </si>
  <si>
    <t>PGP AIO Union X35 Black</t>
  </si>
  <si>
    <t>PktP30</t>
  </si>
  <si>
    <t>6926556542327</t>
  </si>
  <si>
    <t>PS 5</t>
  </si>
  <si>
    <t>PS5</t>
  </si>
  <si>
    <t>Sony</t>
  </si>
  <si>
    <t xml:space="preserve">PlayStation 5 Astrobot Bundle Digital Edition </t>
  </si>
  <si>
    <t>ConPS57</t>
  </si>
  <si>
    <t>Новинка!</t>
  </si>
  <si>
    <t>0711719589259</t>
  </si>
  <si>
    <t>35,5 / 42,7 / 12,5</t>
  </si>
  <si>
    <t>CFI-2000A</t>
  </si>
  <si>
    <t>PlayStation 5 UHD (CFI-2000A) Disc JAPAN 1Tb</t>
  </si>
  <si>
    <t>ConPS55</t>
  </si>
  <si>
    <t>4948872415934</t>
  </si>
  <si>
    <t>16,5 / 42,5 / 35</t>
  </si>
  <si>
    <t>Retro Genesis</t>
  </si>
  <si>
    <t>Sega</t>
  </si>
  <si>
    <t>Dinotronix</t>
  </si>
  <si>
    <t>8+16 Bit</t>
  </si>
  <si>
    <t>Dinotronix MixHD + 450 игр (HDMI кабель, MD2 case, 2 беспроводных джойстика)</t>
  </si>
  <si>
    <t>ConSkDn105</t>
  </si>
  <si>
    <t>6958201611652</t>
  </si>
  <si>
    <t>12,3 / 29,8 / 22</t>
  </si>
  <si>
    <t>Dinotronix MixHD 1080 + 450 игр (FullHD 1080, HDMI кабель, MD1 case, 2 беспроводных джойстика)</t>
  </si>
  <si>
    <t>ConSkDn104</t>
  </si>
  <si>
    <t>6958201611645</t>
  </si>
  <si>
    <t>22,2 / 30 / 12</t>
  </si>
  <si>
    <t>Dendy</t>
  </si>
  <si>
    <t>8 Bit HD</t>
  </si>
  <si>
    <t>Retro Genesis 8 Bit HD Wireless + 300 игр (HDMI кабель, 2 беспроводных джойстика)</t>
  </si>
  <si>
    <t>ConSkDn77</t>
  </si>
  <si>
    <t>4609639567982</t>
  </si>
  <si>
    <t>34,5 / 23 / 6,8</t>
  </si>
  <si>
    <t>8 Bit</t>
  </si>
  <si>
    <t>Retro Genesis 8 Bit Junior Wireless + 300 игр (AV кабель, 2 беспроводных джойстика)</t>
  </si>
  <si>
    <t>ConSkDn85</t>
  </si>
  <si>
    <t>6958201611539</t>
  </si>
  <si>
    <t>12,6 / 18 / 18,1</t>
  </si>
  <si>
    <t>Controller 16 Bit</t>
  </si>
  <si>
    <t xml:space="preserve">Retro Genesis Controller 16 Bit Arcade Max джойстик проводной </t>
  </si>
  <si>
    <t>ACSg12</t>
  </si>
  <si>
    <t>6958201611614</t>
  </si>
  <si>
    <t>14 / 16,9 / 5</t>
  </si>
  <si>
    <t>Retro Genesis Controller 16 Bit джойстик беспроводной для HD Ultra, P2</t>
  </si>
  <si>
    <t>ACSg10</t>
  </si>
  <si>
    <t>2000859966524</t>
  </si>
  <si>
    <t>14 / 11 / 3,3</t>
  </si>
  <si>
    <t>Retro Genesis Controller 16 Bit джойстик проводной с кнопкой Mode</t>
  </si>
  <si>
    <t>ACSg11</t>
  </si>
  <si>
    <t>6958201611607</t>
  </si>
  <si>
    <t>16 / 14 / 4,9</t>
  </si>
  <si>
    <t>Retro Genesis Controller 8 Bit Lazergun 7 Pin лазерный пистолет проводной (без упаковки)</t>
  </si>
  <si>
    <t>ACSg17</t>
  </si>
  <si>
    <t>6958201611768</t>
  </si>
  <si>
    <t>26 / 14 / 3</t>
  </si>
  <si>
    <t>Retro Genesis Controller 8 Bit джойстик проводной, P1</t>
  </si>
  <si>
    <t>ACSg08</t>
  </si>
  <si>
    <t>6958201611577</t>
  </si>
  <si>
    <t>4,4 / 14,2 / 9</t>
  </si>
  <si>
    <t>Retro Genesis Controller 8 Bit джойстик проводной, P2</t>
  </si>
  <si>
    <t>ACSg13</t>
  </si>
  <si>
    <t>6958201611638</t>
  </si>
  <si>
    <t>4,3 / 14,1 / 9</t>
  </si>
  <si>
    <t>2000+ русских игр</t>
  </si>
  <si>
    <t>Retro Genesis GameStick Lite (64Gb, 11500 игр, PS1, NES, SMD, SNES и др., model: TI-155)</t>
  </si>
  <si>
    <t>ConSkDn129</t>
  </si>
  <si>
    <t>6958201611362</t>
  </si>
  <si>
    <t>12 / 16,2 / 10</t>
  </si>
  <si>
    <t>Mix</t>
  </si>
  <si>
    <t>Retro Genesis Mix (8+16Bit) + 470 игр (AV кабель, 2 проводных джойстика)</t>
  </si>
  <si>
    <t>ConSkDn87</t>
  </si>
  <si>
    <t>4609639568019</t>
  </si>
  <si>
    <t>15 / 25 / 10,5</t>
  </si>
  <si>
    <t>Retro Genesis MixRewind HD (1000 игр, 2 беспр.дж., HDMI, 8+16Bit, Rewind, сохранения, RGP-515)</t>
  </si>
  <si>
    <t>ConSkDn128</t>
  </si>
  <si>
    <t>Скоро!</t>
  </si>
  <si>
    <t>6958201611874</t>
  </si>
  <si>
    <t>22 / 32,7 / 4</t>
  </si>
  <si>
    <t>RS8</t>
  </si>
  <si>
    <t>Retro Genesis MixStick HD 2 (900 игр, 2 бесп.дж., сохранения, HDMI, 8+16Bit, Rewind) model: RS8</t>
  </si>
  <si>
    <t>ConSkDn137</t>
  </si>
  <si>
    <t>6958201611881</t>
  </si>
  <si>
    <t>16,5 / 26,5 / 6</t>
  </si>
  <si>
    <t>BL-862</t>
  </si>
  <si>
    <t>Retro Genesis Port 2000 (BL-862, 3,5 дюйма экран, 10 эмуляторов, черная, 3000+ игр, сохранения)</t>
  </si>
  <si>
    <t>Pkt200</t>
  </si>
  <si>
    <t>6970052150098</t>
  </si>
  <si>
    <t>12,2 / 20,5 / 4</t>
  </si>
  <si>
    <t>Port 3000</t>
  </si>
  <si>
    <t>Retro Genesis Port 3000 (белый винтаж), 10 эмуляторов, 4000+игр, 3.0 экран IPS,SD-карта, сохранения)</t>
  </si>
  <si>
    <t>ConSkDn132</t>
  </si>
  <si>
    <t>6958201611690</t>
  </si>
  <si>
    <t>4,6 / 7,6 / 15</t>
  </si>
  <si>
    <t>Retro Genesis Port 3000 (черно-красная, 10 эмуляторов, 4000+игр, 3.0 экран IPS,SD-карта, сохранения)</t>
  </si>
  <si>
    <t>Pkt201</t>
  </si>
  <si>
    <t>6938625877858</t>
  </si>
  <si>
    <t>15 / 7,7 / 4,7</t>
  </si>
  <si>
    <t>Remix</t>
  </si>
  <si>
    <t>Retro Genesis Remix (8+16Bit) + 600 игр (AV кабель, 2 проводных джойстика)</t>
  </si>
  <si>
    <t>ConSkDn91</t>
  </si>
  <si>
    <t>4609639568033</t>
  </si>
  <si>
    <t>Modern</t>
  </si>
  <si>
    <t>SEGA Retro Genesis Modern + 300 игр + 2 джойстика</t>
  </si>
  <si>
    <t>ConSkDn92</t>
  </si>
  <si>
    <t>4609639568040</t>
  </si>
  <si>
    <t>Внимание!!! Все цены в USD, указанные в текущем прайс-листе, конвертируются в рубли по курсу ЦБ, актуальному на указанную дату</t>
  </si>
  <si>
    <t>PS5/PS4/PC</t>
  </si>
  <si>
    <t>Hori</t>
  </si>
  <si>
    <t>SPF-004U</t>
  </si>
  <si>
    <t>29,5 / 32,2 / 29</t>
  </si>
  <si>
    <t>PS4/PC</t>
  </si>
  <si>
    <t>Аксессуары Artplays</t>
  </si>
  <si>
    <t>PS4</t>
  </si>
  <si>
    <t>Artplays</t>
  </si>
  <si>
    <t>PS-4002</t>
  </si>
  <si>
    <t>PS 4 Кронштейн на стену металлический Artplays для  Playstation Slim</t>
  </si>
  <si>
    <t>ACPS4119</t>
  </si>
  <si>
    <t>4603728969053</t>
  </si>
  <si>
    <t>27 / 29,5 / 3,5</t>
  </si>
  <si>
    <t>ACPS4127</t>
  </si>
  <si>
    <t>PS 4 Накладки Artplays Thumb Grips защитные на джойстики геймпада (2 шт) 14мм вогнутые черные</t>
  </si>
  <si>
    <t>2000859965794</t>
  </si>
  <si>
    <t>10,3 / 7,2 / 2</t>
  </si>
  <si>
    <t>6+</t>
  </si>
  <si>
    <t>ACPS4128</t>
  </si>
  <si>
    <t>PS 4 Накладки Artplays Thumb Grips защитные на джойстики геймпада (2 шт) 14мм выпуклые черные</t>
  </si>
  <si>
    <t>2000859964469</t>
  </si>
  <si>
    <t>PS 4 Накладки Artplays Thumb Grips защитные на джойстики геймпада (2 шт) красные</t>
  </si>
  <si>
    <t>ACPS426</t>
  </si>
  <si>
    <t>4609639567807</t>
  </si>
  <si>
    <t>9,5 / 6,5 / 0,1</t>
  </si>
  <si>
    <t>PS 4 Накладки Artplays Thumb Grips защитные на джойстики геймпада (2 шт) цвет - глубокий синий</t>
  </si>
  <si>
    <t>ACPS4100</t>
  </si>
  <si>
    <t>4609639567821</t>
  </si>
  <si>
    <t>ACPS423</t>
  </si>
  <si>
    <t>PS 4 Накладки Artplays Thumb Grips защитные на джойстики геймпада (2 шт) черные</t>
  </si>
  <si>
    <t>4609639567760</t>
  </si>
  <si>
    <t>turbo C900</t>
  </si>
  <si>
    <t>PS 4 Руль ARTPLAYS Street Racing Wheel Turbo C900 совместим с PS3, ПК, Xbox ONE, Xbox 360</t>
  </si>
  <si>
    <t>ACPS4113</t>
  </si>
  <si>
    <t>4603728969008</t>
  </si>
  <si>
    <t>37 / 38,1 / 45</t>
  </si>
  <si>
    <t>Вертикальный стенд Artplays Cooling Fan PS5 Slim DE/UHD: зарядка DualSense, крепление для наушников</t>
  </si>
  <si>
    <t>ART51</t>
  </si>
  <si>
    <t>6958201611829</t>
  </si>
  <si>
    <t>37,2 / 19 / 4</t>
  </si>
  <si>
    <t>Вертикальный стенд Artplays Cooling Station PS5 DE/UHD: зарядка DualSense, крепление для наушников</t>
  </si>
  <si>
    <t>ART33</t>
  </si>
  <si>
    <t>4609639570302</t>
  </si>
  <si>
    <t>26,5 / 23,5 / 4,5</t>
  </si>
  <si>
    <t>Вертикальный стенд Artplays для PS5 DE</t>
  </si>
  <si>
    <t>ART14</t>
  </si>
  <si>
    <t>6958201611287</t>
  </si>
  <si>
    <t>2,5 / 14,8 / 27,6</t>
  </si>
  <si>
    <t>Switch/PC</t>
  </si>
  <si>
    <t>Геймпад Artplays NS65 для Nintendo Switch/PC, черно-бирюзовый (2,4G, li-ion, NFC, dualvibro)</t>
  </si>
  <si>
    <t>ART30</t>
  </si>
  <si>
    <t>4609639568712</t>
  </si>
  <si>
    <t>18 / 18 / 7</t>
  </si>
  <si>
    <t>Switch 2</t>
  </si>
  <si>
    <t>Держатель для Joy-con Artplays для Nintendo Switch 2 (экоупаковка)</t>
  </si>
  <si>
    <t>ART60</t>
  </si>
  <si>
    <t>4609639572009</t>
  </si>
  <si>
    <t>15 / 14,5 / 3,5</t>
  </si>
  <si>
    <t>Держатель руль для Joy-con Artplays для Nintendo Switch 2 (экоупаковка)</t>
  </si>
  <si>
    <t>ART59</t>
  </si>
  <si>
    <t>4609639571996</t>
  </si>
  <si>
    <t>18 / 14,7 / 7,2</t>
  </si>
  <si>
    <t>Зарядная станция Artplays Magnetic LED для двух геймпадов DualSense с подсветкой PS5</t>
  </si>
  <si>
    <t>ART18</t>
  </si>
  <si>
    <t>6958201611300</t>
  </si>
  <si>
    <t>4,4 / 8,7 / 17,8</t>
  </si>
  <si>
    <t>Зарядная станция Artplays для PS5 DualSense</t>
  </si>
  <si>
    <t>ART16</t>
  </si>
  <si>
    <t>6958201611324</t>
  </si>
  <si>
    <t>3,2 / 9,2 / 14,7</t>
  </si>
  <si>
    <t>Switch</t>
  </si>
  <si>
    <t>NS-1003</t>
  </si>
  <si>
    <t>Защитное стекло Artplays для Nintendo Switch</t>
  </si>
  <si>
    <t>ACSWT20</t>
  </si>
  <si>
    <t>8695869910038</t>
  </si>
  <si>
    <t>20,3 / 11,7 / 0,2</t>
  </si>
  <si>
    <t>Защитное стекло Artplays для Nintendo Switch 2 (экоупаковка)</t>
  </si>
  <si>
    <t>ART62</t>
  </si>
  <si>
    <t>4609639572023</t>
  </si>
  <si>
    <t>22,4 / 13 / 0,2</t>
  </si>
  <si>
    <t>NSL-TG1</t>
  </si>
  <si>
    <t>Защитное стекло Artplays для Nintendo Switch Lite (NSL-TG1)</t>
  </si>
  <si>
    <t>ART6</t>
  </si>
  <si>
    <t>6958201611201</t>
  </si>
  <si>
    <t>16,5 / 9 / 0,1</t>
  </si>
  <si>
    <t>Кронштейн Artplays для PlayStation 5 Slim Белый (экоупаковка)</t>
  </si>
  <si>
    <t>ART48</t>
  </si>
  <si>
    <t>4609639571477</t>
  </si>
  <si>
    <t>20,4 / 40,4 / 10,3</t>
  </si>
  <si>
    <t>Кронштейн Artplays для PlayStation 5 Slim Белый mini (экоупаковка)</t>
  </si>
  <si>
    <t>ART49</t>
  </si>
  <si>
    <t>4609639571484</t>
  </si>
  <si>
    <t>20,3 / 15,5 / 11</t>
  </si>
  <si>
    <t xml:space="preserve">Кронштейн Artplays для PlayStation 5 Slim Черный </t>
  </si>
  <si>
    <t>ART56</t>
  </si>
  <si>
    <t>4609639571514</t>
  </si>
  <si>
    <t>20,5 / 40 / 10,5</t>
  </si>
  <si>
    <t>Кронштейн Artplays для PlayStation 5 Slim Черный (экоупаковка)</t>
  </si>
  <si>
    <t>ART47</t>
  </si>
  <si>
    <t>4609639571491</t>
  </si>
  <si>
    <t>Кронштейн Artplays для PlayStation 5 Slim Черный mini (экоупаковка)</t>
  </si>
  <si>
    <t>ART50</t>
  </si>
  <si>
    <t>4609639571507</t>
  </si>
  <si>
    <t>20,5 / 15,5 / 10,5</t>
  </si>
  <si>
    <t>Кронштейн Artplays для PlayStation 5 UHD</t>
  </si>
  <si>
    <t>ART25</t>
  </si>
  <si>
    <t>4609639568125</t>
  </si>
  <si>
    <t>27,5 / 36 / 11</t>
  </si>
  <si>
    <t>Набор аксессуаров для Steam Deck Artplays: чехол,защитное стекло, силиконовые накладки (экоупаковка)</t>
  </si>
  <si>
    <t>ART64</t>
  </si>
  <si>
    <t>4609639572047</t>
  </si>
  <si>
    <t>31 / 16 / 8,5</t>
  </si>
  <si>
    <t>Накладки Artplays Thumb Grips Pro for Joycon Nintendo Switch красные/синие</t>
  </si>
  <si>
    <t>ART12</t>
  </si>
  <si>
    <t>2000859966920000011130</t>
  </si>
  <si>
    <t>Накладки Artplays Thumb Grips для DualSense PS5 (2 шт) желтые</t>
  </si>
  <si>
    <t>ART38</t>
  </si>
  <si>
    <t>4609639570326</t>
  </si>
  <si>
    <t>0,5 / 15 / 10,4</t>
  </si>
  <si>
    <t>Накладки Artplays Thumb Grips для DualSense PS5 (2 шт) красные</t>
  </si>
  <si>
    <t>ART34</t>
  </si>
  <si>
    <t>4609639570333</t>
  </si>
  <si>
    <t>Накладки Artplays Thumb Grips для DualSense PS5 (2 шт) оранжевые</t>
  </si>
  <si>
    <t>ART37</t>
  </si>
  <si>
    <t>4609639570340</t>
  </si>
  <si>
    <t>Накладки Artplays Thumb Grips для DualSense PS5 (2 шт) синие</t>
  </si>
  <si>
    <t>ART35</t>
  </si>
  <si>
    <t>4609639570357</t>
  </si>
  <si>
    <t>10,2 / 15 / 1</t>
  </si>
  <si>
    <t>Накладки Artplays Thumb Grips для DualSense PS5 (2 шт) черные</t>
  </si>
  <si>
    <t>ART28</t>
  </si>
  <si>
    <t>4609639568156</t>
  </si>
  <si>
    <t>Охлаждающий вентилятор для консоли Artplays Cooling Fan PS5 Slim DE/UHD с USB</t>
  </si>
  <si>
    <t>ART52</t>
  </si>
  <si>
    <t>6958201611836</t>
  </si>
  <si>
    <t>31,5 / 7,6 / 4</t>
  </si>
  <si>
    <t>Рукоятка-держатель контроллера Joy-con Artplays для Nintendo Switch 2 (экоупаковка)</t>
  </si>
  <si>
    <t>ART58</t>
  </si>
  <si>
    <t>4609639571989</t>
  </si>
  <si>
    <t>18,3 / 14,7 / 6,7</t>
  </si>
  <si>
    <t>PS4/PS3/PC/Xbox ONE</t>
  </si>
  <si>
    <t>V-1200 Pro</t>
  </si>
  <si>
    <t>Руль Artplays V-1200 Pro для PS4, PC, Xbox One, Switch. Premium Leather Edition (3 педали, 6КПП)</t>
  </si>
  <si>
    <t>ART32</t>
  </si>
  <si>
    <t>Хит продаж!</t>
  </si>
  <si>
    <t>6958201611409</t>
  </si>
  <si>
    <t>40,2 / 33,5 / 44</t>
  </si>
  <si>
    <t>V-1200 Vibro</t>
  </si>
  <si>
    <t>Руль Artplays V-1200 Vibro для PS4, PC, Xbox One, Switch. Premium Leather Edition</t>
  </si>
  <si>
    <t>ART11</t>
  </si>
  <si>
    <t>6958201611256</t>
  </si>
  <si>
    <t>31,5 / 32,5 / 29,5</t>
  </si>
  <si>
    <t>XboxOne/PC</t>
  </si>
  <si>
    <t>V-1500</t>
  </si>
  <si>
    <t>Руль Artplays V-1500 Force Feedback для PC, Xbox Series X/S. PlayStation 4, Xbox One</t>
  </si>
  <si>
    <t>ART43</t>
  </si>
  <si>
    <t>6958201611775</t>
  </si>
  <si>
    <t>43,1 / 34,5 / 29,2</t>
  </si>
  <si>
    <t>V-1600 Pro</t>
  </si>
  <si>
    <t>Руль Artplays V-1600 Pro Force Feedback для PC, Xbox Series X/S. PlayStation 4, Xbox One</t>
  </si>
  <si>
    <t>ART10</t>
  </si>
  <si>
    <t>6958201611263</t>
  </si>
  <si>
    <t>33,4 / 37 / 43</t>
  </si>
  <si>
    <t>V-1600 Pro Plus</t>
  </si>
  <si>
    <t>Руль Artplays V-1600 Pro Plus Force Feedback для PC, Xbox Series X/S. PlayStation 4, Xbox One</t>
  </si>
  <si>
    <t>ART39</t>
  </si>
  <si>
    <t>6958201611706</t>
  </si>
  <si>
    <t>37 / 44 / 35,5</t>
  </si>
  <si>
    <t>Чехол Naruto для Nintendo Switch OLED/Original 3D Logo Кунаи и сюрикены</t>
  </si>
  <si>
    <t>ART53</t>
  </si>
  <si>
    <t>6958201611867</t>
  </si>
  <si>
    <t>26 / 12,6 / 4</t>
  </si>
  <si>
    <t>Чехол Naruto для Nintendo Switch OLED/Original 3D Logo Облака</t>
  </si>
  <si>
    <t>ART46</t>
  </si>
  <si>
    <t>6958201611799</t>
  </si>
  <si>
    <t>Чехол Naruto для Nintendo Switch OLED/Original Братья учиха</t>
  </si>
  <si>
    <t>ART44</t>
  </si>
  <si>
    <t>6958201611805</t>
  </si>
  <si>
    <t>Чехол Naruto для Nintendo Switch OLED/Original желтый</t>
  </si>
  <si>
    <t>ART45</t>
  </si>
  <si>
    <t>6958201611782</t>
  </si>
  <si>
    <t>Чехол для Joy-con (2 шт.) Artplays Crystal Case для Nintendo Switch 2 (экоупаковка)</t>
  </si>
  <si>
    <t>ART61</t>
  </si>
  <si>
    <t>4609639572016</t>
  </si>
  <si>
    <t>24 / 12,5 / 3</t>
  </si>
  <si>
    <t>Чехол и защитная пленка Artplays для Nintendo Switch Lite (NSL-B03, черный)</t>
  </si>
  <si>
    <t>ART5</t>
  </si>
  <si>
    <t>6958201611218</t>
  </si>
  <si>
    <t>22,5 / 11 / 4</t>
  </si>
  <si>
    <t>Чехол и защитная пленка Artplays для Nintendo Switch черный</t>
  </si>
  <si>
    <t>ACSWT29</t>
  </si>
  <si>
    <t>8695689910089</t>
  </si>
  <si>
    <t>25,4 / 12,6 / 4</t>
  </si>
  <si>
    <t>Чехол и защитное стекло Naruto для Nintendo Switch Lite 3D Logo Кунаи и сюрикены</t>
  </si>
  <si>
    <t>ART54</t>
  </si>
  <si>
    <t>6958201611843</t>
  </si>
  <si>
    <t>Чехол и защитное стекло Naruto для Nintendo Switch Lite желтый</t>
  </si>
  <si>
    <t>ART55</t>
  </si>
  <si>
    <t>6958201611850</t>
  </si>
  <si>
    <t>23 / 11,5 / 4</t>
  </si>
  <si>
    <t>Switch OLED</t>
  </si>
  <si>
    <t>Чехол, защитное стекло и пленка Artplays для Nintendo Switch OLED серый (NSO-1023)</t>
  </si>
  <si>
    <t>ART41</t>
  </si>
  <si>
    <t>8695689910102</t>
  </si>
  <si>
    <t>4 / 26,5 / 12</t>
  </si>
  <si>
    <t>Аксессуары HORI</t>
  </si>
  <si>
    <t>NSW-297U</t>
  </si>
  <si>
    <t>Nintendo Switch D-PAD контроллер (Pikachu Black &amp; Gold) (L) для консоли Switch (NSW-297U)</t>
  </si>
  <si>
    <t>HR214</t>
  </si>
  <si>
    <t>0810050910095</t>
  </si>
  <si>
    <t>3 / 10,1 / 16</t>
  </si>
  <si>
    <t>NSW-151U</t>
  </si>
  <si>
    <t>Nintendo Switch D-PAD контроллер (Super Mario) (L) для консоли Switch (NSW-151U)</t>
  </si>
  <si>
    <t>HR218</t>
  </si>
  <si>
    <t>0810050910477</t>
  </si>
  <si>
    <t>16,2 / 9,6 / 3,1</t>
  </si>
  <si>
    <t>NSW-006U</t>
  </si>
  <si>
    <t xml:space="preserve">Nintendo Switch Аркадный контроллер Hori Pro.V Hayabusa для консоли Switch, PC (NSW-006U) </t>
  </si>
  <si>
    <t>HR13</t>
  </si>
  <si>
    <t>0873124006087</t>
  </si>
  <si>
    <t>47,2 / 28,5 / 14,5</t>
  </si>
  <si>
    <t>NSW-457U</t>
  </si>
  <si>
    <t>Nintendo Switch Геймпад Hori HORIPAD Turbo (Black) для консоли Switch (NSW-457U)</t>
  </si>
  <si>
    <t>HR292</t>
  </si>
  <si>
    <t>0810050911917</t>
  </si>
  <si>
    <t>16,5 / 14,5 / 8,5</t>
  </si>
  <si>
    <t>NSW-462U</t>
  </si>
  <si>
    <t>Nintendo Switch Геймпад Hori HORIPAD Turbo (Mario) для консоли Switch (NSW-462U)</t>
  </si>
  <si>
    <t>HR304</t>
  </si>
  <si>
    <t>0810050911924</t>
  </si>
  <si>
    <t>14,5 / 16 / 8,5</t>
  </si>
  <si>
    <t>NSW-310U</t>
  </si>
  <si>
    <t>Nintendo Switch Геймпад Hori Wireless Horipad (Super Mario) для консоли Switch (NSW-310U)</t>
  </si>
  <si>
    <t>HR219</t>
  </si>
  <si>
    <t>0810050910286</t>
  </si>
  <si>
    <t>14,3 / 17,4 / 7,5</t>
  </si>
  <si>
    <t>NSW-361U</t>
  </si>
  <si>
    <t xml:space="preserve">Nintendo Switch Геймпад Hori Wireless Horipad (Yoshi) для консоли Switch (NSW-361U) </t>
  </si>
  <si>
    <t>HR295</t>
  </si>
  <si>
    <t>0810050910668</t>
  </si>
  <si>
    <t>14,5 / 17,5 / 7,5</t>
  </si>
  <si>
    <t>NSW-366U</t>
  </si>
  <si>
    <t xml:space="preserve">Nintendo Switch Геймпад HORIPAD Mini (MARIO) для консоли Switch (NSW-366U) </t>
  </si>
  <si>
    <t>HR236</t>
  </si>
  <si>
    <t>0810050910835</t>
  </si>
  <si>
    <t>12,5 / 13,7 / 5,5</t>
  </si>
  <si>
    <t>NSW-367U</t>
  </si>
  <si>
    <t xml:space="preserve">Nintendo Switch Геймпад HORIPAD Mini (PEACH) для консоли Switch (NSW-367U) </t>
  </si>
  <si>
    <t>HR237</t>
  </si>
  <si>
    <t>0810050910842</t>
  </si>
  <si>
    <t>17 / 13,5 / 5,5</t>
  </si>
  <si>
    <t>NSW-276U</t>
  </si>
  <si>
    <t xml:space="preserve">Nintendo Switch Геймпад HORIPAD Mini (Super Mario) для консоли Switch (NSW-276U) </t>
  </si>
  <si>
    <t>HR102</t>
  </si>
  <si>
    <t>0873124009019</t>
  </si>
  <si>
    <t>12,4 / 13,6 / 5,3</t>
  </si>
  <si>
    <t>NSW-368U</t>
  </si>
  <si>
    <t xml:space="preserve">Nintendo Switch Геймпад HORIPAD Mini (YOSHI) для консоли Switch (NSW-368U) </t>
  </si>
  <si>
    <t>HR238</t>
  </si>
  <si>
    <t>0810050910859</t>
  </si>
  <si>
    <t>NS2-001U</t>
  </si>
  <si>
    <t>Nintendo Switch Защитная пленка Hori Screen protective filter для консоли Switch Lite (NS2-001U)</t>
  </si>
  <si>
    <t>HR71</t>
  </si>
  <si>
    <t>0873124008128</t>
  </si>
  <si>
    <t>20,5 / 11,7 / 0,3</t>
  </si>
  <si>
    <t>NSW-218U</t>
  </si>
  <si>
    <t xml:space="preserve">Nintendo Switch Защитный чехол Hori Link's Awakening hard pouch для консоли Switch (NSW-218U) </t>
  </si>
  <si>
    <t>HR68</t>
  </si>
  <si>
    <t>0873124007992</t>
  </si>
  <si>
    <t>32 / 11,9 / 3,8</t>
  </si>
  <si>
    <t>NSW-246U</t>
  </si>
  <si>
    <t>Nintendo Switch Защитный чехол Hori Premium vault case (Animal Crossing) для Switch (NSW-246U)</t>
  </si>
  <si>
    <t>HR233</t>
  </si>
  <si>
    <t>0873124008760</t>
  </si>
  <si>
    <t>32,5 / 13,5 / 4</t>
  </si>
  <si>
    <t>NSW-424U</t>
  </si>
  <si>
    <t>Nintendo Switch Защитный чехол Hori Premium vault case (Splatoon 3) для Switch (NSW-424U)</t>
  </si>
  <si>
    <t>HR249</t>
  </si>
  <si>
    <t>0810050911580</t>
  </si>
  <si>
    <t>NSW-810U</t>
  </si>
  <si>
    <t xml:space="preserve">Nintendo Switch Защитный чехол Hori Slim Tough Pouch (Black) для консоли Switch OLED (NSW-810U) </t>
  </si>
  <si>
    <t>HR223</t>
  </si>
  <si>
    <t>0810050911085</t>
  </si>
  <si>
    <t>32,5 / 14 / 3</t>
  </si>
  <si>
    <t>NSW-411U</t>
  </si>
  <si>
    <t>Nintendo Switch Контроллеры Hori Split Pad Compact (Gengar) для консоли Switch (NSW-411U)</t>
  </si>
  <si>
    <t>HR248</t>
  </si>
  <si>
    <t>0810050911474</t>
  </si>
  <si>
    <t>16 / 17 / 5,5</t>
  </si>
  <si>
    <t>NSW-373U</t>
  </si>
  <si>
    <t>Nintendo Switch Контроллеры Hori Split Pad Compact (Grey x Yellow) для консоли Switch (NSW-373U)</t>
  </si>
  <si>
    <t>HR246</t>
  </si>
  <si>
    <t>0810050911290</t>
  </si>
  <si>
    <t>13 / 16 / 5</t>
  </si>
  <si>
    <t>NSW-417U</t>
  </si>
  <si>
    <t>Nintendo Switch Контроллеры Hori Split Pad Compact (PAC-MAN) для консоли Switch (NSW-417U)</t>
  </si>
  <si>
    <t>HR300</t>
  </si>
  <si>
    <t>0810050912143</t>
  </si>
  <si>
    <t>16 / 13 / 5,5</t>
  </si>
  <si>
    <t>NSW-410U</t>
  </si>
  <si>
    <t>Nintendo Switch Контроллеры Hori Split Pad Compact (Pikachu &amp; Mimikyu) для консоли Switch (NSW-410U)</t>
  </si>
  <si>
    <t>HR247</t>
  </si>
  <si>
    <t>0810050911467</t>
  </si>
  <si>
    <t>NSW-465U</t>
  </si>
  <si>
    <t>Nintendo Switch Контроллеры Hori Split Pad Compact (Sonic) для консоли Switch (NSW-465U)</t>
  </si>
  <si>
    <t>HR303</t>
  </si>
  <si>
    <t>0810050911962</t>
  </si>
  <si>
    <t>6,5 / 13 / 16</t>
  </si>
  <si>
    <t>NSW-298U</t>
  </si>
  <si>
    <t>Nintendo Switch Контроллеры Hori Split pad pro (Black) для консоли Switch (NSW-298U)</t>
  </si>
  <si>
    <t>HR99</t>
  </si>
  <si>
    <t>0810050910101</t>
  </si>
  <si>
    <t>17 / 12,4 / 5,4</t>
  </si>
  <si>
    <t>NSW-414U</t>
  </si>
  <si>
    <t>Nintendo Switch Контроллеры Hori Split pad pro (Lucario &amp; Pikachu) для консоли Switch (NSW-414U)</t>
  </si>
  <si>
    <t>HR244</t>
  </si>
  <si>
    <t>0810050911504</t>
  </si>
  <si>
    <t>NSW-296U</t>
  </si>
  <si>
    <t>Nintendo Switch Контроллеры Hori Split pad pro (Pikachu &amp; Eevee) для консоли Switch (NSW-296U)</t>
  </si>
  <si>
    <t>HR203</t>
  </si>
  <si>
    <t>0810050910057</t>
  </si>
  <si>
    <t>5,6 / 17 / 15,5</t>
  </si>
  <si>
    <t>Switch, Switch OLED</t>
  </si>
  <si>
    <t>NSW-432U</t>
  </si>
  <si>
    <t>Nintendo Switch Контроллеры Hori Split pad pro (The Legend of Zelda) для консоли Switch (NSW-432U)</t>
  </si>
  <si>
    <t>HR289</t>
  </si>
  <si>
    <t>0810050911771</t>
  </si>
  <si>
    <t>15,6 / 17 / 5,5</t>
  </si>
  <si>
    <t>NSW-453U</t>
  </si>
  <si>
    <t>Nintendo Switch Контроллеры Hori Split Pad Pro Attachment (Eevee Evolutions) для Switch (NSW-453U)</t>
  </si>
  <si>
    <t>HR299</t>
  </si>
  <si>
    <t>0810050911887</t>
  </si>
  <si>
    <t>14,5 / 17 / 7</t>
  </si>
  <si>
    <t>NSW-428U</t>
  </si>
  <si>
    <t>Nintendo Switch Контроллеры Hori Split Pad Pro Attachment (Lavender) для консоли Switch (NSW-428U)</t>
  </si>
  <si>
    <t>HR298</t>
  </si>
  <si>
    <t>0810050911863</t>
  </si>
  <si>
    <t>NSW-426U</t>
  </si>
  <si>
    <t>Nintendo Switch Контроллеры Hori Split Pad Pro Attachment (Slate Grey) для консоли Switch (NSW-426U)</t>
  </si>
  <si>
    <t>HR297</t>
  </si>
  <si>
    <t>0810050911726</t>
  </si>
  <si>
    <t>14,5 / 17 / 6,5</t>
  </si>
  <si>
    <t>NSW-371U</t>
  </si>
  <si>
    <t>Nintendo Switch Контроллеры Hori Split Pad Pro Attachment Set (Black) для консоли Switch (NSW-371U)</t>
  </si>
  <si>
    <t>HR296</t>
  </si>
  <si>
    <t>0810050911245</t>
  </si>
  <si>
    <t>NSW-084U</t>
  </si>
  <si>
    <t>Nintendo Switch Подставка (Super Mario) для консоли Switch (NSW-084U)</t>
  </si>
  <si>
    <t>HR35</t>
  </si>
  <si>
    <t>0873124006889</t>
  </si>
  <si>
    <t>20 / 9,7 / 2,4</t>
  </si>
  <si>
    <t>NSW-085U</t>
  </si>
  <si>
    <t>Nintendo Switch Подставка (Zelda) для консоли Switch (NSW-085U)</t>
  </si>
  <si>
    <t>HR36</t>
  </si>
  <si>
    <t>0873124006896</t>
  </si>
  <si>
    <t>NSW-055U</t>
  </si>
  <si>
    <t xml:space="preserve">Nintendo Switch Руль Hori (Luigi) для консоли Switch (NSW-055U) </t>
  </si>
  <si>
    <t>HR34</t>
  </si>
  <si>
    <t>0873124006537</t>
  </si>
  <si>
    <t>16,3 / 19,2 / 4,3</t>
  </si>
  <si>
    <t>NSW-054U</t>
  </si>
  <si>
    <t xml:space="preserve">Nintendo Switch Руль Hori (Mario) для консоли Switch (NSW-054U) </t>
  </si>
  <si>
    <t>HR18</t>
  </si>
  <si>
    <t>0873124006520</t>
  </si>
  <si>
    <t>19,3 / 16,2 / 4</t>
  </si>
  <si>
    <t>NSW-204U</t>
  </si>
  <si>
    <t>Nintendo Switch Руль Hori Mario Kart racing wheel pro (NSW-204U)</t>
  </si>
  <si>
    <t>HR91</t>
  </si>
  <si>
    <t>0873124007893</t>
  </si>
  <si>
    <t>22,4 / 27,4 / 22,5</t>
  </si>
  <si>
    <t>NSW-228U</t>
  </si>
  <si>
    <t>Nintendo Switch Руль Hori Mario Kart racing wheel pro Deluxe (NSW-228U)</t>
  </si>
  <si>
    <t>HR92</t>
  </si>
  <si>
    <t>0873124008616</t>
  </si>
  <si>
    <t>29,5 / 33,5 / 30</t>
  </si>
  <si>
    <t>NSW-429U</t>
  </si>
  <si>
    <t xml:space="preserve">Nintendo Switch Руль Hori Racing wheel pro Deluxe для Nintendo Switch (NSW-429U) </t>
  </si>
  <si>
    <t>HR290</t>
  </si>
  <si>
    <t>0810050911740</t>
  </si>
  <si>
    <t>29,6 / 32 / 29</t>
  </si>
  <si>
    <t>NSW-415U</t>
  </si>
  <si>
    <t>Nintendo Switch Сумка Hori Adventure Pack (Lucario, Pikachu) для консоли Switch (NSW-415U)</t>
  </si>
  <si>
    <t>HR251</t>
  </si>
  <si>
    <t>0810050911511</t>
  </si>
  <si>
    <t>33 / 13 / 9</t>
  </si>
  <si>
    <t>NSW-425U</t>
  </si>
  <si>
    <t>Nintendo Switch Сумка Hori Adventure Pack (Splatoon 3) для консоли Switch (NSW-425U)</t>
  </si>
  <si>
    <t>HR250</t>
  </si>
  <si>
    <t>0810050911597</t>
  </si>
  <si>
    <t>NSW-436U</t>
  </si>
  <si>
    <t>Nintendo Switch Сумка HORI Adventure Pack (The Legend of Zelda) (NSW-436U)</t>
  </si>
  <si>
    <t>HR286</t>
  </si>
  <si>
    <t>0810050911818</t>
  </si>
  <si>
    <t>13 / 35 / 9,5</t>
  </si>
  <si>
    <t>NSW-238U</t>
  </si>
  <si>
    <t>Nintendo Switch Сумка Hori Carry all (Animal Crossing) для консоли Switch (NSW-238U)</t>
  </si>
  <si>
    <t>HR253</t>
  </si>
  <si>
    <t>0810050910873</t>
  </si>
  <si>
    <t>28,6 / 15,5 / 9</t>
  </si>
  <si>
    <t>NSW-455U</t>
  </si>
  <si>
    <t>Nintendo Switch Чехол Hori Cargo Pouch Compact (Eevee Evolutions) для Switch (NSW-455U)</t>
  </si>
  <si>
    <t>HR302</t>
  </si>
  <si>
    <t>0810050911900</t>
  </si>
  <si>
    <t>18 / 30 / 6</t>
  </si>
  <si>
    <t>NSW-412U</t>
  </si>
  <si>
    <t>Nintendo Switch Чехол Hori Cargo Pouch Compact (Pikachu, Gengar &amp; Mimikyu) для Switch (NSW-412U)</t>
  </si>
  <si>
    <t>HR288</t>
  </si>
  <si>
    <t>0810050911481</t>
  </si>
  <si>
    <t>15,5 / 35 / 5</t>
  </si>
  <si>
    <t>NS2-077U</t>
  </si>
  <si>
    <t>Nintendo Switch Чехол Hori Hybrid system armour (Pikachu Black &amp; Gold) для Switch Lite (NS2-077U)</t>
  </si>
  <si>
    <t>HR211</t>
  </si>
  <si>
    <t>0810050910088</t>
  </si>
  <si>
    <t>30 / 22 / 13,5</t>
  </si>
  <si>
    <t>SPF-033U</t>
  </si>
  <si>
    <t>PS5 Аркадный контроллер Hori Fighting Stick α (Street Fighter 6 Edition) PS5,PS4, ПК (SPF-033U)</t>
  </si>
  <si>
    <t>HR287</t>
  </si>
  <si>
    <t>0810050911764</t>
  </si>
  <si>
    <t>16 / 48 / 36,5</t>
  </si>
  <si>
    <t>SPF-037U</t>
  </si>
  <si>
    <t>PS5 Аркадный контроллер Hori Fighting Stick α (TEKKEN 8 Edition) PS5,PS4, ПК (SPF-037U)</t>
  </si>
  <si>
    <t>HR307</t>
  </si>
  <si>
    <t>0810050912273</t>
  </si>
  <si>
    <t>16,3 / 48 / 36,4</t>
  </si>
  <si>
    <t>SPF-013U</t>
  </si>
  <si>
    <t>PS5 Аркадный контроллер Hori Fighting Stick α PS5,PS4,ПК (SPF-013U)</t>
  </si>
  <si>
    <t>HR241</t>
  </si>
  <si>
    <t>0810050910415</t>
  </si>
  <si>
    <t>36 / 48 / 16</t>
  </si>
  <si>
    <t>SPF-038U</t>
  </si>
  <si>
    <t xml:space="preserve">PS5 Аркадный Стик Hori Fighting Stick Mini PS4, PS5, ПК (SPF-038U) </t>
  </si>
  <si>
    <t>HR308</t>
  </si>
  <si>
    <t>0810050912341</t>
  </si>
  <si>
    <t>9,6 / 17,8 / 22,6</t>
  </si>
  <si>
    <t>PS5 Руль Hori Racing Wheel APEX, PS5, PS4, ПК (SPF-004U)</t>
  </si>
  <si>
    <t>HR230</t>
  </si>
  <si>
    <t>0810050910323</t>
  </si>
  <si>
    <t>PS5 Руль беспроводной Wireless racing wheel APEX, PS5, PS4, ПК (SPF-022U)</t>
  </si>
  <si>
    <t>HR313</t>
  </si>
  <si>
    <t>0810050911702</t>
  </si>
  <si>
    <t>29,5 / 32,5 / 29</t>
  </si>
  <si>
    <t>SPF-023U</t>
  </si>
  <si>
    <t xml:space="preserve">PS5/PS4 Геймпад Hori Fighting Commander OCTA PS5/PS4, ПК (SPF-023U) </t>
  </si>
  <si>
    <t>HR239</t>
  </si>
  <si>
    <t>0810050911252</t>
  </si>
  <si>
    <t>15 / 18,2 / 7,5</t>
  </si>
  <si>
    <t>PC</t>
  </si>
  <si>
    <t>HPC-043U</t>
  </si>
  <si>
    <t>PС Руль Hori Farming Vehicle Control System для ПК (HPC-043U)</t>
  </si>
  <si>
    <t>HR306</t>
  </si>
  <si>
    <t>0810050912211</t>
  </si>
  <si>
    <t>38 / 56,5 / 35</t>
  </si>
  <si>
    <t>HPC-042U</t>
  </si>
  <si>
    <t>PС Руль Hori Force Feedback Truck Control System для ПК (HPC-044E)</t>
  </si>
  <si>
    <t>HR310</t>
  </si>
  <si>
    <t>4961818038271</t>
  </si>
  <si>
    <t>45 / 63,5 / 40</t>
  </si>
  <si>
    <t>XboxOne/Xbox Series X, Xbox Series S/PC</t>
  </si>
  <si>
    <t>AB11-001U</t>
  </si>
  <si>
    <t>Xbox Series X/S Аркадный контроллер Hori FIGHTING STICK α Xbox One/Xbox X, Xbox S/ПК (AB11-001U)</t>
  </si>
  <si>
    <t>HR216</t>
  </si>
  <si>
    <t>0810050910194</t>
  </si>
  <si>
    <t>36,5 / 48 / 16,5</t>
  </si>
  <si>
    <t>AB03-001U</t>
  </si>
  <si>
    <t xml:space="preserve">Xbox Series X/S Геймпад Hori Fighting Commander OCTA Xbox One/Xbox Series X/S,ПК (AB03-001U) </t>
  </si>
  <si>
    <t>HR221</t>
  </si>
  <si>
    <t>0810050910170</t>
  </si>
  <si>
    <t>18 / 14,7 / 7,5</t>
  </si>
  <si>
    <t>AB01-001E</t>
  </si>
  <si>
    <t xml:space="preserve">Xbox Series X/S Проводной геймпад Hori Horipad Pro XboxOne/Xbox Series X/S,ПК (AB01-001E) </t>
  </si>
  <si>
    <t>HR208</t>
  </si>
  <si>
    <t>4961818034679</t>
  </si>
  <si>
    <t>18 / 15 / 8</t>
  </si>
  <si>
    <t>XboxOne/Xbox Series X, Xbox Series S</t>
  </si>
  <si>
    <t>AB05-001E</t>
  </si>
  <si>
    <t>Xbox Series X/S Руль Hori Force Feedback Racing Wheel DLX Xbox One/Xbox Series X, S (AB05-001E)</t>
  </si>
  <si>
    <t>HR222</t>
  </si>
  <si>
    <t>4961818034686</t>
  </si>
  <si>
    <t>39 / 42,5 / 35</t>
  </si>
  <si>
    <t>AB04-001U</t>
  </si>
  <si>
    <t>Xbox Series X/S Руль Hori Racing Wheel Overdrive XboxOne/Xbox Series X, Xbox Series S/ПК (AB04-001U)</t>
  </si>
  <si>
    <t>HR207</t>
  </si>
  <si>
    <t>0810050910187</t>
  </si>
  <si>
    <t>29,5 / 32 / 29</t>
  </si>
  <si>
    <t>HPC-070E</t>
  </si>
  <si>
    <t>Контроллер Hori Fighting Commander OCTA (Street Fighter 6 Cammy Edition) ПК (HPC-070E)</t>
  </si>
  <si>
    <t>HR312</t>
  </si>
  <si>
    <t>4961818038226</t>
  </si>
  <si>
    <t>15,5 / 18,3 / 8</t>
  </si>
  <si>
    <t>HPC-071E</t>
  </si>
  <si>
    <t>Контроллер Hori Fighting Commander OCTA (Street Fighter 6 Juri Edition) для ПК (HPC-071E)</t>
  </si>
  <si>
    <t>HR311</t>
  </si>
  <si>
    <t>4961818038240</t>
  </si>
  <si>
    <t>15 / 18,5 / 8</t>
  </si>
  <si>
    <t>Коробка передач HORI 7-Speed racing shifter ПК (HPC-042U)</t>
  </si>
  <si>
    <t>HR309</t>
  </si>
  <si>
    <t>0810050911283</t>
  </si>
  <si>
    <t>25,5 / 28,5 / 17,5</t>
  </si>
  <si>
    <t>Аксессуары MARVO</t>
  </si>
  <si>
    <t>Marvo</t>
  </si>
  <si>
    <t>KG880</t>
  </si>
  <si>
    <t>PC Игровая клавиатура Marvo KG880 USB Gaming с подсветкой, ПК</t>
  </si>
  <si>
    <t>MR56</t>
  </si>
  <si>
    <t>6932391925317</t>
  </si>
  <si>
    <t>20 / 47 / 4</t>
  </si>
  <si>
    <t>G15</t>
  </si>
  <si>
    <t>PC Коврик для мыши Marvo G15 mouse pad</t>
  </si>
  <si>
    <t>MR23</t>
  </si>
  <si>
    <t>6932391909058</t>
  </si>
  <si>
    <t>28,1 / 7,8 / 7,7</t>
  </si>
  <si>
    <t>G35</t>
  </si>
  <si>
    <t>PC Коврик для мыши Marvo G35 (XL)</t>
  </si>
  <si>
    <t>MR37</t>
  </si>
  <si>
    <t>6932391922170</t>
  </si>
  <si>
    <t>9,5 / 30,5 / 9,5</t>
  </si>
  <si>
    <t>G36</t>
  </si>
  <si>
    <t>PC Коврик для мыши Marvo G36 (XL)</t>
  </si>
  <si>
    <t>MR38</t>
  </si>
  <si>
    <t>6932391922187</t>
  </si>
  <si>
    <t>G37</t>
  </si>
  <si>
    <t>PC Коврик для мыши Marvo G37 (XL)</t>
  </si>
  <si>
    <t>MR36</t>
  </si>
  <si>
    <t>6932391922194</t>
  </si>
  <si>
    <t>30,2 / 9,3 / 9,5</t>
  </si>
  <si>
    <t>G46</t>
  </si>
  <si>
    <t>PC Коврик для мыши Marvo G46 (S)</t>
  </si>
  <si>
    <t>MR39</t>
  </si>
  <si>
    <t>6932391912621</t>
  </si>
  <si>
    <t>25,9 / 7,4 / 7,7</t>
  </si>
  <si>
    <t>G924</t>
  </si>
  <si>
    <t>PC Мышь проводная Marvo G924 Gaming Mouse с подсветкой RGB</t>
  </si>
  <si>
    <t>MR45</t>
  </si>
  <si>
    <t>6932391908440</t>
  </si>
  <si>
    <t>22 / 15,5 / 6</t>
  </si>
  <si>
    <t>G941</t>
  </si>
  <si>
    <t>PC Мышь проводная Marvo G941 Gaming Mouse с подсветкой RGB</t>
  </si>
  <si>
    <t>MR27</t>
  </si>
  <si>
    <t>6932391922545</t>
  </si>
  <si>
    <t>20,1 / 13,5 / 5,9</t>
  </si>
  <si>
    <t>G985</t>
  </si>
  <si>
    <t>PC Мышь проводная Marvo G985 gaming mouse с подсветкой RGB</t>
  </si>
  <si>
    <t>MR29</t>
  </si>
  <si>
    <t>6932391908419</t>
  </si>
  <si>
    <t>M519</t>
  </si>
  <si>
    <t>PC Мышь проводная Marvo M519 gaming mouse с подсветкой</t>
  </si>
  <si>
    <t>MR41</t>
  </si>
  <si>
    <t>6932391923504</t>
  </si>
  <si>
    <t>HZ-04</t>
  </si>
  <si>
    <t>PC Подставка для наушников Marvo HZ-04 с подсветкой, ПК</t>
  </si>
  <si>
    <t>MR34</t>
  </si>
  <si>
    <t>6932391921968</t>
  </si>
  <si>
    <t>29 / 18,4 / 5,9</t>
  </si>
  <si>
    <t>Аксессуары Moza</t>
  </si>
  <si>
    <t>MOZA</t>
  </si>
  <si>
    <t>AS001</t>
  </si>
  <si>
    <t>База для джойстика MOZA AB9 FFB Base AS001</t>
  </si>
  <si>
    <t>MZ27</t>
  </si>
  <si>
    <t>6973137270568</t>
  </si>
  <si>
    <t>26,5 / 28 / 28</t>
  </si>
  <si>
    <t>RS081</t>
  </si>
  <si>
    <t>База руля MOZA R12 V2 Direct Drive Wheelbase Black RS081</t>
  </si>
  <si>
    <t>MZ58</t>
  </si>
  <si>
    <t>6973137270827</t>
  </si>
  <si>
    <t>18,7 / 29 / 27,5</t>
  </si>
  <si>
    <t>RS28</t>
  </si>
  <si>
    <t>База руля MOZA R9 V2 Direct Drive Wheelbase RS28</t>
  </si>
  <si>
    <t>MZ5</t>
  </si>
  <si>
    <t>0723497239585</t>
  </si>
  <si>
    <t>31 / 33 / 42</t>
  </si>
  <si>
    <t>RS080</t>
  </si>
  <si>
    <t>База руля MOZA R9 V3 Direct Drive Wheelbase RS080</t>
  </si>
  <si>
    <t>MZ59</t>
  </si>
  <si>
    <t>6973137270810</t>
  </si>
  <si>
    <t>AS005</t>
  </si>
  <si>
    <t>Джойстик MOZA MA3X Sidestick AS005</t>
  </si>
  <si>
    <t>MZ40</t>
  </si>
  <si>
    <t>6973137270643</t>
  </si>
  <si>
    <t>24 / 12,2 / 11,7</t>
  </si>
  <si>
    <t>RS20</t>
  </si>
  <si>
    <t>Игровой руль MOZA R5 Bundle （R5 Base, ES Wheel, SR-P Lite double Pedals，R5 Table Clamp) RS20</t>
  </si>
  <si>
    <t>MZ2</t>
  </si>
  <si>
    <t>6973137270339</t>
  </si>
  <si>
    <t>28 / 42 / 43</t>
  </si>
  <si>
    <t>RS06</t>
  </si>
  <si>
    <t>Кнопка отключения питания MOZA Emergent Stop RS063</t>
  </si>
  <si>
    <t>MZ14</t>
  </si>
  <si>
    <t>0743791914988</t>
  </si>
  <si>
    <t>11,2 / 14,5 / 9</t>
  </si>
  <si>
    <t>RS039</t>
  </si>
  <si>
    <t>Коробка передач MOZA HGP Shifter RS039</t>
  </si>
  <si>
    <t>MZ15</t>
  </si>
  <si>
    <t>6973137270476</t>
  </si>
  <si>
    <t>24,5 / 18 / 13,7</t>
  </si>
  <si>
    <t>RS055</t>
  </si>
  <si>
    <t>Крепление для рулевой базы MOZA Front Mounting RS055</t>
  </si>
  <si>
    <t>MZ33</t>
  </si>
  <si>
    <t>6973137270520</t>
  </si>
  <si>
    <t>4,6 / 16,5 / 18,2</t>
  </si>
  <si>
    <t>RS062</t>
  </si>
  <si>
    <t>Крепление для руля MOZA Clamp for Truck wheel RS062</t>
  </si>
  <si>
    <t>MZ26</t>
  </si>
  <si>
    <t>0723497239981</t>
  </si>
  <si>
    <t>27 / 24 / 13</t>
  </si>
  <si>
    <t>RS12</t>
  </si>
  <si>
    <t>Крепление для руля MOZA R5/R9/R12 Table Clamp RS12</t>
  </si>
  <si>
    <t>MZ19</t>
  </si>
  <si>
    <t>0723497239325</t>
  </si>
  <si>
    <t>29,5 / 15 / 7</t>
  </si>
  <si>
    <t>RS11</t>
  </si>
  <si>
    <t>Педали MOZA SR-P Double Pedals with Base RS11</t>
  </si>
  <si>
    <t>MZ13</t>
  </si>
  <si>
    <t>0723497239349</t>
  </si>
  <si>
    <t>16 / 40 / 30</t>
  </si>
  <si>
    <t>RS067</t>
  </si>
  <si>
    <t>Педаль сцепления MOZA CRP2 Clutch Pedal RS067</t>
  </si>
  <si>
    <t>MZ43</t>
  </si>
  <si>
    <t>6973137270582</t>
  </si>
  <si>
    <t>26,6 / 28 / 9,2</t>
  </si>
  <si>
    <t>RS111</t>
  </si>
  <si>
    <t>Педаль сцепления MOZA SR-P Clutch Pedal RS111</t>
  </si>
  <si>
    <t>MZ35</t>
  </si>
  <si>
    <t>6973137270308</t>
  </si>
  <si>
    <t>25,5 / 31,5 / 10,5</t>
  </si>
  <si>
    <t>RS19</t>
  </si>
  <si>
    <t>Педаль сцепления MOZA SR-P Lite Clutch Pedal RS19</t>
  </si>
  <si>
    <t>MZ34</t>
  </si>
  <si>
    <t>6973137270315</t>
  </si>
  <si>
    <t>10,8 / 34 / 25,2</t>
  </si>
  <si>
    <t>RS049</t>
  </si>
  <si>
    <t>Переходник для базы руля MOZA Wheel Base Adapter Plate (for R21/R16/R9/R5)  RS049</t>
  </si>
  <si>
    <t>MZ21</t>
  </si>
  <si>
    <t>0723497239820</t>
  </si>
  <si>
    <t>12 / 12,1 / 2</t>
  </si>
  <si>
    <t>RS31</t>
  </si>
  <si>
    <t>Ручной тормоз MOZA HBP Handbrake RS31</t>
  </si>
  <si>
    <t>MZ16</t>
  </si>
  <si>
    <t>0723497239615</t>
  </si>
  <si>
    <t>26,5 / 21 / 9,5</t>
  </si>
  <si>
    <t>RS059</t>
  </si>
  <si>
    <t>Ручной тормоз MOZA SGP Sequentail Shifter RS059</t>
  </si>
  <si>
    <t>MZ25</t>
  </si>
  <si>
    <t>0723497239936</t>
  </si>
  <si>
    <t>30,5 / 23 / 10,5</t>
  </si>
  <si>
    <t>RS046</t>
  </si>
  <si>
    <t>Съемное рулевое колесо (каркас) MOZA ES Steering Wheel Mod (12 inch) RS046</t>
  </si>
  <si>
    <t>MZ36</t>
  </si>
  <si>
    <t>0723497239745</t>
  </si>
  <si>
    <t>33 / 32,5 / 6</t>
  </si>
  <si>
    <t>RS052</t>
  </si>
  <si>
    <t>Съемное рулевое колесо MOZA ESX Steering Wheel  RS052</t>
  </si>
  <si>
    <t>MZ38</t>
  </si>
  <si>
    <t>6973137270360</t>
  </si>
  <si>
    <t>32,1 / 33,2 / 14,2</t>
  </si>
  <si>
    <t>RS047</t>
  </si>
  <si>
    <t>Съемное рулевое колесо MOZA KS Steering Wheel RS047</t>
  </si>
  <si>
    <t>MZ9</t>
  </si>
  <si>
    <t>0723497239752</t>
  </si>
  <si>
    <t>21,3 / 34,8 / 13,5</t>
  </si>
  <si>
    <t>RS25</t>
  </si>
  <si>
    <t>Съемное рулевое колесо MOZA RS V2 Steering Wheel Leather RS25</t>
  </si>
  <si>
    <t>MZ6</t>
  </si>
  <si>
    <t>6973137270216</t>
  </si>
  <si>
    <t>13,3 / 38,1 / 38,3</t>
  </si>
  <si>
    <t>RS064</t>
  </si>
  <si>
    <t>Съемное рулевое колесо MOZA VGS steering wheel RS064</t>
  </si>
  <si>
    <t>MZ39</t>
  </si>
  <si>
    <t>6973137270278</t>
  </si>
  <si>
    <t>16,5 / 25 / 37</t>
  </si>
  <si>
    <t>AS003</t>
  </si>
  <si>
    <t>Удлинитель MOZA Z-Axis Module AS003</t>
  </si>
  <si>
    <t>MZ29</t>
  </si>
  <si>
    <t xml:space="preserve">697313727061 </t>
  </si>
  <si>
    <t>16 / 9,8 / 8</t>
  </si>
  <si>
    <t>Аксессуары Playseat</t>
  </si>
  <si>
    <t>PC, PS4, Xbox One</t>
  </si>
  <si>
    <t>Playseat</t>
  </si>
  <si>
    <t>R.AC.00168</t>
  </si>
  <si>
    <t>Держатель рычага переключения передач Playseat Gearshift Support R.AC.00168</t>
  </si>
  <si>
    <t>PLS9</t>
  </si>
  <si>
    <t>8717496872241</t>
  </si>
  <si>
    <t>4,5 / 4,5 / 46</t>
  </si>
  <si>
    <t>R.AC.00048</t>
  </si>
  <si>
    <t>Коврик для игрового кресла Playseat Floor Mat R.AC.00048</t>
  </si>
  <si>
    <t>PLS3</t>
  </si>
  <si>
    <t>8717496871671</t>
  </si>
  <si>
    <t>12 / 56,2 / 12</t>
  </si>
  <si>
    <t>R.AC.00072</t>
  </si>
  <si>
    <t>Ползунок сиденья для игрового кресла Playseat Seatslider R.AC.00072</t>
  </si>
  <si>
    <t>PLS5</t>
  </si>
  <si>
    <t>8717496871794</t>
  </si>
  <si>
    <t>40 / 38,5 / 25,4</t>
  </si>
  <si>
    <t>Аксессуары SpeedLink</t>
  </si>
  <si>
    <t>Speedlink</t>
  </si>
  <si>
    <t>SL-680002-BKRD</t>
  </si>
  <si>
    <t>PC Мышь проводная Speedlink Contus Gaming Mouse black-red (SL-680002-BKRD)</t>
  </si>
  <si>
    <t>SP9</t>
  </si>
  <si>
    <t>4027301853759</t>
  </si>
  <si>
    <t>23,9 / 16 / 5</t>
  </si>
  <si>
    <t>Аксессуары Switch</t>
  </si>
  <si>
    <t>Nintendo</t>
  </si>
  <si>
    <t>Зарядное устройство Joy-Con 2 Charging Grip</t>
  </si>
  <si>
    <t>ACSWT54</t>
  </si>
  <si>
    <t>4902370552829</t>
  </si>
  <si>
    <t>15,5 / 15 / 5,8</t>
  </si>
  <si>
    <t>Аксессуары THRUSTMASTER</t>
  </si>
  <si>
    <t>PS4/PC/Xbox ONE</t>
  </si>
  <si>
    <t>Thrustmaster</t>
  </si>
  <si>
    <t>Адаптер для установки педального блока Thrustmaster T-lcm сockpit adaptor ww version</t>
  </si>
  <si>
    <t>THR126</t>
  </si>
  <si>
    <t>3362934002404</t>
  </si>
  <si>
    <t>3 / 5,5 / 25,5</t>
  </si>
  <si>
    <t xml:space="preserve">База руля Thrustmaster T818, ПК </t>
  </si>
  <si>
    <t>THR151</t>
  </si>
  <si>
    <t>3362932915935</t>
  </si>
  <si>
    <t>23,6 / 28 / 41,5</t>
  </si>
  <si>
    <t>Геймпад Thrustmaster Eswap Pro controller regular edition emea, PS4, ПК</t>
  </si>
  <si>
    <t>THR99</t>
  </si>
  <si>
    <t>3362935244612</t>
  </si>
  <si>
    <t>22,6 / 19 / 7,5</t>
  </si>
  <si>
    <t>Геймпад Thrustmaster Eswap S Pro controller Xbox One, Xbox X, Xbox S, ПК</t>
  </si>
  <si>
    <t>THR135</t>
  </si>
  <si>
    <t>3362934403225</t>
  </si>
  <si>
    <t>19,5 / 20 / 7</t>
  </si>
  <si>
    <t>Геймпад Thrustmaster ESWAP X 2 PRO Controller ELDEN RING Edition, Xbox One, Xbox X, Xbox S, ПК</t>
  </si>
  <si>
    <t>THR156</t>
  </si>
  <si>
    <t>3362934403928</t>
  </si>
  <si>
    <t>23,5 / 20 / 8</t>
  </si>
  <si>
    <t>Геймпад Thrustmaster Eswap X 2 Pro controller Xbox One, Xbox X, Xbox S, ПК</t>
  </si>
  <si>
    <t>THR152</t>
  </si>
  <si>
    <t>3362934403676</t>
  </si>
  <si>
    <t>Геймпад Thrustmaster ESWAP X R PRO CONTROLLER FORZA HORIZON 5 Xbox One, Xbox X/S, ПК</t>
  </si>
  <si>
    <t>THR150</t>
  </si>
  <si>
    <t>3362934403645</t>
  </si>
  <si>
    <t>Геймпад Thrustmaster H.E.A.R.T controller Xbox One, Xbox X, Xbox S, ПК</t>
  </si>
  <si>
    <t>THR153</t>
  </si>
  <si>
    <t>3362934403355</t>
  </si>
  <si>
    <t>Джойстик Thrustmaster T.FLIGHT HOTAS ONE MSFS SPECIAL EDITION - Xbox Series, Xbox One, ПК</t>
  </si>
  <si>
    <t>THR154</t>
  </si>
  <si>
    <t>3362934404048</t>
  </si>
  <si>
    <t>28,7 / 27,5 / 25,7</t>
  </si>
  <si>
    <t>Джойстик Thrustmaster T-16000M FCS ,PC + бонусный код от War Thunder</t>
  </si>
  <si>
    <t>THR49</t>
  </si>
  <si>
    <t>3362932914778</t>
  </si>
  <si>
    <t>24 / 19 / 20,2</t>
  </si>
  <si>
    <t>Джойстик Thrustmaster TCA sidestick Airbus Edition ww version, PC</t>
  </si>
  <si>
    <t>THR106</t>
  </si>
  <si>
    <t>3362932915591</t>
  </si>
  <si>
    <t>20 / 21 / 24</t>
  </si>
  <si>
    <t xml:space="preserve">Джойстик Thrustmaster TCA SIDESTICK X AIRBUS EDITION, Xbox Series X, Xbox Series S, PC </t>
  </si>
  <si>
    <t>THR139</t>
  </si>
  <si>
    <t>3362934403164</t>
  </si>
  <si>
    <t>22,5 / 21,5 / 26,5</t>
  </si>
  <si>
    <t>PS3/PC</t>
  </si>
  <si>
    <t xml:space="preserve">Джойстик Thrustmaster T-Flight Hotas X, PS3/PC, Warthunder pack </t>
  </si>
  <si>
    <t>THR35</t>
  </si>
  <si>
    <t>3362932913535</t>
  </si>
  <si>
    <t>26,7 / 24,5 / 26,4</t>
  </si>
  <si>
    <t>Джойстик Руд Thrustmaster TCA Quadrant Airbus Edition ww, PC</t>
  </si>
  <si>
    <t>THR110</t>
  </si>
  <si>
    <t>3362932915553</t>
  </si>
  <si>
    <t>30,5 / 16 / 22</t>
  </si>
  <si>
    <t xml:space="preserve">Джойстик РУД Thrustmaster TCA QUADRANT BOEING EDITION, Xbox Series X, Xbox Series S, PC </t>
  </si>
  <si>
    <t>THR138</t>
  </si>
  <si>
    <t>3362934002947</t>
  </si>
  <si>
    <t>17 / 25,5 / 22</t>
  </si>
  <si>
    <t>Джойстик РУД Thrustmaster Warthog Dual Throttle, PC</t>
  </si>
  <si>
    <t>THR28</t>
  </si>
  <si>
    <t>3362932914341</t>
  </si>
  <si>
    <t>20 / 24 / 31</t>
  </si>
  <si>
    <t>Дополнительный модульThrustmaster TCA Quadrant Add-on Airbus Edition ww: рычаг тормоза, закрылков,ПК</t>
  </si>
  <si>
    <t>THR120</t>
  </si>
  <si>
    <t>3362932915683</t>
  </si>
  <si>
    <t>20 / 29 / 14</t>
  </si>
  <si>
    <t>PS4/PC/Xbox ONE/SWITCH/3DS</t>
  </si>
  <si>
    <t xml:space="preserve">Игровая гарнитура Thrustmaster T.FLIGHT U.S. AIR FORCE, XBOX ONE, PS4, SWITCH, 3DS,PC </t>
  </si>
  <si>
    <t>THR90</t>
  </si>
  <si>
    <t>3362934001766</t>
  </si>
  <si>
    <t>24,7 / 23,9 / 11,6</t>
  </si>
  <si>
    <t>Комплект модулей Thrustmaster Eswap classic d-pad module emea, PS4, ПК</t>
  </si>
  <si>
    <t>THR107</t>
  </si>
  <si>
    <t>3362934111526</t>
  </si>
  <si>
    <t>13,7 / 5,1 / 4,7</t>
  </si>
  <si>
    <t>Комплект модулей Thrustmaster Eswap X D4XB d-pad module ww, Xbox One, Xbox X, Xbox S, ПК</t>
  </si>
  <si>
    <t>THR114</t>
  </si>
  <si>
    <t>3362934402877</t>
  </si>
  <si>
    <t>5 / 5 / 13,6</t>
  </si>
  <si>
    <t>Xbox Series X, Xbox Series S/PC</t>
  </si>
  <si>
    <t>Комплект модулей Thrustmaster ESWAP X RACING MODULE FORZA HORIZON 5, Xbox series S/X, ПК</t>
  </si>
  <si>
    <t>THR149</t>
  </si>
  <si>
    <t>3362934403461</t>
  </si>
  <si>
    <t>15,5 / 5,5 / 6</t>
  </si>
  <si>
    <t>PS4/PS3/Xbox ONE</t>
  </si>
  <si>
    <t>Коробка передач Thrustmaster TH8A Shifter Add-On, PS3/PS4/PC/XboxOne</t>
  </si>
  <si>
    <t>THR9</t>
  </si>
  <si>
    <t>3362934001209</t>
  </si>
  <si>
    <t>32,5 / 25,5 / 16,5</t>
  </si>
  <si>
    <t>Коробка передач Thrustmaster TH8S Shifter Add-On, PS4, PS5,  XboxOne, ПК</t>
  </si>
  <si>
    <t>THR143</t>
  </si>
  <si>
    <t>3362934003319</t>
  </si>
  <si>
    <t>18,5 / 27 / 22</t>
  </si>
  <si>
    <t>Крепление для базы руля T818 Thrustmaster DESK MOUNTING KIT, ПК</t>
  </si>
  <si>
    <t>THR146</t>
  </si>
  <si>
    <t>3362934003630</t>
  </si>
  <si>
    <t>23,5 / 34 / 7</t>
  </si>
  <si>
    <t>Крепление для кресла базы руля T818 Thrustmaster COCKPIT FIXATION KIT, ПК</t>
  </si>
  <si>
    <t>THR147</t>
  </si>
  <si>
    <t>3362934003623</t>
  </si>
  <si>
    <t>17,7 / 19,5 / 2,7</t>
  </si>
  <si>
    <t>Набор Thrustmaster T-16000M FCS Flight Pack : Джойстик.Руд.Педали,PC + бонусный код от War Thunder</t>
  </si>
  <si>
    <t>THR59</t>
  </si>
  <si>
    <t>3362932914891</t>
  </si>
  <si>
    <t>40,9 / 42,4 / 28,7</t>
  </si>
  <si>
    <t>Набор Thrustmaster T-16000M FCS HOTAS: Джойстик, Руд,PC + бонусный код от War Thunder</t>
  </si>
  <si>
    <t>THR50</t>
  </si>
  <si>
    <t>3362932914846</t>
  </si>
  <si>
    <t>26,3 / 27 / 32,9</t>
  </si>
  <si>
    <t>Набор Thrustmaster TCA CAPTAIN PACK X AIRBUS EDITION, Джойстик,Руд, Доп. модуль, Xbox Series X/S, PC</t>
  </si>
  <si>
    <t>THR137</t>
  </si>
  <si>
    <t>3362934403140</t>
  </si>
  <si>
    <t>32 / 24 / 33,5</t>
  </si>
  <si>
    <t>Набор Thrustmaster TCA Officer Pack Airbus edition ww version: Джойстик, Руд, ПК</t>
  </si>
  <si>
    <t>THR117</t>
  </si>
  <si>
    <t>3362932915577</t>
  </si>
  <si>
    <t>20,8 / 38,8 / 25,1</t>
  </si>
  <si>
    <t xml:space="preserve">Набор Thrustmaster TCA YOKE PACK BOEING EDITION, Xbox Series X, Xbox Series S, PC </t>
  </si>
  <si>
    <t>THR141</t>
  </si>
  <si>
    <t>3362934403065</t>
  </si>
  <si>
    <t>38 / 49 / 49</t>
  </si>
  <si>
    <t>Набор: Крепление для руля и ручка для фиксации Thrustmaster SIMTASK STEERING KIT, ПК</t>
  </si>
  <si>
    <t>THR145</t>
  </si>
  <si>
    <t>3362934003791</t>
  </si>
  <si>
    <t>14 / 28 / 25</t>
  </si>
  <si>
    <t>PS5/ PS4/XboxOne/Xbox Series X/ Xbox Series S/PC</t>
  </si>
  <si>
    <t>Педали Thrustmaster T-3PM WW, PS5/PS4/PC/Xbox ONE/Xbox Series X,S</t>
  </si>
  <si>
    <t>THR127</t>
  </si>
  <si>
    <t>3362934002848</t>
  </si>
  <si>
    <t>23 / 40,7 / 35,1</t>
  </si>
  <si>
    <t>Руль Thrustmaster T128, PS5/PS4/PC</t>
  </si>
  <si>
    <t>THR134</t>
  </si>
  <si>
    <t>3362934111564</t>
  </si>
  <si>
    <t>33,3 / 35,8 / 30,5</t>
  </si>
  <si>
    <t xml:space="preserve">Руль Thrustmaster T128, Xbox Series X, Xbox Series S, PC </t>
  </si>
  <si>
    <t>THR133</t>
  </si>
  <si>
    <t>3362934402785</t>
  </si>
  <si>
    <t>PS5/PS4/PS3/PC</t>
  </si>
  <si>
    <t xml:space="preserve">Руль Thrustmaster T248P, PS5, PS4, PC </t>
  </si>
  <si>
    <t>THR140</t>
  </si>
  <si>
    <t>3362934111595</t>
  </si>
  <si>
    <t>33 / 37,5 / 47</t>
  </si>
  <si>
    <t xml:space="preserve">Руль Thrustmaster T248X,  Xbox Series X, Xbox Series S, PC </t>
  </si>
  <si>
    <t>THR132</t>
  </si>
  <si>
    <t>3362934402754</t>
  </si>
  <si>
    <t>Руль Thrustmaster T300 Ferrari Integral Rw Alcantara ed eu, PS5/PS4/PC</t>
  </si>
  <si>
    <t>THR62</t>
  </si>
  <si>
    <t>3362934110031</t>
  </si>
  <si>
    <t>34,3 / 36,9 / 47</t>
  </si>
  <si>
    <t>Руль Thrustmaster T300 RS  Gran Turismo Edition EU Version, PS5/PS4/PC</t>
  </si>
  <si>
    <t>THR56</t>
  </si>
  <si>
    <t>3362934110420</t>
  </si>
  <si>
    <t>45,4 / 35,1 / 32</t>
  </si>
  <si>
    <t>Руль Thrustmaster T598-P, PS5, PS4, ПК</t>
  </si>
  <si>
    <t>THR155</t>
  </si>
  <si>
    <t>3362934112370</t>
  </si>
  <si>
    <t>35,5 / 36,5 / 41,5</t>
  </si>
  <si>
    <t xml:space="preserve">Руль Thrustmaster T80 Ferrari 488 GTB Edition, PS4/PC. </t>
  </si>
  <si>
    <t>THR78</t>
  </si>
  <si>
    <t>3362934110314</t>
  </si>
  <si>
    <t>37,5 / 32 / 32,5</t>
  </si>
  <si>
    <t xml:space="preserve">Руль Thrustmaster T818 FERRARI SF1000 SIMULATOR, ПК </t>
  </si>
  <si>
    <t>THR142</t>
  </si>
  <si>
    <t>3362932916093</t>
  </si>
  <si>
    <t>46 / 42 / 26</t>
  </si>
  <si>
    <t>Руль Thrustmaster T-GT II EU, PS5, PS4, ПК</t>
  </si>
  <si>
    <t>THR121</t>
  </si>
  <si>
    <t>3362934112028</t>
  </si>
  <si>
    <t>38,6 / 53,4 / 30,6</t>
  </si>
  <si>
    <t>Руль Thrustmaster TS-PC RACER FERRARI 488 Challenge ,PC</t>
  </si>
  <si>
    <t>THR82</t>
  </si>
  <si>
    <t>3362932915119</t>
  </si>
  <si>
    <t>53 / 39,5 / 33,5</t>
  </si>
  <si>
    <t>Стойка под педальный блок Thrustmaster T-pedals stand ww</t>
  </si>
  <si>
    <t>THR124</t>
  </si>
  <si>
    <t>3362934002350</t>
  </si>
  <si>
    <t>69,5 / 11 / 6</t>
  </si>
  <si>
    <t xml:space="preserve">Штурвал Thrustmaster TCA YOKE BOEING EDITION, Xbox Series X, Xbox Series S, PC </t>
  </si>
  <si>
    <t>THR136</t>
  </si>
  <si>
    <t>3362934403058</t>
  </si>
  <si>
    <t>Архив</t>
  </si>
  <si>
    <t>NSW-174U</t>
  </si>
  <si>
    <t xml:space="preserve">Nintendo Switch Геймпад Hori Wireless Horipad (Blue) для консоли Switch (NSW-174U) </t>
  </si>
  <si>
    <t>HR94</t>
  </si>
  <si>
    <t>0873124008586</t>
  </si>
  <si>
    <t>17,5 / 14 / 7,3</t>
  </si>
  <si>
    <t>NSW-234U</t>
  </si>
  <si>
    <t xml:space="preserve">Nintendo Switch Геймпад Hori Wireless Horipad (Zelda) для консоли Switch (NSW-234U) </t>
  </si>
  <si>
    <t>HR98</t>
  </si>
  <si>
    <t>0873124008746</t>
  </si>
  <si>
    <t>Игровое оборудование</t>
  </si>
  <si>
    <t>Стойка для ТВ RS Stand S3 V2 Black RSS3BV2</t>
  </si>
  <si>
    <t>GEQ3</t>
  </si>
  <si>
    <t>2000901228525</t>
  </si>
  <si>
    <t>104 / 66 / 32</t>
  </si>
  <si>
    <t>ABYstyle</t>
  </si>
  <si>
    <t>ABYACF177</t>
  </si>
  <si>
    <t>Акриловая диорама Spy X Family ABYACF177</t>
  </si>
  <si>
    <t>ABY755</t>
  </si>
  <si>
    <t>3665361140726</t>
  </si>
  <si>
    <t>Семья шпиона</t>
  </si>
  <si>
    <t>Anime</t>
  </si>
  <si>
    <t>16 / 12,5 / 0,5</t>
  </si>
  <si>
    <t>GBYACF004</t>
  </si>
  <si>
    <t>Акриловая фигурка Blackpink Jisoo GBYACF004</t>
  </si>
  <si>
    <t>ABY754</t>
  </si>
  <si>
    <t>3665361141419</t>
  </si>
  <si>
    <t>BLACKPINK</t>
  </si>
  <si>
    <t>Music</t>
  </si>
  <si>
    <t>17 / 9 / 0,5</t>
  </si>
  <si>
    <t>GBYACF007</t>
  </si>
  <si>
    <t>Акриловая фигурка Blackpink Lisa GBYACF007</t>
  </si>
  <si>
    <t>ABY798</t>
  </si>
  <si>
    <t>3665361141457</t>
  </si>
  <si>
    <t>20,5 / 9,5 / 0,3</t>
  </si>
  <si>
    <t>ABYACF188</t>
  </si>
  <si>
    <t>Акриловая фигурка Blue Lock Isagi Yoichi ABYACF188</t>
  </si>
  <si>
    <t>ABY769</t>
  </si>
  <si>
    <t>3665361143604</t>
  </si>
  <si>
    <t>Blue Lock</t>
  </si>
  <si>
    <t>ABYACF128</t>
  </si>
  <si>
    <t>Акриловая фигурка Chainsaw Man ABYACF128</t>
  </si>
  <si>
    <t>ABY768</t>
  </si>
  <si>
    <t>3665361122364</t>
  </si>
  <si>
    <t>Человек-бензопила</t>
  </si>
  <si>
    <t>ABYACF160</t>
  </si>
  <si>
    <t>Акриловая фигурка Death Note Acryl Ryuk X2 ABYACF160</t>
  </si>
  <si>
    <t>ABY734</t>
  </si>
  <si>
    <t>3665361138778</t>
  </si>
  <si>
    <t>Death Note</t>
  </si>
  <si>
    <t>0,3 / 9,6 / 17,3</t>
  </si>
  <si>
    <t>ABYACF123</t>
  </si>
  <si>
    <t>Акриловая фигурка Harry Potter Acryl Harry &amp; Hedwig X2 ABYACF123</t>
  </si>
  <si>
    <t>ABY732</t>
  </si>
  <si>
    <t>3665361115267</t>
  </si>
  <si>
    <t>Гарри Поттер</t>
  </si>
  <si>
    <t>Wizarding World</t>
  </si>
  <si>
    <t>ABYACF124</t>
  </si>
  <si>
    <t>Акриловая фигурка Harry Potter Acryl Hermione X2 ABYACF124</t>
  </si>
  <si>
    <t>ABY733</t>
  </si>
  <si>
    <t>3665361115274</t>
  </si>
  <si>
    <t>ABYACF189</t>
  </si>
  <si>
    <t>Акриловая фигурка Hell's Paradise Gabimaru ABYACF189</t>
  </si>
  <si>
    <t>ABY752</t>
  </si>
  <si>
    <t>3665361144298</t>
  </si>
  <si>
    <t>Адский рай</t>
  </si>
  <si>
    <t>ABYACF102</t>
  </si>
  <si>
    <t>Акриловая фигурка Jujutsu Kaisen Acryl Itadori X2 ABYACF102</t>
  </si>
  <si>
    <t>ABY730</t>
  </si>
  <si>
    <t>3665361075240</t>
  </si>
  <si>
    <t>Магическая битва</t>
  </si>
  <si>
    <t>ABYACF122</t>
  </si>
  <si>
    <t>Акриловая фигурка One Punch Man Acryl Garoh X2 ABYACF122</t>
  </si>
  <si>
    <t>ABY731</t>
  </si>
  <si>
    <t>3665361114918</t>
  </si>
  <si>
    <t>Ванпанчмен</t>
  </si>
  <si>
    <t>ABYACF067</t>
  </si>
  <si>
    <t>Акриловая фигурка One Punch Man Acryl Genos X2 ABYACF067</t>
  </si>
  <si>
    <t>ABY729</t>
  </si>
  <si>
    <t>3665361066958</t>
  </si>
  <si>
    <t>ABYACF066</t>
  </si>
  <si>
    <t>Акриловая фигурка One Punch Man Acryl Saitama X2 ABYACF066</t>
  </si>
  <si>
    <t>ABY728</t>
  </si>
  <si>
    <t>3665361066941</t>
  </si>
  <si>
    <t>ABYACF178</t>
  </si>
  <si>
    <t>Акриловая фигурка Spy X Family Acryl Loid Forger x2 ABYACF178</t>
  </si>
  <si>
    <t>ABY669</t>
  </si>
  <si>
    <t>3665361140733</t>
  </si>
  <si>
    <t>17 / 9,5 / 0,3</t>
  </si>
  <si>
    <t>ABYACF179</t>
  </si>
  <si>
    <t>Акриловая фигурка Spy X Family Acryl Yor Forger x2 ABYACF179</t>
  </si>
  <si>
    <t>ABY658</t>
  </si>
  <si>
    <t>3665361140863</t>
  </si>
  <si>
    <t>ABYACF180</t>
  </si>
  <si>
    <t>Акриловая фигурка Spy X Family Anya Forgerr ABYACF180</t>
  </si>
  <si>
    <t>ABY750</t>
  </si>
  <si>
    <t>3665361140870</t>
  </si>
  <si>
    <t>ABYTAB023</t>
  </si>
  <si>
    <t>Банка для печенья ONE PIECE Cookie Jar Treasure Chest ABYTAB023</t>
  </si>
  <si>
    <t>ABY655</t>
  </si>
  <si>
    <t>3665361048534</t>
  </si>
  <si>
    <t>One Piece</t>
  </si>
  <si>
    <t>23 / 21 / 15</t>
  </si>
  <si>
    <t>ABYNOT068</t>
  </si>
  <si>
    <t>Блокнот Hatsune Miku A5 ABYNOT068</t>
  </si>
  <si>
    <t>ABY783</t>
  </si>
  <si>
    <t>3665361081395</t>
  </si>
  <si>
    <t>22 / 15,5 / 1,7</t>
  </si>
  <si>
    <t>Сувенирная продукция</t>
  </si>
  <si>
    <t>ABYVER163</t>
  </si>
  <si>
    <t>Бокал стеклянный Death Note Large Glass 400 ml Ryuk Matte x2 ABYVER163</t>
  </si>
  <si>
    <t>ABY421</t>
  </si>
  <si>
    <t>3665361053248</t>
  </si>
  <si>
    <t>14,8 / 9,1 / 9,1</t>
  </si>
  <si>
    <t>ABYVER120</t>
  </si>
  <si>
    <t>Бокал стеклянный Sailor Moon Large Glass XXL 400 ml Sailor Moon x2 ABYVER120</t>
  </si>
  <si>
    <t>ABY469</t>
  </si>
  <si>
    <t>3665361010012</t>
  </si>
  <si>
    <t>Sailor Moon</t>
  </si>
  <si>
    <t>9 / 9,1 / 15</t>
  </si>
  <si>
    <t>ABYKEY563</t>
  </si>
  <si>
    <t>Брелок 3d Death Note X2 ABYKEY563</t>
  </si>
  <si>
    <t>ABY739</t>
  </si>
  <si>
    <t>3665361116806</t>
  </si>
  <si>
    <t>18,5 / 8 / 1,5</t>
  </si>
  <si>
    <t>ABYKEY566</t>
  </si>
  <si>
    <t>Брелок 3Д One Piece Buster Call ABYKEY566</t>
  </si>
  <si>
    <t>ABY780</t>
  </si>
  <si>
    <t>3665361119531</t>
  </si>
  <si>
    <t>19 / 8 / 3,5</t>
  </si>
  <si>
    <t>ABYKEY254</t>
  </si>
  <si>
    <t>Брелок Boruto - Keychain "Boruto" X4 ABYKEY254</t>
  </si>
  <si>
    <t>ABY524</t>
  </si>
  <si>
    <t>3700789289654</t>
  </si>
  <si>
    <t>Боруто</t>
  </si>
  <si>
    <t>16,5 / 7,9 / 0,5</t>
  </si>
  <si>
    <t>ABYKEY354</t>
  </si>
  <si>
    <t>Брелок Death Note - Keychain  "Ryuk" X4 ABYKEY354</t>
  </si>
  <si>
    <t>ABY526</t>
  </si>
  <si>
    <t>3665361041399</t>
  </si>
  <si>
    <t>16,5 / 8,8 / 0,5</t>
  </si>
  <si>
    <t>ABYKEY072</t>
  </si>
  <si>
    <t>Брелок Death Note Pvc l Character x4 ABYKEY072</t>
  </si>
  <si>
    <t>ABY337</t>
  </si>
  <si>
    <t>3700789216544</t>
  </si>
  <si>
    <t>16,5 / 8 / 0,6</t>
  </si>
  <si>
    <t>ABYKEY334</t>
  </si>
  <si>
    <t>Брелок One Punch Man Pvc Genos sd x4 ABYKEY334</t>
  </si>
  <si>
    <t>ABY350</t>
  </si>
  <si>
    <t>3665361033462</t>
  </si>
  <si>
    <t>ABYKEY189</t>
  </si>
  <si>
    <t>Брелок The Seven Deadly Sins Keychain Hawk X4 ABYKEY189</t>
  </si>
  <si>
    <t>ABY680</t>
  </si>
  <si>
    <t>3700789267409</t>
  </si>
  <si>
    <t>Семь смертных грехов</t>
  </si>
  <si>
    <t>ABYKEY385</t>
  </si>
  <si>
    <t>Брелок Tokyo Ghoul Keychain Touka's Mask X4 ABYKEY385</t>
  </si>
  <si>
    <t>ABY681</t>
  </si>
  <si>
    <t>3665361059196</t>
  </si>
  <si>
    <t>Токийский гуль</t>
  </si>
  <si>
    <t>ABYNOT081</t>
  </si>
  <si>
    <t>Записная книжка Back To The Future A5 Notebook DeLorean X4 ABYNOT081</t>
  </si>
  <si>
    <t>ABY717</t>
  </si>
  <si>
    <t>3665361075233</t>
  </si>
  <si>
    <t>Назад в будущее</t>
  </si>
  <si>
    <t>Universal</t>
  </si>
  <si>
    <t>22 / 16,5 / 1,6</t>
  </si>
  <si>
    <t>GBYNOT005</t>
  </si>
  <si>
    <t>Записная книжка Blackpink Pink А5 GBYNOT005</t>
  </si>
  <si>
    <t>ABY758</t>
  </si>
  <si>
    <t>3665361141464</t>
  </si>
  <si>
    <t>22 / 15,5 / 1,5</t>
  </si>
  <si>
    <t>ABYNOT087</t>
  </si>
  <si>
    <t>Записная книжка Cthulhu Great old Ones A5 ABYNOT087</t>
  </si>
  <si>
    <t>ABY635</t>
  </si>
  <si>
    <t>3665361077626</t>
  </si>
  <si>
    <t>Horror</t>
  </si>
  <si>
    <t>ABYNOT129</t>
  </si>
  <si>
    <t>Записная книжка Dark Souls Notebook A5 Praise the Sun X4 ABYNOT129</t>
  </si>
  <si>
    <t>ABY722</t>
  </si>
  <si>
    <t>3665361122401</t>
  </si>
  <si>
    <t>Dark Souls</t>
  </si>
  <si>
    <t>Bandai Namco</t>
  </si>
  <si>
    <t>21,6 / 15 / 1</t>
  </si>
  <si>
    <t>ABYNOT063</t>
  </si>
  <si>
    <t>Записная книжка One Piece Notebook a5 Premium Skull x4 ABYNOT063</t>
  </si>
  <si>
    <t>ABY380</t>
  </si>
  <si>
    <t>3665361045137</t>
  </si>
  <si>
    <t>22,3 / 16 / 22</t>
  </si>
  <si>
    <t>ABYNOT091</t>
  </si>
  <si>
    <t>Записная книжка Sonic A5 Notebook Sonic The Hedgehog X4 ABYNOT091</t>
  </si>
  <si>
    <t>ABY719</t>
  </si>
  <si>
    <t>3665361078456</t>
  </si>
  <si>
    <t>Соник</t>
  </si>
  <si>
    <t>ABYPIN033</t>
  </si>
  <si>
    <t>Значок Death Note - Pin L ABYPIN033</t>
  </si>
  <si>
    <t>ABY542</t>
  </si>
  <si>
    <t>3665361041412</t>
  </si>
  <si>
    <t>10,4 / 7,3 / 1</t>
  </si>
  <si>
    <t>BP0719</t>
  </si>
  <si>
    <t>Значок Hatsune Miku Набор из 4 шт BP0719</t>
  </si>
  <si>
    <t>ABY643</t>
  </si>
  <si>
    <t>5028486380060</t>
  </si>
  <si>
    <t>Vocaloid</t>
  </si>
  <si>
    <t>14,3 / 10 / 0,3</t>
  </si>
  <si>
    <t>ABYACC441</t>
  </si>
  <si>
    <t>Значок The Witcher Badge Pack Signs 6 шт ABYACC441</t>
  </si>
  <si>
    <t>ABY616</t>
  </si>
  <si>
    <t>3665361089704</t>
  </si>
  <si>
    <t>Ведьмак</t>
  </si>
  <si>
    <t>CD Projekt RED</t>
  </si>
  <si>
    <t>ABYACC503</t>
  </si>
  <si>
    <t>Коврик для мыши Diablo Hellgate ABYACC503</t>
  </si>
  <si>
    <t>ABY657</t>
  </si>
  <si>
    <t>3665361121275</t>
  </si>
  <si>
    <t>Diablo</t>
  </si>
  <si>
    <t>Blizzard</t>
  </si>
  <si>
    <t>24 / 24,5 / 0,5</t>
  </si>
  <si>
    <t>ABYACC328</t>
  </si>
  <si>
    <t>Коврик для мышки ABYstyle Невероятные приключения ДжоДжо Ora Ora ABYACC328</t>
  </si>
  <si>
    <t>ABY433</t>
  </si>
  <si>
    <t>3665361047841</t>
  </si>
  <si>
    <t>24,5 / 24,5 / 0,2</t>
  </si>
  <si>
    <t>ABYACC461</t>
  </si>
  <si>
    <t>Коврик для мышки Cthulhu Necronomicon ABYACC461</t>
  </si>
  <si>
    <t>ABY617</t>
  </si>
  <si>
    <t>3665361104605</t>
  </si>
  <si>
    <t>25 / 25 / 0,3</t>
  </si>
  <si>
    <t>ABYACC541</t>
  </si>
  <si>
    <t>Коврик для мышки Hell's Paradise Gabimaru ABYACC541</t>
  </si>
  <si>
    <t>ABY743</t>
  </si>
  <si>
    <t>3665361144519</t>
  </si>
  <si>
    <t>24,7 / 24,7 / 0,5</t>
  </si>
  <si>
    <t>ABYACC398</t>
  </si>
  <si>
    <t>Коврик для мышки Junji Ito Tomie ABYACC398</t>
  </si>
  <si>
    <t>ABY615</t>
  </si>
  <si>
    <t>3665361074250</t>
  </si>
  <si>
    <t>ABYACC539</t>
  </si>
  <si>
    <t>Коврик для мышки Блю Лок Team Z ABYACC539</t>
  </si>
  <si>
    <t>ABY767</t>
  </si>
  <si>
    <t>3665361143635</t>
  </si>
  <si>
    <t>24,5 / 25 / 0,5</t>
  </si>
  <si>
    <t>ABYACC468</t>
  </si>
  <si>
    <t>Коврик для мышки Тетрадь смерти Рюк Ryuk ABYACC468</t>
  </si>
  <si>
    <t>ABY618</t>
  </si>
  <si>
    <t>3665361108375</t>
  </si>
  <si>
    <t>ABYACC434</t>
  </si>
  <si>
    <t>Коврик для мышки Черепашки-ниндзя Pizza ABYACC434</t>
  </si>
  <si>
    <t>ABY654</t>
  </si>
  <si>
    <t>3665361087595</t>
  </si>
  <si>
    <t>TMNT</t>
  </si>
  <si>
    <t>Viacom</t>
  </si>
  <si>
    <t>ABYBUS013</t>
  </si>
  <si>
    <t>Копилка Harry Potter Golden Snitch ABYBUS013</t>
  </si>
  <si>
    <t>ABY132</t>
  </si>
  <si>
    <t>3665361011477</t>
  </si>
  <si>
    <t>Warner</t>
  </si>
  <si>
    <t>19,6 / 13,1 / 13,2</t>
  </si>
  <si>
    <t>ABYBUS018</t>
  </si>
  <si>
    <t>Копилка Harry Potter Gringotts ABYBUS018</t>
  </si>
  <si>
    <t>ABY735</t>
  </si>
  <si>
    <t>3665361077596</t>
  </si>
  <si>
    <t>15 / 19,2 / 25,4</t>
  </si>
  <si>
    <t>ABYBUS023</t>
  </si>
  <si>
    <t>Копилка Nightmare Before Xmas Zero ABYBUS023</t>
  </si>
  <si>
    <t>ABY775</t>
  </si>
  <si>
    <t>3665361116394</t>
  </si>
  <si>
    <t>Кошмар перед Рождеством</t>
  </si>
  <si>
    <t>Disney</t>
  </si>
  <si>
    <t>11,2 / 15,3 / 21,5</t>
  </si>
  <si>
    <t>ABYBUS003</t>
  </si>
  <si>
    <t>Копилка Star Wars R2D2 ABYBUS003</t>
  </si>
  <si>
    <t>ABY771</t>
  </si>
  <si>
    <t>3665361081005</t>
  </si>
  <si>
    <t>Звездные войны</t>
  </si>
  <si>
    <t>Lucasfilm</t>
  </si>
  <si>
    <t>17,1 / 19,4 / 21</t>
  </si>
  <si>
    <t>ABYBUS014</t>
  </si>
  <si>
    <t>Копилка Toy Story Hamm ABYBUS014</t>
  </si>
  <si>
    <t>ABY772</t>
  </si>
  <si>
    <t>3665361048688</t>
  </si>
  <si>
    <t>История игрушек</t>
  </si>
  <si>
    <t>14,6 / 24,6 / 14,6</t>
  </si>
  <si>
    <t>ABYBAG275</t>
  </si>
  <si>
    <t>Кошелек Naruto Shippuden Konoha Vinyl ABYBAG275</t>
  </si>
  <si>
    <t>ABY333</t>
  </si>
  <si>
    <t>3700789267720</t>
  </si>
  <si>
    <t>Наруто</t>
  </si>
  <si>
    <t>15,5 / 9,5 / 15</t>
  </si>
  <si>
    <t>ABYMUG352</t>
  </si>
  <si>
    <t>Кружка 3D с крышкой Assassination Classroom Koro Sensei 500ml ABYMUG352</t>
  </si>
  <si>
    <t>ABY264</t>
  </si>
  <si>
    <t>3700789247883</t>
  </si>
  <si>
    <t>15,3 / 18 / 15,1</t>
  </si>
  <si>
    <t>ABYMUG447</t>
  </si>
  <si>
    <t>Кружка 3D с крышкой Harry Potter Sorting Hat 300 ml ABYMUG447</t>
  </si>
  <si>
    <t>ABY70</t>
  </si>
  <si>
    <t>3700789267942</t>
  </si>
  <si>
    <t>18,5 / 15,5 / 15</t>
  </si>
  <si>
    <t>ABYMUG525</t>
  </si>
  <si>
    <t>Кружка 3D с крышкой Sailor Moon Luna 350ml ABYMUG525</t>
  </si>
  <si>
    <t>ABY75</t>
  </si>
  <si>
    <t>3700789284475</t>
  </si>
  <si>
    <t>13,4 / 11,3 / 9,4</t>
  </si>
  <si>
    <t>ABYMUGA233</t>
  </si>
  <si>
    <t>Кружка Cthulhu Necronomicon Matte 320 мл ABYMUGA233</t>
  </si>
  <si>
    <t>ABY630</t>
  </si>
  <si>
    <t>3665361104612</t>
  </si>
  <si>
    <t>11 / 11,5 / 9</t>
  </si>
  <si>
    <t>MG2366</t>
  </si>
  <si>
    <t>Кружка Death Note Characters 320 мл MG2366</t>
  </si>
  <si>
    <t>ABY646</t>
  </si>
  <si>
    <t>5028486385997</t>
  </si>
  <si>
    <t>ABYMUGA363</t>
  </si>
  <si>
    <t>Кружка Death Note Deadly couple 320 мл ABYMUGA363</t>
  </si>
  <si>
    <t>ABY633</t>
  </si>
  <si>
    <t>3665361122869</t>
  </si>
  <si>
    <t>ABYMUGA299</t>
  </si>
  <si>
    <t>Кружка Junji Ito Fuchi 320 мл ABYMUGA299</t>
  </si>
  <si>
    <t>ABY632</t>
  </si>
  <si>
    <t>3665361113157</t>
  </si>
  <si>
    <t>ABYMUG860</t>
  </si>
  <si>
    <t>Кружка Junji Ito Mug 320 ml Collection subli with box x2 ABYMUG860</t>
  </si>
  <si>
    <t>ABY415</t>
  </si>
  <si>
    <t>3665361056157</t>
  </si>
  <si>
    <t>18 / 15 / 15</t>
  </si>
  <si>
    <t>ABYMUG859</t>
  </si>
  <si>
    <t>Кружка Junji Ito Mug 320 ml Slug Girl subli with box x2 ABYMUG859</t>
  </si>
  <si>
    <t>ABY414</t>
  </si>
  <si>
    <t>3665361056188</t>
  </si>
  <si>
    <t>ABYMUGA070</t>
  </si>
  <si>
    <t>Кружка Junji Ito Souichi's Curse 460 мл ABYMUGA070</t>
  </si>
  <si>
    <t>ABY628</t>
  </si>
  <si>
    <t>3665361074441</t>
  </si>
  <si>
    <t>13,5 / 11,5 / 9,5</t>
  </si>
  <si>
    <t>ABYMUGA270</t>
  </si>
  <si>
    <t>Кружка Junji Ito The Boy at the Crossroads 320 мл ABYMUGA270</t>
  </si>
  <si>
    <t>ABY631</t>
  </si>
  <si>
    <t>3665361110453</t>
  </si>
  <si>
    <t>ABYMUGA400</t>
  </si>
  <si>
    <t>Кружка Skyrim Map 320 мл ABYMUGA400</t>
  </si>
  <si>
    <t>ABY634</t>
  </si>
  <si>
    <t>3665361132806</t>
  </si>
  <si>
    <t>Skyrim</t>
  </si>
  <si>
    <t>Bethesda</t>
  </si>
  <si>
    <t>ABYMUGA368</t>
  </si>
  <si>
    <t>Кружка из доломита с 3D ручкой Pokemon Pokeball 460 мл ABYMUGA368</t>
  </si>
  <si>
    <t>ABY747</t>
  </si>
  <si>
    <t>3665361124214</t>
  </si>
  <si>
    <t>Покемон</t>
  </si>
  <si>
    <t>15 / 17 / 11</t>
  </si>
  <si>
    <t>ABYMUG817</t>
  </si>
  <si>
    <t>Кружка керамическая Back to the Future DeLorean Time Machine 320 мл ABYMUG817</t>
  </si>
  <si>
    <t>ABY756</t>
  </si>
  <si>
    <t>3665361045441</t>
  </si>
  <si>
    <t>15,5 / 9 / 9</t>
  </si>
  <si>
    <t>ABYMUGA473</t>
  </si>
  <si>
    <t>Кружка керамическая Death Note 320 мл X2 ABYMUGA473</t>
  </si>
  <si>
    <t>ABY741</t>
  </si>
  <si>
    <t>3665361141532</t>
  </si>
  <si>
    <t>ABYMUGA353</t>
  </si>
  <si>
    <t>Кружка керамическая Diablo Mug 320 мл Diablo IV subli with box x2 ABYMUGA353</t>
  </si>
  <si>
    <t>ABY700</t>
  </si>
  <si>
    <t>3665361121268</t>
  </si>
  <si>
    <t>ABYMUGA352</t>
  </si>
  <si>
    <t>Кружка керамическая Diablo Mug 320 мл Lilith subli with box x2 ABYMUGA352</t>
  </si>
  <si>
    <t>ABY699</t>
  </si>
  <si>
    <t>3665361121251</t>
  </si>
  <si>
    <t>MG2052</t>
  </si>
  <si>
    <t>Кружка керамическая Five Nights At Freddy's Mug 320 мл Sisters subli MG2052</t>
  </si>
  <si>
    <t>ABY487</t>
  </si>
  <si>
    <t>5028486378715</t>
  </si>
  <si>
    <t>ФНАФ</t>
  </si>
  <si>
    <t>Five Nights at Freddy's</t>
  </si>
  <si>
    <t>11,2 / 11,3 / 8,6</t>
  </si>
  <si>
    <t>ABYMUG960</t>
  </si>
  <si>
    <t>Кружка керамическая Fullmetal Alchemist Mug 320 мл Heroes &amp; Pride ABYMUG960</t>
  </si>
  <si>
    <t>ABY431</t>
  </si>
  <si>
    <t>3665361063568</t>
  </si>
  <si>
    <t>Стальной Алхимик</t>
  </si>
  <si>
    <t>ABYMUGA395</t>
  </si>
  <si>
    <t>Кружка керамическая God Of War Mug 320 мл Kratos and Atreus subli box ABYMUGA395</t>
  </si>
  <si>
    <t>ABY703</t>
  </si>
  <si>
    <t>3665361132301</t>
  </si>
  <si>
    <t>God of War</t>
  </si>
  <si>
    <t>ABYMUGA094</t>
  </si>
  <si>
    <t>Кружка керамическая Hunter X Hunter Mug 460 мл Gon's group with box x2 ABYMUGA094</t>
  </si>
  <si>
    <t>ABY713</t>
  </si>
  <si>
    <t>3665361077084</t>
  </si>
  <si>
    <t>Hunter Х Hunter</t>
  </si>
  <si>
    <t>12,5 / 13,5 / 9,5</t>
  </si>
  <si>
    <t>ABYMUG490</t>
  </si>
  <si>
    <t>Кружка керамическая Jojo's Bizarre Adventure Mug 320 мл Duel subli ABYMUG490</t>
  </si>
  <si>
    <t>ABY571</t>
  </si>
  <si>
    <t>3700789278559</t>
  </si>
  <si>
    <t>Jojo`s Bizarre Adventure</t>
  </si>
  <si>
    <t>11,8 / 8,4 / 10</t>
  </si>
  <si>
    <t>ABYMUGA213</t>
  </si>
  <si>
    <t>Кружка керамическая ONE PIECE Kruus Concert 320 мл ABYMUGA213</t>
  </si>
  <si>
    <t>ABY744</t>
  </si>
  <si>
    <t>3665361101000</t>
  </si>
  <si>
    <t>11,5 / 10,5 / 9</t>
  </si>
  <si>
    <t>ABYMUGA451</t>
  </si>
  <si>
    <t>Кружка керамическая ONE PIECE Luffy &amp; Skull 460 мл ABYMUGA451</t>
  </si>
  <si>
    <t>ABY746</t>
  </si>
  <si>
    <t>3665361139836</t>
  </si>
  <si>
    <t>12,5 / 12 / 9,5</t>
  </si>
  <si>
    <t>ABYMUG775</t>
  </si>
  <si>
    <t>Кружка керамическая ONE PIECE Mug 320 мл Luffy's crew japanese style subli ABYMUG775</t>
  </si>
  <si>
    <t>ABY652</t>
  </si>
  <si>
    <t>3665361037392</t>
  </si>
  <si>
    <t>ABYMUGA304</t>
  </si>
  <si>
    <t>Кружка керамическая ONE PIECE Mug 320 мл Wano Chopper subli box x2 ABYMUGA304</t>
  </si>
  <si>
    <t>ABY696</t>
  </si>
  <si>
    <t>3665361113911</t>
  </si>
  <si>
    <t>ABYMUG774</t>
  </si>
  <si>
    <t>Кружка керамическая ONE PIECE Mug Luffy's Crew 320 мл ABYMUG774</t>
  </si>
  <si>
    <t>ABY757</t>
  </si>
  <si>
    <t>3665361037385</t>
  </si>
  <si>
    <t>ABYMUGA231</t>
  </si>
  <si>
    <t>Кружка керамическая Sonic Mug 320 мл Sonic &amp; Knuckles subli With box x2 ABYMUGA231</t>
  </si>
  <si>
    <t>ABY693</t>
  </si>
  <si>
    <t>3665361104131</t>
  </si>
  <si>
    <t>ABYMUGA105</t>
  </si>
  <si>
    <t>Кружка керамическая Sonic Mug 320 мл Sonic subli With box x2 ABYMUGA105</t>
  </si>
  <si>
    <t>ABY689</t>
  </si>
  <si>
    <t>3665361078579</t>
  </si>
  <si>
    <t>MG3548</t>
  </si>
  <si>
    <t>Кружка керамическая The Last Of Us Part II Mug 320 мл Ellie Face subli MG3548</t>
  </si>
  <si>
    <t>ABY511</t>
  </si>
  <si>
    <t>5028486425624</t>
  </si>
  <si>
    <t>Last Of Us</t>
  </si>
  <si>
    <t>11,1 / 8,7 / 10</t>
  </si>
  <si>
    <t>MG2829</t>
  </si>
  <si>
    <t>Кружка керамическая The Last Of Us Part II Mug 320 мл Firefly subli box MG2829</t>
  </si>
  <si>
    <t>ABY706</t>
  </si>
  <si>
    <t>5028486398003</t>
  </si>
  <si>
    <t>ABYMUGA061</t>
  </si>
  <si>
    <t>Кружка керамическая The Seven Deadly Sins Mug 320 мл Hawk subli with ABYMUGA061</t>
  </si>
  <si>
    <t>ABY688</t>
  </si>
  <si>
    <t>3665361079453</t>
  </si>
  <si>
    <t>ABYMUGA208</t>
  </si>
  <si>
    <t>Кружка керамическая The Seven Deadly Sins Mug 320 мл Meliodas,Ban &amp; King ABYMUGA208</t>
  </si>
  <si>
    <t>ABY692</t>
  </si>
  <si>
    <t>3665361100508</t>
  </si>
  <si>
    <t>ABYMUGA064</t>
  </si>
  <si>
    <t>Кружка керамическая The Seven Deadly Sins Mug 460 мл Chibi sins box x2 ABYMUGA064</t>
  </si>
  <si>
    <t>ABY712</t>
  </si>
  <si>
    <t>3665361079750</t>
  </si>
  <si>
    <t>MG3263</t>
  </si>
  <si>
    <t>Кружка керамическая Tokyo Ghoul RE Mug 320 мл Mask subli box x2 MG3263</t>
  </si>
  <si>
    <t>ABY512</t>
  </si>
  <si>
    <t>5028486412181</t>
  </si>
  <si>
    <t>11,2 / 8,7 / 10,4</t>
  </si>
  <si>
    <t>ABYMUGA357</t>
  </si>
  <si>
    <t>Кружка керамическая Tokyo Revengers Mug 320 мл Baji &amp; Chifuyu subli x2 ABYMUGA357</t>
  </si>
  <si>
    <t>ABY701</t>
  </si>
  <si>
    <t>3665361122593</t>
  </si>
  <si>
    <t>Токийские мстители</t>
  </si>
  <si>
    <t>ABYMUGA358</t>
  </si>
  <si>
    <t>Кружка керамическая Tokyo Revengers Mug 320 мл Draken, Takemichi &amp; Mikey ABYMUGA358</t>
  </si>
  <si>
    <t>ABY702</t>
  </si>
  <si>
    <t>3665361122609</t>
  </si>
  <si>
    <t>ABYMUGA141</t>
  </si>
  <si>
    <t>Кружка керамическая Yu Yu Hakusho Mug 320 мл Group subli box x2 ABYMUGA141</t>
  </si>
  <si>
    <t>ABY690</t>
  </si>
  <si>
    <t>3665361084990</t>
  </si>
  <si>
    <t>ABYMUGA165</t>
  </si>
  <si>
    <t>Кружка керамическая Yu Yu Hakusho Mug 320 мл Heroes subli box x2 ABYMUGA165</t>
  </si>
  <si>
    <t>ABY691</t>
  </si>
  <si>
    <t>3665361087755</t>
  </si>
  <si>
    <t>ABYMUGA212</t>
  </si>
  <si>
    <t>Кружка керамическая с 3D ручкой Клинок рассекающий демонов Tanjiro 460 мл ABYMUGA212</t>
  </si>
  <si>
    <t>ABY751</t>
  </si>
  <si>
    <t>3665361100997</t>
  </si>
  <si>
    <t>Клинок рассекающий демонов</t>
  </si>
  <si>
    <t>ABYMUGA257</t>
  </si>
  <si>
    <t>Кружка керамическая Черепашки-ниндзя Raphael &amp; Michelangelo x2 320мл ABYMUGA257</t>
  </si>
  <si>
    <t>ABY695</t>
  </si>
  <si>
    <t>3665361109129</t>
  </si>
  <si>
    <t>10 / 11,5 / 8,5</t>
  </si>
  <si>
    <t>GLF0011</t>
  </si>
  <si>
    <t>Кружка стеклянная Skyrim Dragon Symbol GLF0011</t>
  </si>
  <si>
    <t>ABY644</t>
  </si>
  <si>
    <t>5028486377398</t>
  </si>
  <si>
    <t>15,9 / 12 / 9</t>
  </si>
  <si>
    <t>ABYMUGA069</t>
  </si>
  <si>
    <t>Кружка Хамелеон Junji Ito Honored Ancestor 460 мл ABYMUGA069</t>
  </si>
  <si>
    <t>ABY627</t>
  </si>
  <si>
    <t>3665361074434</t>
  </si>
  <si>
    <t>ABYMUGA341</t>
  </si>
  <si>
    <t>Кружка хамелеон Pokemon Evolve 460мл ABYMUGA341</t>
  </si>
  <si>
    <t>ABY782</t>
  </si>
  <si>
    <t>3665361115908</t>
  </si>
  <si>
    <t>ABYMUG577</t>
  </si>
  <si>
    <t>Кружка Хамелеон Моя геройская академия 460мл ABYMUG577</t>
  </si>
  <si>
    <t>ABY439</t>
  </si>
  <si>
    <t>3665361001898</t>
  </si>
  <si>
    <t>Моя геройская академия</t>
  </si>
  <si>
    <t>ABYTAB076</t>
  </si>
  <si>
    <t>Ланчбокс Контейнер Death Note Kira vs L ABYTAB076</t>
  </si>
  <si>
    <t>ABY637</t>
  </si>
  <si>
    <t>3665361106142</t>
  </si>
  <si>
    <t>20 / 11 / 6</t>
  </si>
  <si>
    <t>BP0700</t>
  </si>
  <si>
    <t>Набор значков Five Nights At Freddy's BP0700</t>
  </si>
  <si>
    <t>ABY796</t>
  </si>
  <si>
    <t>5028486377008</t>
  </si>
  <si>
    <t>16 / 7 / 0,1</t>
  </si>
  <si>
    <t>BP0781</t>
  </si>
  <si>
    <t>Набор значков Jojo's Bizarre Adventure BP0781</t>
  </si>
  <si>
    <t>ABY797</t>
  </si>
  <si>
    <t>5028486416066</t>
  </si>
  <si>
    <t>ABYACC484</t>
  </si>
  <si>
    <t>Набор значков Puella Magi Madoka Magica ABYACC484</t>
  </si>
  <si>
    <t>ABY766</t>
  </si>
  <si>
    <t>3665361114383</t>
  </si>
  <si>
    <t>11 / 10,5 / 0,5</t>
  </si>
  <si>
    <t>BP0619</t>
  </si>
  <si>
    <t>Набор значков Sailor Moon BP0619</t>
  </si>
  <si>
    <t>ABY795</t>
  </si>
  <si>
    <t>5028486331567</t>
  </si>
  <si>
    <t>BP0823</t>
  </si>
  <si>
    <t>Набор значков The Seven Deadly Sins Badge Pack Mix X4 BP0823</t>
  </si>
  <si>
    <t>ABY668</t>
  </si>
  <si>
    <t>5028486489534</t>
  </si>
  <si>
    <t>16 / 11,5 / 10,5</t>
  </si>
  <si>
    <t>BP0651</t>
  </si>
  <si>
    <t>Набор значков Tokyo Ghoul Badge Pack Mix X4 BP0651</t>
  </si>
  <si>
    <t>ABY667</t>
  </si>
  <si>
    <t>5028486338597</t>
  </si>
  <si>
    <t>11,1 / 10,5 / 0,3</t>
  </si>
  <si>
    <t>ABYPCK257</t>
  </si>
  <si>
    <t>Набор Клинок рассекающий демонов Tanjiro (кружка керамическая 320 мл, брелок, записная книжка А6) AB</t>
  </si>
  <si>
    <t>ABY748</t>
  </si>
  <si>
    <t>3665361078210</t>
  </si>
  <si>
    <t>22 / 21 / 10</t>
  </si>
  <si>
    <t>GFB0075</t>
  </si>
  <si>
    <t>Набор подарочный  PlayStation Classic 2019 Бокал + Кружка + Подставки 2шт GFB0075</t>
  </si>
  <si>
    <t>ABY586</t>
  </si>
  <si>
    <t>5028486417131</t>
  </si>
  <si>
    <t>Playstation</t>
  </si>
  <si>
    <t>10,4 / 22 / 16,6</t>
  </si>
  <si>
    <t>GBYPCK003</t>
  </si>
  <si>
    <t>Набор подарочный Ac/Dc Кружка 320мл+Акриловая фигурка+Значки GBYPCK003</t>
  </si>
  <si>
    <t>ABY799</t>
  </si>
  <si>
    <t>3665361131960</t>
  </si>
  <si>
    <t>Rocks</t>
  </si>
  <si>
    <t>17 / 27,5 / 12,8</t>
  </si>
  <si>
    <t>ABYPCK252</t>
  </si>
  <si>
    <t>Набор подарочный Friends Central Park Стакан 400мл+Значок+Записная книжка ABYPCK252</t>
  </si>
  <si>
    <t>ABY787</t>
  </si>
  <si>
    <t>3665361078074</t>
  </si>
  <si>
    <t>Друзья</t>
  </si>
  <si>
    <t>10,5 / 22,2 / 20</t>
  </si>
  <si>
    <t>GFB0099</t>
  </si>
  <si>
    <t>Набор подарочный Friends Doodle Стакан+Кружка+Подстаканники GFB0099</t>
  </si>
  <si>
    <t>ABY801</t>
  </si>
  <si>
    <t>5028486485352</t>
  </si>
  <si>
    <t>16,5 / 22 / 10,5</t>
  </si>
  <si>
    <t>ABYPCK165</t>
  </si>
  <si>
    <t>Набор подарочный Game Of Thrones Targaryen Кружка 250мл+Брелок+Блокнот ABYPCK165</t>
  </si>
  <si>
    <t>ABY784</t>
  </si>
  <si>
    <t>3665361010524</t>
  </si>
  <si>
    <t>Игра Престолов</t>
  </si>
  <si>
    <t>HBO</t>
  </si>
  <si>
    <t>10,3 / 22,3 / 21,2</t>
  </si>
  <si>
    <t>ABYPCK249</t>
  </si>
  <si>
    <t>Набор подарочный Harry Potter Harry Ron Hermione Кружка 320мл+Брелок+Блокнот ABYPCK249</t>
  </si>
  <si>
    <t>ABY785</t>
  </si>
  <si>
    <t>3665361078081</t>
  </si>
  <si>
    <t>10,1 / 22,3 / 21</t>
  </si>
  <si>
    <t>ABYPCK281</t>
  </si>
  <si>
    <t>Набор подарочный Harry Potter Hogwarts Кружка 320мл+Акриловая фигурка+Открытки ABYPCK281</t>
  </si>
  <si>
    <t>ABY789</t>
  </si>
  <si>
    <t>3665361131885</t>
  </si>
  <si>
    <t>GFB0098</t>
  </si>
  <si>
    <t>Набор подарочный Harry Potter Together Стакан+Кружка+Подстаканники GFB0098</t>
  </si>
  <si>
    <t>ABY800</t>
  </si>
  <si>
    <t>5028486485628</t>
  </si>
  <si>
    <t>ABYPCK215</t>
  </si>
  <si>
    <t>Набор подарочный League Of Legends Hextech logo Бокал 400ml + значок + Записная книжка ABYPCK215</t>
  </si>
  <si>
    <t>ABY538</t>
  </si>
  <si>
    <t>3665361058144</t>
  </si>
  <si>
    <t>League of Legends</t>
  </si>
  <si>
    <t>Games</t>
  </si>
  <si>
    <t>22 / 20,1 / 10</t>
  </si>
  <si>
    <t>ABYPCK267</t>
  </si>
  <si>
    <t>Набор подарочный League Of Legends Hextech Logo Стакан 400мл+Значок+Записная книжка ABYPCK267</t>
  </si>
  <si>
    <t>ABY788</t>
  </si>
  <si>
    <t>3665361079927</t>
  </si>
  <si>
    <t>20 / 22 / 10</t>
  </si>
  <si>
    <t>ABYPCK283</t>
  </si>
  <si>
    <t>Набор подарочный ONE PIECE Кружка 320мл + Акриловая фигурка + Открытки Luffy ABYPCK283</t>
  </si>
  <si>
    <t>ABY723</t>
  </si>
  <si>
    <t>3665361131908</t>
  </si>
  <si>
    <t>27 / 16,5 / 12,5</t>
  </si>
  <si>
    <t>ABYPCK286</t>
  </si>
  <si>
    <t>Набор подарочный Pokemon Pikachu Блокнот А5+Кружка 320мл+Открытки ABYPCK286</t>
  </si>
  <si>
    <t>ABY790</t>
  </si>
  <si>
    <t>3665361131939</t>
  </si>
  <si>
    <t>12,8 / 27,5 / 16,8</t>
  </si>
  <si>
    <t>ABYPCK284</t>
  </si>
  <si>
    <t>Набор подарочный Клинок рассекающий демонов Стакан с трубочкой 470 мл + Акриловая фигурка + Наклейки</t>
  </si>
  <si>
    <t>ABY724</t>
  </si>
  <si>
    <t>3665361131915</t>
  </si>
  <si>
    <t>16,5 / 27,5 / 12,5</t>
  </si>
  <si>
    <t>ABYVER202</t>
  </si>
  <si>
    <t>Набор рюмок Junji Ito Junji Ito ABYVER202</t>
  </si>
  <si>
    <t>ABY642</t>
  </si>
  <si>
    <t>3665361074335</t>
  </si>
  <si>
    <t>7 / 23,5 / 6</t>
  </si>
  <si>
    <t>ABYVER189</t>
  </si>
  <si>
    <t>Набор стаканов One Piece 290мл 3шт ABYVER189</t>
  </si>
  <si>
    <t>ABY792</t>
  </si>
  <si>
    <t>3665361066910</t>
  </si>
  <si>
    <t>7,5 / 19,8 / 15,4</t>
  </si>
  <si>
    <t>ABYVER285</t>
  </si>
  <si>
    <t>Набор стаканов One Piece Luffy &amp; Ace Europe 300мл 2шт ABYVER285</t>
  </si>
  <si>
    <t>ABY793</t>
  </si>
  <si>
    <t>3665361140580</t>
  </si>
  <si>
    <t>20 / 12 / 11,5</t>
  </si>
  <si>
    <t>ABYJDP016</t>
  </si>
  <si>
    <t>Пазл Hatsune Miku Jigsaw 1000 элементов ABYJDP016</t>
  </si>
  <si>
    <t>ABY779</t>
  </si>
  <si>
    <t>3665361119005</t>
  </si>
  <si>
    <t>3,8 / 22,8 / 33,2</t>
  </si>
  <si>
    <t>ABYJDP017</t>
  </si>
  <si>
    <t>Пазл Junji Ito Tomie 1000 элементов ABYJDP017</t>
  </si>
  <si>
    <t>ABY622</t>
  </si>
  <si>
    <t>3665361123309</t>
  </si>
  <si>
    <t>33 / 23 / 4</t>
  </si>
  <si>
    <t>ABYPCK251</t>
  </si>
  <si>
    <t>Подарочный набор Гарри Поттер (Кружка керамическая 3d, Брелок 3d, Значок) ABYPCK251</t>
  </si>
  <si>
    <t>ABY742</t>
  </si>
  <si>
    <t>3665361078104</t>
  </si>
  <si>
    <t>16 / 25,2 / 12,2</t>
  </si>
  <si>
    <t>ABYVER291</t>
  </si>
  <si>
    <t>Стакан Hatsune Miku Musical City 400мл ABYVER291</t>
  </si>
  <si>
    <t>ABY794</t>
  </si>
  <si>
    <t>3665361081166</t>
  </si>
  <si>
    <t>9,2 / 9,4 / 15,5</t>
  </si>
  <si>
    <t>ABYTUM050</t>
  </si>
  <si>
    <t>Стакан с крышкой и трубочкой Junji Ito Chibi Art 470 мл ABYTUM050</t>
  </si>
  <si>
    <t>ABY639</t>
  </si>
  <si>
    <t>3665361074328</t>
  </si>
  <si>
    <t>24,5 / 11 / 11</t>
  </si>
  <si>
    <t>ABYTUM041</t>
  </si>
  <si>
    <t>Стакан с крышкой Клинок рассекающий демонов Tumbler with straw 470мл Group ABYTUM041</t>
  </si>
  <si>
    <t>ABY726</t>
  </si>
  <si>
    <t>3665361074724</t>
  </si>
  <si>
    <t>ABYVER174</t>
  </si>
  <si>
    <t>Стакан стеклянный Клинок рассекающий демонов Kimetsu no Yaiba 400 мл ABYVER174</t>
  </si>
  <si>
    <t>ABY759</t>
  </si>
  <si>
    <t>3665361064756</t>
  </si>
  <si>
    <t>ABYFIG010</t>
  </si>
  <si>
    <t>Фигурка Death Note l x2 ABYFIG010</t>
  </si>
  <si>
    <t>ABY332</t>
  </si>
  <si>
    <t>3665361031185</t>
  </si>
  <si>
    <t>24,1 / 16,1 / 10,1</t>
  </si>
  <si>
    <t>Фигурки</t>
  </si>
  <si>
    <t>ABYFIG007</t>
  </si>
  <si>
    <t>Фигурка Death Note Ryuk ABYFIG007</t>
  </si>
  <si>
    <t>ABY579</t>
  </si>
  <si>
    <t>3665361021148</t>
  </si>
  <si>
    <t>14,2 / 24 / 33,9</t>
  </si>
  <si>
    <t>ABYFIG065</t>
  </si>
  <si>
    <t>Фигурка Disney Mushu x2 11см ABYFIG065</t>
  </si>
  <si>
    <t>ABY803</t>
  </si>
  <si>
    <t>3665361104995</t>
  </si>
  <si>
    <t>Мулан</t>
  </si>
  <si>
    <t>15 / 15,3 / 15</t>
  </si>
  <si>
    <t>ABYFIG042</t>
  </si>
  <si>
    <t>Фигурка Disney Алиса в Стране чудес Cheshire Cat 11см ABYFIG042</t>
  </si>
  <si>
    <t>ABY762</t>
  </si>
  <si>
    <t>3665361083733</t>
  </si>
  <si>
    <t>Алиса в стране чудес</t>
  </si>
  <si>
    <t>15,1 / 15,1 / 15,1</t>
  </si>
  <si>
    <t>ABYFIG043</t>
  </si>
  <si>
    <t>Фигурка Disney Алиса в Стране чудес White rabbit 10см ABYFIG043</t>
  </si>
  <si>
    <t>ABY763</t>
  </si>
  <si>
    <t>3665361083740</t>
  </si>
  <si>
    <t>ABYFIG041</t>
  </si>
  <si>
    <t>Фигурка Disney Красавица и Чудовище Lumière 15см ABYFIG041</t>
  </si>
  <si>
    <t>ABY761</t>
  </si>
  <si>
    <t>3665361083726</t>
  </si>
  <si>
    <t>Красавица и чудовище</t>
  </si>
  <si>
    <t>ABYFIG060</t>
  </si>
  <si>
    <t>Фигурка Disney Микки Маус 15см ABYFIG060</t>
  </si>
  <si>
    <t>ABY764</t>
  </si>
  <si>
    <t>3665361104919</t>
  </si>
  <si>
    <t>Mickey Mouse &amp; Friends</t>
  </si>
  <si>
    <t>ABYFIG061</t>
  </si>
  <si>
    <t>Фигурка Disney Минни Маус 15см ABYFIG061</t>
  </si>
  <si>
    <t>ABY765</t>
  </si>
  <si>
    <t>3665361104933</t>
  </si>
  <si>
    <t>15 / 15 / 16</t>
  </si>
  <si>
    <t>ABYFIG047</t>
  </si>
  <si>
    <t>Фигурка GTO Figurine Onizuka x2 ABYFIG047</t>
  </si>
  <si>
    <t>ABY678</t>
  </si>
  <si>
    <t>3665361083788</t>
  </si>
  <si>
    <t>10 / 16 / 24</t>
  </si>
  <si>
    <t>ABYFIG104</t>
  </si>
  <si>
    <t>Фигурка Harry Potter Dobby x2 15см ABYFIG104</t>
  </si>
  <si>
    <t>ABY804</t>
  </si>
  <si>
    <t>3665361109662</t>
  </si>
  <si>
    <t>ABYFIG017</t>
  </si>
  <si>
    <t>Фигурка Hunter X Hunter Figurine Hisoka x2 ABYFIG017</t>
  </si>
  <si>
    <t>ABY577</t>
  </si>
  <si>
    <t>3665361054436</t>
  </si>
  <si>
    <t>ABYFIG029</t>
  </si>
  <si>
    <t>Фигурка Hunter X Hunter Gon x2 24см ABYFIG029</t>
  </si>
  <si>
    <t>ABY671</t>
  </si>
  <si>
    <t>3665361068730</t>
  </si>
  <si>
    <t>ABYFIG046</t>
  </si>
  <si>
    <t>Фигурка Inspector Gadget ABYFIG046</t>
  </si>
  <si>
    <t>ABY776</t>
  </si>
  <si>
    <t>3665361083771</t>
  </si>
  <si>
    <t>Animation</t>
  </si>
  <si>
    <t>24 / 16,5 / 9,5</t>
  </si>
  <si>
    <t>ABYFIG133</t>
  </si>
  <si>
    <t>Фигурка Nightmare Before Christmas Jack scary smiling face x2 20см ABYFIG133</t>
  </si>
  <si>
    <t>ABY805</t>
  </si>
  <si>
    <t>3665361139287</t>
  </si>
  <si>
    <t>14 / 16,3 / 24</t>
  </si>
  <si>
    <t>ABYFIG033</t>
  </si>
  <si>
    <t>Фигурка Yu Yu Hakusho Figurine Hiei x2 24см ABYFIG033</t>
  </si>
  <si>
    <t>ABY674</t>
  </si>
  <si>
    <t>3665361068808</t>
  </si>
  <si>
    <t>ABYFIG034</t>
  </si>
  <si>
    <t>Фигурка Yu Yu Hakusho Figurine Yusuke x2 24см ABYFIG034</t>
  </si>
  <si>
    <t>ABY675</t>
  </si>
  <si>
    <t>3665361068815</t>
  </si>
  <si>
    <t>24 / 16 / 14</t>
  </si>
  <si>
    <t>ABYFIG038</t>
  </si>
  <si>
    <t>Фигурка Кошмар перед Рождеством Zero x2 15см ABYFIG038</t>
  </si>
  <si>
    <t>ABY677</t>
  </si>
  <si>
    <t>3665361082842</t>
  </si>
  <si>
    <t>15 / 15 / 15</t>
  </si>
  <si>
    <t>ABYFIG073</t>
  </si>
  <si>
    <t>Фигурка Магическая битва Jujutsu Kaisen Itadori X2 24см ABYFIG073</t>
  </si>
  <si>
    <t>ABY737</t>
  </si>
  <si>
    <t>3665361105091</t>
  </si>
  <si>
    <t>14 / 16,2 / 24,2</t>
  </si>
  <si>
    <t>ABYFIG022</t>
  </si>
  <si>
    <t>Фигурка Тетрадь смерти Light 24 см ABYFIG022</t>
  </si>
  <si>
    <t>ABY621</t>
  </si>
  <si>
    <t>3665361067139</t>
  </si>
  <si>
    <t>ABYFIG098</t>
  </si>
  <si>
    <t>Фигурка Черепашки-ниндзя Donatello ABYFIG098</t>
  </si>
  <si>
    <t>ABY778</t>
  </si>
  <si>
    <t>3665361105411</t>
  </si>
  <si>
    <t>24,2 / 16 / 14</t>
  </si>
  <si>
    <t>ABYFIG097</t>
  </si>
  <si>
    <t>Фигурка Черепашки-ниндзя Leonardo x2 24см ABYFIG097</t>
  </si>
  <si>
    <t>ABY649</t>
  </si>
  <si>
    <t>3665361105404</t>
  </si>
  <si>
    <t>ABYFIG096</t>
  </si>
  <si>
    <t>Фигурка Черепашки-ниндзя Michelangelo x2 24см ABYFIG096</t>
  </si>
  <si>
    <t>ABY648</t>
  </si>
  <si>
    <t>3665361105398</t>
  </si>
  <si>
    <t>ABYFIG095</t>
  </si>
  <si>
    <t>Фигурка Черепашки-ниндзя Raphael ABYFIG095</t>
  </si>
  <si>
    <t>ABY777</t>
  </si>
  <si>
    <t>3665361105381</t>
  </si>
  <si>
    <t>Alexander</t>
  </si>
  <si>
    <t>Конструктор металлический Metalcraft DIY 3D Гитара красная 5906018029420</t>
  </si>
  <si>
    <t>ALX1</t>
  </si>
  <si>
    <t>5906018029420</t>
  </si>
  <si>
    <t>Hobby</t>
  </si>
  <si>
    <t>24 / 9,5 / 9</t>
  </si>
  <si>
    <t>Конструктор металлический Metalcraft DIY 3D Гитара красная 5906018029727</t>
  </si>
  <si>
    <t>ALX2</t>
  </si>
  <si>
    <t>5906018029727</t>
  </si>
  <si>
    <t>Конструктор металлический Metalcraft DIY 3D Гитара черная 5906018029437</t>
  </si>
  <si>
    <t>ALX3</t>
  </si>
  <si>
    <t>5906018029437</t>
  </si>
  <si>
    <t>Конструктор металлический Metalcraft DIY 3D Гитара черная 5906018029475</t>
  </si>
  <si>
    <t>ALX4</t>
  </si>
  <si>
    <t>5906018029475</t>
  </si>
  <si>
    <t>Конструктор металлический Metalcraft DIY 3D Микрофон черный 5906018029949</t>
  </si>
  <si>
    <t>ALX5</t>
  </si>
  <si>
    <t>5906018029949</t>
  </si>
  <si>
    <t>Конструктор металлический Metalcraft DIY 3D Фотоаппарат черный 5906018029956</t>
  </si>
  <si>
    <t>ALX6</t>
  </si>
  <si>
    <t>5906018029956</t>
  </si>
  <si>
    <t>Конструктор металлический Metalcraft DIY 3D Фотоаппарат черный 5906018029963</t>
  </si>
  <si>
    <t>ALX7</t>
  </si>
  <si>
    <t>5906018029963</t>
  </si>
  <si>
    <t>Aquarius</t>
  </si>
  <si>
    <t>Игральные карты Пятница 13 105164</t>
  </si>
  <si>
    <t>AQ7</t>
  </si>
  <si>
    <t>0840391105164</t>
  </si>
  <si>
    <t>Movie</t>
  </si>
  <si>
    <t>1,5 / 6,5 / 9</t>
  </si>
  <si>
    <t>Artplays мерч</t>
  </si>
  <si>
    <t>ARTM230</t>
  </si>
  <si>
    <t>Блокнот A6. 40л. Магическая битва Ремен Сукун</t>
  </si>
  <si>
    <t>4609639570036</t>
  </si>
  <si>
    <t>0,5 / 10,6 / 15</t>
  </si>
  <si>
    <t>ARTM252</t>
  </si>
  <si>
    <t>Блокнот Истребитель демонов A6. 40л.</t>
  </si>
  <si>
    <t>4609639570265</t>
  </si>
  <si>
    <t>ARTM197</t>
  </si>
  <si>
    <t>Блокнот Человек-бензопила Дэнджи A6. 40л.</t>
  </si>
  <si>
    <t>4609639569726</t>
  </si>
  <si>
    <t>ARTM7</t>
  </si>
  <si>
    <t>Брелок Nezuko Kamado</t>
  </si>
  <si>
    <t>4609639568958</t>
  </si>
  <si>
    <t>17,4 / 8,9 / 0,3</t>
  </si>
  <si>
    <t>ARTM6</t>
  </si>
  <si>
    <t>Брелок Tanjiro Kamado</t>
  </si>
  <si>
    <t>4609639568941</t>
  </si>
  <si>
    <t>ARTM175</t>
  </si>
  <si>
    <t>Брелок Tanjiro Kamado CHIBI</t>
  </si>
  <si>
    <t>4609639569382</t>
  </si>
  <si>
    <t>ARTM206</t>
  </si>
  <si>
    <t>Брелок Человек-бензопила Чиби Дэнджи</t>
  </si>
  <si>
    <t>4609639569825</t>
  </si>
  <si>
    <t>17 / 10 / 0,3</t>
  </si>
  <si>
    <t>ARTM205</t>
  </si>
  <si>
    <t>Брелок Человек-бензопила Чиби Пауэр</t>
  </si>
  <si>
    <t>4609639569818</t>
  </si>
  <si>
    <t>ARTM238</t>
  </si>
  <si>
    <t>Брелок Чиби Магическая битва Годжо Сатору</t>
  </si>
  <si>
    <t>4609639570128</t>
  </si>
  <si>
    <t>ARTM239</t>
  </si>
  <si>
    <t>Брелок Чиби Магическая битва Кугисаки Нобара</t>
  </si>
  <si>
    <t>4609639570135</t>
  </si>
  <si>
    <t>ARTM245</t>
  </si>
  <si>
    <t>Бутылка Истребитель демонов для холодных напитков с петлей 400мл.</t>
  </si>
  <si>
    <t>4609639570197</t>
  </si>
  <si>
    <t>8 / 7,5 / 17</t>
  </si>
  <si>
    <t>ARTM181</t>
  </si>
  <si>
    <t>Бутылка Человек-бензопила для холодных напитков с петлей 400мл.</t>
  </si>
  <si>
    <t>4609639569566</t>
  </si>
  <si>
    <t>ARTM139</t>
  </si>
  <si>
    <t>Значок DS LOGO</t>
  </si>
  <si>
    <t>2970003666283</t>
  </si>
  <si>
    <t>3,7 / 3,7 / 0,2</t>
  </si>
  <si>
    <t>ARTM140</t>
  </si>
  <si>
    <t>Значок Nezuko</t>
  </si>
  <si>
    <t>2970003650701</t>
  </si>
  <si>
    <t>0,3 / 3,5 / 3,5</t>
  </si>
  <si>
    <t>ARTM141</t>
  </si>
  <si>
    <t>Значок Nezuko 1</t>
  </si>
  <si>
    <t>2970003650800</t>
  </si>
  <si>
    <t>ARTM149</t>
  </si>
  <si>
    <t>Карандаш Истребитель Демонов</t>
  </si>
  <si>
    <t>2970003650619</t>
  </si>
  <si>
    <t>0,5 / 0,5 / 19</t>
  </si>
  <si>
    <t>ARTM249</t>
  </si>
  <si>
    <t>Контейнер для бутербродов Истребитель демонов 170х130х42мм</t>
  </si>
  <si>
    <t>4609639570234</t>
  </si>
  <si>
    <t>7,5 / 7,5 / 17</t>
  </si>
  <si>
    <t>ARTM3</t>
  </si>
  <si>
    <t>Кружка Tanjiro Kamado 320 мл</t>
  </si>
  <si>
    <t>4609639569245</t>
  </si>
  <si>
    <t>10,1 / 11,7 / 8,5</t>
  </si>
  <si>
    <t>ARTM174</t>
  </si>
  <si>
    <t>Кружка Истребитель Демонов Tanjiro и Nezuko 320 мл</t>
  </si>
  <si>
    <t>4609639569344</t>
  </si>
  <si>
    <t>ARTM2</t>
  </si>
  <si>
    <t>Кружка Хамелеон Hashibira Inosuke V1 320 мл</t>
  </si>
  <si>
    <t>4609639569238</t>
  </si>
  <si>
    <t>ARTM5</t>
  </si>
  <si>
    <t>Кружка Хамелеон Shinobu Kocho V1 320 мл</t>
  </si>
  <si>
    <t>4609639569269</t>
  </si>
  <si>
    <t>ARTM173</t>
  </si>
  <si>
    <t>Кружка Хамелеон Истребитель Демонов 320 мл</t>
  </si>
  <si>
    <t>4609639569337</t>
  </si>
  <si>
    <t>ARTM250</t>
  </si>
  <si>
    <t>Ланч бокс Истребитель демонов</t>
  </si>
  <si>
    <t>4609639570241</t>
  </si>
  <si>
    <t>4,6 / 18 / 12,3</t>
  </si>
  <si>
    <t>ARTM251</t>
  </si>
  <si>
    <t>Ланч бокс Истребитель демонов Иноске Хашибира</t>
  </si>
  <si>
    <t>4609639570258</t>
  </si>
  <si>
    <t>ARTM217</t>
  </si>
  <si>
    <t>Ланч бокс Магическая битва</t>
  </si>
  <si>
    <t>4609639569931</t>
  </si>
  <si>
    <t>ARTM218</t>
  </si>
  <si>
    <t>Ланч бокс Магическая битва Итадори Юдзи</t>
  </si>
  <si>
    <t>4609639569948</t>
  </si>
  <si>
    <t>ARTM187</t>
  </si>
  <si>
    <t>Ланч бокс Человек-бензопила</t>
  </si>
  <si>
    <t>4609639569627</t>
  </si>
  <si>
    <t>ARTM186</t>
  </si>
  <si>
    <t>Ланч бокс Человек-бензопила Дэнджи</t>
  </si>
  <si>
    <t>4609639569610</t>
  </si>
  <si>
    <t>5 / 13 / 18</t>
  </si>
  <si>
    <t>ARTM208</t>
  </si>
  <si>
    <t>Набор значков 4 шт. Человек-бензопила</t>
  </si>
  <si>
    <t>4609639569849</t>
  </si>
  <si>
    <t>16 / 12 / 0,4</t>
  </si>
  <si>
    <t>ARTM241</t>
  </si>
  <si>
    <t>Набор значков 4 шт.Магическая битва</t>
  </si>
  <si>
    <t>4609639570159</t>
  </si>
  <si>
    <t>ARTM159</t>
  </si>
  <si>
    <t>Набор Истребитель демонов №1 Набор Магнитов, Значок, Набор Наклеек</t>
  </si>
  <si>
    <t>4609639569047</t>
  </si>
  <si>
    <t>15,6 / 21,5 / 15</t>
  </si>
  <si>
    <t>ARTM165</t>
  </si>
  <si>
    <t>Набор Истребитель демонов №11 Стакан пластиковы, шоппер ЭКО</t>
  </si>
  <si>
    <t>4609639569108</t>
  </si>
  <si>
    <t>18,5 / 16,5 / 9</t>
  </si>
  <si>
    <t>ARTM161</t>
  </si>
  <si>
    <t>Набор Истребитель демонов №7 Тетрадь 48 л,,тетрадь 96 л,, ручка</t>
  </si>
  <si>
    <t>4609639569061</t>
  </si>
  <si>
    <t>21,5 / 23 / 2</t>
  </si>
  <si>
    <t>ARTM163</t>
  </si>
  <si>
    <t xml:space="preserve">Набор Истребитель демонов №9 Значок, скетчбук,карандаш </t>
  </si>
  <si>
    <t>4609639569085</t>
  </si>
  <si>
    <t>ARTM148</t>
  </si>
  <si>
    <t>Набор магнитов Genshin Impact</t>
  </si>
  <si>
    <t>4609639569375</t>
  </si>
  <si>
    <t>Genshin Impact</t>
  </si>
  <si>
    <t>14 / 11 / 0,3</t>
  </si>
  <si>
    <t>ARTM147</t>
  </si>
  <si>
    <t>Набор магнитов Истребитель Демонов</t>
  </si>
  <si>
    <t>4609639569368</t>
  </si>
  <si>
    <t>ARTM60</t>
  </si>
  <si>
    <t>Набор наклеек Genshin Impact V1</t>
  </si>
  <si>
    <t>4609639568903</t>
  </si>
  <si>
    <t>25,5 / 15 / 0,1</t>
  </si>
  <si>
    <t>ARTM11</t>
  </si>
  <si>
    <t>Набор наклеек Истребитель Демонов V1</t>
  </si>
  <si>
    <t>4609639568910</t>
  </si>
  <si>
    <t>ARTM151</t>
  </si>
  <si>
    <t>Ручка Истребитель Демонов</t>
  </si>
  <si>
    <t>2000860039286</t>
  </si>
  <si>
    <t>13,2 / 1,3 / 1</t>
  </si>
  <si>
    <t>ARTM135</t>
  </si>
  <si>
    <t>Скетчбук Inosuke Hashibira 60 л.</t>
  </si>
  <si>
    <t>4609639568866</t>
  </si>
  <si>
    <t>21 / 16 / 1</t>
  </si>
  <si>
    <t>ARTM84</t>
  </si>
  <si>
    <t>Скетчбук Kazuha А5, 60 л. ARTM84</t>
  </si>
  <si>
    <t>4609639568293</t>
  </si>
  <si>
    <t>20,5 / 17,5 / 1</t>
  </si>
  <si>
    <t>ARTM34</t>
  </si>
  <si>
    <t>Скетчбук Nezuko Kamado V1 А5, 60 л. ARTM34</t>
  </si>
  <si>
    <t>4609639568248</t>
  </si>
  <si>
    <t>21,1 / 15,8 / 1</t>
  </si>
  <si>
    <t>ARTM35</t>
  </si>
  <si>
    <t>Скетчбук Nezuko Kamado V2 А5, 60 л. ARTM35</t>
  </si>
  <si>
    <t>4609639568255</t>
  </si>
  <si>
    <t>ARTM136</t>
  </si>
  <si>
    <t>Скетчбук Shinobu Kocho 60 л.</t>
  </si>
  <si>
    <t>4609639568873</t>
  </si>
  <si>
    <t>20,9 / 16,5 / 1,5</t>
  </si>
  <si>
    <t>ARTM36</t>
  </si>
  <si>
    <t>Скетчбук Tanjiro Kamado V1 А5, 60 л. ARTM36</t>
  </si>
  <si>
    <t>4609639568262</t>
  </si>
  <si>
    <t>ARTM37</t>
  </si>
  <si>
    <t>Скетчбук Tanjiro Kamado V2 А5, 60 л. ARTM37</t>
  </si>
  <si>
    <t>4609639568279</t>
  </si>
  <si>
    <t>ARTM228</t>
  </si>
  <si>
    <t>Скетчбук А5, 60 л. Магическая битва Итадори Юдзи</t>
  </si>
  <si>
    <t>4609639570012</t>
  </si>
  <si>
    <t>ARTM229</t>
  </si>
  <si>
    <t>Скетчбук А5, 60 л. Магическая битва Кугисаки Нобара</t>
  </si>
  <si>
    <t>4609639570029</t>
  </si>
  <si>
    <t>1,1 / 16 / 21,1</t>
  </si>
  <si>
    <t>ARTM273</t>
  </si>
  <si>
    <t>Скетчбук для акварели Истребитель демонов 190*190, 20л, акв. бумага 200гр</t>
  </si>
  <si>
    <t>4609639570289</t>
  </si>
  <si>
    <t>19,5 / 19 / 1,5</t>
  </si>
  <si>
    <t>ARTM253</t>
  </si>
  <si>
    <t>Скетчбук для маркеров Истребитель демонов 190*190, 60л, офсет 160гр</t>
  </si>
  <si>
    <t>4609639570272</t>
  </si>
  <si>
    <t>ARTM272</t>
  </si>
  <si>
    <t>Скетчбук Магическая битва для акварели 190*190, 20л, акв. бумага 200гр</t>
  </si>
  <si>
    <t>4609639570050</t>
  </si>
  <si>
    <t>ARTM231</t>
  </si>
  <si>
    <t>Скетчбук Магическая битва для маркеров 190*190, 60л, офсет 160гр</t>
  </si>
  <si>
    <t>4609639570043</t>
  </si>
  <si>
    <t>ARTM271</t>
  </si>
  <si>
    <t>Скетчбук Человек-бензопила для акварели 190*190, 20л, акв.бумага 200гр</t>
  </si>
  <si>
    <t>4609639569740</t>
  </si>
  <si>
    <t>ARTM198</t>
  </si>
  <si>
    <t>Скетчбук Человек-бензопила для маркеров 190*190, 60л, офсет 160гр</t>
  </si>
  <si>
    <t>4609639569733</t>
  </si>
  <si>
    <t>ARTM180</t>
  </si>
  <si>
    <t>Скетчбук Человек-бензопила Дэнджи А5, 60 л.</t>
  </si>
  <si>
    <t>4609639569436</t>
  </si>
  <si>
    <t>ARTM179</t>
  </si>
  <si>
    <t>Скетчбук Человек-бензопила Пауэр А5, 60 л.</t>
  </si>
  <si>
    <t>4609639569429</t>
  </si>
  <si>
    <t>ARTM299</t>
  </si>
  <si>
    <t>Скетчбук Человек-бензопила Почита А5, 60 л.</t>
  </si>
  <si>
    <t>4609639570500</t>
  </si>
  <si>
    <t>ARTM248</t>
  </si>
  <si>
    <t>Стакан для горячих Напитков с клапаном Истребитель демонов 450мл.</t>
  </si>
  <si>
    <t>4609639570227</t>
  </si>
  <si>
    <t>8,5 / 8,5 / 16</t>
  </si>
  <si>
    <t>ARTM215</t>
  </si>
  <si>
    <t>Стакан для горячих Напитков с клапаном Магическая битва 450мл.</t>
  </si>
  <si>
    <t>4609639569917</t>
  </si>
  <si>
    <t>ARTM184</t>
  </si>
  <si>
    <t>Стакан для горячих Напитков с клапаном Человек-бензопила 450мл.</t>
  </si>
  <si>
    <t>4609639569597</t>
  </si>
  <si>
    <t>ARTM220</t>
  </si>
  <si>
    <t>Стакан пластиковый 550 мл. Магическая битва V1</t>
  </si>
  <si>
    <t>4609639569962</t>
  </si>
  <si>
    <t>ARTM221</t>
  </si>
  <si>
    <t>Стакан пластиковый 550 мл. Магическая битва V2</t>
  </si>
  <si>
    <t>4609639569979</t>
  </si>
  <si>
    <t>9 / 9,1 / 17,2</t>
  </si>
  <si>
    <t>ARTM219</t>
  </si>
  <si>
    <t>Стакан пластиковый 550 мл. Магическая битва Итадори Юдзи</t>
  </si>
  <si>
    <t>4609639569955</t>
  </si>
  <si>
    <t>ARTM17</t>
  </si>
  <si>
    <t>Стакан пластиковый Nezuko Kamado V1 550 мл.</t>
  </si>
  <si>
    <t>4609639568651</t>
  </si>
  <si>
    <t>18,9 / 9 / 9</t>
  </si>
  <si>
    <t>ARTM20</t>
  </si>
  <si>
    <t>Стакан пластиковый Tanjiro Kamado V1 550 мл.</t>
  </si>
  <si>
    <t>4609639568668</t>
  </si>
  <si>
    <t>ARTM21</t>
  </si>
  <si>
    <t>Стакан пластиковый Tanjiro и Nezuko 550 мл.</t>
  </si>
  <si>
    <t>4609639568675</t>
  </si>
  <si>
    <t>ARTM188</t>
  </si>
  <si>
    <t>Стакан Человек-бензопила пластиковый 550 мл. V1</t>
  </si>
  <si>
    <t>4609639569634</t>
  </si>
  <si>
    <t>ARTM189</t>
  </si>
  <si>
    <t>Стакан Человек-бензопила пластиковый 550 мл. V2</t>
  </si>
  <si>
    <t>4609639569641</t>
  </si>
  <si>
    <t>ARTM190</t>
  </si>
  <si>
    <t>Стакан Человек-бензопила пластиковый 550 мл. V3</t>
  </si>
  <si>
    <t>4609639569658</t>
  </si>
  <si>
    <t>ARTM247</t>
  </si>
  <si>
    <t>Термостакан с клапаном Истребитель демонов Незуко Камадо 350мл.</t>
  </si>
  <si>
    <t>4609639570210</t>
  </si>
  <si>
    <t>ARTM246</t>
  </si>
  <si>
    <t>Термостакан с клапаном Истребитель демонов Танджиро Камадо 350мл.</t>
  </si>
  <si>
    <t>4609639570203</t>
  </si>
  <si>
    <t>ARTM213</t>
  </si>
  <si>
    <t>Термостакан с клапаном Магическая битва 350мл. V1</t>
  </si>
  <si>
    <t>4609639569894</t>
  </si>
  <si>
    <t>ARTM214</t>
  </si>
  <si>
    <t>Термостакан с клапаном Магическая битва 350мл. V2</t>
  </si>
  <si>
    <t>4609639569900</t>
  </si>
  <si>
    <t>ARTM183</t>
  </si>
  <si>
    <t>Термостакан с клапаном Человек-бензопила 350мл.</t>
  </si>
  <si>
    <t>4609639569580</t>
  </si>
  <si>
    <t>ARTM182</t>
  </si>
  <si>
    <t>Термостакан с клапаном Человек-бензопила Почита 350мл.</t>
  </si>
  <si>
    <t>4609639569573</t>
  </si>
  <si>
    <t>ARTM537</t>
  </si>
  <si>
    <t>Тетради Standoff 48 л. 4 шт.</t>
  </si>
  <si>
    <t>4609639571439</t>
  </si>
  <si>
    <t>Standoff</t>
  </si>
  <si>
    <t>20,3 / 17 / 1,7</t>
  </si>
  <si>
    <t>ARTM132</t>
  </si>
  <si>
    <t>Тетрадь Bennett V2 96 л.</t>
  </si>
  <si>
    <t>4609639568842</t>
  </si>
  <si>
    <t>ARTM119</t>
  </si>
  <si>
    <t>Тетрадь Inosuke Hashibira V1 48 л.</t>
  </si>
  <si>
    <t>4609639568743</t>
  </si>
  <si>
    <t>20,5 / 17 / 0,5</t>
  </si>
  <si>
    <t>ARTM127</t>
  </si>
  <si>
    <t>Тетрадь Inosuke Hashibira V1 96 л.</t>
  </si>
  <si>
    <t>4609639568828</t>
  </si>
  <si>
    <t>ARTM120</t>
  </si>
  <si>
    <t>Тетрадь Inosuke Hashibira V2 48 л.</t>
  </si>
  <si>
    <t>4609639568750</t>
  </si>
  <si>
    <t>ARTM38</t>
  </si>
  <si>
    <t>Тетрадь Nezuko Kamado V1 48 л. ARTM38</t>
  </si>
  <si>
    <t>4609639568446</t>
  </si>
  <si>
    <t>21,1 / 16,5 / 0,5</t>
  </si>
  <si>
    <t>ARTM40</t>
  </si>
  <si>
    <t>Тетрадь Nezuko Kamado V1 96 л. ARTM40</t>
  </si>
  <si>
    <t>4609639568347</t>
  </si>
  <si>
    <t>ARTM39</t>
  </si>
  <si>
    <t>Тетрадь Nezuko Kamado V2 48 л. ARTM39</t>
  </si>
  <si>
    <t>4609639568453</t>
  </si>
  <si>
    <t>21 / 16,5 / 0,1</t>
  </si>
  <si>
    <t>ARTM41</t>
  </si>
  <si>
    <t>Тетрадь Nezuko Kamado V2 96 л. ARTM41</t>
  </si>
  <si>
    <t>4609639568354</t>
  </si>
  <si>
    <t>ARTM121</t>
  </si>
  <si>
    <t>Тетрадь Shinobu Kocho V1 48 л.</t>
  </si>
  <si>
    <t>4609639568767</t>
  </si>
  <si>
    <t>ARTM278</t>
  </si>
  <si>
    <t>Тетрадь Shinobu Kocho V1 48 л. SE ARTM278</t>
  </si>
  <si>
    <t>4609639569474</t>
  </si>
  <si>
    <t>20,3 / 17 / 0,5</t>
  </si>
  <si>
    <t>ARTM122</t>
  </si>
  <si>
    <t>Тетрадь Shinobu Kocho V2 48 л.</t>
  </si>
  <si>
    <t>4609639568774</t>
  </si>
  <si>
    <t>ARTM130</t>
  </si>
  <si>
    <t>Тетрадь Shinobu Kocho V2 96 л.</t>
  </si>
  <si>
    <t>4609639568835</t>
  </si>
  <si>
    <t>ARTM530</t>
  </si>
  <si>
    <t>Тетрадь Standoff 48 л. V1</t>
  </si>
  <si>
    <t>4609639571002</t>
  </si>
  <si>
    <t>20,2 / 16,5 / 0,2</t>
  </si>
  <si>
    <t>ARTM532</t>
  </si>
  <si>
    <t>Тетрадь Standoff 48 л. V3</t>
  </si>
  <si>
    <t>4609639571026</t>
  </si>
  <si>
    <t>ARTM534</t>
  </si>
  <si>
    <t>Тетрадь Standoff 48 л. V5</t>
  </si>
  <si>
    <t>4609639571040</t>
  </si>
  <si>
    <t>ARTM535</t>
  </si>
  <si>
    <t>Тетрадь Standoff 48 л. V6</t>
  </si>
  <si>
    <t>4609639571057</t>
  </si>
  <si>
    <t>ARTM42</t>
  </si>
  <si>
    <t>Тетрадь Tanjiro Kamado V1 48 л. ARTM42</t>
  </si>
  <si>
    <t>4609639568460</t>
  </si>
  <si>
    <t>ARTM44</t>
  </si>
  <si>
    <t>Тетрадь Tanjiro Kamado V1 96 л. ARTM44</t>
  </si>
  <si>
    <t>4609639568361</t>
  </si>
  <si>
    <t>ARTM43</t>
  </si>
  <si>
    <t>Тетрадь Tanjiro Kamado V2 48 л. ARTM43</t>
  </si>
  <si>
    <t>4609639568477</t>
  </si>
  <si>
    <t>ARTM45</t>
  </si>
  <si>
    <t>Тетрадь Tanjiro Kamado V2 96 л. ARTM45</t>
  </si>
  <si>
    <t>4609639568378</t>
  </si>
  <si>
    <t>ARTM195</t>
  </si>
  <si>
    <t>Тетрадь Дэнджи 96 л.</t>
  </si>
  <si>
    <t>4609639569702</t>
  </si>
  <si>
    <t>ARTM227</t>
  </si>
  <si>
    <t>Тетрадь Магическая битва Итадори Юдзи 96 л.</t>
  </si>
  <si>
    <t>4609639570005</t>
  </si>
  <si>
    <t>21 / 17,5 / 1,5</t>
  </si>
  <si>
    <t>ARTM222</t>
  </si>
  <si>
    <t>Тетрадь Магическая битва Кугисаки Нобара 48 л.</t>
  </si>
  <si>
    <t>4609639569498</t>
  </si>
  <si>
    <t>ARTM225</t>
  </si>
  <si>
    <t>Тетрадь Магическая битва Кугисаки Нобара 96 л.</t>
  </si>
  <si>
    <t>4609639569986</t>
  </si>
  <si>
    <t>ARTM223</t>
  </si>
  <si>
    <t>Тетрадь Магическая битва Ремен Сукун 48 л.</t>
  </si>
  <si>
    <t>4609639569511</t>
  </si>
  <si>
    <t>ARTM224</t>
  </si>
  <si>
    <t>Тетрадь Магическая битва Фушигуро Мегуми 48 л.</t>
  </si>
  <si>
    <t>4609639569528</t>
  </si>
  <si>
    <t>ARTM196</t>
  </si>
  <si>
    <t>Тетрадь Макима 96 л.</t>
  </si>
  <si>
    <t>4609639569719</t>
  </si>
  <si>
    <t>ARTM194</t>
  </si>
  <si>
    <t>Тетрадь Пауэр 96 л.</t>
  </si>
  <si>
    <t>4609639569696</t>
  </si>
  <si>
    <t>ARTM280</t>
  </si>
  <si>
    <t>Тетрадь Человек-бензопила V1 48 л. SE ARTM280</t>
  </si>
  <si>
    <t>4609639569535</t>
  </si>
  <si>
    <t>ARTM282</t>
  </si>
  <si>
    <t>Тетрадь Человек-бензопила V2 48 л. SE ARTM282</t>
  </si>
  <si>
    <t>4609639569542</t>
  </si>
  <si>
    <t>ARTM192</t>
  </si>
  <si>
    <t>Тетрадь Человек-бензопила Дэнджи 48 л.</t>
  </si>
  <si>
    <t>4609639569672</t>
  </si>
  <si>
    <t>ARTM193</t>
  </si>
  <si>
    <t>Тетрадь Человек-бензопила Макима 48 л.</t>
  </si>
  <si>
    <t>4609639569689</t>
  </si>
  <si>
    <t>ARTM191</t>
  </si>
  <si>
    <t>Тетрадь Человек-бензопила Пауэр 48 л.</t>
  </si>
  <si>
    <t>4609639569665</t>
  </si>
  <si>
    <t>ARTM301</t>
  </si>
  <si>
    <t>Тетрадь Человек-бензопила Почита 48 л. V1</t>
  </si>
  <si>
    <t>4609639570524</t>
  </si>
  <si>
    <t>ARTM302</t>
  </si>
  <si>
    <t>Тетрадь Человек-бензопила Почита 48 л. V2</t>
  </si>
  <si>
    <t>4609639570531</t>
  </si>
  <si>
    <t>ARTM310</t>
  </si>
  <si>
    <t>Тетрадь Человек-бензопила Почита 48 л. V3</t>
  </si>
  <si>
    <t>4609639570616</t>
  </si>
  <si>
    <t>ARTM300</t>
  </si>
  <si>
    <t xml:space="preserve">Тетрадь Человек-бензопила Почита 96 л. </t>
  </si>
  <si>
    <t>4609639570517</t>
  </si>
  <si>
    <t>ARTM154</t>
  </si>
  <si>
    <t>Шоппер Истребитель Демонов</t>
  </si>
  <si>
    <t>4609639568989</t>
  </si>
  <si>
    <t>40 / 37,5 / 0,1</t>
  </si>
  <si>
    <t>Banpresto Anime Heroes</t>
  </si>
  <si>
    <t>Игрушка плюш</t>
  </si>
  <si>
    <t>Плюш Jujutsu Kaisen Panda 20см 183702</t>
  </si>
  <si>
    <t>BNS976</t>
  </si>
  <si>
    <t>4983164183702</t>
  </si>
  <si>
    <t>24 / 13 / 13</t>
  </si>
  <si>
    <t>Плюш Jujutsu Kaisen Yuji Itadori 20см 184464</t>
  </si>
  <si>
    <t>BNS970</t>
  </si>
  <si>
    <t>4983164184464</t>
  </si>
  <si>
    <t>22 / 12 / 12</t>
  </si>
  <si>
    <t>Banpresto</t>
  </si>
  <si>
    <t>Плюш My Hero Academia  Plush Asst Series 15cm 1шт. 4983164173543</t>
  </si>
  <si>
    <t>BNS699</t>
  </si>
  <si>
    <t>4983164173543</t>
  </si>
  <si>
    <t>18 / 10,5 / 7</t>
  </si>
  <si>
    <t>Плюш Клинок рассекающий демонов Tanjiro Kamado Big Plush 20cm 178852</t>
  </si>
  <si>
    <t>BNS684</t>
  </si>
  <si>
    <t>4983164178852</t>
  </si>
  <si>
    <t>40 / 24 / 16</t>
  </si>
  <si>
    <t>Плюшевая игрушка аниме О моем перерождении в слизь Rimuru Tempes 35см 86311</t>
  </si>
  <si>
    <t>BNS1117</t>
  </si>
  <si>
    <t>4983164286311</t>
  </si>
  <si>
    <t>О моём перерождении в слизь</t>
  </si>
  <si>
    <t>38 / 28 / 29</t>
  </si>
  <si>
    <t>Плюшевая игрушка Пакман Pac Man 45Th Anniversary 18см 99955</t>
  </si>
  <si>
    <t>BNS1081</t>
  </si>
  <si>
    <t>4983164899955</t>
  </si>
  <si>
    <t>15 / 19 / 19</t>
  </si>
  <si>
    <t>BP19427P</t>
  </si>
  <si>
    <t>Фигурка A Certain Scientific Railgun Misaki Shokuhou 4983164194272</t>
  </si>
  <si>
    <t>BNS828</t>
  </si>
  <si>
    <t>4983164194272</t>
  </si>
  <si>
    <t>20,1 / 15 / 10</t>
  </si>
  <si>
    <t>15+</t>
  </si>
  <si>
    <t>Фигурка Bleach Solid and Souls Uryu Ishida 885552</t>
  </si>
  <si>
    <t>BNS920</t>
  </si>
  <si>
    <t>4983164885552</t>
  </si>
  <si>
    <t>9 / 12,1 / 18</t>
  </si>
  <si>
    <t>Фигурка Bocchi The Rock! Ryo Yamada (11см) (89046) 4983164890464</t>
  </si>
  <si>
    <t>BNS994</t>
  </si>
  <si>
    <t>4983164890464</t>
  </si>
  <si>
    <t>8,9 / 12 / 18,1</t>
  </si>
  <si>
    <t>BP17726P</t>
  </si>
  <si>
    <t>Фигурка Boruto Naruto Next Generations Vibration Stars Uzumaki Boruto BP17726P</t>
  </si>
  <si>
    <t>BNS241</t>
  </si>
  <si>
    <t>4983164177268</t>
  </si>
  <si>
    <t>10,2 / 17,1 / 20</t>
  </si>
  <si>
    <t>Фигурка Celestial Vivi Synduality Noir Ellie (14см) (89070) 4983164890709</t>
  </si>
  <si>
    <t>BNS998</t>
  </si>
  <si>
    <t>4983164890709</t>
  </si>
  <si>
    <t>20 / 15 / 10</t>
  </si>
  <si>
    <t>Фигурка Daiki AomineTaiga Kagami Kuroko's Basketball 4983164190168</t>
  </si>
  <si>
    <t>BNS583</t>
  </si>
  <si>
    <t>4983164190168</t>
  </si>
  <si>
    <t>19 / 12 / 9</t>
  </si>
  <si>
    <t>Фигурка Demon Series Demon Slayer Kimetsu No Yaiba Hantengu (Ver.A) (5см) (88969) 889697</t>
  </si>
  <si>
    <t>BNS1001</t>
  </si>
  <si>
    <t>4983164889697</t>
  </si>
  <si>
    <t>8,8 / 12 / 18,1</t>
  </si>
  <si>
    <t>Фигурка Demon Series Demon Slayer Kimetsu No Yaiba Zohakuten (Ver.B) (15см) (88970) 889703</t>
  </si>
  <si>
    <t>BNS1002</t>
  </si>
  <si>
    <t>4983164889703</t>
  </si>
  <si>
    <t>18,1 / 12 / 9</t>
  </si>
  <si>
    <t>BP88972P</t>
  </si>
  <si>
    <t>Фигурка Demon Slayer Kimetsu No Yaiba Glitter&amp;Glamours Mitsuri Kanroji 4983164889727</t>
  </si>
  <si>
    <t>BNS834</t>
  </si>
  <si>
    <t>4983164889727</t>
  </si>
  <si>
    <t>25,2 / 14 / 14</t>
  </si>
  <si>
    <t>Фигурка Demon Slayer Kimetsu No Yaiba Hotaru Haganezuka (Ver.B) (17см) (88049) 4983164880496</t>
  </si>
  <si>
    <t>BNS1004</t>
  </si>
  <si>
    <t>4983164880496</t>
  </si>
  <si>
    <t>18 / 12 / 9</t>
  </si>
  <si>
    <t>Фигурка Demon Slayer Kimetsu No Yaiba Kotetsu (Ver.B) (13см) (88154) 4983164881547</t>
  </si>
  <si>
    <t>BNS1003</t>
  </si>
  <si>
    <t>4983164881547</t>
  </si>
  <si>
    <t>Фигурка Demon Slayer Kimetsu No Yaiba Mitsuri Kanroji (Ver.B) (16см) (88673) 4983164886733</t>
  </si>
  <si>
    <t>BNS1005</t>
  </si>
  <si>
    <t>4983164886733</t>
  </si>
  <si>
    <t>BP89092P</t>
  </si>
  <si>
    <t>Фигурка Demon Slayer Kimetsu No Yaiba Vibration Stars Tanjiro Kamado 2 4983164890921</t>
  </si>
  <si>
    <t>BNS824</t>
  </si>
  <si>
    <t>4983164890921</t>
  </si>
  <si>
    <t>BP88157P</t>
  </si>
  <si>
    <t>Фигурка Demon Slayer Kimetsu No Yaiba Vol.10(B Gyokko) 4983164881578</t>
  </si>
  <si>
    <t>BNS850</t>
  </si>
  <si>
    <t>4983164881578</t>
  </si>
  <si>
    <t>BP88051P</t>
  </si>
  <si>
    <t>Фигурка Demon Slayer Kimetsu No Yaiba Vol.36(B Genya) 4983164880519</t>
  </si>
  <si>
    <t>BNS853</t>
  </si>
  <si>
    <t>4983164880519</t>
  </si>
  <si>
    <t>17,9 / 12 / 9</t>
  </si>
  <si>
    <t>BP18268</t>
  </si>
  <si>
    <t>Фигурка Demon Slayer Wcf Tanjiro Kamado Vol.4 4983164182682</t>
  </si>
  <si>
    <t>BNS826</t>
  </si>
  <si>
    <t>4983164182682</t>
  </si>
  <si>
    <t>4,8 / 5 / 11</t>
  </si>
  <si>
    <t>Фигурка DXF Hell’S Paradise Aza Chobe (17см) (88684) 4983164886849</t>
  </si>
  <si>
    <t>BNS1019</t>
  </si>
  <si>
    <t>4983164886849</t>
  </si>
  <si>
    <t>Фигурка Dxf Hell’S Paradise Yamada Asaemon Toma (17см) (88784) 4983164887846</t>
  </si>
  <si>
    <t>BNS1020</t>
  </si>
  <si>
    <t>4983164887846</t>
  </si>
  <si>
    <t>BP88973P</t>
  </si>
  <si>
    <t>Фигурка Dxf Hell's Paradise Yuzuriha 4983164889734</t>
  </si>
  <si>
    <t>BNS839</t>
  </si>
  <si>
    <t>4983164889734</t>
  </si>
  <si>
    <t>Фигурка DxF Yusuke Urameshi 14cm 4983164197112</t>
  </si>
  <si>
    <t>BNS813</t>
  </si>
  <si>
    <t>4983164197112</t>
  </si>
  <si>
    <t>9,9 / 15,1 / 20,1</t>
  </si>
  <si>
    <t>Фигурка Fate/Grand Order Chib Kiyohime Kyun Chara 10cm 82294</t>
  </si>
  <si>
    <t>BNS14</t>
  </si>
  <si>
    <t>3296580822942</t>
  </si>
  <si>
    <t>Fate/Grand Order</t>
  </si>
  <si>
    <t>Delightworks</t>
  </si>
  <si>
    <t>22 / 15 / 10,5</t>
  </si>
  <si>
    <t>Фигурка Fate/Grand Order Chib Marie Antoniette Kyun Chara 10cm 82292</t>
  </si>
  <si>
    <t>BNS12</t>
  </si>
  <si>
    <t>3296580822928</t>
  </si>
  <si>
    <t>Фигурка Fate/Grand Order Chib Mordread Kyun Chara 10cm 82293</t>
  </si>
  <si>
    <t>BNS13</t>
  </si>
  <si>
    <t>3296580822935</t>
  </si>
  <si>
    <t>Фигурка Fate/Grand Order Chibi Anne Bonny Kyun Chara 10cm 82295</t>
  </si>
  <si>
    <t>BNS15</t>
  </si>
  <si>
    <t>3296580822959</t>
  </si>
  <si>
    <t>Фигурка Fate/Grand Order Chibi Artoria Pendragon Kyun 10cm 822898</t>
  </si>
  <si>
    <t>BNS641</t>
  </si>
  <si>
    <t>3296580822898</t>
  </si>
  <si>
    <t>22 / 17 / 10</t>
  </si>
  <si>
    <t>Фигурка Fate/Grand Order Chibi Kyun Chara 10cm 822973</t>
  </si>
  <si>
    <t>BNS632</t>
  </si>
  <si>
    <t>3296580822973</t>
  </si>
  <si>
    <t>22 / 15 / 10</t>
  </si>
  <si>
    <t>Фигурка Fate/Grand Order Chibi Mary Read Kyun Chara 10cm 822966</t>
  </si>
  <si>
    <t>BNS633</t>
  </si>
  <si>
    <t>3296580822966</t>
  </si>
  <si>
    <t>Фигурка Fate/Grand Order Chibi Saint Martha 10cm 822911</t>
  </si>
  <si>
    <t>BNS637</t>
  </si>
  <si>
    <t>3296580822911</t>
  </si>
  <si>
    <t>Фигурка Fate/Grand Order Chibi Tamamo-No Mae Kyun Chara 10cm 822904</t>
  </si>
  <si>
    <t>BNS636</t>
  </si>
  <si>
    <t>3296580822904</t>
  </si>
  <si>
    <t>Фигурка Glitter &amp; Glamours Mobile Suit Gundam Hathaway Gigi Andalucia (25см) (18997) 189971</t>
  </si>
  <si>
    <t>BNS1025</t>
  </si>
  <si>
    <t>4983164189971</t>
  </si>
  <si>
    <t>Mobile Suit Gundam</t>
  </si>
  <si>
    <t>25 / 14 / 14</t>
  </si>
  <si>
    <t>Фигурка Godzilla Minus One Enshrined Monsters Godzilla 893892</t>
  </si>
  <si>
    <t>BNS981</t>
  </si>
  <si>
    <t>4983164893892</t>
  </si>
  <si>
    <t>Godzilla</t>
  </si>
  <si>
    <t>Фигурка Hakyuu Houshin Engi Figure Taikobo 15cm 810345</t>
  </si>
  <si>
    <t>BNS642</t>
  </si>
  <si>
    <t>3296580810345</t>
  </si>
  <si>
    <t>Фигурка Hunter X Hunter Leolio Vibration Stars 886511</t>
  </si>
  <si>
    <t>BNS929</t>
  </si>
  <si>
    <t>4983164886511</t>
  </si>
  <si>
    <t>Фигурка Ichibansho Franky 4573102636669</t>
  </si>
  <si>
    <t>BNS621</t>
  </si>
  <si>
    <t>4573102636669</t>
  </si>
  <si>
    <t>22 / 24 / 26</t>
  </si>
  <si>
    <t>Фигурка Jujutsu Kaisen Adverge Motion #2 5см 0700357 ассортимент</t>
  </si>
  <si>
    <t>BNS816</t>
  </si>
  <si>
    <t>4549660700357</t>
  </si>
  <si>
    <t>8 / 5,5 / 4,3</t>
  </si>
  <si>
    <t>BP18182P</t>
  </si>
  <si>
    <t>Фигурка Jujutsu Kaisen Jukon No Kata Figure Yuji Itadori 4983164181821</t>
  </si>
  <si>
    <t>BNS842</t>
  </si>
  <si>
    <t>4983164181821</t>
  </si>
  <si>
    <t>BP19463P</t>
  </si>
  <si>
    <t>Фигурка Jujutsu Kaisen Jukon No Kata Nobara Kugisaki 4983164194630</t>
  </si>
  <si>
    <t>BNS845</t>
  </si>
  <si>
    <t>4983164194630</t>
  </si>
  <si>
    <t>BP18929P</t>
  </si>
  <si>
    <t>Фигурка Jujutsu Kaisen Jukon No Kata Toge Inumaki 4983164189292</t>
  </si>
  <si>
    <t>BNS843</t>
  </si>
  <si>
    <t>4983164189292</t>
  </si>
  <si>
    <t>18 / 12 / 8,9</t>
  </si>
  <si>
    <t>BP19261P</t>
  </si>
  <si>
    <t>Фигурка Jujutsu Kaisen Jukon No Kata Yuji Itadori 4983164192612</t>
  </si>
  <si>
    <t>BNS844</t>
  </si>
  <si>
    <t>4983164192612</t>
  </si>
  <si>
    <t>BP19466P</t>
  </si>
  <si>
    <t>Фигурка Jujutsu Kaisen King Of Artist The Nobara Kugisaki 4983164194661</t>
  </si>
  <si>
    <t>BNS847</t>
  </si>
  <si>
    <t>4983164194661</t>
  </si>
  <si>
    <t>Фигурка Jujutsu Kaisen King Of Artist The Yuji Itadori 20 см (18448)</t>
  </si>
  <si>
    <t>BNS348</t>
  </si>
  <si>
    <t>4983164184488</t>
  </si>
  <si>
    <t>Фигурка Jujutsu Kaisen Mai Zenin Jukon No Kata 195798</t>
  </si>
  <si>
    <t>BNS911</t>
  </si>
  <si>
    <t>4983164195798</t>
  </si>
  <si>
    <t>Фигурка Jujutsu Kaisen Maximatic The Megumi Fushiguro II 195774</t>
  </si>
  <si>
    <t>BNS910</t>
  </si>
  <si>
    <t>4983164195774</t>
  </si>
  <si>
    <t>14,1 / 14 / 25,1</t>
  </si>
  <si>
    <t>BP18880P</t>
  </si>
  <si>
    <t>Фигурка Jujutsu Kaisen Maximatic The Yuji Itadori 4983164188806</t>
  </si>
  <si>
    <t>BNS848</t>
  </si>
  <si>
    <t>4983164188806</t>
  </si>
  <si>
    <t>Фигурка Jujutsu Kaisen Megumi Fushiguro 16 см (18375)</t>
  </si>
  <si>
    <t>BNS351</t>
  </si>
  <si>
    <t>4983164183757</t>
  </si>
  <si>
    <t>Фигурка Jujutsu Kaisen Megumi Fushiguro 174908</t>
  </si>
  <si>
    <t>BNS958</t>
  </si>
  <si>
    <t>4983164174908</t>
  </si>
  <si>
    <t>BP18759P</t>
  </si>
  <si>
    <t>Фигурка Jujutsu Kaisen Megumi Fushiguro King Of Artist 4983164187595</t>
  </si>
  <si>
    <t>BNS846</t>
  </si>
  <si>
    <t>4983164187595</t>
  </si>
  <si>
    <t>Фигурка Jujutsu Kaisen Nobara Kugisaki 14 см 184495</t>
  </si>
  <si>
    <t>BNS326</t>
  </si>
  <si>
    <t>4983164184495</t>
  </si>
  <si>
    <t>Фигурка Jujutsu Kaisen Nobara Kugisaki 16 см 4983164181838</t>
  </si>
  <si>
    <t>BNS345</t>
  </si>
  <si>
    <t>4983164181838</t>
  </si>
  <si>
    <t>Фигурка Jujutsu Kaisen Toge Inumaki 15 см (18376)</t>
  </si>
  <si>
    <t>BNS349</t>
  </si>
  <si>
    <t>4983164183764</t>
  </si>
  <si>
    <t>Фигурка Jujutsu Kaisen Yuta Okkotsu 16 см (18304)</t>
  </si>
  <si>
    <t>BNS356</t>
  </si>
  <si>
    <t>4983164183047</t>
  </si>
  <si>
    <t>BP19077P</t>
  </si>
  <si>
    <t>Фигурка Kaguya Sama Love Is War Ultra Romantic Kyunties Miko Iino 4983164190779</t>
  </si>
  <si>
    <t>BNS849</t>
  </si>
  <si>
    <t>4983164190779</t>
  </si>
  <si>
    <t>Фигурка Kuroko's Basketball Seijuro Akashi 4983164189131</t>
  </si>
  <si>
    <t>BNS576</t>
  </si>
  <si>
    <t>4983164189131</t>
  </si>
  <si>
    <t>Фигурка Kuroko's Basketball Seijuro Akashi Tetsuya Kuroko 4983164189148</t>
  </si>
  <si>
    <t>BNS577</t>
  </si>
  <si>
    <t>4983164189148</t>
  </si>
  <si>
    <t>Фигурка Kyunties A Couple Of Cuckoos Hiro Segawa (17см) (18700) 4983164187007</t>
  </si>
  <si>
    <t>BNS1029</t>
  </si>
  <si>
    <t>4983164187007</t>
  </si>
  <si>
    <t>Фигурка Kyunties A Couple Of Cuckoos Sachi Umino (17см) (18699) 4983164186994</t>
  </si>
  <si>
    <t>BNS1030</t>
  </si>
  <si>
    <t>4983164186994</t>
  </si>
  <si>
    <t>Фигурка Memorable Saga Naruto Haku (12см) (89056) 4983164890563</t>
  </si>
  <si>
    <t>BNS1032</t>
  </si>
  <si>
    <t>4983164890563</t>
  </si>
  <si>
    <t>Фигурка MHA Dabi The Evil Villains 15 см</t>
  </si>
  <si>
    <t>BNS406</t>
  </si>
  <si>
    <t>4983164191684</t>
  </si>
  <si>
    <t>16 / 14 / 7,5</t>
  </si>
  <si>
    <t>Фигурка MHA Denki Kaminari 15 см</t>
  </si>
  <si>
    <t>BNS404</t>
  </si>
  <si>
    <t>4983164191660</t>
  </si>
  <si>
    <t>Фигурка MHA Twice The Evil Villains 15 см</t>
  </si>
  <si>
    <t>BNS405</t>
  </si>
  <si>
    <t>4983164191677</t>
  </si>
  <si>
    <t>Фигурка My Hero Academia Chibi Masters #03 5812263 ассортимент</t>
  </si>
  <si>
    <t>BNS819</t>
  </si>
  <si>
    <t>3701405812263</t>
  </si>
  <si>
    <t>11,2 / 9 / 9</t>
  </si>
  <si>
    <t>BP18764P</t>
  </si>
  <si>
    <t>Фигурка My Teen Romantic Comedy Snafu Climax Kyunties Yui Yuigahama 4983164187649</t>
  </si>
  <si>
    <t>BNS861</t>
  </si>
  <si>
    <t>4983164187649</t>
  </si>
  <si>
    <t>BP19231P</t>
  </si>
  <si>
    <t>Фигурка Naruto Effectreme Uchiha Sasuke 4983164192315</t>
  </si>
  <si>
    <t>BNS864</t>
  </si>
  <si>
    <t>4983164192315</t>
  </si>
  <si>
    <t>Фигурка Naruto Memorable Saga Zabuza 886528</t>
  </si>
  <si>
    <t>BNS930</t>
  </si>
  <si>
    <t>4983164886528</t>
  </si>
  <si>
    <t>Фигурка Naruto Narutop99 Namikaze Minato 893410</t>
  </si>
  <si>
    <t>BNS984</t>
  </si>
  <si>
    <t>4983164893410</t>
  </si>
  <si>
    <t>Фигурка Naruto Sasuke Uchiha 13 см 4983164192896</t>
  </si>
  <si>
    <t>BNS521</t>
  </si>
  <si>
    <t>4983164192896</t>
  </si>
  <si>
    <t>Фигурка Naruto Sasuke Uchiha Vibration Stars 883602</t>
  </si>
  <si>
    <t>BNS949</t>
  </si>
  <si>
    <t>4983164883602</t>
  </si>
  <si>
    <t>Фигурка Naruto Shippuden Chibi Masters #01 8см 633839 ассортимент</t>
  </si>
  <si>
    <t>BNS817</t>
  </si>
  <si>
    <t>4549660633839</t>
  </si>
  <si>
    <t>Фигурка Naruto Shippuden Chibi Masters #02 8см 779636 ассортимент</t>
  </si>
  <si>
    <t>BNS818</t>
  </si>
  <si>
    <t>4549660779636</t>
  </si>
  <si>
    <t>9,1 / 9,1 / 11</t>
  </si>
  <si>
    <t>Фигурка Naruto Shippuden Deidara Vibration Stars 883633</t>
  </si>
  <si>
    <t>BNS945</t>
  </si>
  <si>
    <t>4983164883633</t>
  </si>
  <si>
    <t>Фигурка Naruto Shippuden Gaara Colosseum 886139</t>
  </si>
  <si>
    <t>BNS925</t>
  </si>
  <si>
    <t>4983164886139</t>
  </si>
  <si>
    <t>Фигурка Naruto Shippuden Gaara Vibration Stars 4886535</t>
  </si>
  <si>
    <t>BNS927</t>
  </si>
  <si>
    <t>4983164886535</t>
  </si>
  <si>
    <t>Фигурка Naruto Shippuden Namikaze Minato</t>
  </si>
  <si>
    <t>BNS388</t>
  </si>
  <si>
    <t>4983164184440</t>
  </si>
  <si>
    <t>9,9 / 15,1 / 20</t>
  </si>
  <si>
    <t>Фигурка Naruto Shippuden Namikaze Minato Colosseum 886146</t>
  </si>
  <si>
    <t>BNS926</t>
  </si>
  <si>
    <t>4983164886146</t>
  </si>
  <si>
    <t>10 / 15,1 / 20,4</t>
  </si>
  <si>
    <t>Фигурка Naruto Shippuden Naruto Uzumaki 888683</t>
  </si>
  <si>
    <t>BNS937</t>
  </si>
  <si>
    <t>4983164888683</t>
  </si>
  <si>
    <t>Фигурка Naruto Shippuden Naruto Uzumaki Vibration Stars 887648</t>
  </si>
  <si>
    <t>BNS933</t>
  </si>
  <si>
    <t>4983164887648</t>
  </si>
  <si>
    <t>Фигурка Naruto Shippuden Panel Spectacle Sakura Haruno 9cm 4983164881387</t>
  </si>
  <si>
    <t>BNS786</t>
  </si>
  <si>
    <t>4983164881387</t>
  </si>
  <si>
    <t>20,3 / 15 / 10</t>
  </si>
  <si>
    <t>Фигурка Naruto Shippuden Sasori Vibration Stars 195521</t>
  </si>
  <si>
    <t>BNS942</t>
  </si>
  <si>
    <t>4983164195521</t>
  </si>
  <si>
    <t>Фигурка Naruto Shippuden Sasuke Uchiha Vibration Stars 883626</t>
  </si>
  <si>
    <t>BNS954</t>
  </si>
  <si>
    <t>4983164883626</t>
  </si>
  <si>
    <t>Фигурка Naruto Shippuden Uchiha Sasuke Grandista Nero 197419</t>
  </si>
  <si>
    <t>BNS917</t>
  </si>
  <si>
    <t>4983164197419</t>
  </si>
  <si>
    <t>14 / 15 / 26</t>
  </si>
  <si>
    <t>Фигурка Naruto Shippuden Uchiha Sasuke Vibration Stars 880014</t>
  </si>
  <si>
    <t>BNS948</t>
  </si>
  <si>
    <t>4983164880014</t>
  </si>
  <si>
    <t>20 / 17 / 10</t>
  </si>
  <si>
    <t>Фигурка Naruto Shippuden Vibration Stars Haruno Sakura 16cm 4983164195507</t>
  </si>
  <si>
    <t>BNS785</t>
  </si>
  <si>
    <t>4983164195507</t>
  </si>
  <si>
    <t>20,1 / 15,1 / 10,1</t>
  </si>
  <si>
    <t>Фигурка Naruto Shippuden Vibration Stars Pain 893434</t>
  </si>
  <si>
    <t>BNS985</t>
  </si>
  <si>
    <t>4983164893434</t>
  </si>
  <si>
    <t>20,1 / 14,9 / 10</t>
  </si>
  <si>
    <t>Фигурка Naruto Shippuden Vibration Stars Uzumaki Naruto 21 cm 4983164880908</t>
  </si>
  <si>
    <t>BNS784</t>
  </si>
  <si>
    <t>4983164880908</t>
  </si>
  <si>
    <t>Фигурка Naruto Uchiha Sasuke Colosseum 885156</t>
  </si>
  <si>
    <t>BNS940</t>
  </si>
  <si>
    <t>4983164885156</t>
  </si>
  <si>
    <t>Фигурка Naruto Uchiha Sasuke Memorable Saga 885569</t>
  </si>
  <si>
    <t>BNS952</t>
  </si>
  <si>
    <t>4983164885569</t>
  </si>
  <si>
    <t>9 / 12,1 / 18,1</t>
  </si>
  <si>
    <t>Фигурка One Piece DXF Grandline Lady Extra Kikunojo 17cm 4983164881837</t>
  </si>
  <si>
    <t>BNS789</t>
  </si>
  <si>
    <t>4983164881837</t>
  </si>
  <si>
    <t>Фигурка One Piece Dxf Grandline Wanokuni A Kouzuki Momonosuke 183900</t>
  </si>
  <si>
    <t>BNS978</t>
  </si>
  <si>
    <t>4983164183900</t>
  </si>
  <si>
    <t>9 / 12,1 / 17,6</t>
  </si>
  <si>
    <t>Фигурка One Piece DXF Luffy (16см) (88902) 4983164889024</t>
  </si>
  <si>
    <t>BNS1021</t>
  </si>
  <si>
    <t>4983164889024</t>
  </si>
  <si>
    <t>Фигурка One Piece DXF Shinobu (16см) (88904) 4983164889048</t>
  </si>
  <si>
    <t>BNS1022</t>
  </si>
  <si>
    <t>4983164889048</t>
  </si>
  <si>
    <t>Фигурка One Piece DXF The Grandline Children Wanokuni Buggy VerB (13см) (18626) 186260</t>
  </si>
  <si>
    <t>BNS1016</t>
  </si>
  <si>
    <t>4983164186260</t>
  </si>
  <si>
    <t>BP19061P</t>
  </si>
  <si>
    <t>Фигурка One Piece Dxf The Grandline Lady Nico Robin 4983164190618</t>
  </si>
  <si>
    <t>BNS868</t>
  </si>
  <si>
    <t>4983164190618</t>
  </si>
  <si>
    <t>Фигурка One Piece DXF The Grandline Men Tony Chopper 184655</t>
  </si>
  <si>
    <t>BNS1080</t>
  </si>
  <si>
    <t>4983164184655</t>
  </si>
  <si>
    <t>Фигурка One Piece DXF The Grandline Men Trafalgar Law (17см) (19283) 4983164192834</t>
  </si>
  <si>
    <t>BNS1017</t>
  </si>
  <si>
    <t>4983164192834</t>
  </si>
  <si>
    <t>Фигурка One Piece DXF The Grandline Series Extra Aramaki (17см) (89114) 891140</t>
  </si>
  <si>
    <t>BNS1008</t>
  </si>
  <si>
    <t>4983164891140</t>
  </si>
  <si>
    <t>Фигурка One Piece DXF The Grandline Series Extra King 17cm 4983164198348</t>
  </si>
  <si>
    <t>BNS790</t>
  </si>
  <si>
    <t>4983164198348</t>
  </si>
  <si>
    <t>Фигурка One Piece DXF The Grandline Series Film RED Koby 17cm 4983164884098</t>
  </si>
  <si>
    <t>BNS791</t>
  </si>
  <si>
    <t>4983164884098</t>
  </si>
  <si>
    <t>Фигурка One Piece DXF The Grandline Series Film Red Uta (16см) (88706) 4983164887068</t>
  </si>
  <si>
    <t>BNS1015</t>
  </si>
  <si>
    <t>4983164887068</t>
  </si>
  <si>
    <t>Фигурка One Piece Dxf The Grandline Series Film Red Uta Children (12см) (88303) 883039</t>
  </si>
  <si>
    <t>BNS1014</t>
  </si>
  <si>
    <t>4983164883039</t>
  </si>
  <si>
    <t>BP18859P</t>
  </si>
  <si>
    <t>Фигурка One Piece DXF The Grandline Series Kouzuki Momonosuke 4983164188592</t>
  </si>
  <si>
    <t>BNS867</t>
  </si>
  <si>
    <t>4983164188592</t>
  </si>
  <si>
    <t>Фигурка One Piece DXF The Grandline Series Wanokuni Sanji (17см) (88989) 4983164889895</t>
  </si>
  <si>
    <t>BNS1012</t>
  </si>
  <si>
    <t>4983164889895</t>
  </si>
  <si>
    <t>Фигурка One Piece DXF The Grandline Series Wanokuni Silvers Rayleigh (17см) (88990) 889901</t>
  </si>
  <si>
    <t>BNS1013</t>
  </si>
  <si>
    <t>4983164889901</t>
  </si>
  <si>
    <t>Фигурка One Piece Edward Newgate Barbe Blanche 4197365</t>
  </si>
  <si>
    <t>BNS916</t>
  </si>
  <si>
    <t>4983164197365</t>
  </si>
  <si>
    <t>Фигурка One Piece Eustass Kid DXF The Grandline 887044</t>
  </si>
  <si>
    <t>BNS931</t>
  </si>
  <si>
    <t>4983164887044</t>
  </si>
  <si>
    <t>Фигурка One Piece Fluffy Puffy Chopper 886016</t>
  </si>
  <si>
    <t>BNS923</t>
  </si>
  <si>
    <t>4983164886016</t>
  </si>
  <si>
    <t>Фигурка One Piece Glitter Glamours Wanokuni Style Nami 25cm 184679</t>
  </si>
  <si>
    <t>BNS730</t>
  </si>
  <si>
    <t>4983164184679</t>
  </si>
  <si>
    <t>24,9 / 14 / 14</t>
  </si>
  <si>
    <t>BP19194P</t>
  </si>
  <si>
    <t>Фигурка One Piece King Of Artist Sanji 4983164191943</t>
  </si>
  <si>
    <t>BNS872</t>
  </si>
  <si>
    <t>4983164191943</t>
  </si>
  <si>
    <t>BP16333P</t>
  </si>
  <si>
    <t>Фигурка One Piece Portgas D. Ace SCultures BIG Zoukeio 4 Figure (re-run) 18см BP16333P</t>
  </si>
  <si>
    <t>BNS150</t>
  </si>
  <si>
    <t>4983164163339</t>
  </si>
  <si>
    <t>Фигурка One Piece Red Helmeppo DXF The Grandline 4886085</t>
  </si>
  <si>
    <t>BNS924</t>
  </si>
  <si>
    <t>4983164886085</t>
  </si>
  <si>
    <t>Фигурка One Piece Red Sanji The Grandline Men 4983164189506</t>
  </si>
  <si>
    <t>BNS580</t>
  </si>
  <si>
    <t>4983164189506</t>
  </si>
  <si>
    <t>Фигурка One Piece Senkozekkei Rob Lucci 4983164893786</t>
  </si>
  <si>
    <t>BNS988</t>
  </si>
  <si>
    <t>4983164893786</t>
  </si>
  <si>
    <t>Фигурка One Piece Senkozekkei Shanks 884081</t>
  </si>
  <si>
    <t>BNS946</t>
  </si>
  <si>
    <t>4983164884081</t>
  </si>
  <si>
    <t>Фигурка One Piece Sofvimates Chopper Egghead 893748</t>
  </si>
  <si>
    <t>BNS986</t>
  </si>
  <si>
    <t>4983164893748</t>
  </si>
  <si>
    <t>Фигурка One Piece The Grandline Men Film RED Sunny-Kun vol. 5 6cm 4983164190632</t>
  </si>
  <si>
    <t>BNS793</t>
  </si>
  <si>
    <t>4983164190632</t>
  </si>
  <si>
    <t>Фигурка One Piece The Grandline Men Sanji Wanokuni 17cm 182361</t>
  </si>
  <si>
    <t>BNS738</t>
  </si>
  <si>
    <t>4983164182361</t>
  </si>
  <si>
    <t>9,1 / 12 / 20,2</t>
  </si>
  <si>
    <t>Фигурка One Piece The Shukko Koala 889017</t>
  </si>
  <si>
    <t>BNS938</t>
  </si>
  <si>
    <t>4983164889017</t>
  </si>
  <si>
    <t>Фигурка One Piece The Shukko Sabo 888102</t>
  </si>
  <si>
    <t>BNS936</t>
  </si>
  <si>
    <t>4983164888102</t>
  </si>
  <si>
    <t>Фигурка One Piece The Shukko Sanji 17cm 4983164881844</t>
  </si>
  <si>
    <t>BNS792</t>
  </si>
  <si>
    <t>4983164881844</t>
  </si>
  <si>
    <t>Фигурка One Piece Ulti Figurine Glitter Glamours 23cm ver.B 183177</t>
  </si>
  <si>
    <t>BNS714</t>
  </si>
  <si>
    <t>4983164183177</t>
  </si>
  <si>
    <t>BP17829P</t>
  </si>
  <si>
    <t>Фигурка One Punch Man Espresto Blizzard 4983164178296</t>
  </si>
  <si>
    <t>BNS874</t>
  </si>
  <si>
    <t>4983164178296</t>
  </si>
  <si>
    <t>Фигурка Osananajimi Ga Zettai Ni Makenai Love Comedy Kuroha Shida 17cm 179392</t>
  </si>
  <si>
    <t>BNS687</t>
  </si>
  <si>
    <t>4983164179392</t>
  </si>
  <si>
    <t>20 / 15 / 8</t>
  </si>
  <si>
    <t>Фигурка Otherworlder That Time I Got Reincarnated As A Slime Hinata Sakaguchi Vol.13 (VerB) (17см) (</t>
  </si>
  <si>
    <t>BNS1034</t>
  </si>
  <si>
    <t>4983164185959</t>
  </si>
  <si>
    <t>Фигурка Panel Spectacle Naruto Shippuden Sasuke Uchiha (9см) (88033) 4983164880335</t>
  </si>
  <si>
    <t>BNS1036</t>
  </si>
  <si>
    <t>4983164880335</t>
  </si>
  <si>
    <t>Фигурка Panel Spectacle Naruto Shippuden Uzumaki Naruto (9см) (19783) 4983164197839</t>
  </si>
  <si>
    <t>BNS1037</t>
  </si>
  <si>
    <t>4983164197839</t>
  </si>
  <si>
    <t>Фигурка Q Posket Blue Lock Yoichi Isagi (Ver B) 16cm 4983164191301</t>
  </si>
  <si>
    <t>BNS749</t>
  </si>
  <si>
    <t>4983164191301</t>
  </si>
  <si>
    <t>Фигурка Q Posket Bluelock Rin Itoshi 4983164195576</t>
  </si>
  <si>
    <t>BNS607</t>
  </si>
  <si>
    <t>4983164195576</t>
  </si>
  <si>
    <t>Bluelock</t>
  </si>
  <si>
    <t>Фигурка Q Posket BTS TinyTAN Dynamite J-Hope 4983164190083</t>
  </si>
  <si>
    <t>BNS544</t>
  </si>
  <si>
    <t>4983164190083</t>
  </si>
  <si>
    <t>BTS</t>
  </si>
  <si>
    <t>Фигурка Q Posket BTS TinyTAN Dynamite Jin 4983164190045</t>
  </si>
  <si>
    <t>BNS542</t>
  </si>
  <si>
    <t>4983164190045</t>
  </si>
  <si>
    <t>Фигурка Q Posket BTS TinyTAN Dynamite Rm 4983164190021</t>
  </si>
  <si>
    <t>BNS540</t>
  </si>
  <si>
    <t>4983164190021</t>
  </si>
  <si>
    <t>BP88092P</t>
  </si>
  <si>
    <t>Фигурка Q Posket Chainsaw Man Denji 4983164880922</t>
  </si>
  <si>
    <t>BNS832</t>
  </si>
  <si>
    <t>4983164880922</t>
  </si>
  <si>
    <t>BP18455P</t>
  </si>
  <si>
    <t>Фигурка Q Posket Demon Slayer Inosuke 2 (Ver.A) 4983164184556</t>
  </si>
  <si>
    <t>BNS825</t>
  </si>
  <si>
    <t>4983164184556</t>
  </si>
  <si>
    <t>BP19039P</t>
  </si>
  <si>
    <t>Фигурка Q Posket Demon Slayer Kimetsu No Yaiba Tengen Uzui (Ver.A) 4983164190397</t>
  </si>
  <si>
    <t>BNS854</t>
  </si>
  <si>
    <t>4983164190397</t>
  </si>
  <si>
    <t>BP18922P</t>
  </si>
  <si>
    <t>Фигурка Q Posket Gyomei Himejima 4983164189223</t>
  </si>
  <si>
    <t>BNS858</t>
  </si>
  <si>
    <t>4983164189223</t>
  </si>
  <si>
    <t>Фигурка Q Posket Harry Potter Ron &amp; Croutard 166507</t>
  </si>
  <si>
    <t>BNS944</t>
  </si>
  <si>
    <t>4983164166507</t>
  </si>
  <si>
    <t>Фигурка Q Posket Inuyasha 184334</t>
  </si>
  <si>
    <t>BNS966</t>
  </si>
  <si>
    <t>4983164184334</t>
  </si>
  <si>
    <t>Inuyasha</t>
  </si>
  <si>
    <t>Фигурка Q Posket Inuyasha Kagome Higurashi 184341</t>
  </si>
  <si>
    <t>BNS967</t>
  </si>
  <si>
    <t>4983164184341</t>
  </si>
  <si>
    <t>Фигурка Q Posket Jujutsu Kaisen Yuji Itadori (Ver.B) (18122) 4983164181227</t>
  </si>
  <si>
    <t>BNS1041</t>
  </si>
  <si>
    <t>4983164181227</t>
  </si>
  <si>
    <t>BP19253P</t>
  </si>
  <si>
    <t>Фигурка Q Posket Muichiro Tokito Ver. B 4983164192537</t>
  </si>
  <si>
    <t>BNS860</t>
  </si>
  <si>
    <t>4983164192537</t>
  </si>
  <si>
    <t>BP88135P</t>
  </si>
  <si>
    <t>Фигурка Q Posket Naruto Shippuden Gaara Ver. A 4983164881356</t>
  </si>
  <si>
    <t>BNS862</t>
  </si>
  <si>
    <t>4983164881356</t>
  </si>
  <si>
    <t>BP18825P</t>
  </si>
  <si>
    <t>Фигурка Q Posket Naruto Shippuden Hatake Kakashi Ver. B 4983164188257</t>
  </si>
  <si>
    <t>BNS865</t>
  </si>
  <si>
    <t>4983164188257</t>
  </si>
  <si>
    <t>BP19228P</t>
  </si>
  <si>
    <t>Фигурка Q Posket Naruto Shippuden Namikaze Minato Ver. A 4983164192285</t>
  </si>
  <si>
    <t>BNS866</t>
  </si>
  <si>
    <t>4983164192285</t>
  </si>
  <si>
    <t>BP18707</t>
  </si>
  <si>
    <t>Фигурка Q Posket Naruto Uzumaki Ver. A Naruto Shippuden 14 см BP18707</t>
  </si>
  <si>
    <t>BNS330</t>
  </si>
  <si>
    <t>4983164187076</t>
  </si>
  <si>
    <t>Фигурка Q Posket RWBY Blake Belladonna (14см) (18144) 4983164181449</t>
  </si>
  <si>
    <t>BNS1042</t>
  </si>
  <si>
    <t>4983164181449</t>
  </si>
  <si>
    <t>RWBY</t>
  </si>
  <si>
    <t>BP18709</t>
  </si>
  <si>
    <t>Фигурка Q Posket Sasuke Uchiha Ver. A Naruto Shippuden 14 см BP18709</t>
  </si>
  <si>
    <t>BNS331</t>
  </si>
  <si>
    <t>4983164187090</t>
  </si>
  <si>
    <t>Фигурка Q Posket TinyTAN MIC Drop BT21 BTS J-Hope 4983164186543</t>
  </si>
  <si>
    <t>BNS533</t>
  </si>
  <si>
    <t>4983164186543</t>
  </si>
  <si>
    <t>BP19245P</t>
  </si>
  <si>
    <t>Фигурка Q Posket Tokyo Revengers A Manjiro Sano 4983164192452</t>
  </si>
  <si>
    <t>BNS903</t>
  </si>
  <si>
    <t>4983164192452</t>
  </si>
  <si>
    <t>18,1 / 11,8 / 9</t>
  </si>
  <si>
    <t>BP19450P</t>
  </si>
  <si>
    <t>Фигурка Q Posket Tokyo Revengers Chifuyu Matsuno Ver. A 4983164194500</t>
  </si>
  <si>
    <t>BNS905</t>
  </si>
  <si>
    <t>4983164194500</t>
  </si>
  <si>
    <t>BP19337P</t>
  </si>
  <si>
    <t>Фигурка Q Posket Tokyo Revengers Keisuke Baji Ver. A 4983164193374</t>
  </si>
  <si>
    <t>BNS904</t>
  </si>
  <si>
    <t>4983164193374</t>
  </si>
  <si>
    <t>BP18909P</t>
  </si>
  <si>
    <t>Фигурка Q Posket Tokyo Revengers Ken Ryuguji Ver. A 4983164189094</t>
  </si>
  <si>
    <t>BNS902</t>
  </si>
  <si>
    <t>4983164189094</t>
  </si>
  <si>
    <t>BP18907P</t>
  </si>
  <si>
    <t>Фигурка Q Posket Tokyo Revengers Manjiro Sano Ver. A 4983164189070</t>
  </si>
  <si>
    <t>BNS901</t>
  </si>
  <si>
    <t>4983164189070</t>
  </si>
  <si>
    <t>17,6 / 13,5 / 9</t>
  </si>
  <si>
    <t>BP19452P</t>
  </si>
  <si>
    <t>Фигурка Q Posket Tokyo Revengers Takashi Mitsuya Ver. A 4983164194524</t>
  </si>
  <si>
    <t>BNS906</t>
  </si>
  <si>
    <t>4983164194524</t>
  </si>
  <si>
    <t>BP18815P</t>
  </si>
  <si>
    <t>Фигурка Q Posket Tokyo Revengers Takemichi Hanagaki Ver. A 4983164188158</t>
  </si>
  <si>
    <t>BNS900</t>
  </si>
  <si>
    <t>4983164188158</t>
  </si>
  <si>
    <t>BP17958P</t>
  </si>
  <si>
    <t>Фигурка Q Posket О моём перерождении в слизь Diablo Ver. B 4983164179583</t>
  </si>
  <si>
    <t>BNS894</t>
  </si>
  <si>
    <t>4983164179583</t>
  </si>
  <si>
    <t>BP17824P</t>
  </si>
  <si>
    <t>Фигурка Q Posket О моём перерождении в слизь Rimuru Ver. B 4983164178241</t>
  </si>
  <si>
    <t>BNS893</t>
  </si>
  <si>
    <t>4983164178241</t>
  </si>
  <si>
    <t>Фигурка Q Posket Токийские мстители Kazutora Hanemiya Ver. B 16cm 4983164191455</t>
  </si>
  <si>
    <t>BNS808</t>
  </si>
  <si>
    <t>4983164191455</t>
  </si>
  <si>
    <t>BP16201</t>
  </si>
  <si>
    <t>Фигурка Re:Zero Chibi Kyun Vol.1 B Rem 4983164162011</t>
  </si>
  <si>
    <t>BNS888</t>
  </si>
  <si>
    <t>4983164162011</t>
  </si>
  <si>
    <t>Re:Zero</t>
  </si>
  <si>
    <t>10 / 7 / 5</t>
  </si>
  <si>
    <t>Фигурка Rent A Girlfriend Mami Nanami Exhibition Ver. (18075) 4983164180756</t>
  </si>
  <si>
    <t>BNS1046</t>
  </si>
  <si>
    <t>4983164180756</t>
  </si>
  <si>
    <t>20,2 / 15 / 8</t>
  </si>
  <si>
    <t>Фигурка Sanrio Hello Kitty Бадц Мару Badtz Maru 11см 86342</t>
  </si>
  <si>
    <t>BNS1118</t>
  </si>
  <si>
    <t>4983164286342</t>
  </si>
  <si>
    <t>Hello Kitty &amp; Friends</t>
  </si>
  <si>
    <t>Sanrio</t>
  </si>
  <si>
    <t>Фигурка Sanrio Hello Kitty Май Мелоди My Melody Sofvimates 14см 85192</t>
  </si>
  <si>
    <t>BNS1082</t>
  </si>
  <si>
    <t>4983164285192</t>
  </si>
  <si>
    <t>BP17477P</t>
  </si>
  <si>
    <t>Фигурка SD GUNDAM Dark Knight Gundam Mk-II BP17477P</t>
  </si>
  <si>
    <t>BNS204</t>
  </si>
  <si>
    <t>4983164174779</t>
  </si>
  <si>
    <t>Gundam</t>
  </si>
  <si>
    <t>20 / 15 / 9,9</t>
  </si>
  <si>
    <t>Фигурка Shuna That Time I Got Reincarnated as a Slime 4983164188790</t>
  </si>
  <si>
    <t>BNS573</t>
  </si>
  <si>
    <t>4983164188790</t>
  </si>
  <si>
    <t>BP18918P</t>
  </si>
  <si>
    <t>Фигурка Summer Time Rendering Ushio Kofune 4983164189186</t>
  </si>
  <si>
    <t>BNS891</t>
  </si>
  <si>
    <t>4983164189186</t>
  </si>
  <si>
    <t>BP88037P</t>
  </si>
  <si>
    <t>Фигурка Sword Art Online Variant Showdown Sinon 4983164880373</t>
  </si>
  <si>
    <t>BNS892</t>
  </si>
  <si>
    <t>4983164880373</t>
  </si>
  <si>
    <t>Sword Art Online</t>
  </si>
  <si>
    <t>Фигурка That Time I Got Reincarnated As A Slime Otherworlder  Hinata Sakaguchi 4983164189032</t>
  </si>
  <si>
    <t>BNS574</t>
  </si>
  <si>
    <t>4983164189032</t>
  </si>
  <si>
    <t>Фигурка That Time I Got Reincarnated As A Slime Rimuru Tempest (20см) (88962) 889628</t>
  </si>
  <si>
    <t>BNS1023</t>
  </si>
  <si>
    <t>4983164889628</t>
  </si>
  <si>
    <t>25,1 / 14 / 14</t>
  </si>
  <si>
    <t>Фигурка That Time I Got Reincarnated As A Slime Shion (16см) (89083) 4983164890839</t>
  </si>
  <si>
    <t>BNS1049</t>
  </si>
  <si>
    <t>4983164890839</t>
  </si>
  <si>
    <t>Фигурка That Time I Got Reincarnated As A Slime The Black Progenitor Diablo (20см) (19331) 193312</t>
  </si>
  <si>
    <t>BNS1050</t>
  </si>
  <si>
    <t>4983164193312</t>
  </si>
  <si>
    <t>Фигурка That Time I Got Reincarnated As A Slime Veldora (20см) (88961) 4983164889611</t>
  </si>
  <si>
    <t>BNS1051</t>
  </si>
  <si>
    <t>4983164889611</t>
  </si>
  <si>
    <t>Фигурка The Grandline Men Vol. 7 Usopp 4983164190656</t>
  </si>
  <si>
    <t>BNS588</t>
  </si>
  <si>
    <t>4983164190656</t>
  </si>
  <si>
    <t>BP19076P</t>
  </si>
  <si>
    <t>Фигурка The IdolmaSter Shiny Colors Rinze Morino 4983164190762</t>
  </si>
  <si>
    <t>BNS840</t>
  </si>
  <si>
    <t>4983164190762</t>
  </si>
  <si>
    <t>Фигурка The Quintessential Kyunties Nino Nakano 184419</t>
  </si>
  <si>
    <t>BNS968</t>
  </si>
  <si>
    <t>4983164184419</t>
  </si>
  <si>
    <t>BP19221P</t>
  </si>
  <si>
    <t>Фигурка The Quintessential Quintuplets Movie Kyunties Ichika Nakano 4983164192216</t>
  </si>
  <si>
    <t>BNS896</t>
  </si>
  <si>
    <t>4983164192216</t>
  </si>
  <si>
    <t>BP19428P</t>
  </si>
  <si>
    <t>Фигурка The Quintessential Quintuplets Movie Kyunties Miku Nakano 4983164194289</t>
  </si>
  <si>
    <t>BNS897</t>
  </si>
  <si>
    <t>4983164194289</t>
  </si>
  <si>
    <t>BP19429P</t>
  </si>
  <si>
    <t>Фигурка The Quintessential Quintuplets Movie Kyunties Yotsuba Nakano 4983164194296</t>
  </si>
  <si>
    <t>BNS898</t>
  </si>
  <si>
    <t>4983164194296</t>
  </si>
  <si>
    <t>Фигурка Tokyo Revenger Ken Ryuguji</t>
  </si>
  <si>
    <t>BNS391</t>
  </si>
  <si>
    <t>4983164177299</t>
  </si>
  <si>
    <t>Фигурка Tokyo Revenger Takemichi Hanagaki</t>
  </si>
  <si>
    <t>BNS392</t>
  </si>
  <si>
    <t>4983164185966</t>
  </si>
  <si>
    <t>9,1 / 12,3 / 18</t>
  </si>
  <si>
    <t>Фигурка Tokyo Revengers Kazutora Hanemiya 14 см</t>
  </si>
  <si>
    <t>BNS418</t>
  </si>
  <si>
    <t>4983164191448</t>
  </si>
  <si>
    <t>Фигурка Tokyo Revengers Keisuke Baji 17 см 4983164188172</t>
  </si>
  <si>
    <t>BNS524</t>
  </si>
  <si>
    <t>4983164188172</t>
  </si>
  <si>
    <t>BP19454P</t>
  </si>
  <si>
    <t>Фигурка Tokyo Revengers King Of Artist The Ken Ryuguji 4983164194548</t>
  </si>
  <si>
    <t>BNS899</t>
  </si>
  <si>
    <t>4983164194548</t>
  </si>
  <si>
    <t>Фигурка Tokyo Revengers Tetta Kisaki 16 см</t>
  </si>
  <si>
    <t>BNS423</t>
  </si>
  <si>
    <t>4983164191462</t>
  </si>
  <si>
    <t>Фигурка Umamusume Pretty Derby Gold Ship (19см) (18698) 4983164186987</t>
  </si>
  <si>
    <t>BNS1053</t>
  </si>
  <si>
    <t>4983164186987</t>
  </si>
  <si>
    <t>BP19123P</t>
  </si>
  <si>
    <t>Фигурка Umamusume Pretty Derby Mayano Top Gun 4983164191233</t>
  </si>
  <si>
    <t>BNS908</t>
  </si>
  <si>
    <t>4983164191233</t>
  </si>
  <si>
    <t>BP18900P</t>
  </si>
  <si>
    <t>Фигурка Umamusume Pretty Derby Tamamo Cross 4983164189001</t>
  </si>
  <si>
    <t>BNS907</t>
  </si>
  <si>
    <t>4983164189001</t>
  </si>
  <si>
    <t>BP19230P</t>
  </si>
  <si>
    <t>Фигурка Uzumaki Naruto Effectreme 4983164192308</t>
  </si>
  <si>
    <t>BNS863</t>
  </si>
  <si>
    <t>4983164192308</t>
  </si>
  <si>
    <t>Фигурка Vibration Stars Demon Slayer Kimetsu No Yaiba Daki (Ver.A) (8см) (88782) 4983164887822</t>
  </si>
  <si>
    <t>BNS1058</t>
  </si>
  <si>
    <t>4983164887822</t>
  </si>
  <si>
    <t>Фигурка Vibration Stars Demon Slayer Kimetsu No Yaiba Daki (Ver.B) (8см) (88783) 4983164887839</t>
  </si>
  <si>
    <t>BNS1059</t>
  </si>
  <si>
    <t>4983164887839</t>
  </si>
  <si>
    <t>Фигурка Vibration Stars Demon Slayer Kimetsu No Yaiba Genya Shinazugawa (12см) (88486) 884869</t>
  </si>
  <si>
    <t>BNS1060</t>
  </si>
  <si>
    <t>4983164884869</t>
  </si>
  <si>
    <t>Фигурка Vibration Stars Hell’s Paradise Aza Chobe (19см) (89094) 4983164890945</t>
  </si>
  <si>
    <t>BNS1062</t>
  </si>
  <si>
    <t>4983164890945</t>
  </si>
  <si>
    <t>Фигурка Vibration Stars Hell’S Paradise Jigokuraku Yamada Aseamon Sagiri (14см) (88060) 880601</t>
  </si>
  <si>
    <t>BNS1063</t>
  </si>
  <si>
    <t>4983164880601</t>
  </si>
  <si>
    <t>Фигурка Vibration Stars Hell’S Paradise Jigokuraku Yamada Aseamon Shion (14см) (88061) 880618</t>
  </si>
  <si>
    <t>BNS1064</t>
  </si>
  <si>
    <t>4983164880618</t>
  </si>
  <si>
    <t>Фигурка Vibration Stars Naruto Uzumaki Naruto (14см) (88195) 4983164881950</t>
  </si>
  <si>
    <t>BNS1065</t>
  </si>
  <si>
    <t>4983164881950</t>
  </si>
  <si>
    <t>Фигурка аниме Idolmaster Cinderella Girls Мика Дзегасаки Mika Jougasaki 17см 85260</t>
  </si>
  <si>
    <t>BNS1083</t>
  </si>
  <si>
    <t>4983164285260</t>
  </si>
  <si>
    <t>Фигурка аниме Idolmaster Shiny Colors Espresto Хана Сузуки Hana Suzuki 22см 86465</t>
  </si>
  <si>
    <t>BNS1121</t>
  </si>
  <si>
    <t>4983164286465</t>
  </si>
  <si>
    <t>BP19325P</t>
  </si>
  <si>
    <t>Фигурка Аниме Re:Zero. Жизнь с нуля в альтернативном мире Dianacht Couture Rem 20см. BP19325P</t>
  </si>
  <si>
    <t>BNS890</t>
  </si>
  <si>
    <t>4983164193251</t>
  </si>
  <si>
    <t>BP19771P</t>
  </si>
  <si>
    <t>Фигурка Аниме Re:Zero. Жизнь с нуля в альтернативном мире Relax Time Rem 10см BP19771P</t>
  </si>
  <si>
    <t>BNS1076</t>
  </si>
  <si>
    <t>4983164197716</t>
  </si>
  <si>
    <t>20,2 / 15 / 10</t>
  </si>
  <si>
    <t>Фигурка аниме To Love-Ru Darkness Glitters &amp; Glamours Кондзики но Ями Konjiki no Yami 23см 98163</t>
  </si>
  <si>
    <t>BNS1089</t>
  </si>
  <si>
    <t>4983164898163</t>
  </si>
  <si>
    <t>Фигурка аниме To Love-Ru Darkness Glitters &amp; Glamours Нана Астар Девилюк Nana Astar Deviluke 23см 98</t>
  </si>
  <si>
    <t>BNS1088</t>
  </si>
  <si>
    <t>4983164898156</t>
  </si>
  <si>
    <t>Фигурка аниме To Love-Ru Darkness Glitters &amp; Glamours Юи Котэгава Yui Kotegawa 23см 98149</t>
  </si>
  <si>
    <t>BNS1087</t>
  </si>
  <si>
    <t>4983164898149</t>
  </si>
  <si>
    <t>Фигурка аниме Vibration Stars Дни Сакамото Sakamoto Days Таро Сакамото Taro Sakamoto 18см 85581</t>
  </si>
  <si>
    <t>BNS1099</t>
  </si>
  <si>
    <t>4983164285581</t>
  </si>
  <si>
    <t>19,9 / 15 / 10</t>
  </si>
  <si>
    <t>Фигурка аниме Vibration Stars Дни Сакамото Sakamoto Days Шин Асакура Shin Asakura 12см 85598</t>
  </si>
  <si>
    <t>BNS1100</t>
  </si>
  <si>
    <t>4983164285598</t>
  </si>
  <si>
    <t>Фигурка аниме Vibration Stars Наруто Naruto Намиказе Минато Namikaze Minato 3 14см 85550</t>
  </si>
  <si>
    <t>BNS1097</t>
  </si>
  <si>
    <t>4983164285550</t>
  </si>
  <si>
    <t>BP19784P</t>
  </si>
  <si>
    <t>Фигурка Аниме Блич Bleach Solid And Souls Ichigo Kurosaki 17см BP19784P</t>
  </si>
  <si>
    <t>BNS1075</t>
  </si>
  <si>
    <t>4983164197846</t>
  </si>
  <si>
    <t>Блич</t>
  </si>
  <si>
    <t>Фигурка Аниме Блич Bleach Solid And Souls Renji Abarai (17см) (88134) BP88134P</t>
  </si>
  <si>
    <t>BNS1048</t>
  </si>
  <si>
    <t>4983164881349</t>
  </si>
  <si>
    <t>Фигурка аниме БЛИЧ Bleach Vibration Starts Гриммджо Джагерджак Grimmjow Jaegerjaques 10см 85499</t>
  </si>
  <si>
    <t>BNS1094</t>
  </si>
  <si>
    <t>4983164285499</t>
  </si>
  <si>
    <t>Фигурка аниме Ван Пис One Piece Battle Record Collection Нами Nami 15см 85918</t>
  </si>
  <si>
    <t>BNS1112</t>
  </si>
  <si>
    <t>4983164285918</t>
  </si>
  <si>
    <t>Фигурка аниме Ван Пис One Piece Battle Record Трафальгар Trafalgar Law 2 figure 15см 86922</t>
  </si>
  <si>
    <t>BNS1144</t>
  </si>
  <si>
    <t>4983164286922</t>
  </si>
  <si>
    <t>Фигурка аниме Ван Пис One Piece Gear 5 Луффи Monkey D Luffy 14см 87011</t>
  </si>
  <si>
    <t>BNS1146</t>
  </si>
  <si>
    <t>4983164287011</t>
  </si>
  <si>
    <t>Фигурка аниме Ван Пис One Piece Glitter&amp;Glamours Виви Нефертари Nefeltari Vivi 2 23см 85901</t>
  </si>
  <si>
    <t>BNS1111</t>
  </si>
  <si>
    <t>4983164285901</t>
  </si>
  <si>
    <t>Фигурка аниме Ван Пис One Piece Grandista Roronoa Зоро Zoro 23см 85949</t>
  </si>
  <si>
    <t>BNS1115</t>
  </si>
  <si>
    <t>4983164285949</t>
  </si>
  <si>
    <t>24 / 24 / 31,5</t>
  </si>
  <si>
    <t>Фигурка аниме Ван Пис One Piece Grandista Луффи Monkey D. Luffy 21см 86939</t>
  </si>
  <si>
    <t>BNS1145</t>
  </si>
  <si>
    <t>4983164286939</t>
  </si>
  <si>
    <t>24,7 / 15 / 14</t>
  </si>
  <si>
    <t>Фигурка аниме Ван Пис One Piece Mega World Кайдо Kaido 13см 85925</t>
  </si>
  <si>
    <t>BNS1113</t>
  </si>
  <si>
    <t>4983164285925</t>
  </si>
  <si>
    <t>22,1 / 10 / 8</t>
  </si>
  <si>
    <t>Фигурка аниме Ван Пис One Piece The Grandline Series Egghead Стусси Stussy 16см 85888</t>
  </si>
  <si>
    <t>BNS1109</t>
  </si>
  <si>
    <t>4983164285888</t>
  </si>
  <si>
    <t>Фигурка аниме Ван Пис One Piece The Grandline Series Extra Крокодайл Crocodile 17см 85895</t>
  </si>
  <si>
    <t>BNS1110</t>
  </si>
  <si>
    <t>4983164285895</t>
  </si>
  <si>
    <t>Фигурка аниме Ван Пис One Piece The Grandline Series Дракуль Dracule 17см 86915</t>
  </si>
  <si>
    <t>BNS1143</t>
  </si>
  <si>
    <t>4983164286915</t>
  </si>
  <si>
    <t>Фигурка аниме Ван Пис One Piece The Grandline Series Сабо Sabo 18см 86908</t>
  </si>
  <si>
    <t>BNS1142</t>
  </si>
  <si>
    <t>4983164286908</t>
  </si>
  <si>
    <t>Фигурка аниме Ван Пис One Piece World Collectable Figure Log Stories Луффи и Кудзан 9см 86885</t>
  </si>
  <si>
    <t>BNS1140</t>
  </si>
  <si>
    <t>4983164286885</t>
  </si>
  <si>
    <t>Фигурка аниме Ван Пис One Piece Зоро The Shukko Roronoa Zoro Egghead figure 17см 86892</t>
  </si>
  <si>
    <t>BNS1141</t>
  </si>
  <si>
    <t>4983164286892</t>
  </si>
  <si>
    <t>Фигурка аниме Ван Пис One Piece Луффи Monkey D.Luffy Gear 5 Vol.1 10см 94776</t>
  </si>
  <si>
    <t>BNS1116</t>
  </si>
  <si>
    <t>4983164894776</t>
  </si>
  <si>
    <t>Фигурка аниме Ван Пис One Piece Луффи Monkey.D.Luffy Egghead The Shukko Ver. 14см 85871</t>
  </si>
  <si>
    <t>BNS1108</t>
  </si>
  <si>
    <t>4983164285871</t>
  </si>
  <si>
    <t>Фигурка аниме Гандам Mobile Suit Gundam Seed Freedom Glitter&amp;Glamours Лакс Кляйн 23см 86410</t>
  </si>
  <si>
    <t>BNS1119</t>
  </si>
  <si>
    <t>4983164286410</t>
  </si>
  <si>
    <t>Фигурка аниме Девушки Пони Umamusume Pretty Derby Агнес Такион Agnes Tachyon 12см 86557</t>
  </si>
  <si>
    <t>BNS1126</t>
  </si>
  <si>
    <t>4983164286557</t>
  </si>
  <si>
    <t>Фигурка аниме Девушки Пони Umamusume Pretty Derby Джангл Покет Jungle Pocket 13см 86540</t>
  </si>
  <si>
    <t>BNS1125</t>
  </si>
  <si>
    <t>4983164286540</t>
  </si>
  <si>
    <t>Фигурка аниме Дни Сакамото Sakamoto Days Vibration Stars Шаотан Лу Lou Xiaotan 17см 86717</t>
  </si>
  <si>
    <t>BNS1135</t>
  </si>
  <si>
    <t>4983164286717</t>
  </si>
  <si>
    <t>Фигурка аниме Дни Сакамото Sakamoto Days Vibration Stars Шишиба Shishiba 18см 86724</t>
  </si>
  <si>
    <t>BNS1136</t>
  </si>
  <si>
    <t>4983164286724</t>
  </si>
  <si>
    <t>Фигурка аниме Дни Сакамото Sakamoto Days Таро Сакамото Taro Sakamoto 22см 85574</t>
  </si>
  <si>
    <t>BNS1098</t>
  </si>
  <si>
    <t>4983164285574</t>
  </si>
  <si>
    <t>Фигурка аниме Жизнь с нуля в альтернативном мире Re:Zero Starting Life In Another World Relax Time Р</t>
  </si>
  <si>
    <t>BNS1091</t>
  </si>
  <si>
    <t>4983164286021</t>
  </si>
  <si>
    <t>25,3 / 14 / 14</t>
  </si>
  <si>
    <t>Фигурка аниме Звездное дитя Oshi no Ko Air Flow Кана Арима Kana Arima 13см 85277</t>
  </si>
  <si>
    <t>BNS1084</t>
  </si>
  <si>
    <t>4983164285277</t>
  </si>
  <si>
    <t>Фигурка аниме Звездное дитя Oshi no Ko Air Flow Руби Ruby 18см 85284</t>
  </si>
  <si>
    <t>BNS1085</t>
  </si>
  <si>
    <t>4983164285284</t>
  </si>
  <si>
    <t>Фигурка аниме Звездное дитя Oshi no Ko Акане Курокава Akane Kurokawa Sayahime ver. 17см 86489</t>
  </si>
  <si>
    <t>BNS1124</t>
  </si>
  <si>
    <t>4983164286489</t>
  </si>
  <si>
    <t>Фигурка аниме Звездное дитя Oshi no Ko Аква Aqua (Touki Ver.) 18см 96916</t>
  </si>
  <si>
    <t>BNS1086</t>
  </si>
  <si>
    <t>4983164896916</t>
  </si>
  <si>
    <t>Фигурка аниме Звездное дитя Oshi no Ko Кана Арима Kana Arima Tsurugi Ver. 16см 96015</t>
  </si>
  <si>
    <t>BNS1123</t>
  </si>
  <si>
    <t>4983164896015</t>
  </si>
  <si>
    <t>Фигурка аниме Кайдзю номер восемь Kaiju No. 8 Шиномия Кикору Shinomiya Kikoru 16см 87066</t>
  </si>
  <si>
    <t>BNS1147</t>
  </si>
  <si>
    <t>4983164287066</t>
  </si>
  <si>
    <t>13 / 20,5 / 25</t>
  </si>
  <si>
    <t>Фигурка аниме Кайдзю номер восемь Kaiju No.8 Соширо Хошино Soshiro Hoshino 12см 85963</t>
  </si>
  <si>
    <t>BNS1114</t>
  </si>
  <si>
    <t>4983164285963</t>
  </si>
  <si>
    <t>13 / 20 / 25</t>
  </si>
  <si>
    <t>Фигурка аниме Клинок рассекающий демонов Demon Slayer Гютаро Gyutaro 17см 85697</t>
  </si>
  <si>
    <t>BNS1104</t>
  </si>
  <si>
    <t>4983164285697</t>
  </si>
  <si>
    <t>Фигурка аниме Клинок рассекающий демонов Demon Slayer Даки Daki 15см 85680</t>
  </si>
  <si>
    <t>BNS1103</t>
  </si>
  <si>
    <t>4983164285680</t>
  </si>
  <si>
    <t>Фигурка аниме Клинок рассекающий демонов Demon Slayer Тэнгэн Удзуй Tengen Uzui Maximatic 21см 85673</t>
  </si>
  <si>
    <t>BNS1139</t>
  </si>
  <si>
    <t>4983164285673</t>
  </si>
  <si>
    <t>20 / 15 / 12</t>
  </si>
  <si>
    <t>BP19700P</t>
  </si>
  <si>
    <t>Фигурка Аниме Магическая Битва Jujutsu Kaisen Combination Battle 3  Nobara Kugisaki 11см BP19700P</t>
  </si>
  <si>
    <t>BNS1069</t>
  </si>
  <si>
    <t>4983164197006</t>
  </si>
  <si>
    <t>BP19812P</t>
  </si>
  <si>
    <t>Фигурка Аниме Магическая Битва Jujutsu Kaisen Jukon No Kata Maki Zenin Маки 15см BP19812P</t>
  </si>
  <si>
    <t>BNS1079</t>
  </si>
  <si>
    <t>4983164198126</t>
  </si>
  <si>
    <t>BP19696P</t>
  </si>
  <si>
    <t>Фигурка Аниме Магическая Битва Jujutsu Kaisen Jukon No Kata Miwa Kasumi 15см BP19696P</t>
  </si>
  <si>
    <t>BNS1067</t>
  </si>
  <si>
    <t>4983164196962</t>
  </si>
  <si>
    <t>BP88056P</t>
  </si>
  <si>
    <t>Фигурка Аниме Магическая Битва Jujutsu Kaisen Jukon No Kata Toge Inumaki 15см BP88056P</t>
  </si>
  <si>
    <t>BNS1071</t>
  </si>
  <si>
    <t>4983164880564</t>
  </si>
  <si>
    <t>BP19698P</t>
  </si>
  <si>
    <t>Фигурка Аниме Магическая Битва Jujutsu Kaisen King of Artist Sukuna 21см BP19698P</t>
  </si>
  <si>
    <t>BNS1068</t>
  </si>
  <si>
    <t>4983164196986</t>
  </si>
  <si>
    <t>Фигурка аниме Моногатари Nisioisin Monogatari Series Espresto Шинобу Ошино Shinobu Oshino 20см 85345</t>
  </si>
  <si>
    <t>BNS1090</t>
  </si>
  <si>
    <t>4983164285345</t>
  </si>
  <si>
    <t>Фигурка аниме Монолог фармацевта The Apothecary Diaries Маомао Maomao 17см 86571</t>
  </si>
  <si>
    <t>BNS1127</t>
  </si>
  <si>
    <t>4983164286571</t>
  </si>
  <si>
    <t>BP19782P</t>
  </si>
  <si>
    <t>Фигурка Аниме Наруто Naruto Shippuden Hatake Kakashi Какаши Хатаке Effectreme 13см BP19782P</t>
  </si>
  <si>
    <t>BNS1077</t>
  </si>
  <si>
    <t>4983164197822</t>
  </si>
  <si>
    <t>BP88032P</t>
  </si>
  <si>
    <t>Фигурка Аниме Наруто Naruto Shippuden Vibration Stars Namikaze Minato Минато Намиказе 18см BP88032P</t>
  </si>
  <si>
    <t>BNS1074</t>
  </si>
  <si>
    <t>4983164880328</t>
  </si>
  <si>
    <t>Фигурка аниме Наруто Naruto Shippuden Vibration Stars Какаши Хатаке Kakashi Hatake 13см 86670</t>
  </si>
  <si>
    <t>BNS1132</t>
  </si>
  <si>
    <t>4983164286670</t>
  </si>
  <si>
    <t>Фигурка аниме Наруто Naruto Shippuden Vibration Stars Учиха Мадара Uchiha Madara 13см 86687</t>
  </si>
  <si>
    <t>BNS1133</t>
  </si>
  <si>
    <t>4983164286687</t>
  </si>
  <si>
    <t>Фигурка аниме Наруто Naruto Shippuden Итачи Учиха Itachi Uchiha Grandista 28см 86700</t>
  </si>
  <si>
    <t>BNS1134</t>
  </si>
  <si>
    <t>4983164286700</t>
  </si>
  <si>
    <t>25 / 15 / 14</t>
  </si>
  <si>
    <t>Фигурка аниме Наруто Naruto Vibration Stars Гаара Gaara 12см 85505</t>
  </si>
  <si>
    <t>BNS1095</t>
  </si>
  <si>
    <t>4983164285505</t>
  </si>
  <si>
    <t>Фигурка аниме Наруто Naruto Vibration Stars Учиха Саске Uchiha Sasuke 14см 85512</t>
  </si>
  <si>
    <t>BNS1096</t>
  </si>
  <si>
    <t>4983164285512</t>
  </si>
  <si>
    <t>Фигурка Аниме О моем перерождении в слизь Break Time Rimuru 8cm BP19677P</t>
  </si>
  <si>
    <t>BNS769</t>
  </si>
  <si>
    <t>4983164196771</t>
  </si>
  <si>
    <t>BP19678P</t>
  </si>
  <si>
    <t>Фигурка Аниме О моем перерождении в слизь Break Time Veldora 10см BP19678P</t>
  </si>
  <si>
    <t>BNS1070</t>
  </si>
  <si>
    <t>4983164196788</t>
  </si>
  <si>
    <t>Фигурка аниме О моём перерождении в слизь Otherworlder Plus Милим Milim Dragon Form 15см 85666</t>
  </si>
  <si>
    <t>BNS1102</t>
  </si>
  <si>
    <t>4983164285666</t>
  </si>
  <si>
    <t>Фигурка Аниме О моем перерождении в слизь Otherworlder Rimuru 12см. BP19791P</t>
  </si>
  <si>
    <t>BNS611</t>
  </si>
  <si>
    <t>4983164197914</t>
  </si>
  <si>
    <t>13,8 / 14 / 24,8</t>
  </si>
  <si>
    <t>Фигурка аниме Отчет о буйстве духов Yu Yu Hakusho Ankoku Bujutsukai Хиэи Hiei 14см 85765</t>
  </si>
  <si>
    <t>BNS1107</t>
  </si>
  <si>
    <t>4983164285765</t>
  </si>
  <si>
    <t>Фигурка аниме Рандеву с жизнью Date a Live Glitter&amp;Glamorous Йошино Yoshino 20см 86632</t>
  </si>
  <si>
    <t>BNS1130</t>
  </si>
  <si>
    <t>4983164286632</t>
  </si>
  <si>
    <t>Фигурка аниме Сакура Собирательница карт Cardcaptor Sakura Сакура Киномото Sakura Kinomoto 20см 8647</t>
  </si>
  <si>
    <t>BNS1122</t>
  </si>
  <si>
    <t>4983164286472</t>
  </si>
  <si>
    <t>Фигурка аниме Синяя Тюрьма Блю Лок Blue Lock Саэ Итоши Sae Itoshi 14см 85642</t>
  </si>
  <si>
    <t>BNS1138</t>
  </si>
  <si>
    <t>4983164285642</t>
  </si>
  <si>
    <t>BP88043P</t>
  </si>
  <si>
    <t>Фигурка Аниме Токийские мстители Tokyo Revengers Manjiro Sano Майки vol.6 16см BP88043P</t>
  </si>
  <si>
    <t>BNS1072</t>
  </si>
  <si>
    <t>4983164880434</t>
  </si>
  <si>
    <t>Фигурка аниме Хатсуне Мику Hatsune Miku Swan Lake figure 21см 99214</t>
  </si>
  <si>
    <t>BNS1129</t>
  </si>
  <si>
    <t>4983164899214</t>
  </si>
  <si>
    <t>Фигурка аниме Человек бензопила Chainsaw Man Пауэр Power 18см 85604</t>
  </si>
  <si>
    <t>BNS1101</t>
  </si>
  <si>
    <t>4983164285604</t>
  </si>
  <si>
    <t>Фигурка аниме Человек-бензопила Chainsaw Man Почита Pochita 15см 86731</t>
  </si>
  <si>
    <t>BNS1137</t>
  </si>
  <si>
    <t>4983164286731</t>
  </si>
  <si>
    <t>15 / 18 / 20</t>
  </si>
  <si>
    <t>Фигурка Аниме Человек-бензопила Denji Дэнджи 15 см BP19140P</t>
  </si>
  <si>
    <t>BNS522</t>
  </si>
  <si>
    <t>4983164191400</t>
  </si>
  <si>
    <t>Фигурка Аниме Человек-бензопила Denji Дэнджи Chain Spirits Vol.1 17cm BP88091P</t>
  </si>
  <si>
    <t>BNS751</t>
  </si>
  <si>
    <t>4983164880915</t>
  </si>
  <si>
    <t>Фигурка Аниме Человек-бензопила Пауэр Chain Spirits Vol.4 16cm 4983164880953</t>
  </si>
  <si>
    <t>BNS753</t>
  </si>
  <si>
    <t>4983164880953</t>
  </si>
  <si>
    <t>Фигурка Аниме Человек-бензопила Пауэр Vibration Stars 12cm BP88144P</t>
  </si>
  <si>
    <t>BNS754</t>
  </si>
  <si>
    <t>4983164881448</t>
  </si>
  <si>
    <t>Фигурка аниме Я секретарь гильдии I May Be a Guild Receptionist Алина Кловер Alina Clover 18см 86618</t>
  </si>
  <si>
    <t>BNS1128</t>
  </si>
  <si>
    <t>4983164286618</t>
  </si>
  <si>
    <t>20 / 15,2 / 10</t>
  </si>
  <si>
    <t>Фигурка в ассортименте Harry Potter Bandai Chibi Masters 8см 0719373 ассортимент</t>
  </si>
  <si>
    <t>BNS822</t>
  </si>
  <si>
    <t>4549660719373</t>
  </si>
  <si>
    <t>Фигурка Клинок Рассекающий Демонов  Aoi Kanzaki 887792</t>
  </si>
  <si>
    <t>BNS934</t>
  </si>
  <si>
    <t>4983164887792</t>
  </si>
  <si>
    <t>Фигурка Клинок Рассекающий Демонов  Goto 886740</t>
  </si>
  <si>
    <t>BNS928</t>
  </si>
  <si>
    <t>4983164886740</t>
  </si>
  <si>
    <t>Фигурка Клинок Рассекающий Демонов  Kanao Tsuyuri 887815</t>
  </si>
  <si>
    <t>BNS935</t>
  </si>
  <si>
    <t>4983164887815</t>
  </si>
  <si>
    <t>Фигурка Клинок рассекающий демонов Adverge Motion #5 6см 737490 ассортимент</t>
  </si>
  <si>
    <t>BNS815</t>
  </si>
  <si>
    <t>4549660737490</t>
  </si>
  <si>
    <t>Фигурка Клинок рассекающий демонов Chibi Masters #02 8см 770770 ассортимент</t>
  </si>
  <si>
    <t>BNS820</t>
  </si>
  <si>
    <t>4549660770770</t>
  </si>
  <si>
    <t>Фигурка Клинок рассекающий демонов Kagaya Ubuyashiki Vol.29 17cm 4983164195750</t>
  </si>
  <si>
    <t>BNS755</t>
  </si>
  <si>
    <t>4983164195750</t>
  </si>
  <si>
    <t>Фигурка Клинок Рассекающий Демонов Kanao Tsuyuri 15 см 4983164162066</t>
  </si>
  <si>
    <t>BNS335</t>
  </si>
  <si>
    <t>4983164162066</t>
  </si>
  <si>
    <t>Фигурка Клинок рассекающий демонов Kimetsu no Yaiba Aoi Kanzaki Vol 24 15cm 4983164189247</t>
  </si>
  <si>
    <t>BNS760</t>
  </si>
  <si>
    <t>4983164189247</t>
  </si>
  <si>
    <t>Фигурка Клинок рассекающий демонов Kimetsu no Yaiba Daki vol.8 16cm 4983164190403</t>
  </si>
  <si>
    <t>BNS761</t>
  </si>
  <si>
    <t>4983164190403</t>
  </si>
  <si>
    <t>Фигурка Клинок рассекающий демонов Kimetsu no Yaiba Daki Vol.9 16cm 4983164193596</t>
  </si>
  <si>
    <t>BNS763</t>
  </si>
  <si>
    <t>4983164193596</t>
  </si>
  <si>
    <t>Фигурка Клинок рассекающий демонов Kimetsu No Yaiba Giyu Tomioka 4983164174342</t>
  </si>
  <si>
    <t>BNS565</t>
  </si>
  <si>
    <t>4983164174342</t>
  </si>
  <si>
    <t>Фигурка Клинок рассекающий демонов Kimetsu No Yaiba Kyojuro Rengoku 4983164170313</t>
  </si>
  <si>
    <t>BNS564</t>
  </si>
  <si>
    <t>4983164170313</t>
  </si>
  <si>
    <t>Фигурка Клинок Рассекающий Демонов Kimetsu no Yaiba Makomo Ver. A 4983164184570</t>
  </si>
  <si>
    <t>BNS380</t>
  </si>
  <si>
    <t>4983164184570</t>
  </si>
  <si>
    <t>Фигурка Клинок Рассекающий Демонов Kimetsu no Yaiba Makomo Ver. B 4983164183108</t>
  </si>
  <si>
    <t>BNS377</t>
  </si>
  <si>
    <t>4983164183108</t>
  </si>
  <si>
    <t>18,5 / 12 / 9</t>
  </si>
  <si>
    <t>Фигурка Клинок Рассекающий Демонов Kimetsu no Yaiba Sabito 17cm BP18091P</t>
  </si>
  <si>
    <t>BNS373</t>
  </si>
  <si>
    <t>4983164180916</t>
  </si>
  <si>
    <t>Фигурка Клинок Рассекающий Демонов Kimetsu no Yaiba Yushiro</t>
  </si>
  <si>
    <t>BNS381</t>
  </si>
  <si>
    <t>4983164184587</t>
  </si>
  <si>
    <t>Фигурка Клинок Рассекающий Демонов Sanemi Shinazugawa 14 см</t>
  </si>
  <si>
    <t>BNS422</t>
  </si>
  <si>
    <t>4983164191530</t>
  </si>
  <si>
    <t>Фигурка О моём перерождении в слизь Cayman 18см 4983164190236</t>
  </si>
  <si>
    <t>BNS585</t>
  </si>
  <si>
    <t>4983164190236</t>
  </si>
  <si>
    <t>Фигурка О моём перерождении в слизь Gobta 11см 182835</t>
  </si>
  <si>
    <t>BNS979</t>
  </si>
  <si>
    <t>4983164182835</t>
  </si>
  <si>
    <t>Фигурка О моём перерождении в слизь Guardian Of Spirits Beretta 17см 4983164194456</t>
  </si>
  <si>
    <t>BNS600</t>
  </si>
  <si>
    <t>4983164194456</t>
  </si>
  <si>
    <t>Фигурка О моём перерождении в слизь Hakuro 14см 182842</t>
  </si>
  <si>
    <t>BNS980</t>
  </si>
  <si>
    <t>4983164182842</t>
  </si>
  <si>
    <t>17,8 / 13,5 / 9</t>
  </si>
  <si>
    <t>Фигурка О моём перерождении в слизь Laplace 17см 4983164194449</t>
  </si>
  <si>
    <t>BNS599</t>
  </si>
  <si>
    <t>4983164194449</t>
  </si>
  <si>
    <t>Фигурка О моём перерождении в слизь Luminous Valentine Otherworlder 885743</t>
  </si>
  <si>
    <t>BNS919</t>
  </si>
  <si>
    <t>4983164885743</t>
  </si>
  <si>
    <t>Фигурка О моём перерождении в слизь Milim Nava Otherworlder vol.1 883732</t>
  </si>
  <si>
    <t>BNS947</t>
  </si>
  <si>
    <t>4983164883732</t>
  </si>
  <si>
    <t>Фигурка О моём перерождении в слизь Milim Nava Otherworlder vol.2 4885750</t>
  </si>
  <si>
    <t>BNS922</t>
  </si>
  <si>
    <t>4983164885750</t>
  </si>
  <si>
    <t>Фигурка О моём перерождении в слизь Otherworlder Gobta 4983164181661</t>
  </si>
  <si>
    <t>BNS568</t>
  </si>
  <si>
    <t>4983164181661</t>
  </si>
  <si>
    <t>Фигурка О моём перерождении в слизь Otherworlder Raphael 4983164189049</t>
  </si>
  <si>
    <t>BNS575</t>
  </si>
  <si>
    <t>4983164189049</t>
  </si>
  <si>
    <t>Фигурка О моём перерождении в слизь Otherworlder Spirit Guardian Beretta 4983164190243</t>
  </si>
  <si>
    <t>BNS586</t>
  </si>
  <si>
    <t>4983164190243</t>
  </si>
  <si>
    <t>Фигурка О моем перерождении в слизь Otherworlder Vol.20 Guy Crimson (Ver.B) (19см) (88374)</t>
  </si>
  <si>
    <t>BNS1035</t>
  </si>
  <si>
    <t>4983164883749</t>
  </si>
  <si>
    <t>Фигурка О моём перерождении в слизь Otherworlderer Clayman Vol.17 18cm 4983164192438</t>
  </si>
  <si>
    <t>BNS773</t>
  </si>
  <si>
    <t>4983164192438</t>
  </si>
  <si>
    <t>Фигурка О моём перерождении в слизь Otherworlderer Laplace Vol.17 17cm 4983164192421</t>
  </si>
  <si>
    <t>BNS775</t>
  </si>
  <si>
    <t>4983164192421</t>
  </si>
  <si>
    <t>Фигурка О моём перерождении в слизь Shion 18cm 4983164188141</t>
  </si>
  <si>
    <t>BNS771</t>
  </si>
  <si>
    <t>4983164188141</t>
  </si>
  <si>
    <t>Фигурка О моём перерождении в слизь Shuna 10th anniversary 885736</t>
  </si>
  <si>
    <t>BNS921</t>
  </si>
  <si>
    <t>4983164885736</t>
  </si>
  <si>
    <t>Фигурка О моём перерождении в слизь Veldora 183658</t>
  </si>
  <si>
    <t>BNS975</t>
  </si>
  <si>
    <t>4983164183658</t>
  </si>
  <si>
    <t>Фигурка О моём перерождении в слизь Veldora 4983164181678</t>
  </si>
  <si>
    <t>BNS569</t>
  </si>
  <si>
    <t>4983164181678</t>
  </si>
  <si>
    <t>Фигурка Семья шпиона Family Photo Anya Forger Ver.A 14cm 4983164882452</t>
  </si>
  <si>
    <t>BNS804</t>
  </si>
  <si>
    <t>4983164882452</t>
  </si>
  <si>
    <t>Фигурка Семья шпиона Family Photo Loid Forger 18cm 4983164881240</t>
  </si>
  <si>
    <t>BNS803</t>
  </si>
  <si>
    <t>4983164881240</t>
  </si>
  <si>
    <t>Фигурка Токийские мстители Ryohei Hayashi 17cm 4983164192483</t>
  </si>
  <si>
    <t>BNS810</t>
  </si>
  <si>
    <t>4983164192483</t>
  </si>
  <si>
    <t>Фигурка Человек-бензопила Aki Hayakawa Chain Spirits Vol. 2 18cm BP88194P</t>
  </si>
  <si>
    <t>BNS750</t>
  </si>
  <si>
    <t>4983164881943</t>
  </si>
  <si>
    <t>Blue Sky</t>
  </si>
  <si>
    <t>Блокнот в виде конверта Гарри Поттер А5 5060502917942</t>
  </si>
  <si>
    <t>BLSK25</t>
  </si>
  <si>
    <t>5060502917942</t>
  </si>
  <si>
    <t>21,2 / 14,6 / 1,5</t>
  </si>
  <si>
    <t>Блокнот Гарри Поттер Wiro А5 5060718149618</t>
  </si>
  <si>
    <t>BLSK15</t>
  </si>
  <si>
    <t>5060718149618</t>
  </si>
  <si>
    <t>21 / 16 / 1,4</t>
  </si>
  <si>
    <t>Блокнот Гарри Поттер А5 5056563712824</t>
  </si>
  <si>
    <t>BLSK18</t>
  </si>
  <si>
    <t>5056563712824</t>
  </si>
  <si>
    <t>1 / 14,9 / 21</t>
  </si>
  <si>
    <t>Канцелярский набор Nightshade Society (блокнот А5, стикеры, шариковая ручка, 6 конвертов и листов дл</t>
  </si>
  <si>
    <t>BLSK6</t>
  </si>
  <si>
    <t>5056563717461</t>
  </si>
  <si>
    <t>Уэнсдэй</t>
  </si>
  <si>
    <t>Netflix</t>
  </si>
  <si>
    <t>30 / 21 / 6</t>
  </si>
  <si>
    <t>Канцелярский набор Гарри Поттер Хогвартс (2 ручки, карандаш, линейка, стакан подставка керамическая)</t>
  </si>
  <si>
    <t>BLSK20</t>
  </si>
  <si>
    <t>5056563713395</t>
  </si>
  <si>
    <t>17,2 / 10 / 9,8</t>
  </si>
  <si>
    <t>Канцелярский набор Гарри Поттер Хогвартс (блокнот A4 36 листов, 2 карандаша, 1 шариковая ручка, 2 ге</t>
  </si>
  <si>
    <t>BLSK14</t>
  </si>
  <si>
    <t>5060718148451</t>
  </si>
  <si>
    <t>30,1 / 23,5 / 3,5</t>
  </si>
  <si>
    <t>Коврик для мыши Wednesday Jumbo 70x30см 5056563716945</t>
  </si>
  <si>
    <t>BLSK2</t>
  </si>
  <si>
    <t>5056563716945</t>
  </si>
  <si>
    <t>7 / 7,8 / 36</t>
  </si>
  <si>
    <t>Коврик для мыши Гарри Поттер 30х70см 5056563714309</t>
  </si>
  <si>
    <t>BLSK21</t>
  </si>
  <si>
    <t>5056563714309</t>
  </si>
  <si>
    <t>35,5 / 7 / 7</t>
  </si>
  <si>
    <t>Коврик для мыши Черепашки-ниндзя 30х70см 5056563713807</t>
  </si>
  <si>
    <t>BLSK28</t>
  </si>
  <si>
    <t>5056563713807</t>
  </si>
  <si>
    <t>36 / 7 / 7</t>
  </si>
  <si>
    <t>Ланч бокс Wednesday 5056563719724</t>
  </si>
  <si>
    <t>BLSK9</t>
  </si>
  <si>
    <t>5056563719724</t>
  </si>
  <si>
    <t>8 / 23 / 28</t>
  </si>
  <si>
    <t>Ланч бокс Гарри Поттер Крест 5060718143975</t>
  </si>
  <si>
    <t>BLSK27</t>
  </si>
  <si>
    <t>5060718143975</t>
  </si>
  <si>
    <t>9 / 26,5 / 22</t>
  </si>
  <si>
    <t>Органайзер для канцелярии Wednesday Thing 5056563716952</t>
  </si>
  <si>
    <t>BLSK3</t>
  </si>
  <si>
    <t>5056563716952</t>
  </si>
  <si>
    <t>14,5 / 21 / 10,5</t>
  </si>
  <si>
    <t>Подставка для карандашей Черепашки-ниндзя 5056563714859</t>
  </si>
  <si>
    <t>BLSK32</t>
  </si>
  <si>
    <t>5056563714859</t>
  </si>
  <si>
    <t>15,2 / 7,2 / 8,3</t>
  </si>
  <si>
    <t>Подставка для телефона Гарри Поттер 5056563712411</t>
  </si>
  <si>
    <t>BLSK17</t>
  </si>
  <si>
    <t>5056563712411</t>
  </si>
  <si>
    <t>8,3 / 13 / 6,6</t>
  </si>
  <si>
    <t>Рюкзак Wednesday 40см 5056563719731</t>
  </si>
  <si>
    <t>BLSK11</t>
  </si>
  <si>
    <t>5056563719731</t>
  </si>
  <si>
    <t>37,5 / 34 / 6</t>
  </si>
  <si>
    <t>Рюкзак Wednesday Nevermore 5056563717638</t>
  </si>
  <si>
    <t>BLSK8</t>
  </si>
  <si>
    <t>5056563717638</t>
  </si>
  <si>
    <t>42 / 36 / 5</t>
  </si>
  <si>
    <t>Рюкзак Гарри Поттер 5056563713258</t>
  </si>
  <si>
    <t>BLSK19</t>
  </si>
  <si>
    <t>5056563713258</t>
  </si>
  <si>
    <t>42,5 / 31 / 5</t>
  </si>
  <si>
    <t>Рюкзак Гарри Поттер 9 3/4 Хогвартс Экспресс 5060718144002</t>
  </si>
  <si>
    <t>BLSK26</t>
  </si>
  <si>
    <t>5060718144002</t>
  </si>
  <si>
    <t>2,5 / 31,5 / 37</t>
  </si>
  <si>
    <t>Рюкзак Черепашки-ниндзя 5056563713944</t>
  </si>
  <si>
    <t>BLSK31</t>
  </si>
  <si>
    <t>5056563713944</t>
  </si>
  <si>
    <t>Светильник Wednesday 20см 5056563717478</t>
  </si>
  <si>
    <t>BLSK12</t>
  </si>
  <si>
    <t>5056563717478</t>
  </si>
  <si>
    <t>20,5 / 16,5 / 5</t>
  </si>
  <si>
    <t>Светильник мини Wednesday 5056563716976</t>
  </si>
  <si>
    <t>BLSK1</t>
  </si>
  <si>
    <t>5056563716976</t>
  </si>
  <si>
    <t>5,2 / 6,6 / 10</t>
  </si>
  <si>
    <t>Светильник мини Wednesday Ophelia Hall Window Light 5056563716990</t>
  </si>
  <si>
    <t>BLSK4</t>
  </si>
  <si>
    <t>5056563716990</t>
  </si>
  <si>
    <t>21,5 / 21 / 7</t>
  </si>
  <si>
    <t>Светильник мини Wednesday Thing 5056563717409</t>
  </si>
  <si>
    <t>BLSK5</t>
  </si>
  <si>
    <t>5056563717409</t>
  </si>
  <si>
    <t>13 / 19,4 / 19</t>
  </si>
  <si>
    <t>Светильник мини Гарри Поттер 5056563716938</t>
  </si>
  <si>
    <t>BLSK13</t>
  </si>
  <si>
    <t>5056563716938</t>
  </si>
  <si>
    <t>10 / 6,5 / 5,5</t>
  </si>
  <si>
    <t>Светильник мини Гарри Поттер 9 3/4 5056563717034</t>
  </si>
  <si>
    <t>BLSK24</t>
  </si>
  <si>
    <t>5056563717034</t>
  </si>
  <si>
    <t>21,5 / 21,5 / 7</t>
  </si>
  <si>
    <t>Стакан с крышкой и трубочкой Wednesday 485мл 5056563719779</t>
  </si>
  <si>
    <t>BLSK10</t>
  </si>
  <si>
    <t>5056563719779</t>
  </si>
  <si>
    <t>10,2 / 10,2 / 28</t>
  </si>
  <si>
    <t>Сумка-органайзер Гарри Поттер 28х20х2см 5056563714330</t>
  </si>
  <si>
    <t>BLSK22</t>
  </si>
  <si>
    <t>5056563714330</t>
  </si>
  <si>
    <t>2 / 27,5 / 20,5</t>
  </si>
  <si>
    <t>Сумка-органайзер Черепашки-ниндзя Пицца 5056563713906</t>
  </si>
  <si>
    <t>BLSK30</t>
  </si>
  <si>
    <t>5056563713906</t>
  </si>
  <si>
    <t>20,5 / 27,5 / 1,5</t>
  </si>
  <si>
    <t>Термокружка Wednesday 450мл 5056563717485</t>
  </si>
  <si>
    <t>BLSK7</t>
  </si>
  <si>
    <t>5056563717485</t>
  </si>
  <si>
    <t>9 / 8,5 / 18</t>
  </si>
  <si>
    <t>Термокружка Гарри Поттер Назад В Хогвартс 450мл 5056563714354</t>
  </si>
  <si>
    <t>BLSK23</t>
  </si>
  <si>
    <t>5056563714354</t>
  </si>
  <si>
    <t>Термокружка Гарри Поттер Хогвартс 450мл 5056563711155</t>
  </si>
  <si>
    <t>BLSK16</t>
  </si>
  <si>
    <t>5056563711155</t>
  </si>
  <si>
    <t>18 / 7 / 7</t>
  </si>
  <si>
    <t>Термокружка Черепашки-ниндзя 450мл 5056563713838</t>
  </si>
  <si>
    <t>BLSK29</t>
  </si>
  <si>
    <t>5056563713838</t>
  </si>
  <si>
    <t>Card Fun</t>
  </si>
  <si>
    <t>Коллекционные аниме карточки Аватар Короля Glory Tea Party 10 блистеров 6973731516345</t>
  </si>
  <si>
    <t>CFUN10</t>
  </si>
  <si>
    <t>6973731516345</t>
  </si>
  <si>
    <t>0,3 / 6,5 / 13,6</t>
  </si>
  <si>
    <t>Коллекционные аниме карточки Агент времени Time Fragment 20 блистеров 6973731516215</t>
  </si>
  <si>
    <t>CFUN8</t>
  </si>
  <si>
    <t>6973731516215</t>
  </si>
  <si>
    <t>0,3 / 6,3 / 14</t>
  </si>
  <si>
    <t>Коллекционные аниме карточки Агент времени Time Rift 10 блистеров 6973731515157</t>
  </si>
  <si>
    <t>CFUN9</t>
  </si>
  <si>
    <t>6973731515157</t>
  </si>
  <si>
    <t>Cinereplicas</t>
  </si>
  <si>
    <t>CINERÉPLICAS</t>
  </si>
  <si>
    <t>Адвент-календарь Ван Пис 4895205618473</t>
  </si>
  <si>
    <t>CIN15</t>
  </si>
  <si>
    <t>4895205618473</t>
  </si>
  <si>
    <t>33 / 24,8 / 5</t>
  </si>
  <si>
    <t>Адвент-календарь Ван Пис Делюкс 4895205618480</t>
  </si>
  <si>
    <t>CIN13</t>
  </si>
  <si>
    <t>4895205618480</t>
  </si>
  <si>
    <t>28,2 / 28 / 7,7</t>
  </si>
  <si>
    <t>Адвент-календарь Гарри Поттер Добби 4895205618411</t>
  </si>
  <si>
    <t>CIN8</t>
  </si>
  <si>
    <t>4895205618411</t>
  </si>
  <si>
    <t>33 / 24,6 / 5</t>
  </si>
  <si>
    <t>Адвент-календарь Гарри Поттер Хогвартс 4895205618428</t>
  </si>
  <si>
    <t>CIN9</t>
  </si>
  <si>
    <t>4895205618428</t>
  </si>
  <si>
    <t>28,2 / 26 / 7</t>
  </si>
  <si>
    <t>Адвент-календарь Очень Странные Дела Делюкс 4895205618466</t>
  </si>
  <si>
    <t>CIN12</t>
  </si>
  <si>
    <t>4895205618466</t>
  </si>
  <si>
    <t>Очень странные дела</t>
  </si>
  <si>
    <t>34 / 24 / 7</t>
  </si>
  <si>
    <t>Календарь Advent calendar Wednesday 4895205618435</t>
  </si>
  <si>
    <t>CIN10</t>
  </si>
  <si>
    <t>4895205618435</t>
  </si>
  <si>
    <t>Dark Horse</t>
  </si>
  <si>
    <t>Фигурка Halo Infinite Master Chief with Grappleshot PVC 26 см 761568008364</t>
  </si>
  <si>
    <t>DH20</t>
  </si>
  <si>
    <t>0761568008364</t>
  </si>
  <si>
    <t>Halo</t>
  </si>
  <si>
    <t>Microsoft</t>
  </si>
  <si>
    <t>31 / 24 / 21,2</t>
  </si>
  <si>
    <t>Фигурка Horizon Forbidden West Aloy PVC 21 см 761568010091</t>
  </si>
  <si>
    <t>DH12</t>
  </si>
  <si>
    <t>0761568010091</t>
  </si>
  <si>
    <t>Horizon Forbidden West</t>
  </si>
  <si>
    <t>24,5 / 27 / 28</t>
  </si>
  <si>
    <t>Фигурка Mass Effect Urdnot Wrex 25 см 761568009965</t>
  </si>
  <si>
    <t>DH9</t>
  </si>
  <si>
    <t>0761568009965</t>
  </si>
  <si>
    <t>Mass Effect</t>
  </si>
  <si>
    <t>Electronic Arts</t>
  </si>
  <si>
    <t>23,5 / 23,5 / 30,3</t>
  </si>
  <si>
    <t>Diamond Select</t>
  </si>
  <si>
    <t>Фигурка Bruce Lee Gallery Air 25см 844267</t>
  </si>
  <si>
    <t>DS37</t>
  </si>
  <si>
    <t>0699788844267</t>
  </si>
  <si>
    <t>27,5 / 24 / 22</t>
  </si>
  <si>
    <t>Фигурка Lord of the Rings Gallery Aragorn 25 см 8848104</t>
  </si>
  <si>
    <t>DS25</t>
  </si>
  <si>
    <t>0699788848104</t>
  </si>
  <si>
    <t>Властелин колец</t>
  </si>
  <si>
    <t>17,5 / 24 / 31,5</t>
  </si>
  <si>
    <t>Фигурка Lord of the Rings Gandalf 23см 848098</t>
  </si>
  <si>
    <t>DS43</t>
  </si>
  <si>
    <t>0699788848098</t>
  </si>
  <si>
    <t>27,7 / 32,7 / 29,8</t>
  </si>
  <si>
    <t>Фигурка Marvel Avengers Infinity War Iron Spider-Man 828618</t>
  </si>
  <si>
    <t>DS47</t>
  </si>
  <si>
    <t>0699788828618</t>
  </si>
  <si>
    <t>Мстители</t>
  </si>
  <si>
    <t>Marvel</t>
  </si>
  <si>
    <t>20 / 22 / 33</t>
  </si>
  <si>
    <t>Фигурка Marvel Avengers Thor 828649</t>
  </si>
  <si>
    <t>DS7</t>
  </si>
  <si>
    <t>0699788828649</t>
  </si>
  <si>
    <t>Капитан Америка</t>
  </si>
  <si>
    <t>24 / 27 / 34,5</t>
  </si>
  <si>
    <t>Фигурка Marvel Carnage Gallery 23 см 8827536</t>
  </si>
  <si>
    <t>DS35</t>
  </si>
  <si>
    <t>0699788827536</t>
  </si>
  <si>
    <t>Веном</t>
  </si>
  <si>
    <t>20,3 / 22,3 / 27,2</t>
  </si>
  <si>
    <t>Фигурка Marvel Gallery Spider-Man PS4 Version Statue Diorama 23 см 83404</t>
  </si>
  <si>
    <t>DS1</t>
  </si>
  <si>
    <t>0699788834046</t>
  </si>
  <si>
    <t>Человек-паук</t>
  </si>
  <si>
    <t>29 / 24 / 20</t>
  </si>
  <si>
    <t>Фигурка Marvel Gallery Wolverine 23 см 828267</t>
  </si>
  <si>
    <t>DS49</t>
  </si>
  <si>
    <t>0699788828267</t>
  </si>
  <si>
    <t>Росомаха</t>
  </si>
  <si>
    <t>18 / 19,4 / 27,5</t>
  </si>
  <si>
    <t>Фигурка Marvel Gallery Wolverine 25см 699788835067</t>
  </si>
  <si>
    <t>DS55</t>
  </si>
  <si>
    <t>0699788835067</t>
  </si>
  <si>
    <t>26 / 26 / 20</t>
  </si>
  <si>
    <t>Фигурка Real Ghostbusters Scared Mr. Stay Puft NYCC 2019 18 см 8835210</t>
  </si>
  <si>
    <t>DS36</t>
  </si>
  <si>
    <t>0699788835210</t>
  </si>
  <si>
    <t>Охотники за привидениями</t>
  </si>
  <si>
    <t>23,8 / 20,1 / 12,3</t>
  </si>
  <si>
    <t>Фигурка Spider-Man Miles Morales 18 см 8843437</t>
  </si>
  <si>
    <t>DS24</t>
  </si>
  <si>
    <t>0699788843437</t>
  </si>
  <si>
    <t>19 / 20 / 18,5</t>
  </si>
  <si>
    <t>Фигурка The Crow Eric Draven 28см 8844076</t>
  </si>
  <si>
    <t>DS38</t>
  </si>
  <si>
    <t>0699788844076</t>
  </si>
  <si>
    <t>35,7 / 34 / 24</t>
  </si>
  <si>
    <t>Фигурка The Matrix Gallery Deluxe Neo 25 см 849804</t>
  </si>
  <si>
    <t>DS53</t>
  </si>
  <si>
    <t>0699788849804</t>
  </si>
  <si>
    <t>Матрица</t>
  </si>
  <si>
    <t>24,4 / 27 / 31</t>
  </si>
  <si>
    <t>Фигурка Марвел Капитан америка 15 см 0699788839904</t>
  </si>
  <si>
    <t>DS32</t>
  </si>
  <si>
    <t>0699788839904</t>
  </si>
  <si>
    <t>13 / 19,5 / 18,5</t>
  </si>
  <si>
    <t>Difuzed Рюкзаки Сумки Кошельки</t>
  </si>
  <si>
    <t>Difuzed</t>
  </si>
  <si>
    <t>MW857252BAT</t>
  </si>
  <si>
    <t>Кошелек Difuzed: Batman Bifold Wallet (2) MW857252BAT</t>
  </si>
  <si>
    <t>DIFB74</t>
  </si>
  <si>
    <t>8718526125498</t>
  </si>
  <si>
    <t>DC</t>
  </si>
  <si>
    <t>19,5 / 10,1 / 1,1</t>
  </si>
  <si>
    <t>GW234042POK</t>
  </si>
  <si>
    <t>Кошелек Difuzed: Pokémon: Pikachu AOP Zip Around Wallet GW234042POK</t>
  </si>
  <si>
    <t>DIFB69</t>
  </si>
  <si>
    <t>8718526124880</t>
  </si>
  <si>
    <t>MW411771RGE</t>
  </si>
  <si>
    <t>Кошелек Difuzed: Rage 2: Bifold Wallet MW411771RGE</t>
  </si>
  <si>
    <t>DIFB28</t>
  </si>
  <si>
    <t>8718526112818</t>
  </si>
  <si>
    <t>18 / 9,5 / 1,5</t>
  </si>
  <si>
    <t>Funko Figures</t>
  </si>
  <si>
    <t>Funko</t>
  </si>
  <si>
    <t>Набор Funko Bitty POP! Bitty Box Disney Lilo &amp; Stitch Lilo's Home +2 Bitty POP! Lilo+Stitch 85536</t>
  </si>
  <si>
    <t>Fun85536</t>
  </si>
  <si>
    <t>0889698855365</t>
  </si>
  <si>
    <t>Лило и Стич</t>
  </si>
  <si>
    <t>21,5 / 30,5 / 10</t>
  </si>
  <si>
    <t>3+</t>
  </si>
  <si>
    <t>Набор Funko Bitty POP! Bitty Box Harry Potter Hogwarts Castle +2 Bitty POP! Harry+Ron 85533</t>
  </si>
  <si>
    <t>Fun85533</t>
  </si>
  <si>
    <t>0889698855334</t>
  </si>
  <si>
    <t>30,5 / 21,5 / 10,2</t>
  </si>
  <si>
    <t>Набор Funko Bitty POP! Bitty Box Movies IT Pennywise's Lair +2 Bitty POP! Pennywise+Georgie 85535</t>
  </si>
  <si>
    <t>Fun85535</t>
  </si>
  <si>
    <t>0889698855358</t>
  </si>
  <si>
    <t>Оно</t>
  </si>
  <si>
    <t>17+</t>
  </si>
  <si>
    <t>Набор Funko Bitty POP! Bitty Box Stranger Things Byers House +2 Bitty POP! Will+Eleven 85534</t>
  </si>
  <si>
    <t>Fun85534</t>
  </si>
  <si>
    <t>0889698855341</t>
  </si>
  <si>
    <t>10 / 31 / 22</t>
  </si>
  <si>
    <t>Набор Funko Bitty POP! Bitty Box TMNT Sewer Lair +2 Bitty POP! Michelangelo+Leonardo 85537</t>
  </si>
  <si>
    <t>Fun85537</t>
  </si>
  <si>
    <t>0889698855372</t>
  </si>
  <si>
    <t>Набор Funko Bitty POP! Display DC Batman Signal +2 Bitty POP! Batman, Joker 81290</t>
  </si>
  <si>
    <t>Fun81290</t>
  </si>
  <si>
    <t>0889698812900</t>
  </si>
  <si>
    <t>Бэтмен</t>
  </si>
  <si>
    <t>40,5 / 23 / 11</t>
  </si>
  <si>
    <t>Набор Funko Bitty POP! Display Disney Cinderella's Castle+2 Bitty POP! Godmother, Cinderella 85511</t>
  </si>
  <si>
    <t>Fun85511</t>
  </si>
  <si>
    <t>0889698855112</t>
  </si>
  <si>
    <t>Золушка</t>
  </si>
  <si>
    <t>Набор Funko Bitty POP! Display Disney Pixar Ball + 2Bitty POP! Woody on Ball, Luxo on Ball 85513</t>
  </si>
  <si>
    <t>Fun85513</t>
  </si>
  <si>
    <t>0889698855136</t>
  </si>
  <si>
    <t>30 / 22,8 / 10,8</t>
  </si>
  <si>
    <t>Набор Funko Bitty POP! Display Marvel Spider-Man Web+2 Bitty POP! Spider-Woman, Spider-Punk 85512</t>
  </si>
  <si>
    <t>Fun85512</t>
  </si>
  <si>
    <t>0889698855129</t>
  </si>
  <si>
    <t>11 / 23 / 30,5</t>
  </si>
  <si>
    <t>Набор Funko Collector Box Naruto Shippuden (2 фигурки+2 значка+открытка) (Exc) 82844</t>
  </si>
  <si>
    <t>Fun82844</t>
  </si>
  <si>
    <t>0889698828444</t>
  </si>
  <si>
    <t>10,5 / 24,5 / 17</t>
  </si>
  <si>
    <t>4+</t>
  </si>
  <si>
    <t>Набор подарочный Funko Advent Calendar Disney TNBC (Pkt POP) 24 фигурки 49668</t>
  </si>
  <si>
    <t>Fun2549659</t>
  </si>
  <si>
    <t>0889698496681</t>
  </si>
  <si>
    <t>38 / 27 / 7</t>
  </si>
  <si>
    <t>Набор подарочный Funko Advent Calendar FNAF 2023 (Pkt POP) 24 фигурки 72480</t>
  </si>
  <si>
    <t>Fun72480</t>
  </si>
  <si>
    <t>0889698724807</t>
  </si>
  <si>
    <t>ScottGames</t>
  </si>
  <si>
    <t>27,1 / 38 / 7</t>
  </si>
  <si>
    <t>Набор подарочный Funko Advent Calendar Horror 13 Day Spooky Countdown NBCU (Pkt POP) 13 фигурок87799</t>
  </si>
  <si>
    <t>Fun87799</t>
  </si>
  <si>
    <t>0889698877992</t>
  </si>
  <si>
    <t>31,8 / 23 / 9,5</t>
  </si>
  <si>
    <t>Набор подарочный Funko Advent Calendar Marvel Holiday 2022 (Pkt POP) 24 фигурки 62093</t>
  </si>
  <si>
    <t>Fun62093</t>
  </si>
  <si>
    <t>0889698620932</t>
  </si>
  <si>
    <t>Набор подарочный Funko Advent Calendar Star Wars Holiday 2022 (Pkt POP) 24 фигурки 62090</t>
  </si>
  <si>
    <t>Fun62090</t>
  </si>
  <si>
    <t>0889698620901</t>
  </si>
  <si>
    <t>Набор подарочный Funko Bitty POP! Accessories 1 фигурка Bitty POP!+3 брелка 81651</t>
  </si>
  <si>
    <t>Fun81651</t>
  </si>
  <si>
    <t>0889698816519</t>
  </si>
  <si>
    <t>3,3 / 7,7 / 14,5</t>
  </si>
  <si>
    <t>Набор подарочный Funko Bitty POP! Accessories 1 фигурка Bitty POP!+3 значка 81650</t>
  </si>
  <si>
    <t>Fun81650</t>
  </si>
  <si>
    <t>0889698816502</t>
  </si>
  <si>
    <t>Набор подарочный Funko Pocket POP! Disney Lilo &amp; Stitch Stitch Hanukkah Dreidel Box 4 фигурки 79952</t>
  </si>
  <si>
    <t>Fun79952</t>
  </si>
  <si>
    <t>0889698799522</t>
  </si>
  <si>
    <t>18 / 16,5 / 5</t>
  </si>
  <si>
    <t>Набор подарочный Funko Pocket POP! Easter Disney Princess 3 фигурки 86144</t>
  </si>
  <si>
    <t>Fun86144</t>
  </si>
  <si>
    <t>0889698861441</t>
  </si>
  <si>
    <t>21,5 / 11,5 / 3</t>
  </si>
  <si>
    <t>Набор подарочный Funko Pocket POP! Easter Marvel 3 фигурки 86143</t>
  </si>
  <si>
    <t>Fun86143</t>
  </si>
  <si>
    <t>0889698861434</t>
  </si>
  <si>
    <t>2 / 11,6 / 21,8</t>
  </si>
  <si>
    <t>Набор подарочный Funko Pocket POP! Holiday Tree Disney TNBC Jack/Zero/Sally/Sandy (Exc) 4PK 73911</t>
  </si>
  <si>
    <t>Fun73911</t>
  </si>
  <si>
    <t>0889698739115</t>
  </si>
  <si>
    <t>19 / 15 / 5</t>
  </si>
  <si>
    <t>Набор подарочный Funko Pocket POP! Holiday Tree Harry Potter Harry/Ron/Hermione/Hagr 4 фигурки 82706</t>
  </si>
  <si>
    <t>Fun82706</t>
  </si>
  <si>
    <t>0889698827065</t>
  </si>
  <si>
    <t>19,7 / 17 / 4,8</t>
  </si>
  <si>
    <t>Набор подарочный Funko Pocket POP! Holiday Tree Rudolph  4 фигурки 79943</t>
  </si>
  <si>
    <t>Fun79943</t>
  </si>
  <si>
    <t>0889698799430</t>
  </si>
  <si>
    <t>Рудольф — красноносый олень</t>
  </si>
  <si>
    <t>19 / 16 / 5</t>
  </si>
  <si>
    <t>Набор подарочный Funko Pocket POP! Holiday Tree Star Wars 4 фигурки 79932</t>
  </si>
  <si>
    <t>Fun79932</t>
  </si>
  <si>
    <t>0889698799324</t>
  </si>
  <si>
    <t>5 / 17 / 20</t>
  </si>
  <si>
    <t>Набор подарочный Funko Pocket POP! Valentines Chucky 2PK 83101</t>
  </si>
  <si>
    <t>Fun83101</t>
  </si>
  <si>
    <t>0889698831017</t>
  </si>
  <si>
    <t>Chucky</t>
  </si>
  <si>
    <t>4,2 / 9,7 / 7,7</t>
  </si>
  <si>
    <t>Набор подарочный Funko Pocket POP! Valentines Wicked 2PK 83097</t>
  </si>
  <si>
    <t>Fun83097</t>
  </si>
  <si>
    <t>0889698830973</t>
  </si>
  <si>
    <t>Злая: Сказка о ведьме Запада</t>
  </si>
  <si>
    <t>Фигурка Funko Action Figure FNAF Balloon Circus Balloon Foxy (Exc) 67619</t>
  </si>
  <si>
    <t>Fun67619</t>
  </si>
  <si>
    <t>0889698676199</t>
  </si>
  <si>
    <t>22 / 15 / 7</t>
  </si>
  <si>
    <t>8+</t>
  </si>
  <si>
    <t>Фигурка Funko Action Figure FNAF Balloon Circus Balloon Freddy 67620</t>
  </si>
  <si>
    <t>Fun67620</t>
  </si>
  <si>
    <t>0889698676205</t>
  </si>
  <si>
    <t>23 / 15 / 5</t>
  </si>
  <si>
    <t>Фигурка Funko Action Figure FNAF Balloon Circus Circus Chica 67622</t>
  </si>
  <si>
    <t>Fun67622</t>
  </si>
  <si>
    <t>0889698676229</t>
  </si>
  <si>
    <t>5,1 / 15,1 / 22,7</t>
  </si>
  <si>
    <t>Фигурка Funko Action Figure FNAF Balloon Circus Circus Freddy 67624</t>
  </si>
  <si>
    <t>Fun67624</t>
  </si>
  <si>
    <t>0889698676243</t>
  </si>
  <si>
    <t>23 / 15 / 6</t>
  </si>
  <si>
    <t>Фигурка Funko Action Figure FNAF Bonnie 8849</t>
  </si>
  <si>
    <t>Fun8849</t>
  </si>
  <si>
    <t>0849803088491</t>
  </si>
  <si>
    <t>22,6 / 15,2 / 5</t>
  </si>
  <si>
    <t>14+</t>
  </si>
  <si>
    <t>Фигурка Funko Action Figure FNAF Chica 8847</t>
  </si>
  <si>
    <t>Fun8847</t>
  </si>
  <si>
    <t>0849803088477</t>
  </si>
  <si>
    <t>Фигурка Funko Action Figure FNAF Freddy 8846</t>
  </si>
  <si>
    <t>Fun8846</t>
  </si>
  <si>
    <t>0849803088460</t>
  </si>
  <si>
    <t>5 / 15,4 / 22</t>
  </si>
  <si>
    <t>Фигурка Funko Action Figure FNAF Gold Freddy 8850</t>
  </si>
  <si>
    <t>Fun8850</t>
  </si>
  <si>
    <t>0849803088507</t>
  </si>
  <si>
    <t>Фигурка Funko Action Figure FNAF S7 Radioactive Foxy (GW) 59684</t>
  </si>
  <si>
    <t>Fun59684</t>
  </si>
  <si>
    <t>0889698596848</t>
  </si>
  <si>
    <t>24,9 / 15 / 5,5</t>
  </si>
  <si>
    <t>Фигурка Funko Action Figure FNAF Security Breach Ruin Ruined Chica 72467</t>
  </si>
  <si>
    <t>Fun72467</t>
  </si>
  <si>
    <t>0889698724678</t>
  </si>
  <si>
    <t>Фигурка Funko Bitty POP! Arcade Disney Tron Tron 85252</t>
  </si>
  <si>
    <t>Fun85252</t>
  </si>
  <si>
    <t>0889698852524</t>
  </si>
  <si>
    <t>Трон</t>
  </si>
  <si>
    <t>17,1 / 11,5 / 5,5</t>
  </si>
  <si>
    <t>Фигурка Funko Bitty POP! Arcade Disney Wreck-It Ralph Wreck-It Ralph 85253</t>
  </si>
  <si>
    <t>Fun85253</t>
  </si>
  <si>
    <t>0889698852531</t>
  </si>
  <si>
    <t>Ральф</t>
  </si>
  <si>
    <t>Фигурка Funko Bitty POP! Arcade FNAF Toy Freddy 85251</t>
  </si>
  <si>
    <t>Fun85251</t>
  </si>
  <si>
    <t>0889698852517</t>
  </si>
  <si>
    <t>17 / 11,5 / 5,5</t>
  </si>
  <si>
    <t>Фигурка Funko Bitty POP! Arcade Sonic the Hedgehog Sonic with Ring 85250</t>
  </si>
  <si>
    <t>Fun85250</t>
  </si>
  <si>
    <t>0889698852500</t>
  </si>
  <si>
    <t>Фигурка Funko Bitty POP! Arcade Star Wars Luke Skywalker (8-Bit) 85545</t>
  </si>
  <si>
    <t>Fun85545</t>
  </si>
  <si>
    <t>0889698855457</t>
  </si>
  <si>
    <t>5 / 11,5 / 17</t>
  </si>
  <si>
    <t>Фигурка Funko Bitty POP! Avatar The Last Airbender Aang+Appa+Toph+Mystery (1 of 4) 4PK 73056</t>
  </si>
  <si>
    <t>Fun73056</t>
  </si>
  <si>
    <t>0889698730563</t>
  </si>
  <si>
    <t>Аватар Легенда об Аанге</t>
  </si>
  <si>
    <t>9,5 / 14 / 3</t>
  </si>
  <si>
    <t>Фигурка Funko Bitty POP! Avatar The Last Airbender Azula+Ty Lee+Zuko+Mystery (1 of 4) 4PK 73057</t>
  </si>
  <si>
    <t>Fun73057</t>
  </si>
  <si>
    <t>0889698730570</t>
  </si>
  <si>
    <t>Фигурка Funko Bitty POP! Avatar The Last Airbender Iroh+Admiral+Firelord+Mystery (1 of 4) PK 73058</t>
  </si>
  <si>
    <t>Fun73058</t>
  </si>
  <si>
    <t>0889698730587</t>
  </si>
  <si>
    <t>Фигурка Funko Bitty POP! Avatar The Last Airbender Katara+Sokka+Suki+Mystery (1 of 4) 4PK 73059</t>
  </si>
  <si>
    <t>Fun73059</t>
  </si>
  <si>
    <t>0889698730594</t>
  </si>
  <si>
    <t>Фигурка Funko Bitty POP! Avatar The Last Airbender Mystery 1 штука в ассортименте (из12) 76387</t>
  </si>
  <si>
    <t>Fun76387</t>
  </si>
  <si>
    <t>0889698763875</t>
  </si>
  <si>
    <t>12 / 8 / 2</t>
  </si>
  <si>
    <t>Фигурка Funko Bitty POP! Batman 85th Batman+Joker+Catwoman+Mystery (1 of 4) 4PK 81127</t>
  </si>
  <si>
    <t>Fun81127</t>
  </si>
  <si>
    <t>0889698811279</t>
  </si>
  <si>
    <t>Фигурка Funko Bitty POP! Batman 85th Mr. Freeze+Batman+Penguin+Mystery (1 of 4) 4PK 81129</t>
  </si>
  <si>
    <t>Fun81129</t>
  </si>
  <si>
    <t>0889698811293</t>
  </si>
  <si>
    <t>Фигурка Funko Bitty POP! Batman 85th Selina Kyle+Riddler+Batman+Mystery (1 of 4) 4PK 81128</t>
  </si>
  <si>
    <t>Fun81128</t>
  </si>
  <si>
    <t>0889698811286</t>
  </si>
  <si>
    <t>Фигурка Funko Bitty POP! Batman 85th Two-Face+Batman+Riddler+Mystery (1 of 4) 4PK 81130</t>
  </si>
  <si>
    <t>Fun81130</t>
  </si>
  <si>
    <t>0889698811309</t>
  </si>
  <si>
    <t>Фигурка Funko Bitty POP! Bitty Bot Power Rangers Megazord with Red Ranger 83644</t>
  </si>
  <si>
    <t>Fun83644</t>
  </si>
  <si>
    <t>0889698836449</t>
  </si>
  <si>
    <t>Power Rangers</t>
  </si>
  <si>
    <t>18,5 / 11,5 / 14</t>
  </si>
  <si>
    <t>Фигурка Funko Bitty POP! Bitty Bot Transformers Soundwave with Rumble 83643</t>
  </si>
  <si>
    <t>Fun83643</t>
  </si>
  <si>
    <t>0889698836432</t>
  </si>
  <si>
    <t>Трансформеры</t>
  </si>
  <si>
    <t>Hasbro</t>
  </si>
  <si>
    <t>18 / 14 / 12,5</t>
  </si>
  <si>
    <t>Фигурка Funko Bitty POP! Bitty Bot Voltron Voltron with Shiro 83642</t>
  </si>
  <si>
    <t>Fun83642</t>
  </si>
  <si>
    <t>0889698836425</t>
  </si>
  <si>
    <t>Voltron</t>
  </si>
  <si>
    <t>11,5 / 14 / 18,5</t>
  </si>
  <si>
    <t>Фигурка Funko Bitty POP! DC Comics S4 Batman+The Riddler+Batgirl+Mystery (1 of 4) 4PK 71314</t>
  </si>
  <si>
    <t>Fun71314</t>
  </si>
  <si>
    <t>0889698713146</t>
  </si>
  <si>
    <t>Фигурка Funko Bitty POP! Deadpool Backyard Griller+Clown+Bedtime+Mystery (1 of 4) 4PK 84959</t>
  </si>
  <si>
    <t>Fun84959</t>
  </si>
  <si>
    <t>0889698849593</t>
  </si>
  <si>
    <t>Дэдпул</t>
  </si>
  <si>
    <t>Фигурка Funko Bitty POP! Deadpool Bathtime+Flamenco+Supper Hero+Mystery (1 of 4) 4PK 84960</t>
  </si>
  <si>
    <t>Fun84960</t>
  </si>
  <si>
    <t>0889698849609</t>
  </si>
  <si>
    <t>Фигурка Funko Bitty POP! Deadpool Dinopool+Barista+Roman Senator+Mystery (1 of 4) 4PK 84961</t>
  </si>
  <si>
    <t>Fun84961</t>
  </si>
  <si>
    <t>0889698849616</t>
  </si>
  <si>
    <t>Фигурка Funko Bitty POP! Deadpool Sleepover+Larp+Heavy Metal+Mystery (1 of 4) 4PK 84962</t>
  </si>
  <si>
    <t>Fun84962</t>
  </si>
  <si>
    <t>0889698849623</t>
  </si>
  <si>
    <t>Фигурка Funko Bitty POP! Deluxe Disney Monsters Inc Sulley with Boo 85686</t>
  </si>
  <si>
    <t>Fun85686</t>
  </si>
  <si>
    <t>0889698856867</t>
  </si>
  <si>
    <t>Корпорация монстров</t>
  </si>
  <si>
    <t>9,5 / 6,5 / 3,5</t>
  </si>
  <si>
    <t>Фигурка Funko Bitty POP! Deluxe Disney Princess Moana 85687</t>
  </si>
  <si>
    <t>Fun85687</t>
  </si>
  <si>
    <t>0889698856874</t>
  </si>
  <si>
    <t>Моана</t>
  </si>
  <si>
    <t>10 / 6,5 / 3,5</t>
  </si>
  <si>
    <t>Фигурка Funko Bitty POP! Deluxe Disney Princesses Ariel 81335</t>
  </si>
  <si>
    <t>Fun81335</t>
  </si>
  <si>
    <t>0889698813358</t>
  </si>
  <si>
    <t>Русалочка</t>
  </si>
  <si>
    <t>3,5 / 6,5 / 9</t>
  </si>
  <si>
    <t>Фигурка Funko Bitty POP! Deluxe FNAF Blacklight Freddy 84872</t>
  </si>
  <si>
    <t>Fun84872</t>
  </si>
  <si>
    <t>0889698848725</t>
  </si>
  <si>
    <t>Фигурка Funko Bitty POP! Deluxe Harry Potter Hermione Granger 81332</t>
  </si>
  <si>
    <t>Fun81332</t>
  </si>
  <si>
    <t>0889698813327</t>
  </si>
  <si>
    <t>10 / 6,7 / 3,5</t>
  </si>
  <si>
    <t>Фигурка Funko Bitty POP! Deluxe Iron Man (Avenger Tower) (1036) 81301</t>
  </si>
  <si>
    <t>Fun81301</t>
  </si>
  <si>
    <t>0889698813013</t>
  </si>
  <si>
    <t>Железный человек</t>
  </si>
  <si>
    <t>Фигурка Funko Bitty POP! Deluxe Lilo &amp; Stitch Stitch 81336</t>
  </si>
  <si>
    <t>Fun81336</t>
  </si>
  <si>
    <t>0889698813365</t>
  </si>
  <si>
    <t>Фигурка Funko Bitty POP! Deluxe Marvel Spider-Man (Cityscape) (160) 81302</t>
  </si>
  <si>
    <t>Fun81302</t>
  </si>
  <si>
    <t>0889698813020</t>
  </si>
  <si>
    <t>3,6 / 6,6 / 9,2</t>
  </si>
  <si>
    <t>Фигурка Funko Bitty POP! Deluxe Superman (Gargoyle) (278) 81299</t>
  </si>
  <si>
    <t>Fun81299</t>
  </si>
  <si>
    <t>0889698812993</t>
  </si>
  <si>
    <t>Супермен</t>
  </si>
  <si>
    <t>Фигурка Funko Bitty POP! Disney Princess S1 Ariel+Mulan+Teana+Mystery (1 of 4) 4PK 73027</t>
  </si>
  <si>
    <t>Fun73027</t>
  </si>
  <si>
    <t>0889698730273</t>
  </si>
  <si>
    <t>Фигурка Funko Bitty POP! Disney Princess S2 Belle+Pocahontas+Jasmine+Mystery (1 of 4) 4PK 73028</t>
  </si>
  <si>
    <t>Fun73028</t>
  </si>
  <si>
    <t>0889698730280</t>
  </si>
  <si>
    <t>Фигурка Funko Bitty POP! Disney Princess S4 Rapunzel+Merida+Moana+Mystery (1 of 4) 4PK 73030</t>
  </si>
  <si>
    <t>Fun73030</t>
  </si>
  <si>
    <t>0889698730303</t>
  </si>
  <si>
    <t>Фигурка Funko Bitty POP! Disney S1 Mickey Mouse+Minnie Mouse+Pluto+Mystery (1 of 4) 4PK 71319</t>
  </si>
  <si>
    <t>Fun71319</t>
  </si>
  <si>
    <t>0889698713191</t>
  </si>
  <si>
    <t>Фигурка Funko Bitty POP! FNAF Ballora+Funtime Foxy+Baby+Mystery (1 of 4) 4PK 73044</t>
  </si>
  <si>
    <t>Fun73044</t>
  </si>
  <si>
    <t>0889698730440</t>
  </si>
  <si>
    <t>14,2 / 9,5 / 3</t>
  </si>
  <si>
    <t>Фигурка Funko Bitty POP! Game of Thrones Daenerys+Khal Drogo+Drogon+Mystery (1 of 4) 4PK 83648</t>
  </si>
  <si>
    <t>Fun83648</t>
  </si>
  <si>
    <t>0889698836487</t>
  </si>
  <si>
    <t>Фигурка Funko Bitty POP! Game of Thrones Jon Snow+Ghost+White Walker+Mystery (1 of 4) 4PK 83647</t>
  </si>
  <si>
    <t>Fun83647</t>
  </si>
  <si>
    <t>0889698836470</t>
  </si>
  <si>
    <t>Фигурка Funko Bitty POP! Game of Thrones Ned Stark+Arya Stark+Nymeria+Mystery (1 of 4) 4PK 83649</t>
  </si>
  <si>
    <t>Fun83649</t>
  </si>
  <si>
    <t>0889698836494</t>
  </si>
  <si>
    <t>Фигурка Funko Bitty POP! Game of Thrones Tyrion+Cersei+The Hound+Mystery (1 of 4) 4PK 83650</t>
  </si>
  <si>
    <t>Fun83650</t>
  </si>
  <si>
    <t>0889698836500</t>
  </si>
  <si>
    <t>Фигурка Funko Bitty POP! Harry Potter GoF Hagrid+Fleur+Cedric+Mystery (1 of 4) 4PK 83657</t>
  </si>
  <si>
    <t>Fun83657</t>
  </si>
  <si>
    <t>0889698836579</t>
  </si>
  <si>
    <t>Фигурка Funko Bitty POP! Harry Potter GoF Harry+Cho+Parvati+Mystery (1 of 4) 4PK 83654</t>
  </si>
  <si>
    <t>Fun83654</t>
  </si>
  <si>
    <t>0889698836548</t>
  </si>
  <si>
    <t>Фигурка Funko Bitty POP! Harry Potter GoF Hermione+Viktor+Ginny+Mystery (1 of 4) 4PK 83655</t>
  </si>
  <si>
    <t>Fun83655</t>
  </si>
  <si>
    <t>0889698836555</t>
  </si>
  <si>
    <t>Фигурка Funko Bitty POP! Harry Potter GoF Mystery 1 штука в ассортименте (из12) 83660</t>
  </si>
  <si>
    <t>Fun83660</t>
  </si>
  <si>
    <t>0889698836609</t>
  </si>
  <si>
    <t>10,5 / 8,5 / 2,3</t>
  </si>
  <si>
    <t>Фигурка Funko Bitty POP! Harry Potter GoF Ron+Padma+Madame Maxime+Mystery (1 of 4) 4PK 83656</t>
  </si>
  <si>
    <t>Fun83656</t>
  </si>
  <si>
    <t>0889698836562</t>
  </si>
  <si>
    <t>Фигурка Funko Bitty POP! Hello Kitty And Friends HK+Cinnamoroll+Pompompurin+Chase (1 of 4) 4PK 85713</t>
  </si>
  <si>
    <t>Fun85713</t>
  </si>
  <si>
    <t>0889698857130</t>
  </si>
  <si>
    <t>Фигурка Funko Bitty POP! Hello Kitty And Friends Keroppi+HK+Pochacco+Chase (1 of 4) 4PK 85714</t>
  </si>
  <si>
    <t>Fun85714</t>
  </si>
  <si>
    <t>0889698857147</t>
  </si>
  <si>
    <t>Фигурка Funko Bitty POP! Hello Kitty And Friends Kuromi+HK+My Melody+Сhase (1 of 4) 4PK 85715</t>
  </si>
  <si>
    <t>Fun85715</t>
  </si>
  <si>
    <t>0889698857154</t>
  </si>
  <si>
    <t>Фигурка Funko Bitty POP! Hello Kitty And Friends My Melody+Pochacco+Badtz+Chase (1 of 4) 4PK 85716</t>
  </si>
  <si>
    <t>Fun85716</t>
  </si>
  <si>
    <t>0889698857161</t>
  </si>
  <si>
    <t>Фигурка Funko Bitty POP! LOTR Frodo Baggins+Gandalf+Gollum+Mystery (1 of 4) 4PK 75456</t>
  </si>
  <si>
    <t>Fun75456</t>
  </si>
  <si>
    <t>0889698754569</t>
  </si>
  <si>
    <t>Фигурка Funko Bitty POP! LOTR Galadriel+Legolas+Gimly+Mystery (1 of 4) 4PK 75457</t>
  </si>
  <si>
    <t>Fun75457</t>
  </si>
  <si>
    <t>0889698754576</t>
  </si>
  <si>
    <t>Фигурка Funko Bitty POP! LOTR Samwise Gamgee+Pippin Took+Merry Brandybuck+Mystery (1 of 4) 4PK 75458</t>
  </si>
  <si>
    <t>Fun75458</t>
  </si>
  <si>
    <t>0889698754583</t>
  </si>
  <si>
    <t>Фигурка Funko Bitty POP! LOTR Witch King+Dunharrow King+Lurts+Mystery (1 of 4) 4PK 75459</t>
  </si>
  <si>
    <t>Fun75459</t>
  </si>
  <si>
    <t>0889698754590</t>
  </si>
  <si>
    <t>Фигурка Funko Bitty POP! Mandalorian Cobb Vanth+Fennec Shand+Boba Fett+Mystery (1 of 4) 4PK​ 75453</t>
  </si>
  <si>
    <t>Fun75453</t>
  </si>
  <si>
    <t>0889698754538</t>
  </si>
  <si>
    <t>Мандалорец</t>
  </si>
  <si>
    <t>Фигурка Funko Bitty POP! Marvel Infinity Saga S2 Hulk+Black Widow+Hawkeye+Mystery (1 of 4) 4PK 71504</t>
  </si>
  <si>
    <t>Fun71504</t>
  </si>
  <si>
    <t>0889698715041</t>
  </si>
  <si>
    <t>Фигурка Funko Bitty POP! Marvel Infinity Saga S3 War Machine+Vision+Ultron+Mystery(1 of 4) 4PK 71505</t>
  </si>
  <si>
    <t>Fun71505</t>
  </si>
  <si>
    <t>0889698715058</t>
  </si>
  <si>
    <t>Фигурка Funko Bitty POP! Marvel Spider-Man Miles+Ghost-Spider+Spider-Man2099+Chase(1 of 4) 4PK 85702</t>
  </si>
  <si>
    <t>Fun85702</t>
  </si>
  <si>
    <t>0889698857024</t>
  </si>
  <si>
    <t>Фигурка Funko Bitty POP! Marvel Spider-Man Parker Split+Superior+Spider-Man+Chase (1 of 4) 4PK 85704</t>
  </si>
  <si>
    <t>Fun85704</t>
  </si>
  <si>
    <t>0889698857048</t>
  </si>
  <si>
    <t>Фигурка Funko Bitty POP! Marvel Spider-Man Spider-Man+Green Goblin+J Jonah J+Chase(1 of 4) 4PK 85701</t>
  </si>
  <si>
    <t>Fun85701</t>
  </si>
  <si>
    <t>0889698857017</t>
  </si>
  <si>
    <t>Фигурка Funko Bitty POP! Marvel Spider-Man Venom+Anti-Venom+She-Venom+Chase (1 of 4) 4PK 85703</t>
  </si>
  <si>
    <t>Fun85703</t>
  </si>
  <si>
    <t>0889698857031</t>
  </si>
  <si>
    <t>Фигурка Funko Bitty POP! Minions Bride Kevin+Frankenbob+Creature Mel+Mystery (1 of 4) 4PK 73036</t>
  </si>
  <si>
    <t>Fun73036</t>
  </si>
  <si>
    <t>0889698730365</t>
  </si>
  <si>
    <t>Миньоны</t>
  </si>
  <si>
    <t>Фигурка Funko Bitty POP! Minions Eye,Matie+Cro-Minion+Au Naturel+Mystery (1 of 4) 4PK 73035</t>
  </si>
  <si>
    <t>Fun73035</t>
  </si>
  <si>
    <t>0889698730358</t>
  </si>
  <si>
    <t>Фигурка Funko Bitty POP! Pixar Carl+Russell+Sadness+Mystery (1 of 4) 4PK​ 75468</t>
  </si>
  <si>
    <t>Fun75468</t>
  </si>
  <si>
    <t>0889698754682</t>
  </si>
  <si>
    <t>Вверх</t>
  </si>
  <si>
    <t>9,5 / 14,1 / 3</t>
  </si>
  <si>
    <t>Фигурка Funko Bitty POP! Pixar Sulley+Mike+Nemo+Mystery (1 of 4) 4PK 75467</t>
  </si>
  <si>
    <t>Fun75467</t>
  </si>
  <si>
    <t>0889698754675</t>
  </si>
  <si>
    <t>Фигурка Funko Bitty POP! Pixar Wall-E+EVE+Remy+Mystery (1 of 4) 4PK 75469</t>
  </si>
  <si>
    <t>Fun75469</t>
  </si>
  <si>
    <t>0889698754699</t>
  </si>
  <si>
    <t>Pixar</t>
  </si>
  <si>
    <t>14 / 9,3 / 3</t>
  </si>
  <si>
    <t>Фигурка Funko Bitty POP! Pokemon Bulbasaur+Flareon+Pichu+Charizard 4PK 81134</t>
  </si>
  <si>
    <t>Fun81134</t>
  </si>
  <si>
    <t>0889698811347</t>
  </si>
  <si>
    <t>Фигурка Funko Bitty POP! Pokemon Charmander+Jolteon+Lapras+Rattata 4PK 81133</t>
  </si>
  <si>
    <t>Fun81133</t>
  </si>
  <si>
    <t>0889698811330</t>
  </si>
  <si>
    <t>Фигурка Funko Bitty POP! Pokemon Pikachu+Vaporeon+Caterpie+Cubone 4PK 81132</t>
  </si>
  <si>
    <t>Fun81132</t>
  </si>
  <si>
    <t>0889698811323</t>
  </si>
  <si>
    <t>Фигурка Funko Bitty POP! Pokemon Squirtle+Eevee+Growlithe+Psyduck 4PK 81135</t>
  </si>
  <si>
    <t>Fun81135</t>
  </si>
  <si>
    <t>0889698811354</t>
  </si>
  <si>
    <t>Фигурка Funko Bitty POP! Retro Toys GI Joe Zartan+Leathernec+Shipwreck+Mystery (1 of 4) 4PK 75448</t>
  </si>
  <si>
    <t>Fun75448</t>
  </si>
  <si>
    <t>0889698754484</t>
  </si>
  <si>
    <t>G.I. Joe</t>
  </si>
  <si>
    <t>Фигурка Funko Bitty POP! Retro Toys Mr. Monopoly+Barrel+Stretch Armstrong+Mystery (1 of 4) 4PK 75449</t>
  </si>
  <si>
    <t>Fun75449</t>
  </si>
  <si>
    <t>0889698754491</t>
  </si>
  <si>
    <t>Monopoly</t>
  </si>
  <si>
    <t>Фигурка Funko Bitty POP! Retro Toys Mr.PotatoHead+Mrs.PotatoHead+Play-Doh+Mystery (1 of 4) 4PK 75446</t>
  </si>
  <si>
    <t>Fun75446</t>
  </si>
  <si>
    <t>0889698754460</t>
  </si>
  <si>
    <t>Фигурка Funko Bitty POP! Retro Toys Optimus Prime+Bumblebee+Megatron+Mystery (1 of 4) 4PK 75447</t>
  </si>
  <si>
    <t>Fun75447</t>
  </si>
  <si>
    <t>0889698754477</t>
  </si>
  <si>
    <t>Фигурка Funko Bitty POP! Rides Batman with Batmobile 83621</t>
  </si>
  <si>
    <t>Fun83621</t>
  </si>
  <si>
    <t>0889698836210</t>
  </si>
  <si>
    <t>11 / 8,7 / 5,4</t>
  </si>
  <si>
    <t>Фигурка Funko Bitty POP! Rides TNBC Jack Skellington w/Snowmobile 83624</t>
  </si>
  <si>
    <t>Fun83624</t>
  </si>
  <si>
    <t>0889698836241</t>
  </si>
  <si>
    <t>Фигурка Funko Bitty POP! Simpsons Bart+Mr. Burns+Krusty+Сhase (1 of 4) 4PK 85707</t>
  </si>
  <si>
    <t>Fun85707</t>
  </si>
  <si>
    <t>0889698857079</t>
  </si>
  <si>
    <t>Симпсоны</t>
  </si>
  <si>
    <t>20th Century Fox</t>
  </si>
  <si>
    <t>Фигурка Funko Bitty POP! Simpsons Itchy+Marge+Moe Szyslak+Сhase (1 of 4) 4PK 85708</t>
  </si>
  <si>
    <t>Fun85708</t>
  </si>
  <si>
    <t>0889698857086</t>
  </si>
  <si>
    <t>Фигурка Funko Bitty POP! Simpsons Maggie+Homer+Barney+Сhase (1 of 4) 4PK 85709</t>
  </si>
  <si>
    <t>Fun85709</t>
  </si>
  <si>
    <t>0889698857093</t>
  </si>
  <si>
    <t>Фигурка Funko Bitty POP! Simpsons Scratchy+Grampa+Lisa+Сhase (1 of 4) 4PK 85710</t>
  </si>
  <si>
    <t>Fun85710</t>
  </si>
  <si>
    <t>0889698857109</t>
  </si>
  <si>
    <t>Фигурка Funko Bitty POP! Star Wars S2 Darth Vader+Lando Calrissian+Luke+Mystery (1 of 4) 4PK 83671</t>
  </si>
  <si>
    <t>Fun83671</t>
  </si>
  <si>
    <t>0889698836715</t>
  </si>
  <si>
    <t>Фигурка Funko Bitty POP! Star Wars S2 Han Solo+Wampa+Dagobah Yoda+Mystery (1 of 4) 4PK 83670</t>
  </si>
  <si>
    <t>Fun83670</t>
  </si>
  <si>
    <t>0889698836708</t>
  </si>
  <si>
    <t>Фигурка Funko Bitty POP! Star Wars S2 Luke+R2-D2+Princess Leia+Mystery (1 of 4) 4PK 83668</t>
  </si>
  <si>
    <t>Fun83668</t>
  </si>
  <si>
    <t>0889698836685</t>
  </si>
  <si>
    <t>Фигурка Funko Bitty POP! Star Wars S2 Mystery 1 штука в ассортименте (из12) 83674</t>
  </si>
  <si>
    <t>Fun83674</t>
  </si>
  <si>
    <t>0889698836746</t>
  </si>
  <si>
    <t>Фигурка Funko Bitty POP! Star Wars S2 Princess Leia+Snowtrooper+Boba Fett+Mystery (1 of 4) 4PK 83669</t>
  </si>
  <si>
    <t>Fun83669</t>
  </si>
  <si>
    <t>0889698836692</t>
  </si>
  <si>
    <t>Фигурка Funko Bitty POP! Stranger Things SZN1 Demogorgon+Will+Barb+Mystery (1 of 4) 4PK 83661</t>
  </si>
  <si>
    <t>Fun83661</t>
  </si>
  <si>
    <t>0889698836616</t>
  </si>
  <si>
    <t>Фигурка Funko Bitty POP! Stranger Things SZN1 Dustin+Lucas+Eleven+Mystery (1 of 4) 4PK 83662</t>
  </si>
  <si>
    <t>Fun83662</t>
  </si>
  <si>
    <t>0889698836623</t>
  </si>
  <si>
    <t>Фигурка Funko Bitty POP! Stranger Things SZN1 Eleven+Mike+Jonathan+Mystery (1 of 4) 4PK 83663</t>
  </si>
  <si>
    <t>Fun83663</t>
  </si>
  <si>
    <t>0889698836630</t>
  </si>
  <si>
    <t>Фигурка Funko Bitty POP! Stranger Things SZN1 Hopper+Joyce+Demogorgon+Mystery (1 of 4) 4PK 83664</t>
  </si>
  <si>
    <t>Fun83664</t>
  </si>
  <si>
    <t>0889698836647</t>
  </si>
  <si>
    <t>Фигурка Funko Bitty POP! Stranger Things SZN1 Mystery 1 штука в ассортименте (из 12) 83667</t>
  </si>
  <si>
    <t>Fun83667</t>
  </si>
  <si>
    <t>0889698836678</t>
  </si>
  <si>
    <t>8 / 11 / 2</t>
  </si>
  <si>
    <t>Фигурка Funko Bitty POP! Towns Simpsons Bart Simpson and Kwik-E-Mart 83684</t>
  </si>
  <si>
    <t>Fun83684</t>
  </si>
  <si>
    <t>0889698836845</t>
  </si>
  <si>
    <t>11 / 6 / 11</t>
  </si>
  <si>
    <t>Фигурка Funko Bitty POP! Towns TNBC Jack Skellington and Jack's House 83683</t>
  </si>
  <si>
    <t>Fun83683</t>
  </si>
  <si>
    <t>0889698836838</t>
  </si>
  <si>
    <t>Фигурка Funko Pocket POP! Coffin Chucky Chucky 87797</t>
  </si>
  <si>
    <t>Fun87797</t>
  </si>
  <si>
    <t>0889698877978</t>
  </si>
  <si>
    <t>4 / 8,5 / 14</t>
  </si>
  <si>
    <t>Фигурка Funko Pocket POP! Coffin Chucky Tiffany 87798</t>
  </si>
  <si>
    <t>Fun87798</t>
  </si>
  <si>
    <t>0889698877985</t>
  </si>
  <si>
    <t>Фигурка Funko Pocket POP! Coffin Disney TNBC Jack Skellington 79910</t>
  </si>
  <si>
    <t>Fun79910</t>
  </si>
  <si>
    <t>0889698799102</t>
  </si>
  <si>
    <t>14 / 9 / 4</t>
  </si>
  <si>
    <t>Фигурка Funko Pocket POP! Coffin Disney TNBC Oogie Boogie 79911</t>
  </si>
  <si>
    <t>Fun79911</t>
  </si>
  <si>
    <t>0889698799119</t>
  </si>
  <si>
    <t>Фигурка Funko Pocket POP! Coffin Disney TNBC Sally 80884</t>
  </si>
  <si>
    <t>Fun80884</t>
  </si>
  <si>
    <t>0889698808842</t>
  </si>
  <si>
    <t>Фигурка Funko Pocket POP! Easter Egg Disney Lilo &amp; Stitch Angel 85823</t>
  </si>
  <si>
    <t>Fun85823</t>
  </si>
  <si>
    <t>0889698858236</t>
  </si>
  <si>
    <t>2 / 9 / 14</t>
  </si>
  <si>
    <t>Фигурка Funko Pocket POP! Easter Egg Disney Lilo &amp; Stitch Stitch 85825</t>
  </si>
  <si>
    <t>Fun85825</t>
  </si>
  <si>
    <t>0889698858250</t>
  </si>
  <si>
    <t>13,7 / 8 / 2,5</t>
  </si>
  <si>
    <t>Фигурка Funko Pocket POP! Easter Egg TMNT Donatello 86045</t>
  </si>
  <si>
    <t>Fun86045</t>
  </si>
  <si>
    <t>0889698860451</t>
  </si>
  <si>
    <t>Фигурка Funko Pocket POP! Easter Egg TMNT Leonardo 86046</t>
  </si>
  <si>
    <t>Fun86046</t>
  </si>
  <si>
    <t>0889698860468</t>
  </si>
  <si>
    <t>Фигурка Funko Pocket POP! Easter Egg TMNT Michaelangelo 86047</t>
  </si>
  <si>
    <t>Fun86047</t>
  </si>
  <si>
    <t>0889698860475</t>
  </si>
  <si>
    <t>Фигурка Funko Pocket POP! Easter Egg TMNT Rafael 86048</t>
  </si>
  <si>
    <t>Fun86048</t>
  </si>
  <si>
    <t>0889698860482</t>
  </si>
  <si>
    <t>Фигурка Funko Pocket POP! Mystery Coal Star Wars в ассортименте (1 из 4) 79933</t>
  </si>
  <si>
    <t>Fun79933</t>
  </si>
  <si>
    <t>0889698799331</t>
  </si>
  <si>
    <t>4,6 / 5 / 7</t>
  </si>
  <si>
    <t>Фигурка Funko POP! 8-Bit Bobble Marvel Doctor Octopus (Exc) (1389) 82110</t>
  </si>
  <si>
    <t>Fun82110</t>
  </si>
  <si>
    <t>0889698821100</t>
  </si>
  <si>
    <t>16,1 / 11,5 / 9</t>
  </si>
  <si>
    <t>Фигурка Funko POP! 8-Bit Bobble Marvel Green Goblin (Exc) (1388) 82109</t>
  </si>
  <si>
    <t>Fun82109</t>
  </si>
  <si>
    <t>0889698821094</t>
  </si>
  <si>
    <t>Фигурка Funko POP! 8-Bit Sonic the Hedgehog Knuckles (Exc) (35) 83034</t>
  </si>
  <si>
    <t>Fun83034</t>
  </si>
  <si>
    <t>0889698830348</t>
  </si>
  <si>
    <t>16 / 11,5 / 9</t>
  </si>
  <si>
    <t>Фигурка Funko POP! 8-Bit Sonic the Hedgehog Tails (Exc) (36) 83036</t>
  </si>
  <si>
    <t>Fun83036</t>
  </si>
  <si>
    <t>0889698830362</t>
  </si>
  <si>
    <t>Фигурка Funko POP! Ad Icons Coca-Cola Coca-Cola Polar Bear with Cub (241) 81063</t>
  </si>
  <si>
    <t>Fun81063</t>
  </si>
  <si>
    <t>0889698810630</t>
  </si>
  <si>
    <t>Ad Icons</t>
  </si>
  <si>
    <t>Фигурка Funko POP! Ad Icons Coca-Cola Polar Bear (DGLT) (Exc) (58) 52256</t>
  </si>
  <si>
    <t>Fun52256</t>
  </si>
  <si>
    <t>0889698522564</t>
  </si>
  <si>
    <t>16 / 11,4 / 8,9</t>
  </si>
  <si>
    <t>Фигурка Funko POP! Ad Icons Danny Trejo (229) 75360</t>
  </si>
  <si>
    <t>Fun75360</t>
  </si>
  <si>
    <t>0889698753609</t>
  </si>
  <si>
    <t>Фигурка Funko POP! Aggretsuko Aggretsuko w/Guitar (96) 80391</t>
  </si>
  <si>
    <t>Fun80391</t>
  </si>
  <si>
    <t>0889698803915</t>
  </si>
  <si>
    <t>Aggretsuko</t>
  </si>
  <si>
    <t>Фигурка Funko POP! Aggretsuko Aggretsuko w/Headphones (97) 80392</t>
  </si>
  <si>
    <t>Fun80392</t>
  </si>
  <si>
    <t>0889698803922</t>
  </si>
  <si>
    <t>15,9 / 11,5 / 9</t>
  </si>
  <si>
    <t>Фигурка Funko POP! Albums Bon Jovi Slippery When Wet (68) 83825</t>
  </si>
  <si>
    <t>Fun83825</t>
  </si>
  <si>
    <t>0889698838252</t>
  </si>
  <si>
    <t>23,5 / 22,2 / 8,5</t>
  </si>
  <si>
    <t>Фигурка Funko POP! Albums Deluxe NSYNC NSYNC (Exc) (19) 60994</t>
  </si>
  <si>
    <t>Fun25492108</t>
  </si>
  <si>
    <t>0889698609944</t>
  </si>
  <si>
    <t>9,5 / 59 / 31</t>
  </si>
  <si>
    <t>Фигурка Funko POP! Albums Deluxe U2 Pop Bono/The Edge/Larry Mullen Jr/Adam Clayto (46) 67391</t>
  </si>
  <si>
    <t>Fun67391</t>
  </si>
  <si>
    <t>0889698673914</t>
  </si>
  <si>
    <t>31,5 / 59 / 10</t>
  </si>
  <si>
    <t>Фигурка Funko POP! Albums Michael Jackson Off the Wall (58) 72588</t>
  </si>
  <si>
    <t>Fun72588</t>
  </si>
  <si>
    <t>0889698725880</t>
  </si>
  <si>
    <t>8,6 / 22,5 / 23,5</t>
  </si>
  <si>
    <t>Фигурка Funko POP! Albums Panic! At The Disco Viva Las Vengeance Brendon Urie (67) 75382</t>
  </si>
  <si>
    <t>Fun75382</t>
  </si>
  <si>
    <t>0889698753821</t>
  </si>
  <si>
    <t>8,5 / 22,3 / 23,4</t>
  </si>
  <si>
    <t>Фигурка Funko POP! Albums Shakira Fijacion Oral Vol. 1 (66) 75383</t>
  </si>
  <si>
    <t>Fun75383</t>
  </si>
  <si>
    <t>0889698753838</t>
  </si>
  <si>
    <t>8,5 / 22,5 / 23</t>
  </si>
  <si>
    <t>Фигурка Funko POP! Animation Adventure Time BMO Cook (1073) 57783</t>
  </si>
  <si>
    <t>Fun25491992</t>
  </si>
  <si>
    <t>0889698577830</t>
  </si>
  <si>
    <t>Время приключений</t>
  </si>
  <si>
    <t>Фигурка Funko POP! Animation Adventure Time Ultimate Wizard Finn (1077) 57787</t>
  </si>
  <si>
    <t>Fun25491996</t>
  </si>
  <si>
    <t>0889698577878</t>
  </si>
  <si>
    <t>Фигурка Funko POP! Animation Adventures of Jimmy Neutron Boy Genius Carl Wheezer (1904) 83535</t>
  </si>
  <si>
    <t>Fun83535</t>
  </si>
  <si>
    <t>0889698835350</t>
  </si>
  <si>
    <t>Джимми Нейтрон</t>
  </si>
  <si>
    <t>Фигурка Funko POP! Animation Adventures of Jimmy Neutron Boy Genius Jimmy Neutron (1903) 83536</t>
  </si>
  <si>
    <t>Fun83536</t>
  </si>
  <si>
    <t>0889698835367</t>
  </si>
  <si>
    <t>Фигурка Funko POP! Animation Adventures of Jimmy Neutron Boy Genius Sheen Estevez (1902) 83537</t>
  </si>
  <si>
    <t>Fun83537</t>
  </si>
  <si>
    <t>0889698835374</t>
  </si>
  <si>
    <t>Фигурка Funko POP! Animation Attack on Titan S4 Porco Galliard (Exc) (1402) 71251</t>
  </si>
  <si>
    <t>Fun71251</t>
  </si>
  <si>
    <t>0889698712514</t>
  </si>
  <si>
    <t>Атака титанов</t>
  </si>
  <si>
    <t>Фигурка Funko POP! Animation Attack on Titan S5 Eren Jeager (1321) 67926</t>
  </si>
  <si>
    <t>Fun67926</t>
  </si>
  <si>
    <t>0889698679268</t>
  </si>
  <si>
    <t>Фигурка Funko POP! Animation Avatar The Last Airbender Floating Aang (1439) 72099</t>
  </si>
  <si>
    <t>Fun72099</t>
  </si>
  <si>
    <t>0889698720991</t>
  </si>
  <si>
    <t>22 / 17,5 / 8</t>
  </si>
  <si>
    <t>Фигурка Funko POP! Animation Avatar The Last Airbender Iroh w/Lightning (1441) 72101</t>
  </si>
  <si>
    <t>Fun72101</t>
  </si>
  <si>
    <t>0889698721011</t>
  </si>
  <si>
    <t>Фигурка Funko POP! Animation Black Clover Asta w/Nero (1550) 72115</t>
  </si>
  <si>
    <t>Fun72115</t>
  </si>
  <si>
    <t>0889698721158</t>
  </si>
  <si>
    <t>Чёрный клевер</t>
  </si>
  <si>
    <t>Фигурка Funko POP! Animation Black Clover Fuegoleon (1551) 72116</t>
  </si>
  <si>
    <t>Fun72116</t>
  </si>
  <si>
    <t>0889698721165</t>
  </si>
  <si>
    <t>Фигурка Funko POP! Animation Black Clover Fuegoleon (GW) (Exc) (1555) 74393</t>
  </si>
  <si>
    <t>Fun74393</t>
  </si>
  <si>
    <t>0889698743938</t>
  </si>
  <si>
    <t>Фигурка Funko POP! Animation Black Clover Julius (1553) 72117</t>
  </si>
  <si>
    <t>Fun72117</t>
  </si>
  <si>
    <t>0889698721172</t>
  </si>
  <si>
    <t>Фигурка Funko POP! Animation Black Clover Klaus (1554) 72118</t>
  </si>
  <si>
    <t>Fun72118</t>
  </si>
  <si>
    <t>0889698721189</t>
  </si>
  <si>
    <t>Фигурка Funko POP! Animation Black Clover Leopold (1719) 80294</t>
  </si>
  <si>
    <t>Fun80294</t>
  </si>
  <si>
    <t>0889698802949</t>
  </si>
  <si>
    <t>Фигурка Funko POP! Animation Black Clover Magna (1720) 80295</t>
  </si>
  <si>
    <t>Fun80295</t>
  </si>
  <si>
    <t>0889698802956</t>
  </si>
  <si>
    <t>Фигурка Funko POP! Animation Black Clover Mimosa (1552) 72119</t>
  </si>
  <si>
    <t>Fun72119</t>
  </si>
  <si>
    <t>0889698721196</t>
  </si>
  <si>
    <t>Фигурка Funko POP! Animation Black Clover Noelle (Valkyrie Armor) (1421) 70569</t>
  </si>
  <si>
    <t>Fun70569</t>
  </si>
  <si>
    <t>0889698705691</t>
  </si>
  <si>
    <t>Фигурка Funko POP! Animation Black Clover Secré w/Chase (1721) 80296</t>
  </si>
  <si>
    <t>Fun80296</t>
  </si>
  <si>
    <t>0889698802963</t>
  </si>
  <si>
    <t>Фигурка Funko POP! Animation Black Clover William (1718) 59241</t>
  </si>
  <si>
    <t>Fun59241</t>
  </si>
  <si>
    <t>0889698592413</t>
  </si>
  <si>
    <t>Фигурка Funko POP! Animation Bleach Byakuya Kuchiki (1698) 75507</t>
  </si>
  <si>
    <t>Fun75507</t>
  </si>
  <si>
    <t>0889698755078</t>
  </si>
  <si>
    <t>16 / 11 / 9</t>
  </si>
  <si>
    <t>Фигурка Funko POP! Animation Bleach Gin Ichimaru (1821) 80258</t>
  </si>
  <si>
    <t>Fun80258</t>
  </si>
  <si>
    <t>0889698802581</t>
  </si>
  <si>
    <t>Фигурка Funko POP! Animation Bleach Grimmjow Jaggerjack w/(GW) Chase (1820) 80259</t>
  </si>
  <si>
    <t>Fun80259</t>
  </si>
  <si>
    <t>0889698802598</t>
  </si>
  <si>
    <t>Фигурка Funko POP! Animation Bleach Hiyori Sarugaki (1822) 80260</t>
  </si>
  <si>
    <t>Fun80260</t>
  </si>
  <si>
    <t>0889698802604</t>
  </si>
  <si>
    <t>Фигурка Funko POP! Animation Bleach Ichigo Kurosaki (FB Shikai) w/(MT) Chase (1610) 75508</t>
  </si>
  <si>
    <t>Fun75508</t>
  </si>
  <si>
    <t>0889698755085</t>
  </si>
  <si>
    <t>Фигурка Funko POP! Animation Bleach Ichigo Kurosaki (Getsuga Tenshō Technique) (Exc) (1826) 84444</t>
  </si>
  <si>
    <t>Fun84444</t>
  </si>
  <si>
    <t>0889698844444</t>
  </si>
  <si>
    <t>Фигурка Funko POP! Animation Bleach Kon (1615) 77052</t>
  </si>
  <si>
    <t>Fun77052</t>
  </si>
  <si>
    <t>0889698770521</t>
  </si>
  <si>
    <t>Фигурка Funko POP! Animation Bleach Nelliel Tu Odelschwanck (1824) 80263</t>
  </si>
  <si>
    <t>Fun80263</t>
  </si>
  <si>
    <t>0889698802635</t>
  </si>
  <si>
    <t>Фигурка Funko POP! Animation Bleach Rangiku Matsumoto (1823) 80261</t>
  </si>
  <si>
    <t>Fun80261</t>
  </si>
  <si>
    <t>0889698802611</t>
  </si>
  <si>
    <t>Фигурка Funko POP! Animation Bleach Shinji Hirako (1825) 80265</t>
  </si>
  <si>
    <t>Fun80265</t>
  </si>
  <si>
    <t>0889698802659</t>
  </si>
  <si>
    <t>Фигурка Funko POP! Animation Bleach Soi Fon (Exc) (1827) 84433</t>
  </si>
  <si>
    <t>Fun84433</t>
  </si>
  <si>
    <t>0889698844338</t>
  </si>
  <si>
    <t>Фигурка Funko POP! Animation Bleach Sosuke Aizen (1697) 75506</t>
  </si>
  <si>
    <t>Fun75506</t>
  </si>
  <si>
    <t>0889698755061</t>
  </si>
  <si>
    <t>Фигурка Funko POP! Animation Bleach Tier Halibel (Exc) (1839) 84851</t>
  </si>
  <si>
    <t>Fun84851</t>
  </si>
  <si>
    <t>0889698848510</t>
  </si>
  <si>
    <t>Фигурка Funko POP! Animation Bleach Uryu Ishida w/(GW)Chase (1696) 75510</t>
  </si>
  <si>
    <t>Fun75510</t>
  </si>
  <si>
    <t>0889698755108</t>
  </si>
  <si>
    <t>16 / 11,5 / 8,7</t>
  </si>
  <si>
    <t>Фигурка Funko POP! Animation Bleach Yasutora Sado (Chad) (1614) 75511</t>
  </si>
  <si>
    <t>Fun75511</t>
  </si>
  <si>
    <t>0889698755115</t>
  </si>
  <si>
    <t>Фигурка Funko POP! Animation Boruto Boruto with Rasengan (GW) (Exc) (1356) 63135</t>
  </si>
  <si>
    <t>Fun63135</t>
  </si>
  <si>
    <t>0889698631358</t>
  </si>
  <si>
    <t>Фигурка Funko POP! Animation Boruto Code (1917) 83706</t>
  </si>
  <si>
    <t>Fun83706</t>
  </si>
  <si>
    <t>0889698837064</t>
  </si>
  <si>
    <t>Фигурка Funko POP! Animation Boruto Eida (1920) 83709</t>
  </si>
  <si>
    <t>Fun83709</t>
  </si>
  <si>
    <t>0889698837095</t>
  </si>
  <si>
    <t>Фигурка Funko POP! Animation Boruto Jigen (1650) 75597</t>
  </si>
  <si>
    <t>Fun75597</t>
  </si>
  <si>
    <t>0889698755979</t>
  </si>
  <si>
    <t>Фигурка Funko POP! Animation Boruto Koji Kashin (1651) 75598</t>
  </si>
  <si>
    <t>Fun75598</t>
  </si>
  <si>
    <t>0889698755986</t>
  </si>
  <si>
    <t>Фигурка Funko POP! Animation Boruto Mirai Sarutobi (1652) 75599</t>
  </si>
  <si>
    <t>Fun75599</t>
  </si>
  <si>
    <t>0889698755993</t>
  </si>
  <si>
    <t>Фигурка Funko POP! Animation Boruto Momoshiki (Exc) (1310) 68226</t>
  </si>
  <si>
    <t>Fun68226</t>
  </si>
  <si>
    <t>0889698682268</t>
  </si>
  <si>
    <t>Фигурка Funko POP! Animation Care Bears Cousins Brave Heart Lion (1713) 82664</t>
  </si>
  <si>
    <t>Fun82664</t>
  </si>
  <si>
    <t>0889698826648</t>
  </si>
  <si>
    <t>Заботливые мишки</t>
  </si>
  <si>
    <t>Фигурка Funko POP! Animation Care Bears Cousins Bright Heart Raccoon (1802) 83494</t>
  </si>
  <si>
    <t>Fun83494</t>
  </si>
  <si>
    <t>0889698834940</t>
  </si>
  <si>
    <t>Фигурка Funko POP! Animation Care Bears Cousins Cozy Heart Penguin (1803) 83493</t>
  </si>
  <si>
    <t>Fun83493</t>
  </si>
  <si>
    <t>0889698834933</t>
  </si>
  <si>
    <t>Фигурка Funko POP! Animation Care Bears Share Bear NYCC24 (Exc) (1417) 74397</t>
  </si>
  <si>
    <t>Fun74397</t>
  </si>
  <si>
    <t>0889698743976</t>
  </si>
  <si>
    <t>Фигурка Funko POP! Animation Castlevania Nocturn Erzsebet (1689) 80271</t>
  </si>
  <si>
    <t>Fun80271</t>
  </si>
  <si>
    <t>0889698802710</t>
  </si>
  <si>
    <t>Кастлвания: Ноктюрн</t>
  </si>
  <si>
    <t>Фигурка Funko POP! Animation Castlevania Nocturn Richter (1687) 80273</t>
  </si>
  <si>
    <t>Fun80273</t>
  </si>
  <si>
    <t>0889698802734</t>
  </si>
  <si>
    <t>Фигурка Funko POP! Animation Chainsaw Man Denji (1678) 80320</t>
  </si>
  <si>
    <t>Fun80320</t>
  </si>
  <si>
    <t>0889698803205</t>
  </si>
  <si>
    <t>Фигурка Funko POP! Animation Chainsaw Man Himeno (1760) 83628</t>
  </si>
  <si>
    <t>Fun83628</t>
  </si>
  <si>
    <t>0889698836289</t>
  </si>
  <si>
    <t>Фигурка Funko POP! Animation Chainsaw Man Kishibe (1761) 83629</t>
  </si>
  <si>
    <t>Fun83629</t>
  </si>
  <si>
    <t>0889698836296</t>
  </si>
  <si>
    <t>Фигурка Funko POP! Animation Chainsaw Man Kobeni (1762) 83630</t>
  </si>
  <si>
    <t>Fun83630</t>
  </si>
  <si>
    <t>0889698836302</t>
  </si>
  <si>
    <t>15,8 / 11,3 / 8,7</t>
  </si>
  <si>
    <t>Фигурка Funko POP! Animation Chainsaw Man Makima (1679) 80321</t>
  </si>
  <si>
    <t>Fun80321</t>
  </si>
  <si>
    <t>0889698803212</t>
  </si>
  <si>
    <t>Фигурка Funko POP! Animation Chainsaw Man Pochita (1682) 80322</t>
  </si>
  <si>
    <t>Fun80322</t>
  </si>
  <si>
    <t>0889698803229</t>
  </si>
  <si>
    <t>Фигурка Funko POP! Animation Chainsaw Man Power (1681) 80323</t>
  </si>
  <si>
    <t>Fun80323</t>
  </si>
  <si>
    <t>0889698803236</t>
  </si>
  <si>
    <t>Фигурка Funko POP! Animation Chainsaw Man Power Meowy w/(FL) Сhase (Exc) (1766) 84413</t>
  </si>
  <si>
    <t>Fun84413</t>
  </si>
  <si>
    <t>0889698844130</t>
  </si>
  <si>
    <t>Фигурка Funko POP! Animation Chainsaw Man Samurai Sword (1763) 83631</t>
  </si>
  <si>
    <t>Fun83631</t>
  </si>
  <si>
    <t>0889698836319</t>
  </si>
  <si>
    <t>Фигурка Funko POP! Animation Chainsaw Man Sleeping Pochita (Exc) (1765) 84412</t>
  </si>
  <si>
    <t>Fun84412</t>
  </si>
  <si>
    <t>0889698844123</t>
  </si>
  <si>
    <t>Фигурка Funko POP! Animation DC Suicide Squad Isekai Deadshot (533) 84131</t>
  </si>
  <si>
    <t>Fun84131</t>
  </si>
  <si>
    <t>0889698841313</t>
  </si>
  <si>
    <t>Отряд самоубийц</t>
  </si>
  <si>
    <t>Фигурка Funko POP! Animation DC Suicide Squad Isekai Harley Quinn (536) 84132</t>
  </si>
  <si>
    <t>Fun84132</t>
  </si>
  <si>
    <t>0889698841320</t>
  </si>
  <si>
    <t>Фигурка Funko POP! Animation DC Suicide Squad Isekai Joker w/Chase (535) 84133</t>
  </si>
  <si>
    <t>Fun84133</t>
  </si>
  <si>
    <t>0889698841337</t>
  </si>
  <si>
    <t>Фигурка Funko POP! Animation DC Suicide Squad Isekai Katana (534) 84134</t>
  </si>
  <si>
    <t>Fun84134</t>
  </si>
  <si>
    <t>0889698841344</t>
  </si>
  <si>
    <t>Фигурка Funko POP! Animation Demon Slayer Aoi Kanzaki w/Chase (1535) 75570</t>
  </si>
  <si>
    <t>Fun75570</t>
  </si>
  <si>
    <t>0889698755702</t>
  </si>
  <si>
    <t>Фигурка Funko POP! Animation Demon Slayer Genya Shinazugawa (1406) 72609</t>
  </si>
  <si>
    <t>Fun72609</t>
  </si>
  <si>
    <t>0889698726092</t>
  </si>
  <si>
    <t>Фигурка Funko POP! Animation Demon Slayer Genya Shinazugawa (Demon Form) (1851) 85328</t>
  </si>
  <si>
    <t>Fun85328</t>
  </si>
  <si>
    <t>0889698853286</t>
  </si>
  <si>
    <t>Фигурка Funko POP! Animation Demon Slayer Hantengu (1854) 85330</t>
  </si>
  <si>
    <t>Fun85330</t>
  </si>
  <si>
    <t>0889698853309</t>
  </si>
  <si>
    <t>Фигурка Funko POP! Animation Demon Slayer Inosuke Hashibira (Kimono) (1532) 75572</t>
  </si>
  <si>
    <t>Fun75572</t>
  </si>
  <si>
    <t>0889698755726</t>
  </si>
  <si>
    <t>Фигурка Funko POP! Animation Demon Slayer Inosuke Hashibira 7th Form (Exc) (1261) 68489</t>
  </si>
  <si>
    <t>Fun68489</t>
  </si>
  <si>
    <t>0889698684897</t>
  </si>
  <si>
    <t>16,1 / 11,4 / 8,9</t>
  </si>
  <si>
    <t>Фигурка Funko POP! Animation Demon Slayer Kagaya Ubuyashiki (Exc) (1289) 69052</t>
  </si>
  <si>
    <t>Fun69052</t>
  </si>
  <si>
    <t>0889698690522</t>
  </si>
  <si>
    <t>Фигурка Funko POP! Animation Demon Slayer Kyojuro Rengoku (1308) 65623</t>
  </si>
  <si>
    <t>Fun65623</t>
  </si>
  <si>
    <t>0889698656238</t>
  </si>
  <si>
    <t>Фигурка Funko POP! Animation Demon Slayer Makomo &amp; Sabito NYCC23 (Exc) 2PK 71762</t>
  </si>
  <si>
    <t>Fun71762</t>
  </si>
  <si>
    <t>0889698717625</t>
  </si>
  <si>
    <t>16 / 20,5 / 9</t>
  </si>
  <si>
    <t>Фигурка Funko POP! Animation Demon Slayer Makomo (Flower Headdress) (1405) 72132</t>
  </si>
  <si>
    <t>Fun72132</t>
  </si>
  <si>
    <t>0889698721325</t>
  </si>
  <si>
    <t>Фигурка Funko POP! Animation Demon Slayer Mitsuri Kanroji (1306) 57344</t>
  </si>
  <si>
    <t>Fun57344</t>
  </si>
  <si>
    <t>0889698573443</t>
  </si>
  <si>
    <t>16,2 / 11,6 / 8,9</t>
  </si>
  <si>
    <t>Фигурка Funko POP! Animation Demon Slayer Mitsuri Kanroji (Attack) (1852) 85331</t>
  </si>
  <si>
    <t>Fun85331</t>
  </si>
  <si>
    <t>0889698853316</t>
  </si>
  <si>
    <t>Фигурка Funko POP! Animation Demon Slayer Mitsuri Kanroji (Damaged) (Exc) (1857) 85403</t>
  </si>
  <si>
    <t>Fun85403</t>
  </si>
  <si>
    <t>0889698854030</t>
  </si>
  <si>
    <t>Фигурка Funko POP! Animation Demon Slayer Muichiro Tokito (Attack) w/Chase (1853) 85332</t>
  </si>
  <si>
    <t>Fun85332</t>
  </si>
  <si>
    <t>0889698853323</t>
  </si>
  <si>
    <t>Фигурка Funko POP! Animation Demon Slayer Nezuko Kamado (Demon Form) (1749) 80333</t>
  </si>
  <si>
    <t>Fun80333</t>
  </si>
  <si>
    <t>0889698803335</t>
  </si>
  <si>
    <t>Фигурка Funko POP! Animation Demon Slayer Nezuko Kamado Leaping (Exc) (1397) 71279</t>
  </si>
  <si>
    <t>Fun71279</t>
  </si>
  <si>
    <t>0889698712798</t>
  </si>
  <si>
    <t>Фигурка Funko POP! Animation Demon Slayer S2 Tengen (Exc) 10" (1801) 84594</t>
  </si>
  <si>
    <t>Fun84594</t>
  </si>
  <si>
    <t>0889698845946</t>
  </si>
  <si>
    <t>21 / 21,5 / 33,5</t>
  </si>
  <si>
    <t>Фигурка Funko POP! Animation Demon Slayer Susamaru (Arms) (Exc) (1515) 77105</t>
  </si>
  <si>
    <t>Fun77105</t>
  </si>
  <si>
    <t>0889698771054</t>
  </si>
  <si>
    <t>Фигурка Funko POP! Animation Demon Slayer Susamaru w/(GW) Chase (1409) 72611</t>
  </si>
  <si>
    <t>Fun72611</t>
  </si>
  <si>
    <t>0889698726115</t>
  </si>
  <si>
    <t>Фигурка Funko POP! Animation Demon Slayer Tamayo (1408) 72612</t>
  </si>
  <si>
    <t>Fun72612</t>
  </si>
  <si>
    <t>0889698726122</t>
  </si>
  <si>
    <t>Фигурка Funko POP! Animation Demon Slayer Tanjiro Kamado (867) 49010</t>
  </si>
  <si>
    <t>Fun25491329</t>
  </si>
  <si>
    <t>0889698490108</t>
  </si>
  <si>
    <t>16,5 / 12 / 8,5</t>
  </si>
  <si>
    <t>Фигурка Funko POP! Animation Demon Slayer Tanjiro Kamado (Kimono) (1530) 75573</t>
  </si>
  <si>
    <t>Fun75573</t>
  </si>
  <si>
    <t>0889698755733</t>
  </si>
  <si>
    <t>Фигурка Funko POP! Animation Demon Slayer Tanjiro Kamado (Sun Breathing) (1748) 80334</t>
  </si>
  <si>
    <t>Fun80334</t>
  </si>
  <si>
    <t>0889698803342</t>
  </si>
  <si>
    <t>Фигурка Funko POP! Animation Demon Slayer Tanjiro Kamado (Training) (1403) 72613</t>
  </si>
  <si>
    <t>Fun72613</t>
  </si>
  <si>
    <t>0889698726139</t>
  </si>
  <si>
    <t>Фигурка Funko POP! Animation Demon Slayer Tanjiro Kamado 10" (1805) 83720</t>
  </si>
  <si>
    <t>Fun83720</t>
  </si>
  <si>
    <t>0889698837200</t>
  </si>
  <si>
    <t>33,1 / 21 / 21</t>
  </si>
  <si>
    <t>Фигурка Funko POP! Animation Demon Slayer Tanjuro Kamado Dance of the Sun God (Exc) (1255) 68862</t>
  </si>
  <si>
    <t>Fun68862</t>
  </si>
  <si>
    <t>0889698688628</t>
  </si>
  <si>
    <t>Фигурка Funko POP! Animation Demon Slayer Yahaba (1410) 72614</t>
  </si>
  <si>
    <t>Fun72614</t>
  </si>
  <si>
    <t>0889698726146</t>
  </si>
  <si>
    <t>Фигурка Funko POP! Animation Demon Slayer Yahaba (GW) (Exc) (1410) 73903</t>
  </si>
  <si>
    <t>Fun73903</t>
  </si>
  <si>
    <t>0889698739030</t>
  </si>
  <si>
    <t>Фигурка Funko POP! Animation Demon Slayer Zenitsu Agatsuma (Kimono) (1531) 75575</t>
  </si>
  <si>
    <t>Fun75575</t>
  </si>
  <si>
    <t>0889698755757</t>
  </si>
  <si>
    <t>Фигурка Funko POP! Animation Demon Slayer Zohakuten (Exc) (1859) 85405</t>
  </si>
  <si>
    <t>Fun85405</t>
  </si>
  <si>
    <t>0889698854054</t>
  </si>
  <si>
    <t>Фигурка Funko POP! Animation Dragon Ball Goku (Kame) (1780) 83877</t>
  </si>
  <si>
    <t>Fun83877</t>
  </si>
  <si>
    <t>0889698838771</t>
  </si>
  <si>
    <t>Dragon Ball</t>
  </si>
  <si>
    <t>Фигурка Funko POP! Animation Dragon Ball GT Goku (1626) 72088</t>
  </si>
  <si>
    <t>Fun72088</t>
  </si>
  <si>
    <t>0889698720885</t>
  </si>
  <si>
    <t>Фигурка Funko POP! Animation Dragon Ball GT Goku with Kamehameha (Exc) (1634) 74607</t>
  </si>
  <si>
    <t>Fun74607</t>
  </si>
  <si>
    <t>0889698746076</t>
  </si>
  <si>
    <t>Фигурка Funko POP! Animation Dragon Ball GT Trunks and Gill (1630) 72092</t>
  </si>
  <si>
    <t>Fun72092</t>
  </si>
  <si>
    <t>0889698720922</t>
  </si>
  <si>
    <t>Фигурка Funko POP! Animation Dragon Ball Super Cell Max (1705) 75639</t>
  </si>
  <si>
    <t>Fun75639</t>
  </si>
  <si>
    <t>0889698756396</t>
  </si>
  <si>
    <t>Фигурка Funko POP! Animation Dragon Ball Super Gohan in Cape w/(MT) Chase (Exc) (1708) 82464</t>
  </si>
  <si>
    <t>Fun82464</t>
  </si>
  <si>
    <t>0889698824644</t>
  </si>
  <si>
    <t>Фигурка Funko POP! Animation Dragon Ball Super Orange Piccolo (1704) 75637</t>
  </si>
  <si>
    <t>Fun75637</t>
  </si>
  <si>
    <t>0889698756372</t>
  </si>
  <si>
    <t>Фигурка Funko POP! Animation Dragon Ball Super Son Gohan (Beast) w/(GW) Chase (1703) 75636</t>
  </si>
  <si>
    <t>Fun75636</t>
  </si>
  <si>
    <t>0889698756365</t>
  </si>
  <si>
    <t>Фигурка Funko POP! Animation Dragon Ball Z Dabura w/Darkness Sword NYCC24 (Exc) (1719) 78647</t>
  </si>
  <si>
    <t>Fun78647</t>
  </si>
  <si>
    <t>0889698786478</t>
  </si>
  <si>
    <t>Фигурка Funko POP! Animation Dragon Ball Z S8 Shenron Dragon 10" (265) 50223</t>
  </si>
  <si>
    <t>Fun2549818</t>
  </si>
  <si>
    <t>0889698502238</t>
  </si>
  <si>
    <t>20,5 / 22,5 / 32,6</t>
  </si>
  <si>
    <t>Фигурка Funko POP! Animation Dragon Ball Z Yajirobe &amp; Karin C2E224 (Exc) (1513) 76851</t>
  </si>
  <si>
    <t>Fun76851</t>
  </si>
  <si>
    <t>0889698768511</t>
  </si>
  <si>
    <t>Фигурка Funko POP! Animation Ed, Edd n Eddy Ed w/Chase (1897) 83530</t>
  </si>
  <si>
    <t>Fun83530</t>
  </si>
  <si>
    <t>0889698835305</t>
  </si>
  <si>
    <t>Фигурка Funko POP! Animation Ed, Edd n Eddy Edd Double D (1898) 83529</t>
  </si>
  <si>
    <t>Fun83529</t>
  </si>
  <si>
    <t>0889698835299</t>
  </si>
  <si>
    <t>Фигурка Funko POP! Animation Ed, Edd n Eddy Eddy (1899) 83531</t>
  </si>
  <si>
    <t>Fun83531</t>
  </si>
  <si>
    <t>0889698835312</t>
  </si>
  <si>
    <t>Фигурка Funko POP! Animation Fullmetal Alchemist Brotherhood Izumi Curtis (1578) 75618</t>
  </si>
  <si>
    <t>Fun75618</t>
  </si>
  <si>
    <t>0889698756181</t>
  </si>
  <si>
    <t>Фигурка Funko POP! Animation Fullmetal Alchemist Brotherhood Lan Fan (Ninja) (1581) 75619</t>
  </si>
  <si>
    <t>Fun75619</t>
  </si>
  <si>
    <t>0889698756198</t>
  </si>
  <si>
    <t>Фигурка Funko POP! Animation Fullmetal Alchemist Brotherhood Scar (GW) (Exc) (1486) 74394</t>
  </si>
  <si>
    <t>Fun74394</t>
  </si>
  <si>
    <t>0889698743945</t>
  </si>
  <si>
    <t>Фигурка Funko POP! Animation Futurama S4 Matador Bender (1756) 80080</t>
  </si>
  <si>
    <t>Fun80080</t>
  </si>
  <si>
    <t>0889698800808</t>
  </si>
  <si>
    <t>Futurama</t>
  </si>
  <si>
    <t>Фигурка Funko POP! Animation Futurama S4 Philip J Fry (1755) 80078</t>
  </si>
  <si>
    <t>Fun80078</t>
  </si>
  <si>
    <t>0889698800785</t>
  </si>
  <si>
    <t>Фигурка Funko POP! Animation Futurama S4 Turanga Leela (1758) 80077</t>
  </si>
  <si>
    <t>Fun80077</t>
  </si>
  <si>
    <t>0889698800778</t>
  </si>
  <si>
    <t>Фигурка Funko POP! Animation Futurama S4 Zapp Brannigan (1759) 80079</t>
  </si>
  <si>
    <t>Fun80079</t>
  </si>
  <si>
    <t>0889698800792</t>
  </si>
  <si>
    <t>Фигурка Funko POP! Animation Haikyu! Ryunosuke Tanaka (1391) 70566</t>
  </si>
  <si>
    <t>Fun70566</t>
  </si>
  <si>
    <t>0889698705660</t>
  </si>
  <si>
    <t>Haikyu!!</t>
  </si>
  <si>
    <t>Фигурка Funko POP! Animation Hunter Х Hunter Ging Freecss (1725) 80346</t>
  </si>
  <si>
    <t>Fun80346</t>
  </si>
  <si>
    <t>0889698803465</t>
  </si>
  <si>
    <t>Фигурка Funko POP! Animation Hunter Х Hunter Kalluto Zoldyck (1726) 80347</t>
  </si>
  <si>
    <t>Fun80347</t>
  </si>
  <si>
    <t>0889698803472</t>
  </si>
  <si>
    <t>Фигурка Funko POP! Animation Hunter Х Hunter Pakunoda (1565) 75585</t>
  </si>
  <si>
    <t>Fun75585</t>
  </si>
  <si>
    <t>0889698755856</t>
  </si>
  <si>
    <t>Фигурка Funko POP! Animation Hunter Х Hunter Silva Zoldyck (1727) 80348</t>
  </si>
  <si>
    <t>Fun80348</t>
  </si>
  <si>
    <t>0889698803489</t>
  </si>
  <si>
    <t>Фигурка Funko POP! Animation Hunter Х Hunter Uvogin (1724) 80345</t>
  </si>
  <si>
    <t>Fun80345</t>
  </si>
  <si>
    <t>0889698803458</t>
  </si>
  <si>
    <t>Фигурка Funko POP! Animation InuYasha Inuyasha (767) 46918</t>
  </si>
  <si>
    <t>Fun25492158</t>
  </si>
  <si>
    <t>0889698469180</t>
  </si>
  <si>
    <t>Фигурка Funko POP! Animation InuYasha Inuyasha (Lay) (1928) 83717</t>
  </si>
  <si>
    <t>Fun83717</t>
  </si>
  <si>
    <t>0889698837170</t>
  </si>
  <si>
    <t>Фигурка Funko POP! Animation InuYasha InuYasha Eating Noodles (1590) 75610</t>
  </si>
  <si>
    <t>Fun75610</t>
  </si>
  <si>
    <t>0889698756105</t>
  </si>
  <si>
    <t>Фигурка Funko POP! Animation InuYasha Jaken (1297) 58025</t>
  </si>
  <si>
    <t>Fun58025</t>
  </si>
  <si>
    <t>0889698580250</t>
  </si>
  <si>
    <t>Фигурка Funko POP! Animation InuYasha Kagome with Kirara (1592) 75615</t>
  </si>
  <si>
    <t>Fun75615</t>
  </si>
  <si>
    <t>0889698756150</t>
  </si>
  <si>
    <t>Фигурка Funko POP! Animation InuYasha Kagura (1593) 75611</t>
  </si>
  <si>
    <t>Fun75611</t>
  </si>
  <si>
    <t>0889698756112</t>
  </si>
  <si>
    <t>Фигурка Funko POP! Animation InuYasha Koga (1591) 76196</t>
  </si>
  <si>
    <t>Fun76196</t>
  </si>
  <si>
    <t>0889698761963</t>
  </si>
  <si>
    <t>Фигурка Funko POP! Animation InuYasha Miroku (Exc) (1594) 77401</t>
  </si>
  <si>
    <t>Fun77401</t>
  </si>
  <si>
    <t>0889698774017</t>
  </si>
  <si>
    <t>Фигурка Funko POP! Animation InuYasha Naraku (1299) 58027</t>
  </si>
  <si>
    <t>Fun58027</t>
  </si>
  <si>
    <t>0889698580274</t>
  </si>
  <si>
    <t>Фигурка Funko POP! Animation InuYasha Rin (1296) 58028</t>
  </si>
  <si>
    <t>Fun58028</t>
  </si>
  <si>
    <t>0889698580281</t>
  </si>
  <si>
    <t>Фигурка Funko POP! Animation InuYasha Sango w/Masked Chase (Exc) (1300) 60299</t>
  </si>
  <si>
    <t>Fun60299</t>
  </si>
  <si>
    <t>0889698602990</t>
  </si>
  <si>
    <t>Фигурка Funko POP! Animation Jujutsu Kaisen Hanami (Exc) (1396) 73900</t>
  </si>
  <si>
    <t>Fun73900</t>
  </si>
  <si>
    <t>0889698739009</t>
  </si>
  <si>
    <t>Фигурка Funko POP! Animation Jujutsu Kaisen Kasumi Miwa (1642) 80279</t>
  </si>
  <si>
    <t>Fun80279</t>
  </si>
  <si>
    <t>0889698802796</t>
  </si>
  <si>
    <t>Фигурка Funko POP! Animation Jujutsu Kaisen Mahito (New Arms) (Exc) (1121) 62336</t>
  </si>
  <si>
    <t>Fun62336</t>
  </si>
  <si>
    <t>0889698623360</t>
  </si>
  <si>
    <t>16 / 11,2 / 9</t>
  </si>
  <si>
    <t>Фигурка Funko POP! Animation Jujutsu Kaisen Megumi Fushiguro (Rabbit) (1883) 85323</t>
  </si>
  <si>
    <t>Fun85323</t>
  </si>
  <si>
    <t>0889698853231</t>
  </si>
  <si>
    <t>Фигурка Funko POP! Animation Jujutsu Kaisen Momo Nishimiya (1641) 80281</t>
  </si>
  <si>
    <t>Fun80281</t>
  </si>
  <si>
    <t>0889698802819</t>
  </si>
  <si>
    <t>Фигурка Funko POP! Animation Jujutsu Kaisen Nobara Kugisaki (Painting) (Exc) (1647) 81680</t>
  </si>
  <si>
    <t>Fun81680</t>
  </si>
  <si>
    <t>0889698816809</t>
  </si>
  <si>
    <t>Фигурка Funko POP! Animation Jujutsu Kaisen Noritoshi Kamo (1640) 80278</t>
  </si>
  <si>
    <t>Fun80278</t>
  </si>
  <si>
    <t>0889698802789</t>
  </si>
  <si>
    <t>Фигурка Funko POP! Animation Jujutsu Kaisen Ryomen Sukuna (Fire Arrow) (1887) 85322</t>
  </si>
  <si>
    <t>Fun85322</t>
  </si>
  <si>
    <t>0889698853224</t>
  </si>
  <si>
    <t>16 / 11,5 / 8,8</t>
  </si>
  <si>
    <t>Фигурка Funko POP! Animation Jujutsu Kaisen Ultimate Mechamaru (1643) 80283</t>
  </si>
  <si>
    <t>Fun80283</t>
  </si>
  <si>
    <t>0889698802833</t>
  </si>
  <si>
    <t>Фигурка Funko POP! Animation Jujutsu Kaisen Utahime Iori (1639) 80277</t>
  </si>
  <si>
    <t>Fun80277</t>
  </si>
  <si>
    <t>0889698802772</t>
  </si>
  <si>
    <t>Фигурка Funko POP! Animation Jujutsu Kaisen Yuji Itadori with Sukuna Mouth (Exc) (1152) 64979</t>
  </si>
  <si>
    <t>Fun64979</t>
  </si>
  <si>
    <t>0889698649797</t>
  </si>
  <si>
    <t>Фигурка Funko POP! Animation Looney Tunes Bugs Bunny (Ghost) (1673) 80870</t>
  </si>
  <si>
    <t>Fun80870</t>
  </si>
  <si>
    <t>0889698808705</t>
  </si>
  <si>
    <t>Looney Tunes</t>
  </si>
  <si>
    <t>Фигурка Funko POP! Animation Looney Tunes Marvin The Martian (Mummy​) (1674) 80871</t>
  </si>
  <si>
    <t>Fun80871</t>
  </si>
  <si>
    <t>0889698808712</t>
  </si>
  <si>
    <t>Фигурка Funko POP! Animation Looney Tunes Sylvester &amp; Tweety (309) 21975</t>
  </si>
  <si>
    <t>Fun831</t>
  </si>
  <si>
    <t>0889698219754</t>
  </si>
  <si>
    <t>Фигурка Funko POP! Animation Looney Tunes Tweety (Witch​) (1676) 80873</t>
  </si>
  <si>
    <t>Fun80873</t>
  </si>
  <si>
    <t>0889698808736</t>
  </si>
  <si>
    <t>Фигурка Funko POP! Animation Looney Tunes Witch Hazel NYCC24 (Exc) (1710) 78669</t>
  </si>
  <si>
    <t>Fun78669</t>
  </si>
  <si>
    <t>0889698786690</t>
  </si>
  <si>
    <t>Фигурка Funko POP! Animation Looney Tunes Yosemite Sam Black Knight NYCC22 (Exc) (1209) 67044</t>
  </si>
  <si>
    <t>Fun67044</t>
  </si>
  <si>
    <t>0889698670449</t>
  </si>
  <si>
    <t>Фигурка Funko POP! Animation LOTR The War of the Rohirrim Helm Hammerhand (1835) 80247</t>
  </si>
  <si>
    <t>Fun80247</t>
  </si>
  <si>
    <t>0889698802475</t>
  </si>
  <si>
    <t>Властелин колец: Война рохирримов</t>
  </si>
  <si>
    <t>Фигурка Funko POP! Animation LOTR The War of the Rohirrim Hera (1836) 80246</t>
  </si>
  <si>
    <t>Fun80246</t>
  </si>
  <si>
    <t>0889698802468</t>
  </si>
  <si>
    <t>Фигурка Funko POP! Animation LOTR The War of the Rohirrim Wulf (1837) 80248</t>
  </si>
  <si>
    <t>Fun80248</t>
  </si>
  <si>
    <t>0889698802482</t>
  </si>
  <si>
    <t>Фигурка Funko POP! Animation Mobile Suit Gundam MS-06S Chars Zaku II 6" (1717) 82984</t>
  </si>
  <si>
    <t>Fun82984</t>
  </si>
  <si>
    <t>0889698829847</t>
  </si>
  <si>
    <t>20,5 / 16,5 / 14</t>
  </si>
  <si>
    <t>Фигурка Funko POP! Animation My Hero Academia 1B Neito Monoma (Exc) (1122) 63282</t>
  </si>
  <si>
    <t>Fun63282</t>
  </si>
  <si>
    <t>0889698632829</t>
  </si>
  <si>
    <t>15,9 / 11,5 / 8,8</t>
  </si>
  <si>
    <t>Фигурка Funko POP! Animation My Hero Academia Daigoro Banjo (Black Whip) (1813) 82846</t>
  </si>
  <si>
    <t>Fun82846</t>
  </si>
  <si>
    <t>0889698828468</t>
  </si>
  <si>
    <t>Фигурка Funko POP! Animation My Hero Academia Gigantomachia (SS) 6" (1150) 64674</t>
  </si>
  <si>
    <t>Fun64674</t>
  </si>
  <si>
    <t>0889698646741</t>
  </si>
  <si>
    <t>14,1 / 16,7 / 20,4</t>
  </si>
  <si>
    <t>Фигурка Funko POP! Animation My Hero Academia Hawks/Izuku/Shoto/Fumikage (FL) (Exc) 4PK 78045</t>
  </si>
  <si>
    <t>Fun78045</t>
  </si>
  <si>
    <t>0889698780452</t>
  </si>
  <si>
    <t>44,5 / 16 / 9</t>
  </si>
  <si>
    <t>Фигурка Funko POP! Animation My Hero Academia HLB Fatgum (baseball) 6" (1332) 70617</t>
  </si>
  <si>
    <t>Fun70617</t>
  </si>
  <si>
    <t>0889698706179</t>
  </si>
  <si>
    <t>14,1 / 16,5 / 20,5</t>
  </si>
  <si>
    <t>Фигурка Funko POP! Animation My Hero Academia HLB Mt. Lady (baseball) 6" (1333) 70618</t>
  </si>
  <si>
    <t>Fun70618</t>
  </si>
  <si>
    <t>0889698706186</t>
  </si>
  <si>
    <t>Фигурка Funko POP! Animation My Hero Academia HLB Shishido (baseball) (1330) 70611</t>
  </si>
  <si>
    <t>Fun70611</t>
  </si>
  <si>
    <t>0889698706117</t>
  </si>
  <si>
    <t>Фигурка Funko POP! Animation My Hero Academia Inasa Yoarashi (1145) 58600</t>
  </si>
  <si>
    <t>Fun58600</t>
  </si>
  <si>
    <t>0889698586009</t>
  </si>
  <si>
    <t>Фигурка Funko POP! Animation My Hero Academia Nana Shimura (1811) 80395</t>
  </si>
  <si>
    <t>Fun80395</t>
  </si>
  <si>
    <t>0889698803953</t>
  </si>
  <si>
    <t>Фигурка Funko POP! Animation My Hero Academia Re-Destro (1523) 75558</t>
  </si>
  <si>
    <t>Fun75558</t>
  </si>
  <si>
    <t>0889698755580</t>
  </si>
  <si>
    <t>Фигурка Funko POP! Animation My Hero Academia Ryukyu (Dragon) 10" (1814) 68853</t>
  </si>
  <si>
    <t>Fun68853</t>
  </si>
  <si>
    <t>0889698688536</t>
  </si>
  <si>
    <t>33 / 30,6 / 21,5</t>
  </si>
  <si>
    <t>Фигурка Funko POP! Animation My Hero Academia Shishido (1812) 80396</t>
  </si>
  <si>
    <t>Fun80396</t>
  </si>
  <si>
    <t>0889698803960</t>
  </si>
  <si>
    <t>Фигурка Funko POP! Animation My Hero Academia Tenya Iida (Rburst) (1349) 67330</t>
  </si>
  <si>
    <t>Fun67330</t>
  </si>
  <si>
    <t>0889698673303</t>
  </si>
  <si>
    <t>Фигурка Funko POP! Animation My Hero Academia Yuga Aoyama (1144) 58040</t>
  </si>
  <si>
    <t>Fun58040</t>
  </si>
  <si>
    <t>0889698580403</t>
  </si>
  <si>
    <t>Фигурка Funko POP! Animation Naruto Shippuden Choji Akimichi (1510) 75534</t>
  </si>
  <si>
    <t>Fun75534</t>
  </si>
  <si>
    <t>0889698755344</t>
  </si>
  <si>
    <t>Фигурка Funko POP! Animation Naruto Shippuden Hashirama &amp; Tobirama (Exc) 2PK 63137</t>
  </si>
  <si>
    <t>Fun63137</t>
  </si>
  <si>
    <t>0889698631372</t>
  </si>
  <si>
    <t>9 / 20,6 / 16,2</t>
  </si>
  <si>
    <t>Фигурка Funko POP! Animation Naruto Shippuden Hidan w/Chase (1505) 75529</t>
  </si>
  <si>
    <t>Fun75529</t>
  </si>
  <si>
    <t>0889698755290</t>
  </si>
  <si>
    <t>Фигурка Funko POP! Animation Naruto Shippuden Hidan w/Jacket (Exc) (1576) 77158</t>
  </si>
  <si>
    <t>Fun77158</t>
  </si>
  <si>
    <t>0889698771580</t>
  </si>
  <si>
    <t>Фигурка Funko POP! Animation Naruto Shippuden Hinata Hyuga (1845) 83802</t>
  </si>
  <si>
    <t>Fun83802</t>
  </si>
  <si>
    <t>0889698838023</t>
  </si>
  <si>
    <t>Фигурка Funko POP! Animation Naruto Shippuden Ino Yamanaka (1506) 75528</t>
  </si>
  <si>
    <t>Fun75528</t>
  </si>
  <si>
    <t>0889698755283</t>
  </si>
  <si>
    <t>Фигурка Funko POP! Animation Naruto Shippuden Itachi Uchiha (Young) (1656) 80250</t>
  </si>
  <si>
    <t>Fun80250</t>
  </si>
  <si>
    <t>0889698802505</t>
  </si>
  <si>
    <t>Фигурка Funko POP! Animation Naruto Shippuden Izumo Kamizuki (1198) 58010</t>
  </si>
  <si>
    <t>Fun58010</t>
  </si>
  <si>
    <t>0889698580106</t>
  </si>
  <si>
    <t>Фигурка Funko POP! Animation Naruto Shippuden Kakuzu (Earth Grudge) (Exc) (1693) 76858</t>
  </si>
  <si>
    <t>Fun76858</t>
  </si>
  <si>
    <t>0889698768580</t>
  </si>
  <si>
    <t>Фигурка Funko POP! Animation Naruto Shippuden Kotetsu Hagane w/Weapon (1197) 58007</t>
  </si>
  <si>
    <t>Fun58007</t>
  </si>
  <si>
    <t>0889698580076</t>
  </si>
  <si>
    <t>Фигурка Funko POP! Animation Naruto Shippuden Naruto Uzumaki w/Kunai&amp;Shuriken w/(MT)Chase(1843)83804</t>
  </si>
  <si>
    <t>Fun83804</t>
  </si>
  <si>
    <t>0889698838047</t>
  </si>
  <si>
    <t>Фигурка Funko POP! Animation Naruto Shippuden Naruto Uzumaki(Kurama Link) w/GW Chase(Exc)(1465)71633</t>
  </si>
  <si>
    <t>Fun71633</t>
  </si>
  <si>
    <t>0889698716338</t>
  </si>
  <si>
    <t>Фигурка Funko POP! Animation Naruto Shippuden Obito Uchiha (Exc) (1400) 68270</t>
  </si>
  <si>
    <t>Fun68270</t>
  </si>
  <si>
    <t>0889698682701</t>
  </si>
  <si>
    <t>Фигурка Funko POP! Animation Naruto Shippuden Obito Uchiha (Kid) (1657) 80251</t>
  </si>
  <si>
    <t>Fun80251</t>
  </si>
  <si>
    <t>0889698802512</t>
  </si>
  <si>
    <t>Фигурка Funko POP! Animation Naruto Shippuden Rin Nohara (1658) 80252</t>
  </si>
  <si>
    <t>Fun80252</t>
  </si>
  <si>
    <t>0889698802529</t>
  </si>
  <si>
    <t>Фигурка Funko POP! Animation Naruto Shippuden Sai (1507) 75532</t>
  </si>
  <si>
    <t>Fun75532</t>
  </si>
  <si>
    <t>0889698755320</t>
  </si>
  <si>
    <t>Фигурка Funko POP! Animation Naruto Shippuden Sasuke Curse Mark (Exc) (455) 35525</t>
  </si>
  <si>
    <t>Fun25492098</t>
  </si>
  <si>
    <t>0889698355254</t>
  </si>
  <si>
    <t>Фигурка Funko POP! Animation Naruto Shippuden Sasuke Curse Mark 2 (Exc) (1664) 82166</t>
  </si>
  <si>
    <t>Fun82166</t>
  </si>
  <si>
    <t>0889698821667</t>
  </si>
  <si>
    <t>Фигурка Funko POP! Animation Naruto Shippuden Shino Aburame (1509) 75530</t>
  </si>
  <si>
    <t>Fun75530</t>
  </si>
  <si>
    <t>0889698755306</t>
  </si>
  <si>
    <t>Фигурка Funko POP! Animation Naruto Shippuden Shisui Uchiha (1659) 80253</t>
  </si>
  <si>
    <t>Fun80253</t>
  </si>
  <si>
    <t>0889698802536</t>
  </si>
  <si>
    <t>Фигурка Funko POP! Animation Naruto Shippuden Son Goku (Exc) 10" (1549) 76779</t>
  </si>
  <si>
    <t>Fun76779</t>
  </si>
  <si>
    <t>0889698767798</t>
  </si>
  <si>
    <t>Фигурка Funko POP! Animation Naruto Shippuden Temari (1660) 80254</t>
  </si>
  <si>
    <t>Fun80254</t>
  </si>
  <si>
    <t>0889698802543</t>
  </si>
  <si>
    <t>Фигурка Funko POP! Animation Naruto Shippuden Tenten (1661) 80255</t>
  </si>
  <si>
    <t>Fun80255</t>
  </si>
  <si>
    <t>0889698802550</t>
  </si>
  <si>
    <t>Фигурка Funko POP! Animation Naruto Shippuden Tsunade (Creation Rebirth) (Exc) (1257) 68854</t>
  </si>
  <si>
    <t>Fun68854</t>
  </si>
  <si>
    <t>0889698688543</t>
  </si>
  <si>
    <t>Фигурка Funko POP! Animation One Piece Arlong (Exc) (1779) 82761</t>
  </si>
  <si>
    <t>Fun82761</t>
  </si>
  <si>
    <t>0889698827614</t>
  </si>
  <si>
    <t>Фигурка Funko POP! Animation One Piece Bepo (FL) (Exc) (1896) 84987</t>
  </si>
  <si>
    <t>Fun84987</t>
  </si>
  <si>
    <t>0889698849876</t>
  </si>
  <si>
    <t>Фигурка Funko POP! Animation One Piece Boa Hancock (330) 23186</t>
  </si>
  <si>
    <t>Fun931</t>
  </si>
  <si>
    <t>0889698231862</t>
  </si>
  <si>
    <t>16 / 11,5 / 9,1</t>
  </si>
  <si>
    <t>Фигурка Funko POP! Animation One Piece Bonekichi (Brook) (924) 54463</t>
  </si>
  <si>
    <t>Fun25491585</t>
  </si>
  <si>
    <t>0889698544634</t>
  </si>
  <si>
    <t>Фигурка Funko POP! Animation One Piece Borsalino (Exc) (1786) 82836</t>
  </si>
  <si>
    <t>Fun82836</t>
  </si>
  <si>
    <t>0889698828369</t>
  </si>
  <si>
    <t>Фигурка Funko POP! Animation One Piece Buggy the Clown (Exc) (1276) 66428</t>
  </si>
  <si>
    <t>Fun66428</t>
  </si>
  <si>
    <t>0889698664288</t>
  </si>
  <si>
    <t>Фигурка Funko POP! Animation One Piece Buggy The Genius Jeaster (Exc) (1778) 82834</t>
  </si>
  <si>
    <t>Fun82834</t>
  </si>
  <si>
    <t>0889698828345</t>
  </si>
  <si>
    <t>Фигурка Funko POP! Animation One Piece Carrot (1588) 75578</t>
  </si>
  <si>
    <t>Fun75578</t>
  </si>
  <si>
    <t>0889698755788</t>
  </si>
  <si>
    <t>Фигурка Funko POP! Animation One Piece Chopperemon in Wano Outfit (FL) (Exc) (1471) 74712</t>
  </si>
  <si>
    <t>Fun74712</t>
  </si>
  <si>
    <t>0889698747127</t>
  </si>
  <si>
    <t>Фигурка Funko POP! Animation One Piece Crocodile (925) 54464</t>
  </si>
  <si>
    <t>Fun25491584</t>
  </si>
  <si>
    <t>0889698544641</t>
  </si>
  <si>
    <t>Фигурка Funko POP! Animation One Piece Dracule Mihawk (Exc) (1521) 77108</t>
  </si>
  <si>
    <t>Fun77108</t>
  </si>
  <si>
    <t>0889698771085</t>
  </si>
  <si>
    <t>Фигурка Funko POP! Animation One Piece Eustass Kidd w/Awakening (1932) 83807</t>
  </si>
  <si>
    <t>Fun83807</t>
  </si>
  <si>
    <t>0889698838078</t>
  </si>
  <si>
    <t>Фигурка Funko POP! Animation One Piece Franky (329) 23193</t>
  </si>
  <si>
    <t>Fun932</t>
  </si>
  <si>
    <t>0889698231930</t>
  </si>
  <si>
    <t>Фигурка Funko POP! Animation One Piece Franosuke in Wano Outfit 6" (1476) 72111</t>
  </si>
  <si>
    <t>Fun72111</t>
  </si>
  <si>
    <t>0889698721110</t>
  </si>
  <si>
    <t>20,3 / 16,5 / 14</t>
  </si>
  <si>
    <t>Фигурка Funko POP! Animation One Piece General Franky w/(GW)Chase (Exc) (1776) 82823</t>
  </si>
  <si>
    <t>Fun82823</t>
  </si>
  <si>
    <t>0889698828239</t>
  </si>
  <si>
    <t>Фигурка Funko POP! Animation One Piece Killer (Exc) (1895) 84907</t>
  </si>
  <si>
    <t>Fun84907</t>
  </si>
  <si>
    <t>0889698849074</t>
  </si>
  <si>
    <t>Фигурка Funko POP! Animation One Piece Luffy Gear Five (Exc) (1621) 82122</t>
  </si>
  <si>
    <t>Fun82122</t>
  </si>
  <si>
    <t>0889698821223</t>
  </si>
  <si>
    <t>Фигурка Funko POP! Animation One Piece Luffy Gear Two w/Chase (Exc) (1269) 62646</t>
  </si>
  <si>
    <t>Fun62646</t>
  </si>
  <si>
    <t>0889698626460</t>
  </si>
  <si>
    <t>Фигурка Funko POP! Animation One Piece Luffy in Kimono (MT) (Exc) (921) 54532</t>
  </si>
  <si>
    <t>Fun25491099</t>
  </si>
  <si>
    <t>0889698545327</t>
  </si>
  <si>
    <t>Фигурка Funko POP! Animation One Piece Monkey D. Luffy with Meat (1771) 80365</t>
  </si>
  <si>
    <t>Fun80365</t>
  </si>
  <si>
    <t>0889698803656</t>
  </si>
  <si>
    <t>Фигурка Funko POP! Animation One Piece Nami (328) 23194</t>
  </si>
  <si>
    <t>Fun933</t>
  </si>
  <si>
    <t>0889698231947</t>
  </si>
  <si>
    <t>Фигурка Funko POP! Animation One Piece Nami (Crying) (1772) 80366</t>
  </si>
  <si>
    <t>Fun80366</t>
  </si>
  <si>
    <t>0889698803663</t>
  </si>
  <si>
    <t>Фигурка Funko POP! Animation One Piece Oden (Exc) (1275) 63215</t>
  </si>
  <si>
    <t>Fun63215</t>
  </si>
  <si>
    <t>0889698632157</t>
  </si>
  <si>
    <t>Фигурка Funko POP! Animation One Piece Onami in Wano Outfit (1472) 72107</t>
  </si>
  <si>
    <t>Fun72107</t>
  </si>
  <si>
    <t>0889698721073</t>
  </si>
  <si>
    <t>Фигурка Funko POP! Animation One Piece Orobi in Wano Outfit (1475) 72110</t>
  </si>
  <si>
    <t>Fun72110</t>
  </si>
  <si>
    <t>0889698721103</t>
  </si>
  <si>
    <t>Фигурка Funko POP! Animation One Piece Portgas D. Ace (100) 6358</t>
  </si>
  <si>
    <t>Fun281</t>
  </si>
  <si>
    <t>0849803063580</t>
  </si>
  <si>
    <t>Фигурка Funko POP! Animation One Piece Roronoa Zoro (327) 23191</t>
  </si>
  <si>
    <t>Fun934</t>
  </si>
  <si>
    <t>0889698231916</t>
  </si>
  <si>
    <t>Фигурка Funko POP! Animation One Piece Roronoa Zoro w/Chase (1775) 80369</t>
  </si>
  <si>
    <t>Fun80369</t>
  </si>
  <si>
    <t>0889698803694</t>
  </si>
  <si>
    <t>Фигурка Funko POP! Animation One Piece S3 Nico Robin (399) 32716</t>
  </si>
  <si>
    <t>Fun1711</t>
  </si>
  <si>
    <t>0889698327169</t>
  </si>
  <si>
    <t>Фигурка Funko POP! Animation One Piece S3 Usopp (401) 32717</t>
  </si>
  <si>
    <t>Fun1713</t>
  </si>
  <si>
    <t>0889698327176</t>
  </si>
  <si>
    <t>Фигурка Funko POP! Animation One Piece S3 Vinsmoke Sanji (398) 32715</t>
  </si>
  <si>
    <t>Fun1712</t>
  </si>
  <si>
    <t>0889698327152</t>
  </si>
  <si>
    <t>Фигурка Funko POP! Animation One Piece Sakazuki (Exc) (1913) 84953</t>
  </si>
  <si>
    <t>Fun84953</t>
  </si>
  <si>
    <t>0889698849531</t>
  </si>
  <si>
    <t>Фигурка Funko POP! Animation One Piece Sangoro in Wano Outfit (1473) 72108</t>
  </si>
  <si>
    <t>Fun72108</t>
  </si>
  <si>
    <t>0889698721080</t>
  </si>
  <si>
    <t>Фигурка Funko POP! Animation One Piece Sanji in Love (1773) 80367</t>
  </si>
  <si>
    <t>Fun80367</t>
  </si>
  <si>
    <t>0889698803670</t>
  </si>
  <si>
    <t>Фигурка Funko POP! Animation One Piece Snake-Man Luffy (1266) 61368</t>
  </si>
  <si>
    <t>Fun61368</t>
  </si>
  <si>
    <t>0889698613682</t>
  </si>
  <si>
    <t>Фигурка Funko POP! Animation One Piece Sniper King w/Chase (Exc) (1514) 76913</t>
  </si>
  <si>
    <t>Fun76913</t>
  </si>
  <si>
    <t>0889698769136</t>
  </si>
  <si>
    <t>Фигурка Funko POP! Animation One Piece Tony Tony Chopper (99) 5304</t>
  </si>
  <si>
    <t>Fun282</t>
  </si>
  <si>
    <t>0849803053048</t>
  </si>
  <si>
    <t>Фигурка Funko POP! Animation One Piece Tony Tony Chopper (FL) (Exc) (99) 10425</t>
  </si>
  <si>
    <t>Fun10425</t>
  </si>
  <si>
    <t>0889698104258</t>
  </si>
  <si>
    <t>Фигурка Funko POP! Animation One Piece Trafalgar Law w/Blue Anesthesia (1894) 83809</t>
  </si>
  <si>
    <t>Fun83809</t>
  </si>
  <si>
    <t>0889698838092</t>
  </si>
  <si>
    <t>Фигурка Funko POP! Animation One Piece Trafalgar Law w/Blue Anesthesia (GW) (Exc) (1894) 84975</t>
  </si>
  <si>
    <t>Fun84975</t>
  </si>
  <si>
    <t>0889698849753</t>
  </si>
  <si>
    <t>Фигурка Funko POP! Animation One Piece Usohachi in Wano Outfit (1474) 72109</t>
  </si>
  <si>
    <t>Fun72109</t>
  </si>
  <si>
    <t>0889698721097</t>
  </si>
  <si>
    <t>Фигурка Funko POP! Animation One Piece Usopp with Rubber Band (1774) 80368</t>
  </si>
  <si>
    <t>Fun80368</t>
  </si>
  <si>
    <t>0889698803687</t>
  </si>
  <si>
    <t>Фигурка Funko POP! Animation One Piece Vinsmoke Reiju LCC24 (Exc) (1741) 79394</t>
  </si>
  <si>
    <t>Fun79394</t>
  </si>
  <si>
    <t>0889698793940</t>
  </si>
  <si>
    <t>Фигурка Funko POP! Animation Rick &amp; Morty Pickle Rick with Laser (332) 27862</t>
  </si>
  <si>
    <t>Fun841</t>
  </si>
  <si>
    <t>0889698278621</t>
  </si>
  <si>
    <t>Рик и Морти</t>
  </si>
  <si>
    <t>Фигурка Funko POP! Animation Rick &amp; Morty Rick (112) 9015</t>
  </si>
  <si>
    <t>Fun843</t>
  </si>
  <si>
    <t>0849803090159</t>
  </si>
  <si>
    <t>Фигурка Funko POP! Animation Rick &amp; Morty Rick w/ Glorzo (956) 55250</t>
  </si>
  <si>
    <t>Fun25491082</t>
  </si>
  <si>
    <t>0889698552509</t>
  </si>
  <si>
    <t>Фигурка Funko POP! Animation Rick &amp; Morty Weaponized Rick w/Chase (172) 12439</t>
  </si>
  <si>
    <t>Fun290</t>
  </si>
  <si>
    <t>0889698124393</t>
  </si>
  <si>
    <t>Фигурка Funko POP! Animation Saint Seiya Gold Libra Shiryu (1424) 72060</t>
  </si>
  <si>
    <t>Fun72060</t>
  </si>
  <si>
    <t>0889698720601</t>
  </si>
  <si>
    <t>Saint Seiya</t>
  </si>
  <si>
    <t>Фигурка Funko POP! Animation Saint Seiya Leo Ikki (Gold) (1427) 72059</t>
  </si>
  <si>
    <t>Fun72059</t>
  </si>
  <si>
    <t>0889698720595</t>
  </si>
  <si>
    <t>Фигурка Funko POP! Animation Samurai Jack Ashi (1053) 49277</t>
  </si>
  <si>
    <t>Fun25493076</t>
  </si>
  <si>
    <t>0889698492775</t>
  </si>
  <si>
    <t>Samurai Jack</t>
  </si>
  <si>
    <t>15,8 / 11,4 / 8,6</t>
  </si>
  <si>
    <t>Фигурка Funko POP! Animation Samurai Jack Da Samurai (1054) 57372</t>
  </si>
  <si>
    <t>Fun25493078</t>
  </si>
  <si>
    <t>0889698573726</t>
  </si>
  <si>
    <t>Фигурка Funko POP! Animation Samurai Jack Mad Jack (1781) 83466</t>
  </si>
  <si>
    <t>Fun83466</t>
  </si>
  <si>
    <t>0889698834667</t>
  </si>
  <si>
    <t>Фигурка Funko POP! Animation Scooby-Doo 50th Anniversary Scooby-Doo w/ Sandwich (625) 39947</t>
  </si>
  <si>
    <t>Fun2397</t>
  </si>
  <si>
    <t>0889698399470</t>
  </si>
  <si>
    <t>Scooby Doo</t>
  </si>
  <si>
    <t>16,2 / 11,5 / 8,9</t>
  </si>
  <si>
    <t>Фигурка Funko POP! Animation Seven Deadly Sins Estarossa (1500) 75536</t>
  </si>
  <si>
    <t>Fun75536</t>
  </si>
  <si>
    <t>0889698755368</t>
  </si>
  <si>
    <t>Фигурка Funko POP! Animation Seven Deadly Sins Gowther (1498) 75537</t>
  </si>
  <si>
    <t>Fun75537</t>
  </si>
  <si>
    <t>0889698755375</t>
  </si>
  <si>
    <t>Фигурка Funko POP! Animation Seven Deadly Sins Meliodas Full Counter Pose (1340) 61384</t>
  </si>
  <si>
    <t>Fun61384</t>
  </si>
  <si>
    <t>0889698613842</t>
  </si>
  <si>
    <t>Фигурка Funko POP! Animation Seven Deadly Sins Merlin (1499) 75538</t>
  </si>
  <si>
    <t>Fun75538</t>
  </si>
  <si>
    <t>0889698755382</t>
  </si>
  <si>
    <t>Фигурка Funko POP! Animation Seven Deadly Sins Zeldris (1501) 75539</t>
  </si>
  <si>
    <t>Fun75539</t>
  </si>
  <si>
    <t>0889698755399</t>
  </si>
  <si>
    <t>Фигурка Funko POP! Animation She-Ra Princess of Power 40Th She-Ra &amp; Kowl (1800) 83499</t>
  </si>
  <si>
    <t>Fun83499</t>
  </si>
  <si>
    <t>0889698834995</t>
  </si>
  <si>
    <t>Ши-Ра и непобедимые принцессы</t>
  </si>
  <si>
    <t>Фигурка Funko POP! Animation Simpsons S3 King Homer (822) 39724</t>
  </si>
  <si>
    <t>Fun2495</t>
  </si>
  <si>
    <t>0889698397247</t>
  </si>
  <si>
    <t>Фигурка Funko POP! Animation Skibidi Toilet Skibidi Toilet (1957) 88836</t>
  </si>
  <si>
    <t>Fun88836</t>
  </si>
  <si>
    <t>0889698888363</t>
  </si>
  <si>
    <t>Скибиди</t>
  </si>
  <si>
    <t>Фигурка Funko POP! Animation Spongebob SquarePants 25th Doodlebob (1670) 75733</t>
  </si>
  <si>
    <t>Fun75733</t>
  </si>
  <si>
    <t>0889698757331</t>
  </si>
  <si>
    <t>Губка Боб квадратные штаны</t>
  </si>
  <si>
    <t>Фигурка Funko POP! Animation Spongebob SquarePants 25th Krusty Krab Pizza Spongebob (1667) 75738</t>
  </si>
  <si>
    <t>Fun75738</t>
  </si>
  <si>
    <t>0889698757386</t>
  </si>
  <si>
    <t>Фигурка Funko POP! Animation Spy x Family Anya Forger (1949) 86528</t>
  </si>
  <si>
    <t>Fun86528</t>
  </si>
  <si>
    <t>0889698865289</t>
  </si>
  <si>
    <t>Фигурка Funko POP! Animation Spy x Family Loid Forger (1948) 86529</t>
  </si>
  <si>
    <t>Fun86529</t>
  </si>
  <si>
    <t>0889698865296</t>
  </si>
  <si>
    <t>Фигурка Funko POP! Animation Spy x Family Yor Forger (1950) 86530</t>
  </si>
  <si>
    <t>Fun86530</t>
  </si>
  <si>
    <t>0889698865302</t>
  </si>
  <si>
    <t>15,9 / 11,4 / 8,9</t>
  </si>
  <si>
    <t>Фигурка Funko POP! Animation The Grim Adventures of Billy &amp; Mandy Billy (1911) 83532</t>
  </si>
  <si>
    <t>Fun83532</t>
  </si>
  <si>
    <t>0889698835329</t>
  </si>
  <si>
    <t>Фигурка Funko POP! Animation The Grim Adventures of Billy &amp; Mandy Grim (1910) 83533</t>
  </si>
  <si>
    <t>Fun83533</t>
  </si>
  <si>
    <t>0889698835336</t>
  </si>
  <si>
    <t>Фигурка Funko POP! Animation The Grim Adventures of Billy &amp; Mandy Mandy (1912) 83534</t>
  </si>
  <si>
    <t>Fun83534</t>
  </si>
  <si>
    <t>0889698835343</t>
  </si>
  <si>
    <t>Фигурка Funko POP! Animation The Real Ghostbusters Egon Spengler (1783) 83474</t>
  </si>
  <si>
    <t>Fun83474</t>
  </si>
  <si>
    <t>0889698834742</t>
  </si>
  <si>
    <t>Фигурка Funko POP! Animation The Real Ghostbusters Ray Stantz​ (1784) 83475</t>
  </si>
  <si>
    <t>Fun83475</t>
  </si>
  <si>
    <t>0889698834759</t>
  </si>
  <si>
    <t>Фигурка Funko POP! Animation The Real Ghostbusters Venkman w/Slimer (1785) 83476</t>
  </si>
  <si>
    <t>Fun83476</t>
  </si>
  <si>
    <t>0889698834766</t>
  </si>
  <si>
    <t>Фигурка Funko POP! Animation The Real Ghostbusters Winston Zeddemore (1782) 83473</t>
  </si>
  <si>
    <t>Fun83473</t>
  </si>
  <si>
    <t>0889698834735</t>
  </si>
  <si>
    <t>Фигурка Funko POP! Animation Trigun Descartes (Exc) 6" (1368) 71864</t>
  </si>
  <si>
    <t>Fun71864</t>
  </si>
  <si>
    <t>0889698718646</t>
  </si>
  <si>
    <t>13,9 / 16,6 / 20,5</t>
  </si>
  <si>
    <t>Фигурка Funko POP! Animation Trigun Legato Bluesummers (1557) 75549</t>
  </si>
  <si>
    <t>Fun75549</t>
  </si>
  <si>
    <t>0889698755498</t>
  </si>
  <si>
    <t>Фигурка Funko POP! Animation Trigun Vash the Stampede Shirtless (Exc) (1562) 77620</t>
  </si>
  <si>
    <t>Fun77620</t>
  </si>
  <si>
    <t>0889698776202</t>
  </si>
  <si>
    <t>Фигурка Funko POP! Animation Yu-Gi-Oh! Blue-Eyes Toon Dragon Attack 6" (GW) (Exc) (1478) 74713</t>
  </si>
  <si>
    <t>Fun74713</t>
  </si>
  <si>
    <t>0889698747134</t>
  </si>
  <si>
    <t>20,2 / 14 / 14</t>
  </si>
  <si>
    <t>Фигурка Funko POP! Animation Yu-Gi-Oh! Chazz Princeton (1602) 75602</t>
  </si>
  <si>
    <t>Fun75602</t>
  </si>
  <si>
    <t>0889698756020</t>
  </si>
  <si>
    <t>Yu-Gi-Oh!</t>
  </si>
  <si>
    <t>Фигурка Funko POP! Animation Yu-Gi-Oh! Cyber End Dragon 6" (Exc) (1457) 74605</t>
  </si>
  <si>
    <t>Fun74605</t>
  </si>
  <si>
    <t>0889698746052</t>
  </si>
  <si>
    <t>20,4 / 16,5 / 14</t>
  </si>
  <si>
    <t>Фигурка Funko POP! Animation Yu-Gi-Oh! Harpie's Pet Dragon 10" (1415) 73629</t>
  </si>
  <si>
    <t>Fun73629</t>
  </si>
  <si>
    <t>0889698736299</t>
  </si>
  <si>
    <t>21 / 30,4 / 33,2</t>
  </si>
  <si>
    <t>Фигурка Funko POP! Animation Yu-Gi-Oh! Jaden Yuki (1603) 76528</t>
  </si>
  <si>
    <t>Fun76528</t>
  </si>
  <si>
    <t>0889698765282</t>
  </si>
  <si>
    <t>16 / 11,4 / 8,6</t>
  </si>
  <si>
    <t>Фигурка Funko POP! Animation Yu-Gi-Oh! Ojama Yellow (1600) 76529</t>
  </si>
  <si>
    <t>Fun76529</t>
  </si>
  <si>
    <t>0889698765299</t>
  </si>
  <si>
    <t>Фигурка Funko POP! Animation Yu-Gi-Oh! Seto Kaiba (1453) 72064</t>
  </si>
  <si>
    <t>Fun72064</t>
  </si>
  <si>
    <t>0889698720649</t>
  </si>
  <si>
    <t>Фигурка Funko POP! Animation Yu-Gi-Oh! Winged Kuriboh (1601) 76530</t>
  </si>
  <si>
    <t>Fun76530</t>
  </si>
  <si>
    <t>0889698765305</t>
  </si>
  <si>
    <t>Фигурка Funko POP! Bobble Marvel Agatha All Along Agatha Harkness (1471) 75708</t>
  </si>
  <si>
    <t>Fun75708</t>
  </si>
  <si>
    <t>0889698757089</t>
  </si>
  <si>
    <t>Это всё Агата</t>
  </si>
  <si>
    <t>Фигурка Funko POP! Bobble Marvel Agatha All Along Death (1472) 75709</t>
  </si>
  <si>
    <t>Fun75709</t>
  </si>
  <si>
    <t>0889698757096</t>
  </si>
  <si>
    <t>Фигурка Funko POP! Bobble Marvel Agatha All Along Wiccan (1473) 75710</t>
  </si>
  <si>
    <t>Fun75710</t>
  </si>
  <si>
    <t>0889698757102</t>
  </si>
  <si>
    <t>Фигурка Funko POP! Bobble Marvel Amazing Spider-Man (1977) (Exc) (1452) 84526</t>
  </si>
  <si>
    <t>Fun84526</t>
  </si>
  <si>
    <t>0889698845267</t>
  </si>
  <si>
    <t>Фигурка Funko POP! Bobble Marvel Animated Spider-Man Spider-Man (Exc) (956) 58871</t>
  </si>
  <si>
    <t>Fun25491941</t>
  </si>
  <si>
    <t>0889698588713</t>
  </si>
  <si>
    <t>Фигурка Funko POP! Bobble Marvel Avengers Endgame Captain America w/Broken Shield&amp;Mjolnir (573)45137</t>
  </si>
  <si>
    <t>Fun2549140</t>
  </si>
  <si>
    <t>0889698451376</t>
  </si>
  <si>
    <t>Фигурка Funko POP! Bobble Marvel Avengers Endgame Hulk (451) 36659</t>
  </si>
  <si>
    <t>Fun1976</t>
  </si>
  <si>
    <t>Распродажа!</t>
  </si>
  <si>
    <t>0889698366595</t>
  </si>
  <si>
    <t>Фигурка Funko POP! Bobble Marvel Avengers Infinity War Captain America (288) 26466</t>
  </si>
  <si>
    <t>Fun794</t>
  </si>
  <si>
    <t>0889698264662</t>
  </si>
  <si>
    <t>Фигурка Funko POP! Bobble Marvel Avengers Infinity War Iron Man (285) 26463</t>
  </si>
  <si>
    <t>Fun787</t>
  </si>
  <si>
    <t>0889698264631</t>
  </si>
  <si>
    <t>Фигурка Funko POP! Bobble Marvel Avengers Infinity War Iron Spider (287) 26465</t>
  </si>
  <si>
    <t>Fun793</t>
  </si>
  <si>
    <t>0889698264655</t>
  </si>
  <si>
    <t>Фигурка Funko POP! Bobble Marvel Captain America BNW Captain America (1364) 75990</t>
  </si>
  <si>
    <t>Fun75990</t>
  </si>
  <si>
    <t>0889698759908</t>
  </si>
  <si>
    <t>Фигурка Funko POP! Bobble Marvel Captain America BNW Captain America (Exc) (1381) 77597</t>
  </si>
  <si>
    <t>Fun77597</t>
  </si>
  <si>
    <t>0889698775977</t>
  </si>
  <si>
    <t>Фигурка Funko POP! Bobble Marvel Captain America BNW Captain America (Retro Comic)(Exc) (1337) 77488</t>
  </si>
  <si>
    <t>Fun77488</t>
  </si>
  <si>
    <t>0889698774888</t>
  </si>
  <si>
    <t>Фигурка Funko POP! Bobble Marvel Captain America BNW Falcon (1365) 75991</t>
  </si>
  <si>
    <t>Fun75991</t>
  </si>
  <si>
    <t>0889698759915</t>
  </si>
  <si>
    <t>Фигурка Funko POP! Bobble Marvel Captain America BNW Falcon (Retro Comic Deco) (Exc) (1339) 77490</t>
  </si>
  <si>
    <t>Fun77490</t>
  </si>
  <si>
    <t>0889698774901</t>
  </si>
  <si>
    <t>Фигурка Funko POP! Bobble Marvel Captain America BNW Red Hulk (Retro Comic Deco) (Exc) (1338) 77489</t>
  </si>
  <si>
    <t>Fun77489</t>
  </si>
  <si>
    <t>0889698774895</t>
  </si>
  <si>
    <t>Фигурка Funko POP! Bobble Marvel Captain America BNW Red Hulk 6" (1366) 75994</t>
  </si>
  <si>
    <t>Fun75994</t>
  </si>
  <si>
    <t>0889698759946</t>
  </si>
  <si>
    <t>20,1 / 16,5 / 14</t>
  </si>
  <si>
    <t>Фигурка Funko POP! Bobble Marvel Captain America BNW Ruth Bat-Seraph (1367) 75992</t>
  </si>
  <si>
    <t>Fun75992</t>
  </si>
  <si>
    <t>0889698759922</t>
  </si>
  <si>
    <t>Фигурка Funko POP! Bobble Marvel Captain America BNW Thaddeus Ross (Exc) (1382) 78569</t>
  </si>
  <si>
    <t>Fun78569</t>
  </si>
  <si>
    <t>0889698785693</t>
  </si>
  <si>
    <t>Фигурка Funko POP! Bobble Marvel Captain America BNW The Leader (1368) 75993</t>
  </si>
  <si>
    <t>Fun75993</t>
  </si>
  <si>
    <t>0889698759939</t>
  </si>
  <si>
    <t>Фигурка Funko POP! Bobble Marvel Captain America Civil War Captain America (125) 7223</t>
  </si>
  <si>
    <t>Fun2549730</t>
  </si>
  <si>
    <t>0849803072230</t>
  </si>
  <si>
    <t>Фигурка Funko POP! Bobble Marvel Carnage Black Panther (1434) 82643</t>
  </si>
  <si>
    <t>Fun82643</t>
  </si>
  <si>
    <t>0889698826433</t>
  </si>
  <si>
    <t>Чёрная Пантера</t>
  </si>
  <si>
    <t>Фигурка Funko POP! Bobble Marvel Carnage Captain America (1436) 82644</t>
  </si>
  <si>
    <t>Fun82644</t>
  </si>
  <si>
    <t>0889698826440</t>
  </si>
  <si>
    <t>Фигурка Funko POP! Bobble Marvel Carnage Ghost Spider (1435) 82645</t>
  </si>
  <si>
    <t>Fun82645</t>
  </si>
  <si>
    <t>0889698826457</t>
  </si>
  <si>
    <t>Фигурка Funko POP! Bobble Marvel Carnage Iron Man (1437) 82646</t>
  </si>
  <si>
    <t>Fun82646</t>
  </si>
  <si>
    <t>0889698826464</t>
  </si>
  <si>
    <t>Фигурка Funko POP! Bobble Marvel Comics Bruce Banner (Don't Make me Angry) (1417) 82766</t>
  </si>
  <si>
    <t>Fun82766</t>
  </si>
  <si>
    <t>0889698827669</t>
  </si>
  <si>
    <t>Hulk</t>
  </si>
  <si>
    <t>Фигурка Funko POP! Bobble Marvel Comics Chasm (1446) 83751</t>
  </si>
  <si>
    <t>Fun83751</t>
  </si>
  <si>
    <t>0889698837514</t>
  </si>
  <si>
    <t>Фигурка Funko POP! Bobble Marvel Comics Miles Morales Iron Spider w/Chase (1448) 83753</t>
  </si>
  <si>
    <t>Fun83753</t>
  </si>
  <si>
    <t>0889698837538</t>
  </si>
  <si>
    <t>Фигурка Funko POP! Bobble Marvel Comics Scarlet Spider (Kaine) (1447) 83752</t>
  </si>
  <si>
    <t>Fun83752</t>
  </si>
  <si>
    <t>0889698837521</t>
  </si>
  <si>
    <t>Фигурка Funko POP! Bobble Marvel Comics Spider-Man (Fear Itself Suit) (GW) (1445) 83750</t>
  </si>
  <si>
    <t>Fun83750</t>
  </si>
  <si>
    <t>0889698837507</t>
  </si>
  <si>
    <t>Фигурка Funko POP! Bobble Marvel Comics Symbiote Suit Spider-Man (1444) 83749</t>
  </si>
  <si>
    <t>Fun83749</t>
  </si>
  <si>
    <t>0889698837491</t>
  </si>
  <si>
    <t>Фигурка Funko POP! Bobble Marvel Daredevil 60th Daredevil (Facet) (1386)​ 81049</t>
  </si>
  <si>
    <t>Fun81049</t>
  </si>
  <si>
    <t>0889698810494</t>
  </si>
  <si>
    <t>Сорвиголова</t>
  </si>
  <si>
    <t>Фигурка Funko POP! Bobble Marvel Daredevil Classic (BLKLT) (Exc) (1360) 77545</t>
  </si>
  <si>
    <t>Fun77545</t>
  </si>
  <si>
    <t>0889698775458</t>
  </si>
  <si>
    <t>Фигурка Funko POP! Bobble Marvel Daredevil First Appearance Yellow/Red (BLKLT) (Exc) 10" (1358)77543</t>
  </si>
  <si>
    <t>Fun77543</t>
  </si>
  <si>
    <t>0889698775434</t>
  </si>
  <si>
    <t>Фигурка Funko POP! Bobble Marvel Deadpool 3 Blade (1495) 84847</t>
  </si>
  <si>
    <t>Fun84847</t>
  </si>
  <si>
    <t>0889698848473</t>
  </si>
  <si>
    <t>Фигурка Funko POP! Bobble Marvel Deadpool 3 Deadpool (1362) 79766</t>
  </si>
  <si>
    <t>Fun79766</t>
  </si>
  <si>
    <t>0889698797665</t>
  </si>
  <si>
    <t>Фигурка Funko POP! Bobble Marvel Deadpool 3 Deadpool with Headpool (1400) 79768</t>
  </si>
  <si>
    <t>Fun79768</t>
  </si>
  <si>
    <t>0889698797689</t>
  </si>
  <si>
    <t>Фигурка Funko POP! Bobble Marvel Deadpool 3 Dogpool (1401) 79769</t>
  </si>
  <si>
    <t>Fun79769</t>
  </si>
  <si>
    <t>0889698797696</t>
  </si>
  <si>
    <t>Фигурка Funko POP! Bobble Marvel Deadpool 3 Gambit (1496) 84848</t>
  </si>
  <si>
    <t>Fun84848</t>
  </si>
  <si>
    <t>0889698848480</t>
  </si>
  <si>
    <t>Фигурка Funko POP! Bobble Marvel Deadpool 3 Kidpool (1402) 82381</t>
  </si>
  <si>
    <t>Fun82381</t>
  </si>
  <si>
    <t>0889698823814</t>
  </si>
  <si>
    <t>Фигурка Funko POP! Bobble Marvel Deadpool 3 Ladypool (1404) 85074</t>
  </si>
  <si>
    <t>Fun85074</t>
  </si>
  <si>
    <t>0889698850742</t>
  </si>
  <si>
    <t>Фигурка Funko POP! Bobble Marvel Deadpool 3 Wade Wilson (Exc) (1470) 84906</t>
  </si>
  <si>
    <t>Fun84906</t>
  </si>
  <si>
    <t>0889698849067</t>
  </si>
  <si>
    <t>Фигурка Funko POP! Bobble Marvel Deadpool 3 Wolverine (1363) 79767</t>
  </si>
  <si>
    <t>Fun79767</t>
  </si>
  <si>
    <t>0889698797672</t>
  </si>
  <si>
    <t>Фигурка Funko POP! Bobble Marvel Deadpool 3 Wolverine with Babypool (1403) 82382</t>
  </si>
  <si>
    <t>Fun82382</t>
  </si>
  <si>
    <t>0889698823821</t>
  </si>
  <si>
    <t>Фигурка Funko POP! Bobble Marvel Deadpool 3 X-23 (1497) 84849</t>
  </si>
  <si>
    <t>Fun84849</t>
  </si>
  <si>
    <t>0889698848497</t>
  </si>
  <si>
    <t>Фигурка Funko POP! Bobble Marvel Deadpool Beauty Pageant Deadpool (1340) 76075</t>
  </si>
  <si>
    <t>Fun76075</t>
  </si>
  <si>
    <t>0889698760751</t>
  </si>
  <si>
    <t>Фигурка Funko POP! Bobble Marvel Deadpool Bowling Deadpool (1342) 76077</t>
  </si>
  <si>
    <t>Fun76077</t>
  </si>
  <si>
    <t>0889698760775</t>
  </si>
  <si>
    <t>Фигурка Funko POP! Bobble Marvel Deadpool Lederhosen Deadpool (1341) 76076</t>
  </si>
  <si>
    <t>Fun76076</t>
  </si>
  <si>
    <t>0889698760768</t>
  </si>
  <si>
    <t>Фигурка Funko POP! Bobble Marvel Deadpool Park Ranger Deadpool (Exc) (1347) 77630</t>
  </si>
  <si>
    <t>Fun77630</t>
  </si>
  <si>
    <t>0889698776301</t>
  </si>
  <si>
    <t>Фигурка Funko POP! Bobble Marvel Deadpool Sleepover Deadpool (1344) 76079</t>
  </si>
  <si>
    <t>Fun76079</t>
  </si>
  <si>
    <t>0889698760799</t>
  </si>
  <si>
    <t>Фигурка Funko POP! Bobble Marvel Deadpool Tourist Deadpool (1345) 76080</t>
  </si>
  <si>
    <t>Fun76080</t>
  </si>
  <si>
    <t>0889698760805</t>
  </si>
  <si>
    <t>Фигурка Funko POP! Bobble Marvel Deadpool Two Swords (111) 7486</t>
  </si>
  <si>
    <t>Fun1139</t>
  </si>
  <si>
    <t>0849803074869</t>
  </si>
  <si>
    <t>Фигурка Funko POP! Bobble Marvel Doctor Strange in the MoM America Chavez (1002) 60920</t>
  </si>
  <si>
    <t>Fun60920</t>
  </si>
  <si>
    <t>0889698609203</t>
  </si>
  <si>
    <t>Доктор Стрэндж</t>
  </si>
  <si>
    <t>Фигурка Funko POP! Bobble Marvel Doctor Strange in the MoM Wanda Earth-838 (GW) (Exc) (1216) 71062</t>
  </si>
  <si>
    <t>Fun71062</t>
  </si>
  <si>
    <t>0889698710626</t>
  </si>
  <si>
    <t>Фигурка Funko POP! Bobble Marvel Echo Echo (1335) 70666</t>
  </si>
  <si>
    <t>Fun70666</t>
  </si>
  <si>
    <t>0889698706667</t>
  </si>
  <si>
    <t>Эхо</t>
  </si>
  <si>
    <t>Фигурка Funko POP! Bobble Marvel Echo Kingpin (1336) 70668</t>
  </si>
  <si>
    <t>Fun70668</t>
  </si>
  <si>
    <t>0889698706681</t>
  </si>
  <si>
    <t>Фигурка Funko POP! Bobble Marvel Eternals Sprite (732) 49712</t>
  </si>
  <si>
    <t>Fun25491960</t>
  </si>
  <si>
    <t>0889698497121</t>
  </si>
  <si>
    <t>Вечные</t>
  </si>
  <si>
    <t>Фигурка Funko POP! Bobble Marvel Fantastic Four Doctor Doom (561) 44991</t>
  </si>
  <si>
    <t>Fun2549205</t>
  </si>
  <si>
    <t>0889698449915</t>
  </si>
  <si>
    <t>Фантастическая четверка</t>
  </si>
  <si>
    <t>16 / 11,2 / 8,9</t>
  </si>
  <si>
    <t>Фигурка Funko POP! Bobble Marvel Fantastic Four FF Human Torch (1517) 83586</t>
  </si>
  <si>
    <t>Fun83586</t>
  </si>
  <si>
    <t>0889698835862</t>
  </si>
  <si>
    <t>Фигурка Funko POP! Bobble Marvel Fantastic Four FF Human Torch (Exc) (1521) 85358</t>
  </si>
  <si>
    <t>Fun85358</t>
  </si>
  <si>
    <t>0889698853583</t>
  </si>
  <si>
    <t>Фигурка Funko POP! Bobble Marvel Fantastic Four FF Invisible Woman &amp; Franklin (1514) 83583</t>
  </si>
  <si>
    <t>Fun83583</t>
  </si>
  <si>
    <t>0889698835831</t>
  </si>
  <si>
    <t>Фигурка Funko POP! Bobble Marvel Fantastic Four FF Invisible Woman (Exc) (1522) 85359</t>
  </si>
  <si>
    <t>Fun85359</t>
  </si>
  <si>
    <t>0889698853590</t>
  </si>
  <si>
    <t>Фигурка Funko POP! Bobble Marvel Fantastic Four FF Mister Fantastic (1515) 83584</t>
  </si>
  <si>
    <t>Fun83584</t>
  </si>
  <si>
    <t>0889698835848</t>
  </si>
  <si>
    <t>Фигурка Funko POP! Bobble Marvel Fantastic Four FF Mister Fantastic (Exc) (1520) 85357</t>
  </si>
  <si>
    <t>Fun85357</t>
  </si>
  <si>
    <t>0889698853576</t>
  </si>
  <si>
    <t>Фигурка Funko POP! Bobble Marvel Fantastic Four FF Silver Surfer (1518) 83587</t>
  </si>
  <si>
    <t>Fun83587</t>
  </si>
  <si>
    <t>0889698835879</t>
  </si>
  <si>
    <t>Фигурка Funko POP! Bobble Marvel Fantastic Four FF The Thing (1516) 83585</t>
  </si>
  <si>
    <t>Fun83585</t>
  </si>
  <si>
    <t>0889698835855</t>
  </si>
  <si>
    <t>Фигурка Funko POP! Bobble Marvel Fantastic Four FF The Thing (Exc) (1523) 85360</t>
  </si>
  <si>
    <t>Fun85360</t>
  </si>
  <si>
    <t>0889698853606</t>
  </si>
  <si>
    <t>Фигурка Funko POP! Bobble Marvel Fantastic Four FF The Thing (Trench Coat) (Exc) (1524) 84911</t>
  </si>
  <si>
    <t>Fun84911</t>
  </si>
  <si>
    <t>0889698849111</t>
  </si>
  <si>
    <t>Фигурка Funko POP! Bobble Marvel Fantastic Four Spider-Man (Exc) (1451) 84525</t>
  </si>
  <si>
    <t>Fun84525</t>
  </si>
  <si>
    <t>0889698845250</t>
  </si>
  <si>
    <t>Фигурка Funko POP! Bobble Marvel FNSM Doctor Strange (1532) 87226</t>
  </si>
  <si>
    <t>Fun87226</t>
  </si>
  <si>
    <t>0889698872263</t>
  </si>
  <si>
    <t>Ваш дружелюбный сосед Человек-паук</t>
  </si>
  <si>
    <t>Фигурка Funko POP! Bobble Marvel FNSM Friendly Neighborhood Spider-Man (Exc) (1530) 87224</t>
  </si>
  <si>
    <t>Fun87224</t>
  </si>
  <si>
    <t>0889698872249</t>
  </si>
  <si>
    <t>Фигурка Funko POP! Bobble Marvel FNSM Peter Parker (Exc) (1531) 87225</t>
  </si>
  <si>
    <t>Fun87225</t>
  </si>
  <si>
    <t>0889698872256</t>
  </si>
  <si>
    <t>Фигурка Funko POP! Bobble Marvel Games Miles Morales Miles Classic Suit w/Chase (765) 50150</t>
  </si>
  <si>
    <t>Fun2549944</t>
  </si>
  <si>
    <t>0889698501507</t>
  </si>
  <si>
    <t>Miles Morales</t>
  </si>
  <si>
    <t>15,7 / 11,1 / 8,6</t>
  </si>
  <si>
    <t>Фигурка Funko POP! Bobble Marvel Games Rivals Doctor Doom (1064) 83991</t>
  </si>
  <si>
    <t>Fun83991</t>
  </si>
  <si>
    <t>0889698839914</t>
  </si>
  <si>
    <t>Rivals</t>
  </si>
  <si>
    <t>Фигурка Funko POP! Bobble Marvel Games Rivals Galacta 6" (1067) 83994</t>
  </si>
  <si>
    <t>Fun83994</t>
  </si>
  <si>
    <t>0889698839945</t>
  </si>
  <si>
    <t>Фигурка Funko POP! Bobble Marvel Games Rivals Iron Man (1066) 83993</t>
  </si>
  <si>
    <t>Fun83993</t>
  </si>
  <si>
    <t>0889698839938</t>
  </si>
  <si>
    <t>Фигурка Funko POP! Bobble Marvel Games Rivals Magneto (1065) 83992</t>
  </si>
  <si>
    <t>Fun83992</t>
  </si>
  <si>
    <t>0889698839921</t>
  </si>
  <si>
    <t>Фигурка Funko POP! Bobble Marvel Games Spider-Man 1 Peter Parker Velocity Suit (Exc) (974) 76676</t>
  </si>
  <si>
    <t>Fun76676</t>
  </si>
  <si>
    <t>0889698766760</t>
  </si>
  <si>
    <t>Фигурка Funko POP! Bobble Marvel Games Spider-Man 2 Anti-Venom Suit Peter Parker (1025) 80327</t>
  </si>
  <si>
    <t>Fun80327</t>
  </si>
  <si>
    <t>0889698803274</t>
  </si>
  <si>
    <t>Фигурка Funko POP! Bobble Marvel Games Spider-Man 2 City Sounds Suit Miles Morales (1028) 80330</t>
  </si>
  <si>
    <t>Fun80330</t>
  </si>
  <si>
    <t>0889698803304</t>
  </si>
  <si>
    <t>Фигурка Funko POP! Bobble Marvel Games Spider-Man 2 Harry Osborn (Black Suit) (1027) 80328</t>
  </si>
  <si>
    <t>Fun80328</t>
  </si>
  <si>
    <t>0889698803281</t>
  </si>
  <si>
    <t>Фигурка Funko POP! Bobble Marvel Games Spider-Man 2 Kraven (973) 76111</t>
  </si>
  <si>
    <t>Fun76111</t>
  </si>
  <si>
    <t>0889698761116</t>
  </si>
  <si>
    <t>Фигурка Funko POP! Bobble Marvel Games Spider-Man 2 Peter Parker Suit (971) 76109</t>
  </si>
  <si>
    <t>Fun76109</t>
  </si>
  <si>
    <t>0889698761093</t>
  </si>
  <si>
    <t>Фигурка Funko POP! Bobble Marvel Games Spider-Man 2 Scream (1026) 80329</t>
  </si>
  <si>
    <t>Fun80329</t>
  </si>
  <si>
    <t>0889698803298</t>
  </si>
  <si>
    <t>16 / 11,3 / 8,9</t>
  </si>
  <si>
    <t>Фигурка Funko POP! Bobble Marvel Games Spider-Man 2 Venom (972) 76110</t>
  </si>
  <si>
    <t>Fun76110</t>
  </si>
  <si>
    <t>0889698761109</t>
  </si>
  <si>
    <t xml:space="preserve">Фигурка Funko POP! Bobble Marvel Guardians Of The Galaxy 3 Drax (1204) 68053 </t>
  </si>
  <si>
    <t>Fun68053</t>
  </si>
  <si>
    <t>0889698680530</t>
  </si>
  <si>
    <t>Стражи Галактики</t>
  </si>
  <si>
    <t xml:space="preserve">Фигурка Funko POP! Bobble Marvel Guardians Of The Galaxy 3 Rocket (1202) 67509 </t>
  </si>
  <si>
    <t>Fun67509</t>
  </si>
  <si>
    <t>0889698675093</t>
  </si>
  <si>
    <t>Фигурка Funko POP! Bobble Marvel Guardians Of The Galaxy Dancing Groot (65) 5104</t>
  </si>
  <si>
    <t>Fun28</t>
  </si>
  <si>
    <t>0849803051044</t>
  </si>
  <si>
    <t>16 / 11 / 8,9</t>
  </si>
  <si>
    <t>Фигурка Funko POP! Bobble Marvel Holiday Deadpool w/ Candy Canes (400) 33985</t>
  </si>
  <si>
    <t>Fun1623</t>
  </si>
  <si>
    <t>0889698339858</t>
  </si>
  <si>
    <t>Holiday</t>
  </si>
  <si>
    <t>13+</t>
  </si>
  <si>
    <t>Фигурка Funko POP! Bobble Marvel Holiday Groot w/ Lights &amp; Ornaments (399) 33982</t>
  </si>
  <si>
    <t>Fun1624</t>
  </si>
  <si>
    <t>0889698339827</t>
  </si>
  <si>
    <t>Фигурка Funko POP! Bobble Marvel Holiday Iron Man with Bag (1282) 72188</t>
  </si>
  <si>
    <t>Fun72188</t>
  </si>
  <si>
    <t>0889698721882</t>
  </si>
  <si>
    <t>Фигурка Funko POP! Bobble Marvel Holiday S4 Captain America (1438) 80032</t>
  </si>
  <si>
    <t>Fun80032</t>
  </si>
  <si>
    <t>0889698800327</t>
  </si>
  <si>
    <t>Фигурка Funko POP! Bobble Marvel Holiday S4 Deadpool (1442) 80035</t>
  </si>
  <si>
    <t>Fun80035</t>
  </si>
  <si>
    <t>0889698800358</t>
  </si>
  <si>
    <t>Фигурка Funko POP! Bobble Marvel Holiday S4 Groot (1440) 80033</t>
  </si>
  <si>
    <t>Fun80033</t>
  </si>
  <si>
    <t>0889698800334</t>
  </si>
  <si>
    <t>Фигурка Funko POP! Bobble Marvel Holiday S4 Red Hulk (1439) 80034</t>
  </si>
  <si>
    <t>Fun80034</t>
  </si>
  <si>
    <t>0889698800341</t>
  </si>
  <si>
    <t>Фигурка Funko POP! Bobble Marvel Holiday Spider-Man w/ Ugly Sweater (397) 33983</t>
  </si>
  <si>
    <t>Fun1626</t>
  </si>
  <si>
    <t>0889698339834</t>
  </si>
  <si>
    <t>Фигурка Funko POP! Bobble Marvel Holiday Wolverine w/ Sign (1285) 72191</t>
  </si>
  <si>
    <t>Fun72191</t>
  </si>
  <si>
    <t>0889698721912</t>
  </si>
  <si>
    <t>Фигурка Funko POP! Bobble Marvel Hulk Red Hulk w/(GW) Chase (Exc) (854) 55084</t>
  </si>
  <si>
    <t>Fun25491086</t>
  </si>
  <si>
    <t>0889698550840</t>
  </si>
  <si>
    <t>Фигурка Funko POP! Bobble Marvel I Am Groot Fancy Groot Marie Hair (1191) 70649</t>
  </si>
  <si>
    <t>Fun70649</t>
  </si>
  <si>
    <t>0889698706490</t>
  </si>
  <si>
    <t>Я есть Грут</t>
  </si>
  <si>
    <t>Фигурка Funko POP! Bobble Marvel Infinity Saga Captain America(I can) WonderCon25 (Exc) (1480) 85287</t>
  </si>
  <si>
    <t>Fun85287</t>
  </si>
  <si>
    <t>0889698852876</t>
  </si>
  <si>
    <t>Фигурка Funko POP! Bobble Marvel Infinity Saga Hulkbuster (BLKLT) (Exc) 10" (1408) 82376</t>
  </si>
  <si>
    <t>Fun82376</t>
  </si>
  <si>
    <t>0889698823760</t>
  </si>
  <si>
    <t>21 / 31 / 33</t>
  </si>
  <si>
    <t>Фигурка Funko POP! Bobble Marvel Infinity Saga Iron Man 2 Iron Man (Mark 5) (1474) 83789</t>
  </si>
  <si>
    <t>Fun83789</t>
  </si>
  <si>
    <t>0889698837897</t>
  </si>
  <si>
    <t>Фигурка Funko POP! Bobble Marvel Infinity Saga Iron Man 2 Whiplash (1477) 83792</t>
  </si>
  <si>
    <t>Fun83792</t>
  </si>
  <si>
    <t>0889698837927</t>
  </si>
  <si>
    <t>Фигурка Funko POP! Bobble Marvel Infinity Sagа CA The First Avenger Captain America (1476) 83791</t>
  </si>
  <si>
    <t>Fun83791</t>
  </si>
  <si>
    <t>0889698837910</t>
  </si>
  <si>
    <t>Фигурка Funko POP! Bobble Marvel Loki Season 2 Mobius (TVA Temporal Core Suit) (1313) 72170</t>
  </si>
  <si>
    <t>Fun72170</t>
  </si>
  <si>
    <t>0889698721707</t>
  </si>
  <si>
    <t>Локи</t>
  </si>
  <si>
    <t>Фигурка Funko POP! Bobble Marvel Loki Season 2 Renslayer with Miss Minutes (1893) (1315) 72172</t>
  </si>
  <si>
    <t>Fun72172</t>
  </si>
  <si>
    <t>0889698721721</t>
  </si>
  <si>
    <t>Фигурка Funko POP! Bobble Marvel Loki Season 2 Sylvie (1314) 72171</t>
  </si>
  <si>
    <t>Fun72171</t>
  </si>
  <si>
    <t>0889698721714</t>
  </si>
  <si>
    <t>Фигурка Funko POP! Bobble Marvel Loki Season 2 Victor Timely (1893) (1316) 77383</t>
  </si>
  <si>
    <t>Fun77383</t>
  </si>
  <si>
    <t>0889698773836</t>
  </si>
  <si>
    <t>Фигурка Funko POP! Bobble Marvel Matt Murdock "I'm Not" Daredevil (Exc) (1320) 74730</t>
  </si>
  <si>
    <t>Fun74730</t>
  </si>
  <si>
    <t>0889698747301</t>
  </si>
  <si>
    <t>Фигурка Funko POP! Bobble Marvel Moon Girl and Devil Dinosaur Devil Dinosaur 6" (1120) 65673</t>
  </si>
  <si>
    <t>Fun65673</t>
  </si>
  <si>
    <t>0889698656733</t>
  </si>
  <si>
    <t>14,1 / 16,6 / 20,6</t>
  </si>
  <si>
    <t>Фигурка Funko POP! Bobble Marvel Moon Knight Scarlet Scarab SDCC22 (Exc) (1093) 65332</t>
  </si>
  <si>
    <t>Fun65332</t>
  </si>
  <si>
    <t>0889698653329</t>
  </si>
  <si>
    <t>Лунный рыцарь</t>
  </si>
  <si>
    <t>Фигурка Funko POP! Bobble Marvel Moon Knight Taweret WonderCon23 (Exc) (1189) 70274</t>
  </si>
  <si>
    <t>Fun70274</t>
  </si>
  <si>
    <t>0889698702744</t>
  </si>
  <si>
    <t>Фигурка Funko POP! Bobble Marvel New Classics Captain America (1419) 82497</t>
  </si>
  <si>
    <t>Fun82497</t>
  </si>
  <si>
    <t>0889698824972</t>
  </si>
  <si>
    <t>Фигурка Funko POP! Bobble Marvel New Classics Hulk (1420) 82498</t>
  </si>
  <si>
    <t>Fun82498</t>
  </si>
  <si>
    <t>0889698824989</t>
  </si>
  <si>
    <t>Фигурка Funko POP! Bobble Marvel New Classics Iron Man (1421) 82499</t>
  </si>
  <si>
    <t>Fun82499</t>
  </si>
  <si>
    <t>0889698824996</t>
  </si>
  <si>
    <t>Фигурка Funko POP! Bobble Marvel New Classics Spider-Man (1422) 82500</t>
  </si>
  <si>
    <t>Fun82500</t>
  </si>
  <si>
    <t>0889698825009</t>
  </si>
  <si>
    <t>Фигурка Funko POP! Bobble Marvel Secret Invasion S1 Gravik (1331) 75626</t>
  </si>
  <si>
    <t>Fun75626</t>
  </si>
  <si>
    <t>0889698756266</t>
  </si>
  <si>
    <t>Секретное вторжение</t>
  </si>
  <si>
    <t>Фигурка Funko POP! Bobble Marvel Spider-Man (Last Stand) (Exc) (1450) 84387</t>
  </si>
  <si>
    <t>Fun84387</t>
  </si>
  <si>
    <t>0889698843874</t>
  </si>
  <si>
    <t>Фигурка Funko POP! Bobble Marvel Spider-Man ATSV S2 Mayday Parker (1410) 82648</t>
  </si>
  <si>
    <t>Fun82648</t>
  </si>
  <si>
    <t>0889698826488</t>
  </si>
  <si>
    <t>Фигурка Funko POP! Bobble Marvel Spider-Man ATSV S2 Miles G Morales (Prowler) (1412) 82650</t>
  </si>
  <si>
    <t>Fun82650</t>
  </si>
  <si>
    <t>0889698826501</t>
  </si>
  <si>
    <t>Фигурка Funko POP! Bobble Marvel Spider-Man ATSV S2 Spider-Man 2099 (Unmasked) (1409) 82647</t>
  </si>
  <si>
    <t>Fun82647</t>
  </si>
  <si>
    <t>0889698826471</t>
  </si>
  <si>
    <t>Фигурка Funko POP! Bobble Marvel Spider-Man ATSV S2 Spider-Punk (Unmasked) (1411) 82649</t>
  </si>
  <si>
    <t>Fun82649</t>
  </si>
  <si>
    <t>0889698826495</t>
  </si>
  <si>
    <t>Фигурка Funko POP! Bobble Marvel Spider-Man ATSV Spider-Byte (1229) 65728</t>
  </si>
  <si>
    <t>Fun65728</t>
  </si>
  <si>
    <t>0889698657280</t>
  </si>
  <si>
    <t>Фигурка Funko POP! Bobble Marvel Spider-Man ATSV Spider-Gwen (1224) 65723</t>
  </si>
  <si>
    <t>Fun65723</t>
  </si>
  <si>
    <t>0889698657235</t>
  </si>
  <si>
    <t>Фигурка Funko POP! Bobble Marvel Spider-Man ATSV Spider-Gwen (Upside Down) (Exc) (1479) 84977</t>
  </si>
  <si>
    <t>Fun84977</t>
  </si>
  <si>
    <t>0889698849777</t>
  </si>
  <si>
    <t>Фигурка Funko POP! Bobble Marvel Spider-Man ATSV Spider-Man (1223) 65722</t>
  </si>
  <si>
    <t>Fun65722</t>
  </si>
  <si>
    <t>0889698657228</t>
  </si>
  <si>
    <t>Фигурка Funko POP! Bobble Marvel Spider-Man ATSV Spider-Man 2099 (1225) 65724</t>
  </si>
  <si>
    <t>Fun65724</t>
  </si>
  <si>
    <t>0889698657242</t>
  </si>
  <si>
    <t>Фигурка Funko POP! Bobble Marvel Spider-Man ATSV Spider-Man 2099 (GW) (Exc) (1267) 68370</t>
  </si>
  <si>
    <t>Fun68370</t>
  </si>
  <si>
    <t>0889698683708</t>
  </si>
  <si>
    <t>Фигурка Funko POP! Bobble Marvel Spider-Man ATSV Spider-Man India (1227) 65726</t>
  </si>
  <si>
    <t>Fun65726</t>
  </si>
  <si>
    <t>0889698657266</t>
  </si>
  <si>
    <t>Фигурка Funko POP! Bobble Marvel Spider-Man ATSV Spider-Woman (1228) 65727</t>
  </si>
  <si>
    <t>Fun65727</t>
  </si>
  <si>
    <t>0889698657273</t>
  </si>
  <si>
    <t>Фигурка Funko POP! Bobble Marvel Spider-Man No Way Home Doc Ock (1163) 67602</t>
  </si>
  <si>
    <t>Fun67602</t>
  </si>
  <si>
    <t>0889698676021</t>
  </si>
  <si>
    <t>15,8 / 11,2 / 8,7</t>
  </si>
  <si>
    <t>Фигурка Funko POP! Bobble Marvel Spider-Man No Way Home Friendly Neighborhood Spider-Man (1158)67607</t>
  </si>
  <si>
    <t>Fun67607</t>
  </si>
  <si>
    <t>0889698676076</t>
  </si>
  <si>
    <t>16 / 11,4 / 9</t>
  </si>
  <si>
    <t>Фигурка Funko POP! Bobble Marvel Spider-Man No Way Home Spider-Man (Black &amp; Gold Suit) (911) 56827</t>
  </si>
  <si>
    <t>Fun25491148</t>
  </si>
  <si>
    <t>0889698568272</t>
  </si>
  <si>
    <t>Фигурка Funko POP! Bobble Marvel Spider-Man No Way Home Spider-Man (Integrated Suit) (913) 56829</t>
  </si>
  <si>
    <t>Fun25491150</t>
  </si>
  <si>
    <t>0889698568296</t>
  </si>
  <si>
    <t>Фигурка Funko POP! Bobble Marvel Spider-Man No Way Home Spider-Man Finale Suit (1160) 67610</t>
  </si>
  <si>
    <t>Fun67610</t>
  </si>
  <si>
    <t>0889698676106</t>
  </si>
  <si>
    <t>Фигурка Funko POP! Bobble Marvel Spider-Man No Way Home Spider-Man w/(GW)Chase (Exc) (1073) 65038</t>
  </si>
  <si>
    <t>Fun65038</t>
  </si>
  <si>
    <t>0889698650380</t>
  </si>
  <si>
    <t>Фигурка Funko POP! Bobble Marvel Spider-Man Oscorp Suit (Exc) (1118) 66626</t>
  </si>
  <si>
    <t>Fun66626</t>
  </si>
  <si>
    <t>0889698666268</t>
  </si>
  <si>
    <t>Фигурка Funko POP! Bobble Marvel Spider-Man Spider-Man (Swinging) (Exc) (1454) 85243</t>
  </si>
  <si>
    <t>Fun85243</t>
  </si>
  <si>
    <t>0889698852432</t>
  </si>
  <si>
    <t>Фигурка Funko POP! Bobble Marvel Spider-Man Spinneret (Exc) (1293) 74527</t>
  </si>
  <si>
    <t>Fun74527</t>
  </si>
  <si>
    <t>0889698745277</t>
  </si>
  <si>
    <t>Фигурка Funko POP! Bobble Marvel Spider-Man Superior Spider-Man (Exc) (1456) 84427</t>
  </si>
  <si>
    <t>Fun84427</t>
  </si>
  <si>
    <t>0889698844277</t>
  </si>
  <si>
    <t>Фигурка Funko POP! Bobble Marvel Spider-Man with Gift (1441) 82877</t>
  </si>
  <si>
    <t>Fun82877</t>
  </si>
  <si>
    <t>0889698828772</t>
  </si>
  <si>
    <t>Фигурка Funko POP! Bobble Marvel Spider-Man with Sandwich the Dog (Exc) (1449) 85244</t>
  </si>
  <si>
    <t>Fun85244</t>
  </si>
  <si>
    <t>0889698852449</t>
  </si>
  <si>
    <t>Фигурка Funko POP! Bobble Marvel Split Logan/Wolverine (1433)​ 80893</t>
  </si>
  <si>
    <t>Fun80893</t>
  </si>
  <si>
    <t>0889698808934</t>
  </si>
  <si>
    <t>Фигурка Funko POP! Bobble Marvel Split Peter Parker/Spider-Man (1432)​ 80892</t>
  </si>
  <si>
    <t>Fun80892</t>
  </si>
  <si>
    <t>0889698808927</t>
  </si>
  <si>
    <t>Фигурка Funko POP! Bobble Marvel Split Peter Parker/Symbiote Suit w/(GW) Chase (Exc) (1478)​ 84954</t>
  </si>
  <si>
    <t>Fun84954</t>
  </si>
  <si>
    <t>0889698849548</t>
  </si>
  <si>
    <t>Фигурка Funko POP! Bobble Marvel Split Steve Rogers/Captain America (1431) 80891</t>
  </si>
  <si>
    <t>Fun80891</t>
  </si>
  <si>
    <t>0889698808910</t>
  </si>
  <si>
    <t>Фигурка Funko POP! Bobble Marvel Thor Love &amp; Thunder Gorr’s Daughter SDCC23 (Exc) (1188) 64208</t>
  </si>
  <si>
    <t>Fun64208</t>
  </si>
  <si>
    <t>0889698642088</t>
  </si>
  <si>
    <t>Тор</t>
  </si>
  <si>
    <t>Фигурка Funko POP! Bobble Marvel Thor Love &amp; Thunder Miek (1045) 62426</t>
  </si>
  <si>
    <t>Fun62426</t>
  </si>
  <si>
    <t>0889698624268</t>
  </si>
  <si>
    <t>Фигурка Funko POP! Bobble Marvel Thor Love &amp; Thunder Thor (1040) 62421</t>
  </si>
  <si>
    <t>Fun62421</t>
  </si>
  <si>
    <t>0889698624213</t>
  </si>
  <si>
    <t>Фигурка Funko POP! Bobble Marvel Venom Venomized Hulk (366) 32690</t>
  </si>
  <si>
    <t>Fun1432</t>
  </si>
  <si>
    <t>0889698326902</t>
  </si>
  <si>
    <t>Фигурка Funko POP! Bobble Marvel Venom w/Ooze (GW) (Exc) (1469) 84452</t>
  </si>
  <si>
    <t>Fun84452</t>
  </si>
  <si>
    <t>0889698844529</t>
  </si>
  <si>
    <t>Фигурка Funko POP! Bobble Marvel Wanda Maximoff (No More Mutants) (1455) 82871</t>
  </si>
  <si>
    <t>Fun82871</t>
  </si>
  <si>
    <t>0889698828710</t>
  </si>
  <si>
    <t>Фигурка Funko POP! Bobble Marvel We Are Groot Groot as Captain America (1392) 79515</t>
  </si>
  <si>
    <t>Fun79515</t>
  </si>
  <si>
    <t>0889698795159</t>
  </si>
  <si>
    <t>Фигурка Funko POP! Bobble Marvel We Are Groot Groot as Hulk (1397) 81338</t>
  </si>
  <si>
    <t>Fun81338</t>
  </si>
  <si>
    <t>0889698813389</t>
  </si>
  <si>
    <t>Фигурка Funko POP! Bobble Marvel We Are Groot Groot as Iron Man (1393) 79516</t>
  </si>
  <si>
    <t>Fun79516</t>
  </si>
  <si>
    <t>0889698795166</t>
  </si>
  <si>
    <t>Фигурка Funko POP! Bobble Marvel We Are Groot Groot as Loki (1394) 79517</t>
  </si>
  <si>
    <t>Fun79517</t>
  </si>
  <si>
    <t>0889698795173</t>
  </si>
  <si>
    <t>Фигурка Funko POP! Bobble Marvel We Are Groot Groot as Scarlet Witch (1395) 79518</t>
  </si>
  <si>
    <t>Fun79518</t>
  </si>
  <si>
    <t>0889698795180</t>
  </si>
  <si>
    <t>Фигурка Funko POP! Bobble Marvel We Are Groot Groot as Wolverine (1396) 79519</t>
  </si>
  <si>
    <t>Fun79519</t>
  </si>
  <si>
    <t>0889698795197</t>
  </si>
  <si>
    <t>Фигурка Funko POP! Bobble Marvel What If Goliath (1467) 68044</t>
  </si>
  <si>
    <t>Fun68044</t>
  </si>
  <si>
    <t>0889698680448</t>
  </si>
  <si>
    <t>Что, если...?</t>
  </si>
  <si>
    <t>Фигурка Funko POP! Bobble Marvel What If Happy The Freak Hogan (1465) 68045</t>
  </si>
  <si>
    <t>Fun68045</t>
  </si>
  <si>
    <t>0889698680455</t>
  </si>
  <si>
    <t>Фигурка Funko POP! Bobble Marvel What If Infinity Captain Carter (1464) 68046</t>
  </si>
  <si>
    <t>Fun68046</t>
  </si>
  <si>
    <t>0889698680462</t>
  </si>
  <si>
    <t>Фигурка Funko POP! Bobble Marvel What If Kahhori (1466) 68042</t>
  </si>
  <si>
    <t>Fun68042</t>
  </si>
  <si>
    <t>0889698680424</t>
  </si>
  <si>
    <t>Фигурка Funko POP! Bobble Marvel What If Sakaarian Iron Man 6" (1463) 58647</t>
  </si>
  <si>
    <t>Fun58647</t>
  </si>
  <si>
    <t>0889698586474</t>
  </si>
  <si>
    <t>20,3 / 16,7 / 14,2</t>
  </si>
  <si>
    <t>Фигурка Funko POP! Bobble Marvel Wolverine (05) 2277</t>
  </si>
  <si>
    <t>Fun1086</t>
  </si>
  <si>
    <t>0830395022772</t>
  </si>
  <si>
    <t>Фигурка Funko POP! Bobble Marvel Wolverine 50th Old Man Logan (1374) 77435</t>
  </si>
  <si>
    <t>Fun77435</t>
  </si>
  <si>
    <t>0889698774352</t>
  </si>
  <si>
    <t>Фигурка Funko POP! Bobble Marvel Wolverine 50th Weapon X (1373) 77437</t>
  </si>
  <si>
    <t>Fun77437</t>
  </si>
  <si>
    <t>0889698774376</t>
  </si>
  <si>
    <t>Фигурка Funko POP! Bobble Marvel Wolverine 50th Wolverine (Classic) (1371) 77438</t>
  </si>
  <si>
    <t>Fun77438</t>
  </si>
  <si>
    <t>0889698774383</t>
  </si>
  <si>
    <t>Фигурка Funko POP! Bobble Marvel Wolverine 50th Wolverine (Fatal Attractions) (1372) 77436</t>
  </si>
  <si>
    <t>Fun77436</t>
  </si>
  <si>
    <t>0889698774369</t>
  </si>
  <si>
    <t>Фигурка Funko POP! Bobble Marvel X-Men S3 Apocalypse (1459) 84115</t>
  </si>
  <si>
    <t>Fun84115</t>
  </si>
  <si>
    <t>0889698841153</t>
  </si>
  <si>
    <t>Люди Икс</t>
  </si>
  <si>
    <t>Фигурка Funko POP! Bobble Marvel X-Men S3 Blink (1458) 84116</t>
  </si>
  <si>
    <t>Fun84116</t>
  </si>
  <si>
    <t>0889698841160</t>
  </si>
  <si>
    <t>Фигурка Funko POP! Bobble Marvel X-Men S3 Sunfire (1460) 84117</t>
  </si>
  <si>
    <t>Fun84117</t>
  </si>
  <si>
    <t>0889698841177</t>
  </si>
  <si>
    <t>Фигурка Funko POP! Bobble Marvel YS Mangaverse Spider-Man (982) 62280</t>
  </si>
  <si>
    <t>Fun62280</t>
  </si>
  <si>
    <t>0889698622806</t>
  </si>
  <si>
    <t>Фигурка Funko POP! Bobble Marvel Thunderbolts John F. Walker (1484) 76030</t>
  </si>
  <si>
    <t>Fun76030</t>
  </si>
  <si>
    <t>0889698760300</t>
  </si>
  <si>
    <t>Громовержцы</t>
  </si>
  <si>
    <t>Фигурка Funko POP! Bobble Marvel Thunderbolts Red Guardian (1482) 76028</t>
  </si>
  <si>
    <t>Fun76028</t>
  </si>
  <si>
    <t>0889698760287</t>
  </si>
  <si>
    <t>Фигурка Funko POP! Bobble Marvel Thunderbolts Sentry (1485) 76031</t>
  </si>
  <si>
    <t>Fun76031</t>
  </si>
  <si>
    <t>0889698760317</t>
  </si>
  <si>
    <t>Фигурка Funko POP! Bobble Marvel Thunderbolts Yelena Belova (1481) 76027</t>
  </si>
  <si>
    <t>Fun76027</t>
  </si>
  <si>
    <t>0889698760270</t>
  </si>
  <si>
    <t>Фигурка Funko POP! Bobble Star Wars Acolyte Bazil (726) 79759</t>
  </si>
  <si>
    <t>Fun79759</t>
  </si>
  <si>
    <t>0889698797597</t>
  </si>
  <si>
    <t>Аколит</t>
  </si>
  <si>
    <t>Фигурка Funko POP! Bobble Star Wars Acolyte Jedi Master Sol (725) 79758</t>
  </si>
  <si>
    <t>Fun79758</t>
  </si>
  <si>
    <t>0889698797580</t>
  </si>
  <si>
    <t>Фигурка Funko POP! Bobble Star Wars Acolyte Osha Aniseya (722) 79755</t>
  </si>
  <si>
    <t>Fun79755</t>
  </si>
  <si>
    <t>0889698797559</t>
  </si>
  <si>
    <t>Фигурка Funko POP! Bobble Star Wars Acolyte Qimir (723) 79756</t>
  </si>
  <si>
    <t>Fun79756</t>
  </si>
  <si>
    <t>0889698797566</t>
  </si>
  <si>
    <t>Фигурка Funko POP! Bobble Star Wars Acolyte Yord Fandar (724) 79757</t>
  </si>
  <si>
    <t>Fun79757</t>
  </si>
  <si>
    <t>0889698797573</t>
  </si>
  <si>
    <t>Фигурка Funko POP! Bobble Star Wars Admiral Ackbar (Retro) (Exc) (771) 85342</t>
  </si>
  <si>
    <t>Fun85342</t>
  </si>
  <si>
    <t>0889698853422</t>
  </si>
  <si>
    <t>Фигурка Funko POP! Bobble Star Wars Ahsoka Ahsoka Tano (650) 72175</t>
  </si>
  <si>
    <t>Fun72175</t>
  </si>
  <si>
    <t>0889698721752</t>
  </si>
  <si>
    <t>Асока</t>
  </si>
  <si>
    <t>Фигурка Funko POP! Bobble Star Wars Ahsoka C1-10P (Chopper) (654) 72179</t>
  </si>
  <si>
    <t>Fun72179</t>
  </si>
  <si>
    <t>0889698721790</t>
  </si>
  <si>
    <t>Фигурка Funko POP! Bobble Star Wars Ahsoka Grand Admiral Thrawn SDCC24 (Exc) (697) 77369</t>
  </si>
  <si>
    <t>Fun77369</t>
  </si>
  <si>
    <t>0889698773690</t>
  </si>
  <si>
    <t>Фигурка Funko POP! Bobble Star Wars Ahsoka Marrok (651) 72177</t>
  </si>
  <si>
    <t>Fun72177</t>
  </si>
  <si>
    <t>0889698721776</t>
  </si>
  <si>
    <t>Фигурка Funko POP! Bobble Star Wars Ahsoka S2 Baylan Skoll (688) 76544</t>
  </si>
  <si>
    <t>Fun76544</t>
  </si>
  <si>
    <t>0889698765442</t>
  </si>
  <si>
    <t xml:space="preserve">Фигурка Funko POP! Bobble Star Wars Ahsoka S2 Grand Admiral Thrawn (683) 76539 </t>
  </si>
  <si>
    <t>Fun76539</t>
  </si>
  <si>
    <t>0889698765398</t>
  </si>
  <si>
    <t>Фигурка Funko POP! Bobble Star Wars Ahsoka S2 Morgan Elsbeth (684) 76540</t>
  </si>
  <si>
    <t>Fun76540</t>
  </si>
  <si>
    <t>0889698765404</t>
  </si>
  <si>
    <t>Фигурка Funko POP! Bobble Star Wars Ahsoka S2 Shin Hati (687) 76543</t>
  </si>
  <si>
    <t>Fun76543</t>
  </si>
  <si>
    <t>0889698765435</t>
  </si>
  <si>
    <t>Фигурка Funko POP! Bobble Star Wars Ahsoka S3 Ahsoka Tano (749) 83760</t>
  </si>
  <si>
    <t>Fun83760</t>
  </si>
  <si>
    <t>0889698837606</t>
  </si>
  <si>
    <t>Фигурка Funko POP! Bobble Star Wars Ahsoka S3 Anakin Skywalker (751) 83763</t>
  </si>
  <si>
    <t>Fun83763</t>
  </si>
  <si>
    <t>0889698837637</t>
  </si>
  <si>
    <t>Фигурка Funko POP! Bobble Star Wars Ahsoka S3 Ezra Bridger  in Disguise (Exc) (753) 84602</t>
  </si>
  <si>
    <t>Fun84602</t>
  </si>
  <si>
    <t>0889698846028</t>
  </si>
  <si>
    <t>Фигурка Funko POP! Bobble Star Wars Ahsoka S3 Ezra Bridger (752) 83762</t>
  </si>
  <si>
    <t>Fun83762</t>
  </si>
  <si>
    <t>0889698837620</t>
  </si>
  <si>
    <t>Фигурка Funko POP! Bobble Star Wars Ahsoka S3 Sabine Wren (750) 83761</t>
  </si>
  <si>
    <t>Fun83761</t>
  </si>
  <si>
    <t>0889698837613</t>
  </si>
  <si>
    <t>Фигурка Funko POP! Bobble Star Wars Anakin Skywalker (Dark Side) (Exc) (281) 31681</t>
  </si>
  <si>
    <t>Fun31681</t>
  </si>
  <si>
    <t>0889698316811</t>
  </si>
  <si>
    <t>Фигурка Funko POP! Bobble Star Wars Andor S2 Cassian Andor (759) 83768</t>
  </si>
  <si>
    <t>Fun83768</t>
  </si>
  <si>
    <t>0889698837682</t>
  </si>
  <si>
    <t>Фигурка Funko POP! Bobble Star Wars Andor S2 Kino Loy (760) 83769</t>
  </si>
  <si>
    <t>Fun83769</t>
  </si>
  <si>
    <t>0889698837699</t>
  </si>
  <si>
    <t>Фигурка Funko POP! Bobble Star Wars Andor S2 Luthen Rael (761) 83770</t>
  </si>
  <si>
    <t>Fun83770</t>
  </si>
  <si>
    <t>0889698837705</t>
  </si>
  <si>
    <t>Фигурка Funko POP! Bobble Star Wars Andor S2 Maarva (762) 83771</t>
  </si>
  <si>
    <t>Fun83771</t>
  </si>
  <si>
    <t>0889698837712</t>
  </si>
  <si>
    <t>Фигурка Funko POP! Bobble Star Wars Book of Boba Fett Boba Fett (Retro) (769) 83814</t>
  </si>
  <si>
    <t>Fun83814</t>
  </si>
  <si>
    <t>0889698838146</t>
  </si>
  <si>
    <t>Фигурка Funko POP! Bobble Star Wars Clone Wars Clone Trooper Fives (Retro) (768) 83813</t>
  </si>
  <si>
    <t>Fun83813</t>
  </si>
  <si>
    <t>0889698838139</t>
  </si>
  <si>
    <t>Фигурка Funko POP! Bobble Star Wars Clone Wars Darth Maul (410) 52025</t>
  </si>
  <si>
    <t>Fun2549812</t>
  </si>
  <si>
    <t>0889698520256</t>
  </si>
  <si>
    <t>Фигурка Funko POP! Bobble Star Wars Darkside Count Dooku (Force Lightning) (744) 80770</t>
  </si>
  <si>
    <t>Fun80770</t>
  </si>
  <si>
    <t>0889698807708</t>
  </si>
  <si>
    <t>Фигурка Funko POP! Bobble Star Wars Darkside Darth Maul (Hologram) (GW) (Exc) (740) 82771</t>
  </si>
  <si>
    <t>Fun82771</t>
  </si>
  <si>
    <t>0889698827713</t>
  </si>
  <si>
    <t>Фигурка Funko POP! Bobble Star Wars Darkside Darth Maul in Robe (740) 80771</t>
  </si>
  <si>
    <t>Fun80771</t>
  </si>
  <si>
    <t>0889698807715</t>
  </si>
  <si>
    <t>Фигурка Funko POP! Bobble Star Wars Darkside Emperor Palpatine (Force Lightning) (738) 80773</t>
  </si>
  <si>
    <t>Fun80773</t>
  </si>
  <si>
    <t>0889698807739</t>
  </si>
  <si>
    <t>Фигурка Funko POP! Bobble Star Wars Darkside Emperor Palpatine (Force Lightning) 10" (741) 80768</t>
  </si>
  <si>
    <t>Fun80768</t>
  </si>
  <si>
    <t>0889698807685</t>
  </si>
  <si>
    <t>Фигурка Funko POP! Bobble Star Wars Darkside Kylo Ren (MT) (BZ) (Exc) (308) 81842</t>
  </si>
  <si>
    <t>Fun81842</t>
  </si>
  <si>
    <t>0889698818421</t>
  </si>
  <si>
    <t>Фигурка Funko POP! Bobble Star Wars Darth Vader (Rebuild) (Exc) (757) 84530</t>
  </si>
  <si>
    <t>Fun84530</t>
  </si>
  <si>
    <t>0889698845304</t>
  </si>
  <si>
    <t>Фигурка Funko POP! Bobble Star Wars Darth Vader (Retro) (GW) (Exc) (767) 84982</t>
  </si>
  <si>
    <t>Fun84982</t>
  </si>
  <si>
    <t>0889698849821</t>
  </si>
  <si>
    <t>Фигурка Funko POP! Bobble Star Wars Darth Vader(Im Your Father) &amp; Luke Skywalker(Noooooo!) 2PK 83594</t>
  </si>
  <si>
    <t>Fun83594</t>
  </si>
  <si>
    <t>0889698835947</t>
  </si>
  <si>
    <t>Фигурка Funko POP! Bobble Star Wars Ep 1 TPM 25th Anakin Skywalker w/Helmet (698) 76015</t>
  </si>
  <si>
    <t>Fun76015</t>
  </si>
  <si>
    <t>0889698760157</t>
  </si>
  <si>
    <t>Фигурка Funko POP! Bobble Star Wars Ep 1 TPM 25th Battle Droid (703) 76016</t>
  </si>
  <si>
    <t>Fun76016</t>
  </si>
  <si>
    <t>0889698760164</t>
  </si>
  <si>
    <t>Фигурка Funko POP! Bobble Star Wars Ep 1 TPM 25th Jar Jar Binks w/ Booma Bal (700) 76017</t>
  </si>
  <si>
    <t>Fun76017</t>
  </si>
  <si>
    <t>0889698760171</t>
  </si>
  <si>
    <t>Фигурка Funko POP! Bobble Star Wars Ep 1 TPM 25th Obi-Wan Kenobi (Young) (699) 76018</t>
  </si>
  <si>
    <t>Fun76018</t>
  </si>
  <si>
    <t>0889698760188</t>
  </si>
  <si>
    <t>Фигурка Funko POP! Bobble Star Wars Ep 1 TPM 25th Padme Amidala (Tatooine) (701) 76019</t>
  </si>
  <si>
    <t>Fun76019</t>
  </si>
  <si>
    <t>0889698760195</t>
  </si>
  <si>
    <t>Фигурка Funko POP! Bobble Star Wars Ep 1 TPM 25th Watto (702) 76021</t>
  </si>
  <si>
    <t>Fun76021</t>
  </si>
  <si>
    <t>0889698760218</t>
  </si>
  <si>
    <t>Фигурка Funko POP! Bobble Star Wars Ep 4 ANH Chewbacca (596) 67533</t>
  </si>
  <si>
    <t>Fun67533</t>
  </si>
  <si>
    <t>0889698675338</t>
  </si>
  <si>
    <t>Фигурка Funko POP! Bobble Star Wars Ep 4 ANH Darth Vader (597) 67534</t>
  </si>
  <si>
    <t>Fun67534</t>
  </si>
  <si>
    <t>0889698675345</t>
  </si>
  <si>
    <t>Фигурка Funko POP! Bobble Star Wars Ep 4 ANH Luke Skywalker (764) 83797</t>
  </si>
  <si>
    <t>Fun83797</t>
  </si>
  <si>
    <t>0889698837972</t>
  </si>
  <si>
    <t>Фигурка Funko POP! Bobble Star Wars Ep 4 ANH Luke Skywalker (Red 5) (763) 83796</t>
  </si>
  <si>
    <t>Fun83796</t>
  </si>
  <si>
    <t>0889698837965</t>
  </si>
  <si>
    <t>Фигурка Funko POP! Bobble Star Wars Ep 4 ANH Luke Skywalker with Remote (765) 83798</t>
  </si>
  <si>
    <t>Fun83798</t>
  </si>
  <si>
    <t>0889698837989</t>
  </si>
  <si>
    <t>Фигурка Funko POP! Bobble Star Wars Ep 5 ESB 40th Han Solo (Carbonite) (364) 48328</t>
  </si>
  <si>
    <t>Fun2549484</t>
  </si>
  <si>
    <t>0889698483285</t>
  </si>
  <si>
    <t>Фигурка Funko POP! Bobble Star Wars Ep 6 RotJ 40th Darth Vader (unmasked) (610) 70750</t>
  </si>
  <si>
    <t>Fun70750</t>
  </si>
  <si>
    <t>0889698707503</t>
  </si>
  <si>
    <t>Фигурка Funko POP! Bobble Star Wars Ep 6 RotJ 40th Princess Leia (Boushh) (606) 70748</t>
  </si>
  <si>
    <t>Fun70748</t>
  </si>
  <si>
    <t>0889698707480</t>
  </si>
  <si>
    <t>Фигурка Funko POP! Bobble Star Wars Ep 7 TFA Kylo Ren (Retro) (770) 83815</t>
  </si>
  <si>
    <t>Fun83815</t>
  </si>
  <si>
    <t>0889698838153</t>
  </si>
  <si>
    <t>Фигурка Funko POP! Bobble Star Wars EP1 Qui-Gon Jinn vs. Darth Maul (Exc) 2PK 77601</t>
  </si>
  <si>
    <t>Fun77601</t>
  </si>
  <si>
    <t>0889698776011</t>
  </si>
  <si>
    <t>20,3 / 16 / 8,8</t>
  </si>
  <si>
    <t>Фигурка Funko POP! Bobble Star Wars Fett Legacy Boba Fett (GW) (735) 82723</t>
  </si>
  <si>
    <t>Fun82723</t>
  </si>
  <si>
    <t>0889698827232</t>
  </si>
  <si>
    <t>Фигурка Funko POP! Bobble Star Wars Fett Legacy Boba Fett w/Rockets (734) 82722</t>
  </si>
  <si>
    <t>Fun82722</t>
  </si>
  <si>
    <t>0889698827225</t>
  </si>
  <si>
    <t>Фигурка Funko POP! Bobble Star Wars Fett Legacy Jango Fett (737) 82725</t>
  </si>
  <si>
    <t>Fun82725</t>
  </si>
  <si>
    <t>0889698827256</t>
  </si>
  <si>
    <t>Фигурка Funko POP! Bobble Star Wars Fett Legacy Young Boba Fett (736) 82724</t>
  </si>
  <si>
    <t>Fun82724</t>
  </si>
  <si>
    <t>0889698827249</t>
  </si>
  <si>
    <t>Фигурка Funko POP! Bobble Star Wars Gaming Greats Darth Malgus (Legends) (Exc) (728) 81943</t>
  </si>
  <si>
    <t>Fun81943</t>
  </si>
  <si>
    <t>0889698819435</t>
  </si>
  <si>
    <t>Фигурка Funko POP! Bobble Star Wars Gaming Greats Darth Traya (Legends) (Exc) (729) 81944</t>
  </si>
  <si>
    <t>Fun81944</t>
  </si>
  <si>
    <t>0889698819442</t>
  </si>
  <si>
    <t>Фигурка Funko POP! Bobble Star Wars Holiday Chewbacca w/Lights (278) 33886</t>
  </si>
  <si>
    <t>Fun1578</t>
  </si>
  <si>
    <t>0889698338868</t>
  </si>
  <si>
    <t>Фигурка Funko POP! Bobble Star Wars Holiday Darth Vader w/(GW) Chase (279) 33884</t>
  </si>
  <si>
    <t>Fun1579</t>
  </si>
  <si>
    <t>0889698338844</t>
  </si>
  <si>
    <t>Фигурка Funko POP! Bobble Star Wars Holiday Grogu (747) 80009</t>
  </si>
  <si>
    <t>Fun80009</t>
  </si>
  <si>
    <t>0889698800099</t>
  </si>
  <si>
    <t>Фигурка Funko POP! Bobble Star Wars Holiday Grogu Pram (746) 80010</t>
  </si>
  <si>
    <t>Fun80010</t>
  </si>
  <si>
    <t>0889698800105</t>
  </si>
  <si>
    <t>Фигурка Funko POP! Bobble Star Wars Holiday Grogu Snowman (748) 80011</t>
  </si>
  <si>
    <t>Fun80011</t>
  </si>
  <si>
    <t>0889698800112</t>
  </si>
  <si>
    <t>Фигурка Funko POP! Bobble Star Wars Holiday Mandalorian​ (732) 79934</t>
  </si>
  <si>
    <t>Fun79934</t>
  </si>
  <si>
    <t>0889698799348</t>
  </si>
  <si>
    <t>Фигурка Funko POP! Bobble Star Wars Holiday R2-D2 w/Antlers (275) 33891</t>
  </si>
  <si>
    <t>Fun1580</t>
  </si>
  <si>
    <t>0889698338912</t>
  </si>
  <si>
    <t>Фигурка Funko POP! Bobble Star Wars Holiday Santa Yoda (277) 33885</t>
  </si>
  <si>
    <t>Fun1581</t>
  </si>
  <si>
    <t>0889698338851</t>
  </si>
  <si>
    <t>Фигурка Funko POP! Bobble Star Wars Kylo Ren Supreme Leader (Hooded) NYCC24 (Exc) (731) 77368</t>
  </si>
  <si>
    <t>Fun77368</t>
  </si>
  <si>
    <t>0889698773683</t>
  </si>
  <si>
    <t>Фигурка Funko POP! Bobble Star Wars Mandalorian Heavy Infantry Mandalorian (348) 45540</t>
  </si>
  <si>
    <t>Fun2549656</t>
  </si>
  <si>
    <t>0889698455404</t>
  </si>
  <si>
    <t>Фигурка Funko POP! Bobble Star Wars Mandalorian Incinerator Stormtrooper (350) 45542</t>
  </si>
  <si>
    <t>Fun2549389</t>
  </si>
  <si>
    <t>0889698455428</t>
  </si>
  <si>
    <t>Фигурка Funko POP! Bobble Star Wars Mandalorian Mandalorian with The Child (402) 50959</t>
  </si>
  <si>
    <t>Fun2549817</t>
  </si>
  <si>
    <t>0889698509596</t>
  </si>
  <si>
    <t>15,9 / 11,3 / 8,9</t>
  </si>
  <si>
    <t>Фигурка Funko POP! Bobble Star Wars Mandalorian S10 Din Grogu with Armor (712) 80004</t>
  </si>
  <si>
    <t>Fun80004</t>
  </si>
  <si>
    <t>0889698800044</t>
  </si>
  <si>
    <t>Фигурка Funko POP! Bobble Star Wars Mandalorian S10 IG-11 Marshall (Exc) (718) 78342</t>
  </si>
  <si>
    <t>Fun78342</t>
  </si>
  <si>
    <t>0889698783422</t>
  </si>
  <si>
    <t>Фигурка Funko POP! Bobble Star Wars Mandalorian S10 Moff Gideon with Armor (713) 80005</t>
  </si>
  <si>
    <t>Fun80005</t>
  </si>
  <si>
    <t>0889698800051</t>
  </si>
  <si>
    <t>Фигурка Funko POP! Bobble Star Wars Mandalorian S10 The Armorer w/Jetpack (Exc) (717) 82112</t>
  </si>
  <si>
    <t>Fun82112</t>
  </si>
  <si>
    <t>0889698821124</t>
  </si>
  <si>
    <t>Фигурка Funko POP! Bobble Star Wars Mandalorian S10 Zeb Orrelios (Exc) (716) 78341</t>
  </si>
  <si>
    <t>Fun78341</t>
  </si>
  <si>
    <t>0889698783415</t>
  </si>
  <si>
    <t>Фигурка Funko POP! Bobble Star Wars Mandalorian S9 Peli Motto w/Grogu (665) 76552</t>
  </si>
  <si>
    <t>Fun76552</t>
  </si>
  <si>
    <t>0889698765527</t>
  </si>
  <si>
    <t>Фигурка Funko POP! Bobble Star Wars Mandalorian S9 The Armorer (668) 76554</t>
  </si>
  <si>
    <t>Fun76554</t>
  </si>
  <si>
    <t>0889698765541</t>
  </si>
  <si>
    <t>Фигурка Funko POP! Bobble Star Wars Obi-Wan Kenobi (Hello There) (781) 83595</t>
  </si>
  <si>
    <t>Fun83595</t>
  </si>
  <si>
    <t>0889698835954</t>
  </si>
  <si>
    <t>Фигурка Funko POP! Bobble Star Wars Obi-Wan Kenobi S2 Obi-Wan Kenobi (Battle Pose) (629) 67584</t>
  </si>
  <si>
    <t>Fun67584</t>
  </si>
  <si>
    <t>0889698675840</t>
  </si>
  <si>
    <t>Оби-Ван Кеноби</t>
  </si>
  <si>
    <t>Фигурка Funko POP! Bobble Star Wars Obi-Wan Kenobi S2 Young Luke Skywalker (633) 67585</t>
  </si>
  <si>
    <t>Fun67585</t>
  </si>
  <si>
    <t>0889698675857</t>
  </si>
  <si>
    <t>Фигурка Funko POP! Bobble Star Wars Qui-Gon Jinn (Force Ghost) (GW) (Exc) (778) 85075</t>
  </si>
  <si>
    <t>Fun85075</t>
  </si>
  <si>
    <t>0889698850759</t>
  </si>
  <si>
    <t>Фигурка Funko POP! Bobble Star Wars Rebels Ezra Bridger w/Sith Holocron (Exc) (779) 85341</t>
  </si>
  <si>
    <t>Fun85341</t>
  </si>
  <si>
    <t>0889698853415</t>
  </si>
  <si>
    <t>Фигурка Funko POP! Bobble Star Wars Rebels S2 Ezra Bridger w/Loth-Cat (Exc) (756) 84429</t>
  </si>
  <si>
    <t>Fun84429</t>
  </si>
  <si>
    <t>0889698844291</t>
  </si>
  <si>
    <t>Фигурка Funko POP! Bobble Star Wars Skeleton Crew Fern (700) 76733</t>
  </si>
  <si>
    <t>Fun76733</t>
  </si>
  <si>
    <t>0889698767330</t>
  </si>
  <si>
    <t>Звездные войны: Опорная команда</t>
  </si>
  <si>
    <t>Фигурка Funko POP! Bobble Star Wars Skeleton Crew Jod (698) 76731</t>
  </si>
  <si>
    <t>Fun76731</t>
  </si>
  <si>
    <t>0889698767316</t>
  </si>
  <si>
    <t>Фигурка Funko POP! Bobble Star Wars Skeleton Crew KB (701) 76732</t>
  </si>
  <si>
    <t>Fun76732</t>
  </si>
  <si>
    <t>0889698767323</t>
  </si>
  <si>
    <t>Фигурка Funko POP! Bobble Star Wars Skeleton Crew Neel (702) 76735</t>
  </si>
  <si>
    <t>Fun76735</t>
  </si>
  <si>
    <t>0889698767354</t>
  </si>
  <si>
    <t>15,8 / 11,5 / 8,8</t>
  </si>
  <si>
    <t>Фигурка Funko POP! Bobble Star Wars Skeleton Crew Wim (699) 76734</t>
  </si>
  <si>
    <t>Fun76734</t>
  </si>
  <si>
    <t>0889698767347</t>
  </si>
  <si>
    <t>Фигурка Funko POP! Bobble Star Wars SWI Convention Kylo Ren (Exc) (773) 85189</t>
  </si>
  <si>
    <t>Fun85189</t>
  </si>
  <si>
    <t>0889698851893</t>
  </si>
  <si>
    <t>Фигурка Funko POP! Bobble Star Wars SWI Convention Mandalorian w/Grogu (Exc) (772) 85188</t>
  </si>
  <si>
    <t>Fun85188</t>
  </si>
  <si>
    <t>0889698851886</t>
  </si>
  <si>
    <t>Фигурка Funko POP! Bobble Star Wars SWI Convention Rey Skywalker (Exc) (774) 85190</t>
  </si>
  <si>
    <t>Fun85190</t>
  </si>
  <si>
    <t>0889698851909</t>
  </si>
  <si>
    <t>Фигурка Funko POP! Bobble Star Wars Valentines Princess Leia (589) 67613</t>
  </si>
  <si>
    <t>Fun67613</t>
  </si>
  <si>
    <t>0889698676137</t>
  </si>
  <si>
    <t>Фигурка Funko POP! Books Christmas Carol Ghost of Christmas Past (GW) (41) 81141</t>
  </si>
  <si>
    <t>Fun81141</t>
  </si>
  <si>
    <t>0889698811415</t>
  </si>
  <si>
    <t>Рождественская песнь в прозе</t>
  </si>
  <si>
    <t>Фигурка Funko POP! Books Christmas Carol Ghost of Christmas Present (42) 81142</t>
  </si>
  <si>
    <t>Fun81142</t>
  </si>
  <si>
    <t>0889698811422</t>
  </si>
  <si>
    <t>Фигурка Funko POP! Books Christmas Carol Jacob Marley (GW) (39) 81144</t>
  </si>
  <si>
    <t>Fun81144</t>
  </si>
  <si>
    <t>0889698811446</t>
  </si>
  <si>
    <t>Фигурка Funko POP! Books Christmas Carol Tiny Tim (40) 81146</t>
  </si>
  <si>
    <t>Fun81146</t>
  </si>
  <si>
    <t>0889698811460</t>
  </si>
  <si>
    <t>Фигурка Funko POP! Books Covers Goosebumps Werewolf of Fever Swamp (34) 80902</t>
  </si>
  <si>
    <t>Fun80902</t>
  </si>
  <si>
    <t>0889698809023</t>
  </si>
  <si>
    <t>Ужастики</t>
  </si>
  <si>
    <t>22 / 17,5 / 8,5</t>
  </si>
  <si>
    <t>Фигурка Funko POP! Books Goosebumps Attack of the Mutant (31) 80899</t>
  </si>
  <si>
    <t>Fun80899</t>
  </si>
  <si>
    <t>0889698808996</t>
  </si>
  <si>
    <t>Фигурка Funko POP! Books Goosebumps Bad Hare Day (30) 80898</t>
  </si>
  <si>
    <t>Fun80898</t>
  </si>
  <si>
    <t>0889698808989</t>
  </si>
  <si>
    <t>Фигурка Funko POP! Books Goosebumps Night of the Living Dummy (32) 80900</t>
  </si>
  <si>
    <t>Fun80900</t>
  </si>
  <si>
    <t>0889698809009</t>
  </si>
  <si>
    <t>Фигурка Funko POP! Books Goosebumps The Haunted Mask (33) 80901</t>
  </si>
  <si>
    <t>Fun80901</t>
  </si>
  <si>
    <t>0889698809016</t>
  </si>
  <si>
    <t>Фигурка Funko POP! Books How the Grinch Stole Christmas Grinch &amp; Max 2PK 72505</t>
  </si>
  <si>
    <t>Fun72505</t>
  </si>
  <si>
    <t>0889698725057</t>
  </si>
  <si>
    <t>Grinch</t>
  </si>
  <si>
    <t>20,3 / 16 / 9</t>
  </si>
  <si>
    <t>Фигурка Funko POP! Books Odd 1s Out James (1695) 72512</t>
  </si>
  <si>
    <t>Fun72512</t>
  </si>
  <si>
    <t>0889698725125</t>
  </si>
  <si>
    <t>Фигурка Funko POP! Brooklyn Nine-Nine Amy Santiago (1624) 61399</t>
  </si>
  <si>
    <t>Fun61399</t>
  </si>
  <si>
    <t>0889698613996</t>
  </si>
  <si>
    <t>Бруклин 9-9</t>
  </si>
  <si>
    <t>Фигурка Funko POP! Brooklyn Nine-Nine Captain Ray Holt with Cheddar (1626) 61401</t>
  </si>
  <si>
    <t>Fun61401</t>
  </si>
  <si>
    <t>0889698614016</t>
  </si>
  <si>
    <t>Фигурка Funko POP! Brooklyn Nine-Nine Charles Boyle (1625) 61397</t>
  </si>
  <si>
    <t>Fun61397</t>
  </si>
  <si>
    <t>0889698613972</t>
  </si>
  <si>
    <t>Фигурка Funko POP! Brooklyn Nine-Nine Jake Peralta w/coffee (1622) 61398</t>
  </si>
  <si>
    <t>Fun61398</t>
  </si>
  <si>
    <t>0889698613989</t>
  </si>
  <si>
    <t>Фигурка Funko POP! Brooklyn Nine-Nine Terry Jeffords with Yogurt (1623) 61400</t>
  </si>
  <si>
    <t>Fun61400</t>
  </si>
  <si>
    <t>0889698614009</t>
  </si>
  <si>
    <t>Фигурка Funko POP! Comic Cover DC Justice League of America #217 (Exc) (19) 84528</t>
  </si>
  <si>
    <t>Fun84528</t>
  </si>
  <si>
    <t>0889698845281</t>
  </si>
  <si>
    <t>27,5 / 17,8 / 8,5</t>
  </si>
  <si>
    <t>Фигурка Funko POP! Comic Covers DC Action Comics #644 Superman (18)​ 81073</t>
  </si>
  <si>
    <t>Fun81073</t>
  </si>
  <si>
    <t>0889698810739</t>
  </si>
  <si>
    <t>8,6 / 18,3 / 28</t>
  </si>
  <si>
    <t>Фигурка Funko POP! Comic Covers DC Batgirl #1 (2008) (18) 76086</t>
  </si>
  <si>
    <t>Fun76086</t>
  </si>
  <si>
    <t>0889698760867</t>
  </si>
  <si>
    <t>27,5 / 18 / 8,5</t>
  </si>
  <si>
    <t>Фигурка Funko POP! Comic Covers DC Cyborg Superman (21) 83729</t>
  </si>
  <si>
    <t>Fun83729</t>
  </si>
  <si>
    <t>0889698837293</t>
  </si>
  <si>
    <t>8 / 17,5 / 21,8</t>
  </si>
  <si>
    <t>Фигурка Funko POP! Comic Covers DC Superman 85th Superman (Exc) (20) 84431</t>
  </si>
  <si>
    <t>Fun84431</t>
  </si>
  <si>
    <t>0889698844314</t>
  </si>
  <si>
    <t>Фигурка Funko POP! Comic Covers Marvel Amazing Spider-Man #50 Peter Parker (Exc) (64) 84601</t>
  </si>
  <si>
    <t>Fun84601</t>
  </si>
  <si>
    <t>0889698846011</t>
  </si>
  <si>
    <t>27,6 / 18 / 8,5</t>
  </si>
  <si>
    <t>Фигурка Funko POP! Comic Covers Marvel Amazing Spider-Man #529 Iron Spider (Exc) (67) 84527</t>
  </si>
  <si>
    <t>Fun84527</t>
  </si>
  <si>
    <t>0889698845274</t>
  </si>
  <si>
    <t>27,4 / 18 / 8,5</t>
  </si>
  <si>
    <t>Фигурка Funko POP! Comic Covers Marvel Astonishing X-Men The Age of Apocalypse #1 Weapon Х (65)84114</t>
  </si>
  <si>
    <t>Fun84114</t>
  </si>
  <si>
    <t>0889698841146</t>
  </si>
  <si>
    <t>Фигурка Funko POP! Comic Covers Marvel Avengers #1 Iron Man (Exc) (28) 74133</t>
  </si>
  <si>
    <t>Fun74133</t>
  </si>
  <si>
    <t>0889698741330</t>
  </si>
  <si>
    <t>Фигурка Funko POP! Comic Covers Marvel Avengers #16 Captain America (Exc) (30) 74134</t>
  </si>
  <si>
    <t>Fun74134</t>
  </si>
  <si>
    <t>0889698741347</t>
  </si>
  <si>
    <t>8,8 / 18,2 / 27,8</t>
  </si>
  <si>
    <t>Фигурка Funko POP! Comic Covers Marvel Daredevil #168 Daredevil (41) 74421</t>
  </si>
  <si>
    <t>Fun74421</t>
  </si>
  <si>
    <t>0889698744218</t>
  </si>
  <si>
    <t>Фигурка Funko POP! Comic Covers Marvel Daredevil #189 Daredevil (Black&amp;White) (Exc) (55) 81841</t>
  </si>
  <si>
    <t>Fun81841</t>
  </si>
  <si>
    <t>0889698818414</t>
  </si>
  <si>
    <t>28 / 18 / 8</t>
  </si>
  <si>
    <t>Фигурка Funko POP! Comic Covers Marvel Daredevil 60th Daredevil #1 (56) 81047</t>
  </si>
  <si>
    <t>Fun81047</t>
  </si>
  <si>
    <t>0889698810470</t>
  </si>
  <si>
    <t>9 / 18 / 27,5</t>
  </si>
  <si>
    <t>Фигурка Funko POP! Comic Covers Marvel Daredevil Elektra (14) 65742</t>
  </si>
  <si>
    <t>Fun65742</t>
  </si>
  <si>
    <t>0889698657426</t>
  </si>
  <si>
    <t>29,2 / 18,5 / 8,5</t>
  </si>
  <si>
    <t>Фигурка Funko POP! Comic Covers Marvel Deadpool Kills Deadpool #2 Deadpool (Exc) (62) 83037</t>
  </si>
  <si>
    <t>Fun83037</t>
  </si>
  <si>
    <t>0889698830379</t>
  </si>
  <si>
    <t>Фигурка Funko POP! Comic Covers Marvel Guardians of the Galaxy Rocket Raccoon (Exc) (59) 81839</t>
  </si>
  <si>
    <t>Fun81839</t>
  </si>
  <si>
    <t>0889698818391</t>
  </si>
  <si>
    <t>Фигурка Funko POP! Comic Covers Marvel Spider-Man (2016) #1 Spider-Man (Exc) (60) 81838</t>
  </si>
  <si>
    <t>Fun81838</t>
  </si>
  <si>
    <t>0889698818384</t>
  </si>
  <si>
    <t>8,5 / 18 / 28</t>
  </si>
  <si>
    <t>Фигурка Funko POP! Comic Covers Marvel Spider-Man 2099 #1 Spider-Man 2099 (Exc) (68) 84600</t>
  </si>
  <si>
    <t>Fun84600</t>
  </si>
  <si>
    <t>0889698846004</t>
  </si>
  <si>
    <t>Фигурка Funko POP! Comic Covers Marvel Spider-Man Sub-City #1 Spider-Man(SymbioteSuit)(69)(Exc)85343</t>
  </si>
  <si>
    <t>Fun85343</t>
  </si>
  <si>
    <t>0889698853439</t>
  </si>
  <si>
    <t>Фигурка Funko POP! Comic Covers Marvel Spider-Man Torment Vol 1 Spider-Man (70) (Exc) 85339</t>
  </si>
  <si>
    <t>Fun85339</t>
  </si>
  <si>
    <t>0889698853392</t>
  </si>
  <si>
    <t>Фигурка Funko POP! Comic Covers Marvel The Astonishing X-Men #2 Sabretooth (Exc) (63) 84426</t>
  </si>
  <si>
    <t>Fun84426</t>
  </si>
  <si>
    <t>0889698844260</t>
  </si>
  <si>
    <t>Фигурка Funko POP! Comic Covers Marvel X-Men The Uncanny X-Men #141 Wolverine (50) 76082</t>
  </si>
  <si>
    <t>Fun76082</t>
  </si>
  <si>
    <t>0889698760829</t>
  </si>
  <si>
    <t>9 / 18 / 28</t>
  </si>
  <si>
    <t>Фигурка Funko POP! Comic Covers Marvel's 85th Amazing Spider-Man #70 Spider-Man (58) 80875</t>
  </si>
  <si>
    <t>Fun80875</t>
  </si>
  <si>
    <t>0889698808750</t>
  </si>
  <si>
    <t>8,8 / 18 / 27,7</t>
  </si>
  <si>
    <t>Фигурка Funko POP! Comic Covers Marvel's 85th Captain America #112 Captain America (61) 80961</t>
  </si>
  <si>
    <t>Fun80961</t>
  </si>
  <si>
    <t>0889698809610</t>
  </si>
  <si>
    <t>Фигурка Funko POP! Comic Covers Star Wars #48 Darth Vader (1977) (05) 80876</t>
  </si>
  <si>
    <t>Fun80876</t>
  </si>
  <si>
    <t>0889698808767</t>
  </si>
  <si>
    <t>11,6 / 18 / 27,8</t>
  </si>
  <si>
    <t>Фигурка Funko POP! Comic Covers Star Wars Obi-Wan Kenobi (03) 66932</t>
  </si>
  <si>
    <t>Fun66932</t>
  </si>
  <si>
    <t>0889698669320</t>
  </si>
  <si>
    <t>27,7 / 18 / 11,8</t>
  </si>
  <si>
    <t>Фигурка Funko POP! Comics TMNT The Last Ronin Donatello (42) 83510</t>
  </si>
  <si>
    <t>Fun83510</t>
  </si>
  <si>
    <t>0889698835107</t>
  </si>
  <si>
    <t>Фигурка Funko POP! Comics TMNT The Last Ronin Leonardo w/Sword (Exc) (48) 85094</t>
  </si>
  <si>
    <t>Fun85094</t>
  </si>
  <si>
    <t>0889698850940</t>
  </si>
  <si>
    <t>Фигурка Funko POP! Comics TMNT The Last Ronin Leonardo​ (43) 83511</t>
  </si>
  <si>
    <t>Fun83511</t>
  </si>
  <si>
    <t>0889698835114</t>
  </si>
  <si>
    <t>Фигурка Funko POP! Comics TMNT The Last Ronin Oroku Hiroto (Exc) (47) 84986</t>
  </si>
  <si>
    <t>Fun84986</t>
  </si>
  <si>
    <t>0889698849869</t>
  </si>
  <si>
    <t>Фигурка Funko POP! Comics TMNT The Last Ronin Raphael​ (44) 83512</t>
  </si>
  <si>
    <t>Fun83512</t>
  </si>
  <si>
    <t>0889698835121</t>
  </si>
  <si>
    <t>Фигурка Funko POP! Comics TMNT The Last Ronin The Last Ronin (B&amp;W) (Exc) (46) 84985</t>
  </si>
  <si>
    <t>Fun84985</t>
  </si>
  <si>
    <t>0889698849852</t>
  </si>
  <si>
    <t>Фигурка Funko POP! Covers Disney Cinderella Cinderella (Sketched) (1523) 80936</t>
  </si>
  <si>
    <t>Fun80936</t>
  </si>
  <si>
    <t>0889698809368</t>
  </si>
  <si>
    <t>Фигурка Funko POP! Covers One Piece Nami (Wanted) (Exc) (1777) 84581</t>
  </si>
  <si>
    <t>Fun84581</t>
  </si>
  <si>
    <t>0889698845816</t>
  </si>
  <si>
    <t>Фигурка Funko POP! Deluxe Animation Hunter Х Hunter Alluka Zoldyck (1728) 80349</t>
  </si>
  <si>
    <t>Fun80349</t>
  </si>
  <si>
    <t>0889698803496</t>
  </si>
  <si>
    <t>18 / 14,5 / 13</t>
  </si>
  <si>
    <t>Фигурка Funko POP! Deluxe Avatar The Last Airbender King Bumi (1444) 72102</t>
  </si>
  <si>
    <t>Fun72102</t>
  </si>
  <si>
    <t>0889698721028</t>
  </si>
  <si>
    <t>Фигурка Funko POP! Deluxe Avatar The Last Airbender S7 Aang (1806) 81245</t>
  </si>
  <si>
    <t>Fun81245</t>
  </si>
  <si>
    <t>0889698812450</t>
  </si>
  <si>
    <t>Фигурка Funko POP! Deluxe Avatar The Last Airbender S7 Katara (1807) 81246</t>
  </si>
  <si>
    <t>Fun81246</t>
  </si>
  <si>
    <t>0889698812467</t>
  </si>
  <si>
    <t>Фигурка Funko POP! Deluxe Avatar The Last Airbender S7 Toph (1808) 81247</t>
  </si>
  <si>
    <t>Fun81247</t>
  </si>
  <si>
    <t>0889698812474</t>
  </si>
  <si>
    <t>Фигурка Funko POP! Deluxe Avatar The Last Airbender S7 Zuko (1809) 81248</t>
  </si>
  <si>
    <t>Fun81248</t>
  </si>
  <si>
    <t>0889698812481</t>
  </si>
  <si>
    <t>14 / 17 / 20,7</t>
  </si>
  <si>
    <t>Фигурка Funko POP! Deluxe Batman 85th Joker on the Beach (520) 80682</t>
  </si>
  <si>
    <t>Fun80682</t>
  </si>
  <si>
    <t>0889698806824</t>
  </si>
  <si>
    <t>14,1 / 16,8 / 20,8</t>
  </si>
  <si>
    <t>Фигурка Funko POP! Deluxe Beetlejuice Here Lies Betelguise (Exc) (1762) 84529</t>
  </si>
  <si>
    <t>Fun84529</t>
  </si>
  <si>
    <t>0889698845298</t>
  </si>
  <si>
    <t>Beetlejuice</t>
  </si>
  <si>
    <t>Фигурка Funko POP! Deluxe Bobble Marvel Spider-Man (Webbed) (Exc) (1462) 84425</t>
  </si>
  <si>
    <t>Fun84425</t>
  </si>
  <si>
    <t>0889698844253</t>
  </si>
  <si>
    <t>Фигурка Funko POP! Deluxe Bobble Star Wars Darkside Kylo Ren with Darth Vader's Helmet (739) 80772</t>
  </si>
  <si>
    <t>Fun80772</t>
  </si>
  <si>
    <t>0889698807722</t>
  </si>
  <si>
    <t>14 / 20,2 / 16,6</t>
  </si>
  <si>
    <t>Фигурка Funko POP! Deluxe Bobble Star Wars Darth Dark Side Vader on Throne (745) 80767</t>
  </si>
  <si>
    <t>Fun80767</t>
  </si>
  <si>
    <t>0889698807678</t>
  </si>
  <si>
    <t>20,5 / 14 / 17</t>
  </si>
  <si>
    <t>Фигурка Funko POP! Deluxe Bobble Star Wars Ep 1 TPM 25th Queen Amidala on Throne (705) 76012</t>
  </si>
  <si>
    <t>Fun76012</t>
  </si>
  <si>
    <t>0889698760126</t>
  </si>
  <si>
    <t>14 / 16,8 / 20,5</t>
  </si>
  <si>
    <t>Фигурка Funko POP! Deluxe Bobble Star Wars Ep 4 ANH R2-D2 And Princess Leia Hologram (766) 83799</t>
  </si>
  <si>
    <t>Fun83799</t>
  </si>
  <si>
    <t>0889698837996</t>
  </si>
  <si>
    <t>Фигурка Funko POP! Deluxe Bobble Star Wars Mandalorian S10 IG-12 with Grogu (720) 80001</t>
  </si>
  <si>
    <t>Fun80001</t>
  </si>
  <si>
    <t>0889698800013</t>
  </si>
  <si>
    <t>Фигурка Funko POP! Deluxe Bobble Star Wars Mandalorian S9 Bo-Katan Kryze on Throne (669) 76545</t>
  </si>
  <si>
    <t>Fun76545</t>
  </si>
  <si>
    <t>0889698765459</t>
  </si>
  <si>
    <t>Фигурка Funko POP! Deluxe Bobble Star Wars SW Bounty Hunters Dengar (Exc) (440) 56105</t>
  </si>
  <si>
    <t>Fun25491927</t>
  </si>
  <si>
    <t>0889698561051</t>
  </si>
  <si>
    <t>Фигурка Funko POP! Deluxe Chainsaw Man Chainsaw Man (1768) 83632</t>
  </si>
  <si>
    <t>Fun83632</t>
  </si>
  <si>
    <t>0889698836326</t>
  </si>
  <si>
    <t>Фигурка Funko POP! Deluxe Coraline 15th Coraline in Tunnel (1643) 81166</t>
  </si>
  <si>
    <t>Fun81166</t>
  </si>
  <si>
    <t>0889698811668</t>
  </si>
  <si>
    <t>Коралина в Стране Кошмаров</t>
  </si>
  <si>
    <t>Фигурка Funko POP! Deluxe D&amp;D Gelatinous Cube with Dracolich (GW) (Exc) (1069) 84422</t>
  </si>
  <si>
    <t>Fun84422</t>
  </si>
  <si>
    <t>0889698844222</t>
  </si>
  <si>
    <t>Dungeons &amp; Dragons</t>
  </si>
  <si>
    <t>Фигурка Funko POP! Deluxe DC Batman Animated Series S5 Batman (549) 83517</t>
  </si>
  <si>
    <t>Fun83517</t>
  </si>
  <si>
    <t>0889698835176</t>
  </si>
  <si>
    <t>Фигурка Funko POP! Deluxe DC Superman (1978) Superman (FoS) (537) 80762</t>
  </si>
  <si>
    <t>Fun80762</t>
  </si>
  <si>
    <t>0889698807623</t>
  </si>
  <si>
    <t>Фигурка Funko POP! Deluxe Disney Ratatouille Remy w/Ratatouille (Exc) (1209) 64989</t>
  </si>
  <si>
    <t>Fun64989</t>
  </si>
  <si>
    <t>0889698649896</t>
  </si>
  <si>
    <t>Фигурка Funko POP! Deluxe Disney Sleeping Beauty 65th Maleficent on Bridge (1453) 78180</t>
  </si>
  <si>
    <t>Fun78180</t>
  </si>
  <si>
    <t>0889698781800</t>
  </si>
  <si>
    <t>Спящая красавица</t>
  </si>
  <si>
    <t>14,3 / 16,8 / 20,8</t>
  </si>
  <si>
    <t>Фигурка Funko POP! Deluxe Disney The Jungle Book S2 King Louie on Throne (1491) 80785</t>
  </si>
  <si>
    <t>Fun80785</t>
  </si>
  <si>
    <t>0889698807852</t>
  </si>
  <si>
    <t>Книга джунглей</t>
  </si>
  <si>
    <t>14 / 16,8 / 21</t>
  </si>
  <si>
    <t>Фигурка Funko POP! Deluxe Disney TNBC 30th Jack Skellington &amp; Zero with Tree (1386) 72382</t>
  </si>
  <si>
    <t>Fun72382</t>
  </si>
  <si>
    <t>0889698723824</t>
  </si>
  <si>
    <t>Фигурка Funko POP! Deluxe Disney TNBC 30th Jack Skellington w/Christmas Door (1360) 72310</t>
  </si>
  <si>
    <t>Fun72310</t>
  </si>
  <si>
    <t>0889698723107</t>
  </si>
  <si>
    <t>Фигурка Funko POP! Deluxe Disney TNBC 30th Jack Skellington w/Halloween Door (1361) 72311</t>
  </si>
  <si>
    <t>Fun72311</t>
  </si>
  <si>
    <t>0889698723114</t>
  </si>
  <si>
    <t>Фигурка Funko POP! Deluxe Disney TNBC 30th Sally w/Gravestone (1358) 72315</t>
  </si>
  <si>
    <t>Fun72315</t>
  </si>
  <si>
    <t>0889698723152</t>
  </si>
  <si>
    <t>12,5 / 14,1 / 18</t>
  </si>
  <si>
    <t>Фигурка Funko POP! Deluxe Harry Potter Anniversary Harry Potter Pushing Trolley (135) 57360</t>
  </si>
  <si>
    <t>Fun25491306</t>
  </si>
  <si>
    <t>0889698573603</t>
  </si>
  <si>
    <t>16,7 / 14,1 / 20</t>
  </si>
  <si>
    <t>Фигурка Funko POP! Deluxe Harry Potter Hogsmeade Madam Rosmerta w/The Three Broomsticks (157) 65649</t>
  </si>
  <si>
    <t>Fun65649</t>
  </si>
  <si>
    <t>0889698656498</t>
  </si>
  <si>
    <t>16,9 / 19 / 25,5</t>
  </si>
  <si>
    <t>Фигурка Funko POP! Deluxe Harry Potter Hogsmeade Neville Longbottom w/Honeydukes (155) 65647</t>
  </si>
  <si>
    <t>Fun65647</t>
  </si>
  <si>
    <t>0889698656474</t>
  </si>
  <si>
    <t>Фигурка Funko POP! Deluxe Harry Potter POA Albus Dumbledore with Podium (172) 76002</t>
  </si>
  <si>
    <t>Fun76002</t>
  </si>
  <si>
    <t>0889698760027</t>
  </si>
  <si>
    <t>13,8 / 16,5 / 20,5</t>
  </si>
  <si>
    <t>Фигурка Funko POP! Deluxe How the Grinch Stole Christmas Grinch w/Bag (35) 80972</t>
  </si>
  <si>
    <t>Fun80972</t>
  </si>
  <si>
    <t>0889698809726</t>
  </si>
  <si>
    <t>Фигурка Funko POP! Deluxe How to Train Your Dragon Live Action Toothless (1792) 86140</t>
  </si>
  <si>
    <t>Fun86140</t>
  </si>
  <si>
    <t>0889698861403</t>
  </si>
  <si>
    <t>Как приручить дракона</t>
  </si>
  <si>
    <t>20,8 / 16,9 / 14</t>
  </si>
  <si>
    <t>Фигурка Funko POP! Deluxe Killer Klown from Outer Space Jumbo (1624) 80800</t>
  </si>
  <si>
    <t>Fun80800</t>
  </si>
  <si>
    <t>0889698808002</t>
  </si>
  <si>
    <t>Клоуны-убийцы из космоса</t>
  </si>
  <si>
    <t>Фигурка Funko POP! Deluxe LOTR S8 Gandalf At The Doors of Durin (1746) 83784</t>
  </si>
  <si>
    <t>Fun83784</t>
  </si>
  <si>
    <t>0889698837842</t>
  </si>
  <si>
    <t>Фигурка Funko POP! Deluxe Marvel Daredevil 60th Matt Murdock with Radar (1385) 81048</t>
  </si>
  <si>
    <t>Fun81048</t>
  </si>
  <si>
    <t>0889698810487</t>
  </si>
  <si>
    <t>14 / 16,7 / 20,5</t>
  </si>
  <si>
    <t>Фигурка Funko POP! Deluxe One Piece Buggy The Clown NYCC24 (Exc) (1740) 78666</t>
  </si>
  <si>
    <t>Fun78666</t>
  </si>
  <si>
    <t>0889698786669</t>
  </si>
  <si>
    <t>Фигурка Funko POP! Deluxe Peanuts Snoopy &amp; Beagle Scouts (1587) 79999</t>
  </si>
  <si>
    <t>Fun79999</t>
  </si>
  <si>
    <t>0889698799997</t>
  </si>
  <si>
    <t>Peanuts</t>
  </si>
  <si>
    <t>Comics</t>
  </si>
  <si>
    <t>14,1 / 16,7 / 20,5</t>
  </si>
  <si>
    <t>Фигурка Funko POP! Deluxe Peanuts Snoopy and Doghouse (1629) 80012</t>
  </si>
  <si>
    <t>Fun80012</t>
  </si>
  <si>
    <t>0889698800129</t>
  </si>
  <si>
    <t>Movies</t>
  </si>
  <si>
    <t>Фигурка Funko POP! Deluxe Sesame Street S3 Big Bird in Nest (1612) 80141</t>
  </si>
  <si>
    <t>Fun80141</t>
  </si>
  <si>
    <t>0889698801416</t>
  </si>
  <si>
    <t>Улица Сезам</t>
  </si>
  <si>
    <t>TV</t>
  </si>
  <si>
    <t>Фигурка Funko POP! Deluxe Singin' in the Rain Don Lockwood (1871) 80232</t>
  </si>
  <si>
    <t>Fun80232</t>
  </si>
  <si>
    <t>0889698802321</t>
  </si>
  <si>
    <t>14 / 16,8 / 20,7</t>
  </si>
  <si>
    <t>Фигурка Funko POP! Deluxe TMNT The Last Ronin The Last Ronin (45) 83513</t>
  </si>
  <si>
    <t>Fun83513</t>
  </si>
  <si>
    <t>0889698835138</t>
  </si>
  <si>
    <t>20,4 / 16,8 / 14</t>
  </si>
  <si>
    <t>Фигурка Funko POP! Deluxe TV The Twilight Zone 1959 Mr Robert Wilson (1584) 80197</t>
  </si>
  <si>
    <t>Fun80197</t>
  </si>
  <si>
    <t>0889698801973</t>
  </si>
  <si>
    <t>Сумеречная зона</t>
  </si>
  <si>
    <t>17,6 / 14,2 / 12,6</t>
  </si>
  <si>
    <t>Фигурка Funko POP! Deluxe Yu-Gi-Oh! Rainbow Dragon (1738) 80380</t>
  </si>
  <si>
    <t>Fun80380</t>
  </si>
  <si>
    <t>0889698803809</t>
  </si>
  <si>
    <t>Фигурка Funko POP! Disney Bambi Bambi (Sketched) (1527) 80947</t>
  </si>
  <si>
    <t>Fun80947</t>
  </si>
  <si>
    <t>0889698809474</t>
  </si>
  <si>
    <t>Бемби</t>
  </si>
  <si>
    <t>Фигурка Funko POP! Disney Big Hero 6 Baymax with Heart Hands 6" (1511) 80211</t>
  </si>
  <si>
    <t>Fun80211</t>
  </si>
  <si>
    <t>0889698802116</t>
  </si>
  <si>
    <t>Город героев</t>
  </si>
  <si>
    <t>Фигурка Funko POP! Disney Black Cauldron Eilonwy w/Gurgi (1588) 83598</t>
  </si>
  <si>
    <t>Fun83598</t>
  </si>
  <si>
    <t>0889698835985</t>
  </si>
  <si>
    <t>Фигурка Funko POP! Disney Black Cauldron Horned King w/Creeper (1586) 83596</t>
  </si>
  <si>
    <t>Fun83596</t>
  </si>
  <si>
    <t>0889698835961</t>
  </si>
  <si>
    <t>Фигурка Funko POP! Disney Black Cauldron Taran w/Sword (1587) 83597</t>
  </si>
  <si>
    <t>Fun83597</t>
  </si>
  <si>
    <t>0889698835978</t>
  </si>
  <si>
    <t>Фигурка Funko POP! Disney Cinderella 75th Cinderella (1542) 83456</t>
  </si>
  <si>
    <t>Fun83456</t>
  </si>
  <si>
    <t>0889698834568</t>
  </si>
  <si>
    <t>Фигурка Funko POP! Disney Cinderella 75th Fairy Godmother (1543) 83457</t>
  </si>
  <si>
    <t>Fun83457</t>
  </si>
  <si>
    <t>0889698834575</t>
  </si>
  <si>
    <t>Фигурка Funko POP! Disney Cinderella 75th Jaq &amp; Gus Gus in Cup (1544) 83458</t>
  </si>
  <si>
    <t>Fun83458</t>
  </si>
  <si>
    <t>0889698834582</t>
  </si>
  <si>
    <t>Фигурка Funko POP! Disney Cinderella 75th Prince Charming (1545) 83459</t>
  </si>
  <si>
    <t>Fun83459</t>
  </si>
  <si>
    <t>0889698834599</t>
  </si>
  <si>
    <t>Фигурка Funko POP! Disney Classics Bambi 80th Anniversary Bambi (1433) 65664</t>
  </si>
  <si>
    <t>Fun65664</t>
  </si>
  <si>
    <t>0889698656641</t>
  </si>
  <si>
    <t>Фигурка Funko POP! Disney Classics Bambi 80th Anniversary Flower (1434) 65665</t>
  </si>
  <si>
    <t>Fun65665</t>
  </si>
  <si>
    <t>0889698656658</t>
  </si>
  <si>
    <t>Фигурка Funko POP! Disney Classics Bambi 80th Anniversary Thumper (1435) 65666</t>
  </si>
  <si>
    <t>Fun65666</t>
  </si>
  <si>
    <t>0889698656665</t>
  </si>
  <si>
    <t>Фигурка Funko POP! Disney Coco Miguel w/guitar (GW) (Exc) (1237) 66371</t>
  </si>
  <si>
    <t>Fun66371</t>
  </si>
  <si>
    <t>0889698663717</t>
  </si>
  <si>
    <t>Фигурка Funko POP! Disney Cruella Cruella (Making Art) (1038) 54466</t>
  </si>
  <si>
    <t>Fun25491068</t>
  </si>
  <si>
    <t>0889698544665</t>
  </si>
  <si>
    <t>16,1 / 11,2 / 8,8</t>
  </si>
  <si>
    <t>Фигурка Funko POP! Disney Donald Duck 90th Angry Donald Duck (1443) 75723</t>
  </si>
  <si>
    <t>Fun75723</t>
  </si>
  <si>
    <t>0889698757232</t>
  </si>
  <si>
    <t>Фигурка Funko POP! Disney Donald Duck 90th Donald Duck with Heart Eyes (1445) 75725</t>
  </si>
  <si>
    <t>Fun75725</t>
  </si>
  <si>
    <t>0889698757256</t>
  </si>
  <si>
    <t>Фигурка Funko POP! Disney Dumbo Dumbo (Sketched) (1524) 80940</t>
  </si>
  <si>
    <t>Fun80940</t>
  </si>
  <si>
    <t>0889698809405</t>
  </si>
  <si>
    <t>Дамбо</t>
  </si>
  <si>
    <t>Фигурка Funko POP! Disney Dumbo S3 Dumbo w/Flag (1535) 80207</t>
  </si>
  <si>
    <t>Fun80207</t>
  </si>
  <si>
    <t>0889698802079</t>
  </si>
  <si>
    <t>Фигурка Funko POP! Disney Dumbo S3 Mrs. Jumbo with Dumbo 6" (1537) 80209</t>
  </si>
  <si>
    <t>Fun80209</t>
  </si>
  <si>
    <t>0889698802093</t>
  </si>
  <si>
    <t>Фигурка Funko POP! Disney Dumbo S3 Timothy Q.Mouse (1536) 80208</t>
  </si>
  <si>
    <t>Fun80208</t>
  </si>
  <si>
    <t>0889698802086</t>
  </si>
  <si>
    <t>Фигурка Funko POP! Disney Encanto Mirabel Madrigal (1145) 57599</t>
  </si>
  <si>
    <t>Fun25491645</t>
  </si>
  <si>
    <t>0889698575997</t>
  </si>
  <si>
    <t>Энканто</t>
  </si>
  <si>
    <t>16,1 / 11,3 / 8,8</t>
  </si>
  <si>
    <t>Фигурка Funko POP! Disney Fantasia 2000 Spring Sprite (1558) 83570</t>
  </si>
  <si>
    <t>Fun83570</t>
  </si>
  <si>
    <t>0889698835701</t>
  </si>
  <si>
    <t>Фантазия 2000 (1999)</t>
  </si>
  <si>
    <t>Фигурка Funko POP! Disney Frozen 2 Anna (582) 40886</t>
  </si>
  <si>
    <t>Fun254934</t>
  </si>
  <si>
    <t>0889698408868</t>
  </si>
  <si>
    <t>Холодное сердце</t>
  </si>
  <si>
    <t>Фигурка Funko POP! Disney Gargoyles Demona (Angry) (1477) 82665</t>
  </si>
  <si>
    <t>Fun82665</t>
  </si>
  <si>
    <t>0889698826655</t>
  </si>
  <si>
    <t>Фигурка Funko POP! Disney Goofy Movie 30th Bobby Zimuruski (1578) 84873</t>
  </si>
  <si>
    <t>Fun84873</t>
  </si>
  <si>
    <t>0889698848732</t>
  </si>
  <si>
    <t>Фигурка Funko POP! Disney Goofy Movie 30th Goofy (1575) 83599</t>
  </si>
  <si>
    <t>Fun83599</t>
  </si>
  <si>
    <t>0889698835992</t>
  </si>
  <si>
    <t>Фигурка Funko POP! Disney Goofy Movie 30th Max (1577) 83601</t>
  </si>
  <si>
    <t>Fun83601</t>
  </si>
  <si>
    <t>0889698836012</t>
  </si>
  <si>
    <t>Фигурка Funko POP! Disney Goofy Movie 30th Roxanne (1576) 83600</t>
  </si>
  <si>
    <t>Fun83600</t>
  </si>
  <si>
    <t>0889698836005</t>
  </si>
  <si>
    <t>Фигурка Funko POP! Disney Halloween Minnie Mouse (1485) 79903</t>
  </si>
  <si>
    <t>Fun79903</t>
  </si>
  <si>
    <t>0889698799034</t>
  </si>
  <si>
    <t>Фигурка Funko POP! Disney Halloween Pirate Mickey Mouse (1486) 79904</t>
  </si>
  <si>
    <t>Fun79904</t>
  </si>
  <si>
    <t>0889698799041</t>
  </si>
  <si>
    <t>Фигурка Funko POP! Disney Holiday 2021 Donald Duck (1128) 57747</t>
  </si>
  <si>
    <t>Fun25491808</t>
  </si>
  <si>
    <t>0889698577472</t>
  </si>
  <si>
    <t>Фигурка Funko POP! Disney Holiday 2021 Eeyore (1129) 57748</t>
  </si>
  <si>
    <t>Fun25491809</t>
  </si>
  <si>
    <t>0889698577489</t>
  </si>
  <si>
    <t>Фигурка Funko POP! Disney Holiday 2021 Tigger (1130) 57749</t>
  </si>
  <si>
    <t>Fun25491810</t>
  </si>
  <si>
    <t>0889698577496</t>
  </si>
  <si>
    <t>Фигурка Funko POP! Disney Holiday Mickey Mickey Mouse (612) 43327</t>
  </si>
  <si>
    <t>Fun43327</t>
  </si>
  <si>
    <t>0889698433273</t>
  </si>
  <si>
    <t>Фигурка Funko POP! Disney Holiday Winnie the Pooh (DGLT) (Exc) (614) 51675</t>
  </si>
  <si>
    <t>Fun2549732</t>
  </si>
  <si>
    <t>0889698516754</t>
  </si>
  <si>
    <t>Фигурка Funko POP! Disney Incredibles 20th Edna Mode (1507) 80949</t>
  </si>
  <si>
    <t>Fun80949</t>
  </si>
  <si>
    <t>0889698809498</t>
  </si>
  <si>
    <t>Суперсемейка</t>
  </si>
  <si>
    <t>Фигурка Funko POP! Disney Incredibles 20th Elastigirl w/(B&amp;W)Chase (1508) 80950</t>
  </si>
  <si>
    <t>Fun80950</t>
  </si>
  <si>
    <t>0889698809504</t>
  </si>
  <si>
    <t>Фигурка Funko POP! Disney Incredibles 20th JJ and Syndrome (1506) 80948</t>
  </si>
  <si>
    <t>Fun80948</t>
  </si>
  <si>
    <t>0889698809481</t>
  </si>
  <si>
    <t>Фигурка Funko POP! Disney Incredibles 20th Mr. Incredible w/(B&amp;W)Chase (1509) 80951</t>
  </si>
  <si>
    <t>Fun80951</t>
  </si>
  <si>
    <t>0889698809511</t>
  </si>
  <si>
    <t>Фигурка Funko POP! Disney Inside Out 2 Ennui (1448) 75997</t>
  </si>
  <si>
    <t>Fun75997</t>
  </si>
  <si>
    <t>0889698759977</t>
  </si>
  <si>
    <t>Головоломка 2</t>
  </si>
  <si>
    <t>Фигурка Funko POP! Disney Inside Out 2 Envy (On Memory Orb) (1449) 75998</t>
  </si>
  <si>
    <t>Fun75998</t>
  </si>
  <si>
    <t>0889698759984</t>
  </si>
  <si>
    <t>Фигурка Funko POP! Disney Inside Out 2 Joy (1451) 76000</t>
  </si>
  <si>
    <t>Fun76000</t>
  </si>
  <si>
    <t>0889698760003</t>
  </si>
  <si>
    <t>Фигурка Funko POP! Disney Kim Possible Cheerleader Kim (Exc) (1583) 84942</t>
  </si>
  <si>
    <t>Fun84942</t>
  </si>
  <si>
    <t>0889698849425</t>
  </si>
  <si>
    <t>Ким Пять-с-плюсом</t>
  </si>
  <si>
    <t>Фигурка Funko POP! Disney Kim Possible Kim Possible (1580) 83524</t>
  </si>
  <si>
    <t>Fun83524</t>
  </si>
  <si>
    <t>0889698835244</t>
  </si>
  <si>
    <t>Фигурка Funko POP! Disney Kim Possible Ron &amp; Rufus (1581) 83525</t>
  </si>
  <si>
    <t>Fun83525</t>
  </si>
  <si>
    <t>0889698835251</t>
  </si>
  <si>
    <t>Фигурка Funko POP! Disney Lady and the Tramp Lady w/Puppy (1553) 83568</t>
  </si>
  <si>
    <t>Fun83568</t>
  </si>
  <si>
    <t>0889698835688</t>
  </si>
  <si>
    <t>Леди и бродяга</t>
  </si>
  <si>
    <t>Фигурка Funko POP! Disney Lady and the Tramp Tramp w/Puppy (1554) 83569</t>
  </si>
  <si>
    <t>Fun83569</t>
  </si>
  <si>
    <t>0889698835695</t>
  </si>
  <si>
    <t>Фигурка Funko POP! Disney Lilo &amp; Stitch Angel w/Bags SS (Exc) (1574) 84936</t>
  </si>
  <si>
    <t>Fun84936</t>
  </si>
  <si>
    <t>0889698849364</t>
  </si>
  <si>
    <t>Фигурка Funko POP! Disney Lilo &amp; Stitch Angel w/Umbrella SS (Exc) (1573) 84935</t>
  </si>
  <si>
    <t>Fun84935</t>
  </si>
  <si>
    <t>0889698849357</t>
  </si>
  <si>
    <t>Фигурка Funko POP! Disney Lilo &amp; Stitch Easter Angel (1534) 83111</t>
  </si>
  <si>
    <t>Fun83111</t>
  </si>
  <si>
    <t>0889698831116</t>
  </si>
  <si>
    <t>Фигурка Funko POP! Disney Lilo &amp; Stitch Easter Stitch (1533) 83112</t>
  </si>
  <si>
    <t>Fun83112</t>
  </si>
  <si>
    <t>0889698831123</t>
  </si>
  <si>
    <t>Фигурка Funko POP! Disney Lilo &amp; Stitch Gamer Angel (Exc) (1483) 81949</t>
  </si>
  <si>
    <t>Fun81949</t>
  </si>
  <si>
    <t>0889698819497</t>
  </si>
  <si>
    <t>Фигурка Funko POP! Disney Lilo &amp; Stitch Holiday Stitch with Candy Cane (1502) 80036</t>
  </si>
  <si>
    <t>Fun80036</t>
  </si>
  <si>
    <t>0889698800365</t>
  </si>
  <si>
    <t>Фигурка Funko POP! Disney Lilo &amp; Stitch Holiday Stitch with Hat (1503) 80037</t>
  </si>
  <si>
    <t>Fun80037</t>
  </si>
  <si>
    <t>0889698800372</t>
  </si>
  <si>
    <t>Фигурка Funko POP! Disney Lilo &amp; Stitch Holiday Stitch with Lights (1504) 80038</t>
  </si>
  <si>
    <t>Fun80038</t>
  </si>
  <si>
    <t>0889698800389</t>
  </si>
  <si>
    <t>Фигурка Funko POP! Disney Lilo &amp; Stitch in Costume Stitch as Beast (1459) 75162</t>
  </si>
  <si>
    <t>Fun75162</t>
  </si>
  <si>
    <t>0889698751629</t>
  </si>
  <si>
    <t>Фигурка Funko POP! Disney Lilo &amp; Stitch in Costume Stitch as Gus Gus (Exc) (1463) 78403</t>
  </si>
  <si>
    <t>Fun78403</t>
  </si>
  <si>
    <t>0889698784030</t>
  </si>
  <si>
    <t>Фигурка Funko POP! Disney Lilo &amp; Stitch in Costume Stitch as Pongo (1462) 75165</t>
  </si>
  <si>
    <t>Fun75165</t>
  </si>
  <si>
    <t>0889698751650</t>
  </si>
  <si>
    <t>Фигурка Funko POP! Disney Lilo &amp; Stitch in Costume Stitch as Simba (1461) 75164</t>
  </si>
  <si>
    <t>Fun75164</t>
  </si>
  <si>
    <t>0889698751643</t>
  </si>
  <si>
    <t>Фигурка Funko POP! Disney Lilo &amp; Stitch Leroy SS (Exc) (1572) 84934</t>
  </si>
  <si>
    <t>Fun84934</t>
  </si>
  <si>
    <t>0889698849340</t>
  </si>
  <si>
    <t>Фигурка Funko POP! Disney Lilo &amp; Stitch Lilo with Pudge (1047) 55621</t>
  </si>
  <si>
    <t>Fun55621</t>
  </si>
  <si>
    <t>0889698556217</t>
  </si>
  <si>
    <t>Фигурка Funko POP! Disney Lilo &amp; Stitch Lilo with Scrump (1043) 55614</t>
  </si>
  <si>
    <t>Fun25491121</t>
  </si>
  <si>
    <t>0889698556149</t>
  </si>
  <si>
    <t>15,9 / 11,4 / 8,8</t>
  </si>
  <si>
    <t>Фигурка Funko POP! Disney Lilo &amp; Stitch Luau Angel (1568) 86274</t>
  </si>
  <si>
    <t>Fun86274</t>
  </si>
  <si>
    <t>0889698862745</t>
  </si>
  <si>
    <t>Фигурка Funko POP! Disney Lilo &amp; Stitch Luau Stitch (1567) 86275</t>
  </si>
  <si>
    <t>Fun86275</t>
  </si>
  <si>
    <t>0889698862752</t>
  </si>
  <si>
    <t>Фигурка Funko POP! Disney Lilo &amp; Stitch Pumpkin Stitch (BLKLT) (Exc) (1498) 81969</t>
  </si>
  <si>
    <t>Fun81969</t>
  </si>
  <si>
    <t>0889698819695</t>
  </si>
  <si>
    <t>Фигурка Funko POP! Disney Lilo &amp; Stitch Smiling Seated Stitch (1045) 55617</t>
  </si>
  <si>
    <t>Fun25491123</t>
  </si>
  <si>
    <t>0889698556170</t>
  </si>
  <si>
    <t>Фигурка Funko POP! Disney Lilo &amp; Stitch Stitch (12) 2353</t>
  </si>
  <si>
    <t>Fun1391</t>
  </si>
  <si>
    <t>0830395023533</t>
  </si>
  <si>
    <t>Фигурка Funko POP! Disney Lilo &amp; Stitch Stitch (Hanukkah) (1500) 79953</t>
  </si>
  <si>
    <t>Fun79953</t>
  </si>
  <si>
    <t>0889698799539</t>
  </si>
  <si>
    <t>Фигурка Funko POP! Disney Lilo &amp; Stitch Stitch 10" (1046) 55618</t>
  </si>
  <si>
    <t>Fun25491124</t>
  </si>
  <si>
    <t>0889698556187</t>
  </si>
  <si>
    <t>32,5 / 30,3 / 20,3</t>
  </si>
  <si>
    <t>Фигурка Funko POP! Disney Lilo &amp; Stitch Stitch 626 (125) 4671</t>
  </si>
  <si>
    <t>Fun2549884</t>
  </si>
  <si>
    <t>0849803046712</t>
  </si>
  <si>
    <t>Фигурка Funko POP! Disney Lilo &amp; Stitch Stitch as Pineapple (SC) (Exc) (1570) 87208</t>
  </si>
  <si>
    <t>Fun87208</t>
  </si>
  <si>
    <t>0889698872089</t>
  </si>
  <si>
    <t>Фигурка Funko POP! Disney Lilo &amp; Stitch Stitch In Cuffs (Exc) (1235) 66486</t>
  </si>
  <si>
    <t>Fun66486</t>
  </si>
  <si>
    <t>0889698664868</t>
  </si>
  <si>
    <t>Фигурка Funko POP! Disney Lilo &amp; Stitch Stitch in Sand (1566) 86276</t>
  </si>
  <si>
    <t>Fun86276</t>
  </si>
  <si>
    <t>0889698862769</t>
  </si>
  <si>
    <t>Фигурка Funko POP! Disney Lilo &amp; Stitch Stitch seated (159) 6555</t>
  </si>
  <si>
    <t>Fun1288</t>
  </si>
  <si>
    <t>0849803065553</t>
  </si>
  <si>
    <t>Фигурка Funko POP! Disney Lilo &amp; Stitch Stitch Unwrapping Gift (Exc) (1522) 82860</t>
  </si>
  <si>
    <t>Fun82860</t>
  </si>
  <si>
    <t>0889698828604</t>
  </si>
  <si>
    <t>Фигурка Funko POP! Disney Lilo &amp; Stitch Stitch w/Frog (Exc) (986) 51795</t>
  </si>
  <si>
    <t>Fun2549819</t>
  </si>
  <si>
    <t>0889698517959</t>
  </si>
  <si>
    <t>Фигурка Funko POP! Disney Lilo &amp; Stitch Stitch w/Ukulele (PRL) (Exc) (1044) 82880</t>
  </si>
  <si>
    <t>Fun82880</t>
  </si>
  <si>
    <t>0889698828802</t>
  </si>
  <si>
    <t>Фигурка Funko POP! Disney Lilo &amp; Stitch Stitch with Tube (1565) 86277</t>
  </si>
  <si>
    <t>Fun86277</t>
  </si>
  <si>
    <t>0889698862776</t>
  </si>
  <si>
    <t>Фигурка Funko POP! Disney Little Mermaid 30th Ariel w/bag (563) 40102</t>
  </si>
  <si>
    <t>Fun2386</t>
  </si>
  <si>
    <t>0889698401029</t>
  </si>
  <si>
    <t>Фигурка Funko POP! Disney Little Mermaid 30th Ursula w/ Eels (568) 40103</t>
  </si>
  <si>
    <t>Fun2387</t>
  </si>
  <si>
    <t>0889698401036</t>
  </si>
  <si>
    <t>Фигурка Funko POP! Disney Little Mermaid Live Action Ariel (1362) 70732</t>
  </si>
  <si>
    <t>Fun70732</t>
  </si>
  <si>
    <t>0889698707329</t>
  </si>
  <si>
    <t>Фигурка Funko POP! Disney Little Mermaid Live Action Prince Eric (1363) 70734</t>
  </si>
  <si>
    <t>Fun70734</t>
  </si>
  <si>
    <t>0889698707343</t>
  </si>
  <si>
    <t>Фигурка Funko POP! Disney Mickey and Friends Carnaval Minnie (1539) 84632</t>
  </si>
  <si>
    <t>Fun84632</t>
  </si>
  <si>
    <t>0889698846325</t>
  </si>
  <si>
    <t>Фигурка Funko POP! Disney Mickey and Friends Daisy (Festival Outfit) (1584) 83982</t>
  </si>
  <si>
    <t>Fun83982</t>
  </si>
  <si>
    <t>0889698839822</t>
  </si>
  <si>
    <t>Фигурка Funko POP! Disney Mickey and Friends Daisy (Hot Girl Walk) (1555) 83979</t>
  </si>
  <si>
    <t>Fun83979</t>
  </si>
  <si>
    <t>0889698839792</t>
  </si>
  <si>
    <t>Фигурка Funko POP! Disney Mickey and Friends Donald Duck (1191) 59621</t>
  </si>
  <si>
    <t>Fun59621</t>
  </si>
  <si>
    <t>0889698596213</t>
  </si>
  <si>
    <t>Фигурка Funko POP! Disney Mickey and Friends Lunar New Year Mickey (1540) 84635</t>
  </si>
  <si>
    <t>Fun84635</t>
  </si>
  <si>
    <t>0889698846356</t>
  </si>
  <si>
    <t>Фигурка Funko POP! Disney Mickey and Friends Mickey Mouse (Runner) (1556)​ 83980</t>
  </si>
  <si>
    <t>Fun83980</t>
  </si>
  <si>
    <t>0889698839808</t>
  </si>
  <si>
    <t>Фигурка Funko POP! Disney Mickey and Friends Minnie Mouse (Festival Outfit) (1585) 83983</t>
  </si>
  <si>
    <t>Fun83983</t>
  </si>
  <si>
    <t>0889698839839</t>
  </si>
  <si>
    <t>Фигурка Funko POP! Disney Mickey and Friends Minnie Mouse (Hot Girl Walk) (1557) 83981</t>
  </si>
  <si>
    <t>Fun83981</t>
  </si>
  <si>
    <t>0889698839815</t>
  </si>
  <si>
    <t>Фигурка Funko POP! Disney Mickey Mouse in Pumpkin Costume (SFX) 6" (1493) 79905</t>
  </si>
  <si>
    <t>Fun79905</t>
  </si>
  <si>
    <t>0889698799058</t>
  </si>
  <si>
    <t>Фигурка Funko POP! Disney Mickey Mouse In Real Life Donald Duck (1494) 82688</t>
  </si>
  <si>
    <t>Fun82688</t>
  </si>
  <si>
    <t>0889698826884</t>
  </si>
  <si>
    <t>Фигурка Funko POP! Disney Mickey Mouse In Real Life Mickey Mouse (1495) 82689</t>
  </si>
  <si>
    <t>Fun82689</t>
  </si>
  <si>
    <t>0889698826891</t>
  </si>
  <si>
    <t>Фигурка Funko POP! Disney Moana 2 Matangi (1548) 79738</t>
  </si>
  <si>
    <t>Fun79738</t>
  </si>
  <si>
    <t>0889698797382</t>
  </si>
  <si>
    <t>Фигурка Funko POP! Disney Moana 2 Maui (1547) 79737</t>
  </si>
  <si>
    <t>Fun79737</t>
  </si>
  <si>
    <t>0889698797375</t>
  </si>
  <si>
    <t>Фигурка Funko POP! Disney Moana 2 Moana &amp; Little Sis Simea (1546) 79736</t>
  </si>
  <si>
    <t>Fun79736</t>
  </si>
  <si>
    <t>0889698797368</t>
  </si>
  <si>
    <t>Фигурка Funko POP! Disney Moana Maui (214) 9927</t>
  </si>
  <si>
    <t>Fun2130</t>
  </si>
  <si>
    <t>0849803099275</t>
  </si>
  <si>
    <t>Фигурка Funko POP! Disney Moana Moana &amp; Pua (213) 9926</t>
  </si>
  <si>
    <t>Fun9926</t>
  </si>
  <si>
    <t>0849803099268</t>
  </si>
  <si>
    <t>Фигурка Funko POP! Disney Muppets Mayhem Baby Animal (1492) 77176</t>
  </si>
  <si>
    <t>Fun77176</t>
  </si>
  <si>
    <t>0889698771764</t>
  </si>
  <si>
    <t>Маппеты</t>
  </si>
  <si>
    <t>Фигурка Funko POP! Disney Percy Jackson and the Olympians Annabeth Chase (1466) 76058</t>
  </si>
  <si>
    <t>Fun76058</t>
  </si>
  <si>
    <t>0889698760584</t>
  </si>
  <si>
    <t>Перси Джексон</t>
  </si>
  <si>
    <t>Фигурка Funko POP! Disney Percy Jackson and the Olympians Grover (1467) 76059</t>
  </si>
  <si>
    <t>Fun76059</t>
  </si>
  <si>
    <t>0889698760591</t>
  </si>
  <si>
    <t>Фигурка Funko POP! Disney Percy Jackson and the Olympians Percy Jackson (1465) 76060</t>
  </si>
  <si>
    <t>Fun76060</t>
  </si>
  <si>
    <t>0889698760607</t>
  </si>
  <si>
    <t>Фигурка Funko POP! Disney Peter Pan 70th Mermaid (1346) 70696</t>
  </si>
  <si>
    <t>Fun70696</t>
  </si>
  <si>
    <t>0889698706964</t>
  </si>
  <si>
    <t>Питер Пэн</t>
  </si>
  <si>
    <t>Фигурка Funko POP! Disney Pinocchio Pinocchio (Sketched) (1525) 80941</t>
  </si>
  <si>
    <t>Fun80941</t>
  </si>
  <si>
    <t>0889698809412</t>
  </si>
  <si>
    <t>Пиноккио</t>
  </si>
  <si>
    <t>Фигурка Funko POP! Disney Pixar Halloween Sully (1488) 80858</t>
  </si>
  <si>
    <t>Fun80858</t>
  </si>
  <si>
    <t>0889698808583</t>
  </si>
  <si>
    <t>Фигурка Funko POP! Disney Robin Hood Alan-A-Dale (Exc) (1510) 82764</t>
  </si>
  <si>
    <t>Fun82764</t>
  </si>
  <si>
    <t>0889698827645</t>
  </si>
  <si>
    <t>Робин Гуд</t>
  </si>
  <si>
    <t>Фигурка Funko POP! Disney Robin Hood Friar Tuck (1436) 75910</t>
  </si>
  <si>
    <t>Fun75910</t>
  </si>
  <si>
    <t>0889698759106</t>
  </si>
  <si>
    <t>Фигурка Funko POP! Disney Robin Hood Little Jon (1437) 75911</t>
  </si>
  <si>
    <t>Fun75911</t>
  </si>
  <si>
    <t>0889698759113</t>
  </si>
  <si>
    <t>Фигурка Funko POP! Disney Robin Hood Sheriff of Nottingham (1441) 75915</t>
  </si>
  <si>
    <t>Fun75915</t>
  </si>
  <si>
    <t>0889698759151</t>
  </si>
  <si>
    <t>Фигурка Funko POP! Disney Sleeping Beauty 65th Aurora w/Owl (1454) 78181</t>
  </si>
  <si>
    <t>Fun78181</t>
  </si>
  <si>
    <t>0889698781817</t>
  </si>
  <si>
    <t>Фигурка Funko POP! Disney Sleeping Beauty 65th Maleficent w/Candle (1455) 78182</t>
  </si>
  <si>
    <t>Fun78182</t>
  </si>
  <si>
    <t>0889698781824</t>
  </si>
  <si>
    <t>Фигурка Funko POP! Disney Sleeping Beauty 65th Merryweather (1456) 78183</t>
  </si>
  <si>
    <t>Fun78183</t>
  </si>
  <si>
    <t>0889698781831</t>
  </si>
  <si>
    <t>Фигурка Funko POP! Disney Sleeping Beauty 65th Owl as Prince (1458) 78185</t>
  </si>
  <si>
    <t>Fun78185</t>
  </si>
  <si>
    <t>0889698781855</t>
  </si>
  <si>
    <t>Фигурка Funko POP! Disney Sleeping Beauty 65th Prince Phillip (1457) 78184</t>
  </si>
  <si>
    <t>Fun78184</t>
  </si>
  <si>
    <t>0889698781848</t>
  </si>
  <si>
    <t>Фигурка Funko POP! Disney Sleeping Beauty Aurora (DGLT) (Exc) (1591) 82113</t>
  </si>
  <si>
    <t>Fun82113</t>
  </si>
  <si>
    <t>0889698821131</t>
  </si>
  <si>
    <t>Фигурка Funko POP! Disney Snow White Dopey w/Сhase (340) 21718</t>
  </si>
  <si>
    <t>Fun2282</t>
  </si>
  <si>
    <t>0889698217187</t>
  </si>
  <si>
    <t>Белоснежка и семь гномов</t>
  </si>
  <si>
    <t>Фигурка Funko POP! Disney Snow White Grumpy (345) 21727</t>
  </si>
  <si>
    <t>Fun905</t>
  </si>
  <si>
    <t>0889698217279</t>
  </si>
  <si>
    <t>Фигурка Funko POP! Disney Snow White Live Action Evil Queen (1421) 75947</t>
  </si>
  <si>
    <t>Fun75947</t>
  </si>
  <si>
    <t>0889698759472</t>
  </si>
  <si>
    <t>Фигурка Funko POP! Disney Snow White Live Action Evil Queen (Black &amp; Purple) (1422) 75948</t>
  </si>
  <si>
    <t>Fun75948</t>
  </si>
  <si>
    <t>0889698759489</t>
  </si>
  <si>
    <t>Фигурка Funko POP! Disney Snow White Live Action Snow White (1423) 75949</t>
  </si>
  <si>
    <t>Fun75949</t>
  </si>
  <si>
    <t>0889698759496</t>
  </si>
  <si>
    <t>Фигурка Funko POP! Disney Snow White Live Action Snow White (Plaid) (1424) 75950</t>
  </si>
  <si>
    <t>Fun75950</t>
  </si>
  <si>
    <t>0889698759502</t>
  </si>
  <si>
    <t>Фигурка Funko POP! Disney Snow White Sleepy (343) 21724</t>
  </si>
  <si>
    <t>Fun25492148</t>
  </si>
  <si>
    <t>0889698217248</t>
  </si>
  <si>
    <t>Фигурка Funko POP! Disney Snow White Snow White (New) (339) 21716</t>
  </si>
  <si>
    <t>Fun21716</t>
  </si>
  <si>
    <t>0889698217163</t>
  </si>
  <si>
    <t>Фигурка Funko POP! Disney Snow White Snow White (Sketched) (1526) 80945</t>
  </si>
  <si>
    <t>Fun80945</t>
  </si>
  <si>
    <t>0889698809450</t>
  </si>
  <si>
    <t>Фигурка Funko POP! Disney Snow White Snow White(DGLT)/Dopey/Sleepy/Grumpy (Exc) 4PK 77207</t>
  </si>
  <si>
    <t>Fun77207</t>
  </si>
  <si>
    <t>0889698772075</t>
  </si>
  <si>
    <t>16,1 / 34,5 / 9</t>
  </si>
  <si>
    <t>Фигурка Funko POP! Disney The Adventures of Ichabod and Mr. Toad Ichabod Crane (1484) 80993</t>
  </si>
  <si>
    <t>Fun80993</t>
  </si>
  <si>
    <t>0889698809931</t>
  </si>
  <si>
    <t>Приключения Икабода и мистера Тоада</t>
  </si>
  <si>
    <t>Фигурка Funko POP! Disney The Adventures of Ichabod and Mr. Toad Mr Toad NYCC24 (Exc) (1496) 78901</t>
  </si>
  <si>
    <t>Fun78901</t>
  </si>
  <si>
    <t>0889698789011</t>
  </si>
  <si>
    <t>Фигурка Funko POP! Disney The Jungle Book S2 Bagheera with Basket (1475) 80786</t>
  </si>
  <si>
    <t>Fun80786</t>
  </si>
  <si>
    <t>0889698807869</t>
  </si>
  <si>
    <t>Фигурка Funko POP! Disney The Jungle Book S2 Baloo (1474) 80787</t>
  </si>
  <si>
    <t>Fun80787</t>
  </si>
  <si>
    <t>0889698807876</t>
  </si>
  <si>
    <t>Фигурка Funko POP! Disney The Jungle Book S2 Hathi Jr. (1476) 80788</t>
  </si>
  <si>
    <t>Fun80788</t>
  </si>
  <si>
    <t>0889698807883</t>
  </si>
  <si>
    <t>Фигурка Funko POP! Disney The Lion King Simba (496) 36395</t>
  </si>
  <si>
    <t>Fun1814</t>
  </si>
  <si>
    <t>0889698363952</t>
  </si>
  <si>
    <t>Король Лев</t>
  </si>
  <si>
    <t>Фигурка Funko POP! Disney The Little Mermaid Ariel (DGLT) (Exc) (1362) 71123</t>
  </si>
  <si>
    <t>Fun71123</t>
  </si>
  <si>
    <t>0889698711234</t>
  </si>
  <si>
    <t>Фигурка Funko POP! Disney The Muppets Animal NYCC24 (Exc) (13) 78692</t>
  </si>
  <si>
    <t>Fun78692</t>
  </si>
  <si>
    <t>0889698786928</t>
  </si>
  <si>
    <t>Фигурка Funko POP! Disney TNBC 30th Formal Jack Skellington (1381) 72384</t>
  </si>
  <si>
    <t>Fun72384</t>
  </si>
  <si>
    <t>0889698723848</t>
  </si>
  <si>
    <t>Фигурка Funko POP! Disney TNBC 30th Formal Sally (1380) 72385</t>
  </si>
  <si>
    <t>Fun72385</t>
  </si>
  <si>
    <t>0889698723855</t>
  </si>
  <si>
    <t>Фигурка Funko POP! Disney TNBC 30th Jack Skellington (Lab) (1356) 72313</t>
  </si>
  <si>
    <t>Fun72313</t>
  </si>
  <si>
    <t>0889698723138</t>
  </si>
  <si>
    <t>Фигурка Funko POP! Disney TNBC 30th Pumpkin King (1357) 72314</t>
  </si>
  <si>
    <t>Fun72314</t>
  </si>
  <si>
    <t>0889698723145</t>
  </si>
  <si>
    <t>Фигурка Funko POP! Disney TNBC Dual-Sided Countdown Calendar 79912</t>
  </si>
  <si>
    <t>Fun79912</t>
  </si>
  <si>
    <t>0889698799126</t>
  </si>
  <si>
    <t>18 / 36 / 31</t>
  </si>
  <si>
    <t>Фигурка Funko POP! Disney TNBC Jack Skellington (15) 2468</t>
  </si>
  <si>
    <t>Fun14</t>
  </si>
  <si>
    <t>0830395024684</t>
  </si>
  <si>
    <t>Фигурка Funko POP! Disney TNBC Jack Skellington (scary face) (808) 48182</t>
  </si>
  <si>
    <t>Fun48182</t>
  </si>
  <si>
    <t>0889698481823</t>
  </si>
  <si>
    <t>Фигурка Funko POP! Disney TNBC Jack Skellington Holding Candles (SFX) 6" (1501) 79913</t>
  </si>
  <si>
    <t>Fun79913</t>
  </si>
  <si>
    <t>0889698799133</t>
  </si>
  <si>
    <t>14,1 / 16,8 / 20,5</t>
  </si>
  <si>
    <t>Фигурка Funko POP! Disney TNBC Jack with Zero (Beach) (1470) 80598</t>
  </si>
  <si>
    <t>Fun80598</t>
  </si>
  <si>
    <t>0889698805988</t>
  </si>
  <si>
    <t>Фигурка Funko POP! Disney TNBC Jack/Oogie/Sally/Zero (BLKLT) (Exc) 4PK 69146</t>
  </si>
  <si>
    <t>Fun69146</t>
  </si>
  <si>
    <t>0889698691468</t>
  </si>
  <si>
    <t>15,5 / 34,5 / 9</t>
  </si>
  <si>
    <t>Фигурка Funko POP! Disney TNBC Oogie Boogie (Bugs) (450) 32838</t>
  </si>
  <si>
    <t>Fun1629</t>
  </si>
  <si>
    <t>0889698328388</t>
  </si>
  <si>
    <t>Фигурка Funko POP! Disney TNBC Sally (BLKLT) (16) 63963</t>
  </si>
  <si>
    <t>Fun63963</t>
  </si>
  <si>
    <t>0889698639637</t>
  </si>
  <si>
    <t>Фигурка Funko POP! Disney TNBC Sally at the Beach (1469) 80597</t>
  </si>
  <si>
    <t>Fun80597</t>
  </si>
  <si>
    <t>0889698805971</t>
  </si>
  <si>
    <t>Фигурка Funko POP! Disney TNBC Sally with Basket (449) 32837</t>
  </si>
  <si>
    <t>Fun1630</t>
  </si>
  <si>
    <t>0889698328371</t>
  </si>
  <si>
    <t>Фигурка Funko POP! Disney TNBC Santa Jack w/Jackolantern (Exc) (1530) 82861</t>
  </si>
  <si>
    <t>Fun82861</t>
  </si>
  <si>
    <t>0889698828611</t>
  </si>
  <si>
    <t>Фигурка Funko POP! Disney TNBC Zero (71) 3406</t>
  </si>
  <si>
    <t>Fun3406</t>
  </si>
  <si>
    <t>0830395034065</t>
  </si>
  <si>
    <t>Фигурка Funko POP! Disney Toy Story 4 Buzz Lightyear (523) 37390</t>
  </si>
  <si>
    <t>Fun2066</t>
  </si>
  <si>
    <t>0889698373906</t>
  </si>
  <si>
    <t>Фигурка Funko POP! Disney Toy Story 4 Sheriff Woody (522) 37383</t>
  </si>
  <si>
    <t>Fun2061</t>
  </si>
  <si>
    <t>0889698373838</t>
  </si>
  <si>
    <t>Фигурка Funko POP! Disney Ultimate Princess Aurora (1011) 54741</t>
  </si>
  <si>
    <t>Fun54741</t>
  </si>
  <si>
    <t>0889698547413</t>
  </si>
  <si>
    <t>Фигурка Funko POP! Disney Ultimate Princess Belle (1021) 56349</t>
  </si>
  <si>
    <t>Fun56349</t>
  </si>
  <si>
    <t>0889698563499</t>
  </si>
  <si>
    <t>Фигурка Funko POP! Disney Ultimate Princess Cinderella (1015) 55969</t>
  </si>
  <si>
    <t>Fun25491744</t>
  </si>
  <si>
    <t>0889698559690</t>
  </si>
  <si>
    <t>Фигурка Funko POP! Disney Ultimate Princess Frozen Elsa (DGLT) (Exc) (1024) 66647</t>
  </si>
  <si>
    <t>Fun66647</t>
  </si>
  <si>
    <t>0889698666473</t>
  </si>
  <si>
    <t>Фигурка Funko POP! Disney Ultimate Princess Rapunzel (1018) 55972</t>
  </si>
  <si>
    <t>Fun25491745</t>
  </si>
  <si>
    <t>0889698559720</t>
  </si>
  <si>
    <t>Рапунцель</t>
  </si>
  <si>
    <t>Фигурка Funko POP! Disney Ultimate Princess Snow White (1019) 55973</t>
  </si>
  <si>
    <t>Fun25491746</t>
  </si>
  <si>
    <t>0889698559737</t>
  </si>
  <si>
    <t>Фигурка Funko POP! Disney Ultimate Princess Tiana (1014) 54744</t>
  </si>
  <si>
    <t>Fun54744</t>
  </si>
  <si>
    <t>0889698547444</t>
  </si>
  <si>
    <t>Принцесса и лягушка</t>
  </si>
  <si>
    <t>Фигурка Funko POP! Disney UP Russel with Sash (Exc) (1472) 79158</t>
  </si>
  <si>
    <t>Fun79158</t>
  </si>
  <si>
    <t>0889698791588</t>
  </si>
  <si>
    <t>Фигурка Funko POP! Disney Up S2 Carl (1478) 80836</t>
  </si>
  <si>
    <t>Fun80836</t>
  </si>
  <si>
    <t>0889698808361</t>
  </si>
  <si>
    <t>Фигурка Funko POP! Disney Up S2 Russell (1479) 80837</t>
  </si>
  <si>
    <t>Fun80837</t>
  </si>
  <si>
    <t>0889698808378</t>
  </si>
  <si>
    <t>Фигурка Funko POP! Disney Up S2 Young Carl (1480) 80838</t>
  </si>
  <si>
    <t>Fun80838</t>
  </si>
  <si>
    <t>0889698808385</t>
  </si>
  <si>
    <t>Фигурка Funko POP! Disney Up S2 Young Ellie (1481) 80839</t>
  </si>
  <si>
    <t>Fun80839</t>
  </si>
  <si>
    <t>0889698808392</t>
  </si>
  <si>
    <t>Фигурка Funko POP! Disney Valentines Wall-E Eve (1531) 83094</t>
  </si>
  <si>
    <t>Fun83094</t>
  </si>
  <si>
    <t>0889698830942</t>
  </si>
  <si>
    <t>ВАЛЛИ</t>
  </si>
  <si>
    <t>Фигурка Funko POP! Disney Villains Disguised Evil Queen with Raven (BLKLT) (Exc) (1426) 76719</t>
  </si>
  <si>
    <t>Fun76719</t>
  </si>
  <si>
    <t>0889698767194</t>
  </si>
  <si>
    <t>Фигурка Funko POP! Disney Villains S5 Gaston (1518) 80928</t>
  </si>
  <si>
    <t>Fun80928</t>
  </si>
  <si>
    <t>0889698809283</t>
  </si>
  <si>
    <t>Фигурка Funko POP! Disney Villains S5 Jafar (1519) 80929</t>
  </si>
  <si>
    <t>Fun80929</t>
  </si>
  <si>
    <t>0889698809290</t>
  </si>
  <si>
    <t>Аладдин</t>
  </si>
  <si>
    <t>Фигурка Funko POP! Disney Villains S5 Mother Gothel (1520) 80930</t>
  </si>
  <si>
    <t>Fun80930</t>
  </si>
  <si>
    <t>0889698809306</t>
  </si>
  <si>
    <t>Фигурка Funko POP! Disney Villains S5 Yzma (1521) 80931</t>
  </si>
  <si>
    <t>Fun80931</t>
  </si>
  <si>
    <t>0889698809313</t>
  </si>
  <si>
    <t>Похождения императора</t>
  </si>
  <si>
    <t>Фигурка Funko POP! Disney Winnie the Pooh S3 Eeyore (1513) 80237</t>
  </si>
  <si>
    <t>Fun80237</t>
  </si>
  <si>
    <t>0889698802376</t>
  </si>
  <si>
    <t>Винни Пух</t>
  </si>
  <si>
    <t>Фигурка Funko POP! Disney Winnie the Pooh S3 Piglet (1514) 80238</t>
  </si>
  <si>
    <t>Fun80238</t>
  </si>
  <si>
    <t>0889698802383</t>
  </si>
  <si>
    <t>Фигурка Funko POP! Disney Winnie the Pooh S3 Rabbit (1515) 80239</t>
  </si>
  <si>
    <t>Fun80239</t>
  </si>
  <si>
    <t>0889698802390</t>
  </si>
  <si>
    <t>Фигурка Funko POP! Disney Winnie the Pooh S3 Roo (1516) 80240</t>
  </si>
  <si>
    <t>Fun80240</t>
  </si>
  <si>
    <t>0889698802406</t>
  </si>
  <si>
    <t>Фигурка Funko POP! Disney Winnie the Pooh S3 Tigger (1517) 80241</t>
  </si>
  <si>
    <t>Fun80241</t>
  </si>
  <si>
    <t>0889698802413</t>
  </si>
  <si>
    <t>Фигурка Funko POP! Disney Winnie the Pooh S3 Winnie the Pooh (1512) 80236</t>
  </si>
  <si>
    <t>Fun80236</t>
  </si>
  <si>
    <t>0889698802369</t>
  </si>
  <si>
    <t>Фигурка Funko POP! Disney Winnie the Pooh Winnie in the Rain (Exc) (1159) 60127</t>
  </si>
  <si>
    <t>Fun60127</t>
  </si>
  <si>
    <t>0889698601276</t>
  </si>
  <si>
    <t>Фигурка Funko POP! Disney Winnie the Pooh Winnie the Pooh (FL) (Exc) (1250) 66612</t>
  </si>
  <si>
    <t>Fun66612</t>
  </si>
  <si>
    <t>0889698666121</t>
  </si>
  <si>
    <t>Фигурка Funko POP! Disney Winnie the Pooh Winnie the Pooh in Honey Pot (Exc) (1104) 58234</t>
  </si>
  <si>
    <t>Fun58234</t>
  </si>
  <si>
    <t>0889698582346</t>
  </si>
  <si>
    <t>Фигурка Funko POP! Disney Wish Asha with Star (1390) 72420</t>
  </si>
  <si>
    <t>Fun72420</t>
  </si>
  <si>
    <t>0889698724203</t>
  </si>
  <si>
    <t>Заветное желание</t>
  </si>
  <si>
    <t>Фигурка Funko POP! Disney Wish Queen Amaya (1393) 72423</t>
  </si>
  <si>
    <t>Fun72423</t>
  </si>
  <si>
    <t>0889698724234</t>
  </si>
  <si>
    <t>Фигурка Funko POP! Football Liverpool Mohamed Salah (41) 52173</t>
  </si>
  <si>
    <t>Fun25491191</t>
  </si>
  <si>
    <t>0889698521734</t>
  </si>
  <si>
    <t>Футбол</t>
  </si>
  <si>
    <t>Sport</t>
  </si>
  <si>
    <t>Фигурка Funko POP! Funko Freddy Funko Torch Bearer (Exc) (223) 81942</t>
  </si>
  <si>
    <t>Fun81942</t>
  </si>
  <si>
    <t>0889698819428</t>
  </si>
  <si>
    <t>Фигурка Funko POP! Games Baldur's Gate Shadowheart with Artifact (1016) 84958</t>
  </si>
  <si>
    <t>Fun84958</t>
  </si>
  <si>
    <t>0889698849586</t>
  </si>
  <si>
    <t>Baldur's Gate</t>
  </si>
  <si>
    <t>Фигурка Funko POP! Games Banjo-Kazooie Banjo-Kazooie (981) 80285</t>
  </si>
  <si>
    <t>Fun80285</t>
  </si>
  <si>
    <t>0889698802857</t>
  </si>
  <si>
    <t>Banjo Kazooie</t>
  </si>
  <si>
    <t>Фигурка Funko POP! Games Cover Banjo-Kazooie Banjo-Kazooie (Exc) (11) 77479</t>
  </si>
  <si>
    <t>Fun77479</t>
  </si>
  <si>
    <t>0889698774796</t>
  </si>
  <si>
    <t>22 / 17,5 / 8,3</t>
  </si>
  <si>
    <t>Фигурка Funko POP! Games D&amp;D S2 Drizzt and Guenhwyvar 2PK 83721</t>
  </si>
  <si>
    <t>Fun83721</t>
  </si>
  <si>
    <t>0889698837217</t>
  </si>
  <si>
    <t>Фигурка Funko POP! Games D&amp;D S2 Lady of Pain (1037) 83722</t>
  </si>
  <si>
    <t>Fun83722</t>
  </si>
  <si>
    <t>0889698837224</t>
  </si>
  <si>
    <t>Фигурка Funko POP! Games D&amp;D Vecna w/D20 (MT) (Exc) (853) 56467</t>
  </si>
  <si>
    <t>Fun56467</t>
  </si>
  <si>
    <t>0889698564670</t>
  </si>
  <si>
    <t>Фигурка Funko POP! Games Diablo 3 Deckard Cain (1047) 85449</t>
  </si>
  <si>
    <t>Fun85449</t>
  </si>
  <si>
    <t>0889698854498</t>
  </si>
  <si>
    <t>Фигурка Funko POP! Games Diablo 4 Mephisto (1008) 82372</t>
  </si>
  <si>
    <t>Fun82372</t>
  </si>
  <si>
    <t>0889698823722</t>
  </si>
  <si>
    <t>Фигурка Funko POP! Games Diablo 4 Rogue (1009) 82373</t>
  </si>
  <si>
    <t>Fun82373</t>
  </si>
  <si>
    <t>0889698823739</t>
  </si>
  <si>
    <t>Фигурка Funko POP! Games Diablo 4 Treasure Goblin (953) 76532</t>
  </si>
  <si>
    <t>Fun76532</t>
  </si>
  <si>
    <t>0889698765329</t>
  </si>
  <si>
    <t>Фигурка Funko POP! Games Diablo 4 Druid (941) 72494</t>
  </si>
  <si>
    <t>Fun72494</t>
  </si>
  <si>
    <t>0889698724944</t>
  </si>
  <si>
    <t>Фигурка Funko POP! Games FNAF 10th Bonnie (1061) 87113</t>
  </si>
  <si>
    <t>Fun87113</t>
  </si>
  <si>
    <t>0889698871136</t>
  </si>
  <si>
    <t>Фигурка Funko POP! Games FNAF 10th Chica (1063) 87114</t>
  </si>
  <si>
    <t>Fun87114</t>
  </si>
  <si>
    <t>0889698871143</t>
  </si>
  <si>
    <t>Фигурка Funko POP! Games FNAF 10th Foxy (1062) 87115</t>
  </si>
  <si>
    <t>Fun87115</t>
  </si>
  <si>
    <t>0889698871150</t>
  </si>
  <si>
    <t>Фигурка Funko POP! Games FNAF 10th Freddy Fazbear (1060) 87116</t>
  </si>
  <si>
    <t>Fun87116</t>
  </si>
  <si>
    <t>0889698871167</t>
  </si>
  <si>
    <t>Фигурка Funko POP! Games FNAF 10th Withered Golden Freddy (Exc) (1033) 83091</t>
  </si>
  <si>
    <t>Fun83091</t>
  </si>
  <si>
    <t>0889698830911</t>
  </si>
  <si>
    <t>Фигурка Funko POP! Games FNAF Balloon Circus Circus Foxy (911) 67629</t>
  </si>
  <si>
    <t>Fun67629</t>
  </si>
  <si>
    <t>0889698676298</t>
  </si>
  <si>
    <t>Фигурка Funko POP! Games FNAF Balloon Circus Circus Freddy (912) 67630</t>
  </si>
  <si>
    <t>Fun67630</t>
  </si>
  <si>
    <t>0889698676304</t>
  </si>
  <si>
    <t>Фигурка Funko POP! Games FNAF Foxy The Pirate (109) 11032</t>
  </si>
  <si>
    <t>Fun742</t>
  </si>
  <si>
    <t>0889698110327</t>
  </si>
  <si>
    <t>Фигурка Funko POP! Games FNAF Gingerbread Foxy (938) 72487</t>
  </si>
  <si>
    <t>Fun72487</t>
  </si>
  <si>
    <t>0889698724876</t>
  </si>
  <si>
    <t>Фигурка Funko POP! Games FNAF Holiday Elf Bonnie (937) 72485</t>
  </si>
  <si>
    <t>Fun72485</t>
  </si>
  <si>
    <t>0889698724852</t>
  </si>
  <si>
    <t>Фигурка Funko POP! Games FNAF Holiday Santa Freddy Fazbear (936) 72488</t>
  </si>
  <si>
    <t>Fun72488</t>
  </si>
  <si>
    <t>0889698724883</t>
  </si>
  <si>
    <t>Фигурка Funko POP! Games FNAF Holiday Snow Chica (939) 72486</t>
  </si>
  <si>
    <t>Fun72486</t>
  </si>
  <si>
    <t>0889698724869</t>
  </si>
  <si>
    <t>Фигурка Funko POP! Games FNAF Nightmare Freddy (111) 11064</t>
  </si>
  <si>
    <t>Fun410</t>
  </si>
  <si>
    <t>0889698110648</t>
  </si>
  <si>
    <t>Фигурка Funko POP! Games FNAF Security Breach Ruin Ruined Chica (986) 72471</t>
  </si>
  <si>
    <t>Fun72471</t>
  </si>
  <si>
    <t>0889698724715</t>
  </si>
  <si>
    <t>Фигурка Funko POP! Games FNAF Security Breach Ruin Ruined Roxy (987) 72472</t>
  </si>
  <si>
    <t>Fun72472</t>
  </si>
  <si>
    <t>0889698724722</t>
  </si>
  <si>
    <t>Фигурка Funko POP! Games FNAF Withered Bonnie (1083) 83864</t>
  </si>
  <si>
    <t>Fun83864</t>
  </si>
  <si>
    <t>0889698838641</t>
  </si>
  <si>
    <t>Фигурка Funko POP! Games FNAF Withered Chica (1084) 83865</t>
  </si>
  <si>
    <t>Fun83865</t>
  </si>
  <si>
    <t>0889698838658</t>
  </si>
  <si>
    <t>Фигурка Funko POP! Games FNAF Withered Foxy (1085) 83866</t>
  </si>
  <si>
    <t>Fun83866</t>
  </si>
  <si>
    <t>0889698838665</t>
  </si>
  <si>
    <t>Фигурка Funko POP! Games FNAF Withered Freddy (1086) 83867</t>
  </si>
  <si>
    <t>Fun83867</t>
  </si>
  <si>
    <t>0889698838672</t>
  </si>
  <si>
    <t>Фигурка Funko POP! Games Genshin Impact Diluc Ragnvindr (183) 80895</t>
  </si>
  <si>
    <t>Fun80895</t>
  </si>
  <si>
    <t>0889698808958</t>
  </si>
  <si>
    <t>Фигурка Funko POP! Games Genshin Impact Hilichurl (184) 80896</t>
  </si>
  <si>
    <t>Fun80896</t>
  </si>
  <si>
    <t>0889698808965</t>
  </si>
  <si>
    <t>Фигурка Funko POP! Games League of Legends Akali (1080) 83857</t>
  </si>
  <si>
    <t>Fun83857</t>
  </si>
  <si>
    <t>0889698838573</t>
  </si>
  <si>
    <t>Фигурка Funko POP! Games League of Legends Jhin (1081) 83858</t>
  </si>
  <si>
    <t>Fun83858</t>
  </si>
  <si>
    <t>0889698838580</t>
  </si>
  <si>
    <t>Фигурка Funko POP! Games League of Legends Lucian (1042) 80301</t>
  </si>
  <si>
    <t>Fun80301</t>
  </si>
  <si>
    <t>0889698803014</t>
  </si>
  <si>
    <t>Фигурка Funko POP! Games League of Legends Riven w/Broken Blade (1040) 80299</t>
  </si>
  <si>
    <t>Fun80299</t>
  </si>
  <si>
    <t>0889698802994</t>
  </si>
  <si>
    <t>Фигурка Funko POP! Games League of Legends Senna (1043) 80302</t>
  </si>
  <si>
    <t>Fun80302</t>
  </si>
  <si>
    <t>0889698803021</t>
  </si>
  <si>
    <t>Фигурка Funko POP! Games League of Legends Viego (1044) 80303</t>
  </si>
  <si>
    <t>Fun80303</t>
  </si>
  <si>
    <t>0889698803038</t>
  </si>
  <si>
    <t>Фигурка Funko POP! Games League of Legends Yone (1082) 83859</t>
  </si>
  <si>
    <t>Fun83859</t>
  </si>
  <si>
    <t>0889698838597</t>
  </si>
  <si>
    <t>Фигурка Funko POP! Games Metal Gear Solid 3 Naked Snake (1053) 84926</t>
  </si>
  <si>
    <t>Fun84926</t>
  </si>
  <si>
    <t>0889698849265</t>
  </si>
  <si>
    <t>Metal Gear Solid</t>
  </si>
  <si>
    <t>Konami</t>
  </si>
  <si>
    <t>Фигурка Funko POP! Games Metal Gear Solid 3 The Boss (1054) 84925</t>
  </si>
  <si>
    <t>Fun84925</t>
  </si>
  <si>
    <t>0889698849258</t>
  </si>
  <si>
    <t>Фигурка Funko POP! Games Mortal Kombat 1 Liu Kang (God of Fire) (1023) 80276</t>
  </si>
  <si>
    <t>Fun80276</t>
  </si>
  <si>
    <t>0889698802765</t>
  </si>
  <si>
    <t>Mortal Kombat</t>
  </si>
  <si>
    <t>Фигурка Funko POP! Games Mortal Kombat 1 Scorpion (1021) 80274</t>
  </si>
  <si>
    <t>Fun80274</t>
  </si>
  <si>
    <t>0889698802741</t>
  </si>
  <si>
    <t>Фигурка Funko POP! Games Mortal Kombat 1 Sub-Zero (1022) 80275</t>
  </si>
  <si>
    <t>Fun80275</t>
  </si>
  <si>
    <t>0889698802758</t>
  </si>
  <si>
    <t>Фигурка Funko POP! Games Mortal Kombat 11 Fatality Kitana (1074) 80304</t>
  </si>
  <si>
    <t>Fun80304</t>
  </si>
  <si>
    <t>0889698803045</t>
  </si>
  <si>
    <t>Фигурка Funko POP! Games Mortal Kombat 11 Fatality Scorpion (1072) 80305</t>
  </si>
  <si>
    <t>Fun80305</t>
  </si>
  <si>
    <t>0889698803052</t>
  </si>
  <si>
    <t>Фигурка Funko POP! Games Mortal Kombat 11 Fatality Sub-Zero (1073) 80306</t>
  </si>
  <si>
    <t>Fun80306</t>
  </si>
  <si>
    <t>0889698803069</t>
  </si>
  <si>
    <t>Фигурка Funko POP! Games Overwatch 2 Sigma (932) 59185</t>
  </si>
  <si>
    <t>Fun59185</t>
  </si>
  <si>
    <t>0889698591850</t>
  </si>
  <si>
    <t>Overwatch</t>
  </si>
  <si>
    <t>Фигурка Funko POP! Games Overwatch 2 Winston 6" (931) 59190</t>
  </si>
  <si>
    <t>Fun59190</t>
  </si>
  <si>
    <t>0889698591904</t>
  </si>
  <si>
    <t>Фигурка Funko POP! Games Pokemon Alakazam (EMEA) (855) 74216</t>
  </si>
  <si>
    <t>Fun74216</t>
  </si>
  <si>
    <t>0889698742160</t>
  </si>
  <si>
    <t>Фигурка Funko POP! Games Pokemon Alolan Raichu (EMEA) (1011) 85800</t>
  </si>
  <si>
    <t>Fun85800</t>
  </si>
  <si>
    <t>0889698858007</t>
  </si>
  <si>
    <t>Фигурка Funko POP! Games Pokemon Blaziken (EMEA) (983) 75189</t>
  </si>
  <si>
    <t>Fun75189</t>
  </si>
  <si>
    <t>0889698751896</t>
  </si>
  <si>
    <t>Фигурка Funko POP! Games Pokemon Charmander (Soft Color) (Exc) (455) 86066</t>
  </si>
  <si>
    <t>Fun86066</t>
  </si>
  <si>
    <t>0889698860666</t>
  </si>
  <si>
    <t>Фигурка Funko POP! Games Pokemon Chimchar (963) 70925</t>
  </si>
  <si>
    <t>Fun70925</t>
  </si>
  <si>
    <t>0889698709255</t>
  </si>
  <si>
    <t>Фигурка Funko POP! Games Pokemon Dratini (1050) 83854</t>
  </si>
  <si>
    <t>Fun83854</t>
  </si>
  <si>
    <t>0889698838542</t>
  </si>
  <si>
    <t>Фигурка Funko POP! Games Pokemon Fidough (1051) 83855</t>
  </si>
  <si>
    <t>Fun83855</t>
  </si>
  <si>
    <t>0889698838559</t>
  </si>
  <si>
    <t>Фигурка Funko POP! Games Pokemon Fuecoco (1030) 80310</t>
  </si>
  <si>
    <t>Fun80310</t>
  </si>
  <si>
    <t>0889698803106</t>
  </si>
  <si>
    <t>Фигурка Funko POP! Games Pokemon Gardevoir (1052) 83856</t>
  </si>
  <si>
    <t>Fun83856</t>
  </si>
  <si>
    <t>0889698838566</t>
  </si>
  <si>
    <t>Фигурка Funko POP! Games Pokemon Gardevoir (Exc) 10" (1068) 84979</t>
  </si>
  <si>
    <t>Fun84979</t>
  </si>
  <si>
    <t>0889698849791</t>
  </si>
  <si>
    <t>33 / 21 / 21,3</t>
  </si>
  <si>
    <t>Фигурка Funko POP! Games Pokemon Greninja 10" (980) 73979</t>
  </si>
  <si>
    <t>Fun73979</t>
  </si>
  <si>
    <t>0889698739795</t>
  </si>
  <si>
    <t>Фигурка Funko POP! Games Pokemon Grookey (957) 70976</t>
  </si>
  <si>
    <t>Fun70976</t>
  </si>
  <si>
    <t>0889698709767</t>
  </si>
  <si>
    <t>Фигурка Funko POP! Games Pokemon Grumpy Pikachu (598) 48401</t>
  </si>
  <si>
    <t>Fun48401</t>
  </si>
  <si>
    <t>0889698484015</t>
  </si>
  <si>
    <t>Фигурка Funko POP! Games Pokemon Leafeon (866) 74214</t>
  </si>
  <si>
    <t>Fun74214</t>
  </si>
  <si>
    <t>0889698742146</t>
  </si>
  <si>
    <t>Фигурка Funko POP! Games Pokemon Luxray (956) 70977</t>
  </si>
  <si>
    <t>Fun70977</t>
  </si>
  <si>
    <t>0889698709774</t>
  </si>
  <si>
    <t>Фигурка Funko POP! Games Pokemon Mimikyu (EMEA) (1013) 85798</t>
  </si>
  <si>
    <t>Fun85798</t>
  </si>
  <si>
    <t>0889698857987</t>
  </si>
  <si>
    <t>Фигурка Funko POP! Games Pokemon Mimikyu (Exc) 10" (1020) 81703</t>
  </si>
  <si>
    <t>Fun81703</t>
  </si>
  <si>
    <t>0889698817035</t>
  </si>
  <si>
    <t>Фигурка Funko POP! Games Pokemon Munchlax (885) 69077</t>
  </si>
  <si>
    <t>Fun69077</t>
  </si>
  <si>
    <t>0889698690775</t>
  </si>
  <si>
    <t>Фигурка Funko POP! Games Pokemon Munchlax 10" (917) 69087</t>
  </si>
  <si>
    <t>Fun69087</t>
  </si>
  <si>
    <t>0889698690874</t>
  </si>
  <si>
    <t>21 / 21 / 33</t>
  </si>
  <si>
    <t>Фигурка Funko POP! Games Pokemon Oshawott (886) 62268</t>
  </si>
  <si>
    <t>Fun62268</t>
  </si>
  <si>
    <t>0889698622684</t>
  </si>
  <si>
    <t>Фигурка Funko POP! Games Pokemon Pikachu (353) 31528</t>
  </si>
  <si>
    <t>Fun25492154</t>
  </si>
  <si>
    <t>0889698315289</t>
  </si>
  <si>
    <t>Фигурка Funko POP! Games Pokemon Pikachu Waving (553) 43263</t>
  </si>
  <si>
    <t>Fun43263</t>
  </si>
  <si>
    <t>0889698432634</t>
  </si>
  <si>
    <t>Фигурка Funko POP! Games Pokemon Piplup (865) 74213</t>
  </si>
  <si>
    <t>Fun74213</t>
  </si>
  <si>
    <t>0889698742139</t>
  </si>
  <si>
    <t>Фигурка Funko POP! Games Pokemon Ponyta (644) 54028</t>
  </si>
  <si>
    <t>Fun25493098</t>
  </si>
  <si>
    <t>0889698540285</t>
  </si>
  <si>
    <t>Фигурка Funko POP! Games Pokemon Quaxly (EMEA) (1012) 85799</t>
  </si>
  <si>
    <t>Fun85799</t>
  </si>
  <si>
    <t>0889698857994</t>
  </si>
  <si>
    <t>Фигурка Funko POP! Games Pokemon Raichu (645) 74230</t>
  </si>
  <si>
    <t>Fun74230</t>
  </si>
  <si>
    <t>0889698742306</t>
  </si>
  <si>
    <t>Фигурка Funko POP! Games Pokemon Scorbunny (922) 62271</t>
  </si>
  <si>
    <t>Fun62271</t>
  </si>
  <si>
    <t>0889698622714</t>
  </si>
  <si>
    <t>Фигурка Funko POP! Games Pokemon Snubbull (964) 70929</t>
  </si>
  <si>
    <t>Fun70929</t>
  </si>
  <si>
    <t>0889698709293</t>
  </si>
  <si>
    <t>Фигурка Funko POP! Games Pokemon Sobble (949) 71341</t>
  </si>
  <si>
    <t>Fun71341</t>
  </si>
  <si>
    <t>0889698713412</t>
  </si>
  <si>
    <t>Фигурка Funko POP! Games Pokemon Sprigatito (EMEA) (984) 75191</t>
  </si>
  <si>
    <t>Fun75191</t>
  </si>
  <si>
    <t>0889698751919</t>
  </si>
  <si>
    <t>Фигурка Funko POP! Games Pokemon Sprigatito 10" (1014) 77548</t>
  </si>
  <si>
    <t>Fun77548</t>
  </si>
  <si>
    <t>0889698775489</t>
  </si>
  <si>
    <t>33 / 21 / 21,5</t>
  </si>
  <si>
    <t>Фигурка Funko POP! Games Pokemon Squirtle (504) 50402</t>
  </si>
  <si>
    <t>Fun25492155</t>
  </si>
  <si>
    <t>0889698504027</t>
  </si>
  <si>
    <t>Фигурка Funko POP! Games Pokemon Sylveon (857) 74215</t>
  </si>
  <si>
    <t>Fun74215</t>
  </si>
  <si>
    <t>0889698742153</t>
  </si>
  <si>
    <t>Фигурка Funko POP! Games Pokemon Teddiursa (EMEA) (985) 70936</t>
  </si>
  <si>
    <t>Fun70936</t>
  </si>
  <si>
    <t>0889698709361</t>
  </si>
  <si>
    <t>Фигурка Funko POP! Games Pokemon Wooloo (958) 70978</t>
  </si>
  <si>
    <t>Fun70978</t>
  </si>
  <si>
    <t>0889698709781</t>
  </si>
  <si>
    <t>Фигурка Funko POP! Games Pokemon Zorua (1032) 80312</t>
  </si>
  <si>
    <t>Fun80312</t>
  </si>
  <si>
    <t>0889698803120</t>
  </si>
  <si>
    <t>Фигурка Funko POP! Games Sonic the Hedgehog 30th Running Sonic (632) 51964</t>
  </si>
  <si>
    <t>Fun25491293</t>
  </si>
  <si>
    <t>0889698519649</t>
  </si>
  <si>
    <t>15,8 / 11,3 / 8,8</t>
  </si>
  <si>
    <t>Фигурка Funko POP! Games Sonic the Hedgehog Amy Rose (915) 70582</t>
  </si>
  <si>
    <t>Fun70582</t>
  </si>
  <si>
    <t>0889698705820</t>
  </si>
  <si>
    <t>Фигурка Funko POP! Games Sonic the Hedgehog Big the Cat w/Froggy 6" (1058) 83853</t>
  </si>
  <si>
    <t>Fun83853</t>
  </si>
  <si>
    <t>0889698838535</t>
  </si>
  <si>
    <t>Фигурка Funko POP! Games Sonic the Hedgehog Cream w/Cheese (1034) 80307</t>
  </si>
  <si>
    <t>Fun80307</t>
  </si>
  <si>
    <t>0889698803076</t>
  </si>
  <si>
    <t>Фигурка Funko POP! Games Sonic the Hedgehog Metal Sonic (916) 70583</t>
  </si>
  <si>
    <t>Fun70583</t>
  </si>
  <si>
    <t>0889698705837</t>
  </si>
  <si>
    <t>Фигурка Funko POP! Games Sonic the Hedgehog Rouge (1057) 83852</t>
  </si>
  <si>
    <t>Fun83852</t>
  </si>
  <si>
    <t>0889698838528</t>
  </si>
  <si>
    <t>Фигурка Funko POP! Games Sonic the Hedgehog Shadow w/Dark Chao (1035) 80308</t>
  </si>
  <si>
    <t>Fun80308</t>
  </si>
  <si>
    <t>0889698803083</t>
  </si>
  <si>
    <t>Фигурка Funko POP! Games Sonic the Hedgehog Sonic w/Chao (1036) 80309</t>
  </si>
  <si>
    <t>Fun80309</t>
  </si>
  <si>
    <t>0889698803090</t>
  </si>
  <si>
    <t>Фигурка Funko POP! Games Sonic the Hedgehog Sonic with Ring (283) 20146</t>
  </si>
  <si>
    <t>Fun918</t>
  </si>
  <si>
    <t>0889698201469</t>
  </si>
  <si>
    <t>Фигурка Funko POP! Games Sonic the Hedgehog Tails (Flying) w/(FL) Chase SS (Exc) (978) 82617</t>
  </si>
  <si>
    <t>Fun82617</t>
  </si>
  <si>
    <t>0889698826174</t>
  </si>
  <si>
    <t>Фигурка Funko POP! Games Sonic the Hedgehog Treasure Hunter Knuckles (1055) 83850</t>
  </si>
  <si>
    <t>Fun83850</t>
  </si>
  <si>
    <t>0889698838504</t>
  </si>
  <si>
    <t>Фигурка Funko POP! Games WOW Alleria Windrunner (1045) 83849</t>
  </si>
  <si>
    <t>Fun83849</t>
  </si>
  <si>
    <t>0889698838498</t>
  </si>
  <si>
    <t>World Of Warcraft</t>
  </si>
  <si>
    <t>Фигурка Funko POP! Harry Potter Gingerbread Harry Potter (175) 80018</t>
  </si>
  <si>
    <t>Fun80018</t>
  </si>
  <si>
    <t>0889698800181</t>
  </si>
  <si>
    <t>Фигурка Funko POP! Harry Potter Gingerbread Hermione Granger (176) 80019</t>
  </si>
  <si>
    <t>Fun80019</t>
  </si>
  <si>
    <t>0889698800198</t>
  </si>
  <si>
    <t>Фигурка Funko POP! Harry Potter Gingerbread Ron Weasley (177) 80020</t>
  </si>
  <si>
    <t>Fun80020</t>
  </si>
  <si>
    <t>0889698800204</t>
  </si>
  <si>
    <t>Фигурка Funko POP! Harry Potter Harry Potter (Gold) (Exc) (01) 82808</t>
  </si>
  <si>
    <t>Fun82808</t>
  </si>
  <si>
    <t>0889698828086</t>
  </si>
  <si>
    <t>Фигурка Funko POP! Harry Potter Harry Potter Birthday Cake (Exc) (174) 81695</t>
  </si>
  <si>
    <t>Fun81695</t>
  </si>
  <si>
    <t>0889698816953</t>
  </si>
  <si>
    <t>Фигурка Funko POP! Harry Potter Patronus Remus Lupin (130) 53846</t>
  </si>
  <si>
    <t>Fun25491774</t>
  </si>
  <si>
    <t>0889698538466</t>
  </si>
  <si>
    <t>Фигурка Funko POP! Harry Potter POA Harry Potter w/Broom (Quidditch) (165) 76003</t>
  </si>
  <si>
    <t>Fun76003</t>
  </si>
  <si>
    <t>0889698760034</t>
  </si>
  <si>
    <t>Фигурка Funko POP! Harry Potter POA Hermione Granger w/Crookshanks (167) 76010</t>
  </si>
  <si>
    <t>Fun76010</t>
  </si>
  <si>
    <t>0889698760102</t>
  </si>
  <si>
    <t>Фигурка Funko POP! Harry Potter POA Ron Weasley w/Candy (166) 76006</t>
  </si>
  <si>
    <t>Fun76006</t>
  </si>
  <si>
    <t>0889698760065</t>
  </si>
  <si>
    <t>Фигурка Funko POP! Harry Potter POA Rubeus Hagrid Animal Pelt Outfit 6" (171) 76009</t>
  </si>
  <si>
    <t>Fun76009</t>
  </si>
  <si>
    <t>0889698760096</t>
  </si>
  <si>
    <t>Фигурка Funko POP! Harry Potter POA Stan Shunpike (170) 76007</t>
  </si>
  <si>
    <t>Fun76007</t>
  </si>
  <si>
    <t>0889698760072</t>
  </si>
  <si>
    <t>Фигурка Funko POP! Harry Potter S1 Albus Dumbledore (04) 5863</t>
  </si>
  <si>
    <t>Fun1267</t>
  </si>
  <si>
    <t>0849803058630</t>
  </si>
  <si>
    <t>Фигурка Funko POP! Harry Potter S1 Harry Potter (01) 5858</t>
  </si>
  <si>
    <t>Fun482</t>
  </si>
  <si>
    <t>0849803058586</t>
  </si>
  <si>
    <t>Фигурка Funko POP! Harry Potter S1 Hermione Granger (03) 5860</t>
  </si>
  <si>
    <t>Fun1268</t>
  </si>
  <si>
    <t>0849803058609</t>
  </si>
  <si>
    <t>Фигурка Funko POP! Harry Potter S1 Ron Weasley (02) 5859</t>
  </si>
  <si>
    <t>Fun483</t>
  </si>
  <si>
    <t>0849803058593</t>
  </si>
  <si>
    <t>Фигурка Funko POP! Harry Potter S1 Voldemort (06) 5861</t>
  </si>
  <si>
    <t>Fun666</t>
  </si>
  <si>
    <t>0849803058616</t>
  </si>
  <si>
    <t>Фигурка Funko POP! Harry Potter S10 Albus Dumbledore w/Baby Harry (115) 48067</t>
  </si>
  <si>
    <t>Fun2549558</t>
  </si>
  <si>
    <t>0889698480673</t>
  </si>
  <si>
    <t>Фигурка Funko POP! Harry Potter S10 Harry Potter with Invisibility Cloak (112) 48063</t>
  </si>
  <si>
    <t>Fun2549561</t>
  </si>
  <si>
    <t>0889698480635</t>
  </si>
  <si>
    <t>9 / 12 / 16,1</t>
  </si>
  <si>
    <t>Фигурка Funko POP! Harry Potter S10 Ron Weasley Puking Slugs w/Bucket (114) 48066</t>
  </si>
  <si>
    <t>Fun2549565</t>
  </si>
  <si>
    <t>0889698480666</t>
  </si>
  <si>
    <t>Фигурка Funko POP! Harry Potter S3 Harry Potter w/ Hedwig (31) 11915</t>
  </si>
  <si>
    <t>Fun260</t>
  </si>
  <si>
    <t>0889698119153</t>
  </si>
  <si>
    <t>Фигурка Funko POP! Harry Potter S3 Harry Potter w/Prophecy (32) 10988</t>
  </si>
  <si>
    <t>Fun763</t>
  </si>
  <si>
    <t>0889698109888</t>
  </si>
  <si>
    <t>Фигурка Funko POP! Harry Potter S7 Fawkes (87) 42239</t>
  </si>
  <si>
    <t>Fun2423</t>
  </si>
  <si>
    <t>0889698422390</t>
  </si>
  <si>
    <t>Фигурка Funko POP! Hello Kitty 50th Hello Kitty in Cake (75) 76089</t>
  </si>
  <si>
    <t>Fun76089</t>
  </si>
  <si>
    <t>0889698760898</t>
  </si>
  <si>
    <t>Фигурка Funko POP! Hello Kitty 50th Hello Kitty with Balloons (76) 76090</t>
  </si>
  <si>
    <t>Fun76090</t>
  </si>
  <si>
    <t>0889698760904</t>
  </si>
  <si>
    <t>Фигурка Funko POP! Hello Kitty And Friends Cinnamoroll (Ice Cream) (100) 83693</t>
  </si>
  <si>
    <t>Fun83693</t>
  </si>
  <si>
    <t>0889698836937</t>
  </si>
  <si>
    <t>Фигурка Funko POP! Hello Kitty And Friends Cinnamoroll IC Cone (Exc) (98) 84604</t>
  </si>
  <si>
    <t>Fun84604</t>
  </si>
  <si>
    <t>0889698846042</t>
  </si>
  <si>
    <t>Фигурка Funko POP! Hello Kitty And Friends Cinnamoroll Unicorn Party (59) 65748</t>
  </si>
  <si>
    <t>Fun65748</t>
  </si>
  <si>
    <t>0889698657488</t>
  </si>
  <si>
    <t>Фигурка Funko POP! Hello Kitty And Friends Cinnamoroll w/Cake (92) 80313</t>
  </si>
  <si>
    <t>Fun80313</t>
  </si>
  <si>
    <t>0889698803137</t>
  </si>
  <si>
    <t>Фигурка Funko POP! Hello Kitty And Friends Cinnamoroll w/Soccer Ball (FL) (Exc) (86) 82146</t>
  </si>
  <si>
    <t>Fun82146</t>
  </si>
  <si>
    <t>0889698821469</t>
  </si>
  <si>
    <t>Фигурка Funko POP! Hello Kitty And Friends Hello Kitty (58) 65749</t>
  </si>
  <si>
    <t>Fun65749</t>
  </si>
  <si>
    <t>0889698657495</t>
  </si>
  <si>
    <t>Фигурка Funko POP! Hello Kitty And Friends Hello Kitty (Ice Cream) (99) 83694</t>
  </si>
  <si>
    <t>Fun83694</t>
  </si>
  <si>
    <t>0889698836944</t>
  </si>
  <si>
    <t>Фигурка Funko POP! Hello Kitty And Friends Hello Kitty with Dessert (89) 80314</t>
  </si>
  <si>
    <t>Fun80314</t>
  </si>
  <si>
    <t>0889698803144</t>
  </si>
  <si>
    <t>Фигурка Funko POP! Hello Kitty And Friends Kuromi (Ice Cream Cone) (Exc) (105) 84492</t>
  </si>
  <si>
    <t>Fun84492</t>
  </si>
  <si>
    <t>0889698844925</t>
  </si>
  <si>
    <t>Фигурка Funko POP! Hello Kitty And Friends Kuromi (Ice Cream) (101) 83695</t>
  </si>
  <si>
    <t>Fun83695</t>
  </si>
  <si>
    <t>0889698836951</t>
  </si>
  <si>
    <t>Фигурка Funko POP! Hello Kitty And Friends My Melody (GW) (Exc) (91) 84593</t>
  </si>
  <si>
    <t>Fun84593</t>
  </si>
  <si>
    <t>0889698845939</t>
  </si>
  <si>
    <t>Фигурка Funko POP! Hello Kitty And Friends My Melody (Ice Cream) (103) 83696</t>
  </si>
  <si>
    <t>Fun83696</t>
  </si>
  <si>
    <t>0889698836968</t>
  </si>
  <si>
    <t>Фигурка Funko POP! Hello Kitty And Friends My Melody with Dessert (91) 80316</t>
  </si>
  <si>
    <t>Fun80316</t>
  </si>
  <si>
    <t>0889698803168</t>
  </si>
  <si>
    <t>Фигурка Funko POP! Hello Kitty And Friends TuxedoSam (Ice Cream) (102) 83697</t>
  </si>
  <si>
    <t>Fun83697</t>
  </si>
  <si>
    <t>0889698836975</t>
  </si>
  <si>
    <t>Фигурка Funko POP! Hello Kitty Hello Kitty (Classic) (28) 43461</t>
  </si>
  <si>
    <t>Fun2533</t>
  </si>
  <si>
    <t>0889698434614</t>
  </si>
  <si>
    <t>Фигурка Funko POP! Hello Kitty Hello Kitty (Sea) (41) 49833</t>
  </si>
  <si>
    <t>Fun49833</t>
  </si>
  <si>
    <t>0889698498333</t>
  </si>
  <si>
    <t>Фигурка Funko POP! Hello Kitty Hello Kitty w/Lollipop (FL) (Exc) (106) 87170</t>
  </si>
  <si>
    <t>Fun87170</t>
  </si>
  <si>
    <t>0889698871709</t>
  </si>
  <si>
    <t>Фигурка Funko POP! Heroes Batman 85th Batman &amp; Robin Poison Ivy (531) 80700</t>
  </si>
  <si>
    <t>Fun80700</t>
  </si>
  <si>
    <t>0889698807005</t>
  </si>
  <si>
    <t>Фигурка Funko POP! Heroes Batman 85th Batman (Unmasked) (Exc) (523) 82095</t>
  </si>
  <si>
    <t>Fun82095</t>
  </si>
  <si>
    <t>0889698820950</t>
  </si>
  <si>
    <t>Фигурка Funko POP! Heroes Batman 85th Batman Bloody (518) 80686</t>
  </si>
  <si>
    <t>Fun80686</t>
  </si>
  <si>
    <t>0889698806862</t>
  </si>
  <si>
    <t>Фигурка Funko POP! Heroes Batman 85th Batman Forever The Riddler (MT) (530) 80699</t>
  </si>
  <si>
    <t>Fun80699</t>
  </si>
  <si>
    <t>0889698806992</t>
  </si>
  <si>
    <t>Фигурка Funko POP! Heroes Batman 85th Batman Returns Catwoman (528) 80697</t>
  </si>
  <si>
    <t>Fun80697</t>
  </si>
  <si>
    <t>0889698806978</t>
  </si>
  <si>
    <t>Фигурка Funko POP! Heroes Batman 85th Batman Returns The Penguin (529) 80698</t>
  </si>
  <si>
    <t>Fun80698</t>
  </si>
  <si>
    <t>0889698806985</t>
  </si>
  <si>
    <t>Фигурка Funko POP! Heroes Batman 85th Joker with Teeth (517) 80687</t>
  </si>
  <si>
    <t>Fun80687</t>
  </si>
  <si>
    <t>0889698806879</t>
  </si>
  <si>
    <t>Фигурка Funko POP! Heroes Batman 85th Vicki Vale (516) 80688</t>
  </si>
  <si>
    <t>Fun80688</t>
  </si>
  <si>
    <t>0889698806886</t>
  </si>
  <si>
    <t>Фигурка Funko POP! Heroes Batman The Joker War Zone Batgirl (Cassandra Cain) (501) 76070</t>
  </si>
  <si>
    <t>Fun76070</t>
  </si>
  <si>
    <t>0889698760706</t>
  </si>
  <si>
    <t>Фигурка Funko POP! Heroes Batman The Joker War Zone Batwing (500) 76069</t>
  </si>
  <si>
    <t>Fun76069</t>
  </si>
  <si>
    <t>0889698760690</t>
  </si>
  <si>
    <t>Фигурка Funko POP! Heroes Batman The Joker War Zone Clownhunter (502) 76071</t>
  </si>
  <si>
    <t>Fun76071</t>
  </si>
  <si>
    <t>0889698760713</t>
  </si>
  <si>
    <t>Фигурка Funko POP! Heroes Batman The Joker War Zone Joker War Joker (504) 76073</t>
  </si>
  <si>
    <t>Fun76073</t>
  </si>
  <si>
    <t>0889698760737</t>
  </si>
  <si>
    <t>Фигурка Funko POP! Heroes Batman The Joker War Zone Spoiler (Stephanie Brown) (505) 76074</t>
  </si>
  <si>
    <t>Fun76074</t>
  </si>
  <si>
    <t>0889698760744</t>
  </si>
  <si>
    <t>Фигурка Funko POP! Heroes Batman The Joker War Zone The Signal (Duke Thomas) (503) 76072</t>
  </si>
  <si>
    <t>Fun76072</t>
  </si>
  <si>
    <t>0889698760720</t>
  </si>
  <si>
    <t>Фигурка Funko POP! Heroes Batman/Superman Fusion SDCC24 (Exc) (506) 78338</t>
  </si>
  <si>
    <t>Fun78338</t>
  </si>
  <si>
    <t>0889698783385</t>
  </si>
  <si>
    <t>Фигурка Funko POP! Heroes DC Batman 1989 Joker w/Hat w/Chase (337) 47709</t>
  </si>
  <si>
    <t>Fun2549587</t>
  </si>
  <si>
    <t>0889698477093</t>
  </si>
  <si>
    <t>Фигурка Funko POP! Heroes DC Batman 80th Batman (1995) (289) 37254</t>
  </si>
  <si>
    <t>Fun2418</t>
  </si>
  <si>
    <t>0889698372541</t>
  </si>
  <si>
    <t>Фигурка Funko POP! Heroes DC Batman Animated Series Batman (152) 11570</t>
  </si>
  <si>
    <t>Fun132</t>
  </si>
  <si>
    <t>0889698115704</t>
  </si>
  <si>
    <t>Фигурка Funko POP! Heroes DC Batman Animated Series Mr. Freeze w/Nora (Exc) (531) 82837</t>
  </si>
  <si>
    <t>Fun82837</t>
  </si>
  <si>
    <t>0889698828376</t>
  </si>
  <si>
    <t>Фигурка Funko POP! Heroes DC Batman Animated Series S5 Harley Quinn (546) 83514</t>
  </si>
  <si>
    <t>Fun83514</t>
  </si>
  <si>
    <t>0889698835145</t>
  </si>
  <si>
    <t>Фигурка Funko POP! Heroes DC Batman Animated Series S5 Harley Quinn (DGLT) (Exc) (546) 84875</t>
  </si>
  <si>
    <t>Fun84875</t>
  </si>
  <si>
    <t>0889698848756</t>
  </si>
  <si>
    <t>Фигурка Funko POP! Heroes DC Batman Animated Series S5 Killer Croc (Exc) (545) 85249</t>
  </si>
  <si>
    <t>Fun85249</t>
  </si>
  <si>
    <t>0889698852494</t>
  </si>
  <si>
    <t>Фигурка Funko POP! Heroes DC Batman Animated Series S5 Ra's Al Ghul (547) 83515</t>
  </si>
  <si>
    <t>Fun83515</t>
  </si>
  <si>
    <t>0889698835152</t>
  </si>
  <si>
    <t>Фигурка Funko POP! Heroes DC Batman Animated Series S5 The Riddler (548) 83516</t>
  </si>
  <si>
    <t>Fun83516</t>
  </si>
  <si>
    <t>0889698835169</t>
  </si>
  <si>
    <t>Фигурка Funko POP! Heroes DC Batman Arkham Asylum Bane (Exc) 6" (532) 82776</t>
  </si>
  <si>
    <t>Fun82776</t>
  </si>
  <si>
    <t>0889698827768</t>
  </si>
  <si>
    <t>Фигурка Funko POP! Heroes DC Batman Forever Two-Face (341) 47706</t>
  </si>
  <si>
    <t>Fun2549589</t>
  </si>
  <si>
    <t>0889698477062</t>
  </si>
  <si>
    <t>Фигурка Funko POP! Heroes DC Batman Returns Catwoman (338) 47707</t>
  </si>
  <si>
    <t>Fun2549590</t>
  </si>
  <si>
    <t>0889698477079</t>
  </si>
  <si>
    <t>Фигурка Funko POP! Heroes DC Classic Batman (144) 11496</t>
  </si>
  <si>
    <t>Fun137</t>
  </si>
  <si>
    <t>0889698114967</t>
  </si>
  <si>
    <t>Фигурка Funko POP! Heroes DC Comics Green Lantern (Green Lantern`s Light) (GW) (530) 82765</t>
  </si>
  <si>
    <t>Fun82765</t>
  </si>
  <si>
    <t>0889698827652</t>
  </si>
  <si>
    <t>Фигурка Funko POP! Heroes DC Harley Quinn 30th Harley Quinn on Apokolips (450) 65613</t>
  </si>
  <si>
    <t>Fun65613</t>
  </si>
  <si>
    <t>0889698656139</t>
  </si>
  <si>
    <t>Харли Квинн</t>
  </si>
  <si>
    <t>Фигурка Funko POP! Heroes DC Harley Quinn 30th Harley Quinn with Bat (451) 65614</t>
  </si>
  <si>
    <t>Fun65614</t>
  </si>
  <si>
    <t>0889698656146</t>
  </si>
  <si>
    <t>Фигурка Funko POP! Heroes DC Harley Quinn 30th Harley Quinn with Pizza (452) 65615</t>
  </si>
  <si>
    <t>Fun65615</t>
  </si>
  <si>
    <t>0889698656153</t>
  </si>
  <si>
    <t>Фигурка Funko POP! Heroes DC Harley Quinn Animated Series The Joker (496) 75850</t>
  </si>
  <si>
    <t>Fun75850</t>
  </si>
  <si>
    <t>0889698758505</t>
  </si>
  <si>
    <t>Фигурка Funko POP! Heroes DC Holiday '24 Batgirl (527) 80027</t>
  </si>
  <si>
    <t>Fun80027</t>
  </si>
  <si>
    <t>0889698800273</t>
  </si>
  <si>
    <t>Фигурка Funko POP! Heroes DC Holiday '24 Catwoman (525) 80028</t>
  </si>
  <si>
    <t>Fun80028</t>
  </si>
  <si>
    <t>0889698800280</t>
  </si>
  <si>
    <t>Фигурка Funko POP! Heroes DC Holiday '24 Harley Quinn (529) 80029</t>
  </si>
  <si>
    <t>Fun80029</t>
  </si>
  <si>
    <t>0889698800297</t>
  </si>
  <si>
    <t>Фигурка Funko POP! Heroes DC Holiday '24 Poison Ivy (528) 80030</t>
  </si>
  <si>
    <t>Fun80030</t>
  </si>
  <si>
    <t>0889698800303</t>
  </si>
  <si>
    <t>Фигурка Funko POP! Heroes DC Holiday '24 Supergirl (526) 80031</t>
  </si>
  <si>
    <t>Fun80031</t>
  </si>
  <si>
    <t>0889698800310</t>
  </si>
  <si>
    <t>Фигурка Funko POP! Heroes DC Patchwork Batman​ (508) ​80903</t>
  </si>
  <si>
    <t>Fun80903</t>
  </si>
  <si>
    <t>0889698809030</t>
  </si>
  <si>
    <t>Фигурка Funko POP! Heroes DC Patchwork Catwoman (509) 80904</t>
  </si>
  <si>
    <t>Fun80904</t>
  </si>
  <si>
    <t>0889698809047</t>
  </si>
  <si>
    <t>Фигурка Funko POP! Heroes DC Patchwork Harley Quinn (510) 80905</t>
  </si>
  <si>
    <t>Fun80905</t>
  </si>
  <si>
    <t>0889698809054</t>
  </si>
  <si>
    <t>Фигурка Funko POP! Heroes DC Superman (1978) Jor-El (538) 80763</t>
  </si>
  <si>
    <t>Fun80763</t>
  </si>
  <si>
    <t>0889698807630</t>
  </si>
  <si>
    <t>Фигурка Funko POP! Heroes DC Superman (1978) Lex Luthor w/Chase (540) 80765</t>
  </si>
  <si>
    <t>Fun80765</t>
  </si>
  <si>
    <t>0889698807654</t>
  </si>
  <si>
    <t>Фигурка Funko POP! Heroes DC Superman (1978) Lois Lane (539) 80764</t>
  </si>
  <si>
    <t>Fun80764</t>
  </si>
  <si>
    <t>0889698807647</t>
  </si>
  <si>
    <t>Фигурка Funko POP! Heroes DC Superman 2025 Krypto (565) 85645</t>
  </si>
  <si>
    <t>Fun85645</t>
  </si>
  <si>
    <t>0889698856454</t>
  </si>
  <si>
    <t>Фигурка Funko POP! Heroes DC Superman 2025 Lex Luthor (564) 85644</t>
  </si>
  <si>
    <t>Fun85644</t>
  </si>
  <si>
    <t>0889698856447</t>
  </si>
  <si>
    <t>Фигурка Funko POP! Heroes DC Superman 2025 Lois Lane (563) 85643</t>
  </si>
  <si>
    <t>Fun85643</t>
  </si>
  <si>
    <t>0889698856430</t>
  </si>
  <si>
    <t>Фигурка Funko POP! Heroes DC Superman 2025 Superman (562) 85642</t>
  </si>
  <si>
    <t>Fun85642</t>
  </si>
  <si>
    <t>0889698856423</t>
  </si>
  <si>
    <t>Фигурка Funko POP! Heroes DC Superman 2025 Superman 10" (566) 85646</t>
  </si>
  <si>
    <t>Fun85646</t>
  </si>
  <si>
    <t>0889698856461</t>
  </si>
  <si>
    <t>Фигурка Funko POP! Heroes Justice League Comic Aquaman (Exc) (464) 66618</t>
  </si>
  <si>
    <t>Fun66618</t>
  </si>
  <si>
    <t>0889698666183</t>
  </si>
  <si>
    <t>Фигурка Funko POP! Heroes Justice League Green Lantern C2E224 (Exc) (482) 74262</t>
  </si>
  <si>
    <t>Fun74262</t>
  </si>
  <si>
    <t>0889698742627</t>
  </si>
  <si>
    <t>Фигурка Funko POP! Icons Bruce Lee Bruce Lee (87) 81066</t>
  </si>
  <si>
    <t>Fun81066</t>
  </si>
  <si>
    <t>0889698810661</t>
  </si>
  <si>
    <t>Фигурка Funko POP! Icons Charlie Chaplin Charlie Chaplin (79) 81015</t>
  </si>
  <si>
    <t>Fun81015</t>
  </si>
  <si>
    <t>0889698810159</t>
  </si>
  <si>
    <t>Icons</t>
  </si>
  <si>
    <t>Фигурка Funko POP! Marvel Bobble Spider-Gwen Gwenverse Cap-Gwen (1486) 83724</t>
  </si>
  <si>
    <t>Fun83724</t>
  </si>
  <si>
    <t>0889698837248</t>
  </si>
  <si>
    <t>Фигурка Funko POP! Marvel Bobble Spider-Gwen Gwenverse Iron Gwen (1488) 83726</t>
  </si>
  <si>
    <t>Fun83726</t>
  </si>
  <si>
    <t>0889698837262</t>
  </si>
  <si>
    <t>Фигурка Funko POP! Marvel Bobble Spider-Gwen Gwenverse Thorgwen (1489) 83727</t>
  </si>
  <si>
    <t>Fun83727</t>
  </si>
  <si>
    <t>0889698837279</t>
  </si>
  <si>
    <t>Фигурка Funko POP! Marvel Bobble Spider-Gwen Gwenverse Wolver-Gwen (1487) 83725</t>
  </si>
  <si>
    <t>Fun83725</t>
  </si>
  <si>
    <t>0889698837255</t>
  </si>
  <si>
    <t>Фигурка Funko POP! MLS Inter Miami Jordi Alba (away) (03) 88616</t>
  </si>
  <si>
    <t>Fun88616</t>
  </si>
  <si>
    <t>0889698886161</t>
  </si>
  <si>
    <t>Фигурка Funko POP! MLS Inter Miami Lionel Messi (away) (01) 88617</t>
  </si>
  <si>
    <t>Fun88617</t>
  </si>
  <si>
    <t>0889698886178</t>
  </si>
  <si>
    <t>Фигурка Funko POP! MLS Inter Miami Luis Suarez (away) (02) 88618</t>
  </si>
  <si>
    <t>Fun88618</t>
  </si>
  <si>
    <t>0889698886185</t>
  </si>
  <si>
    <t>Фигурка Funko POP! MLS Inter Miami Sergio Busquets (away) (04) 88619</t>
  </si>
  <si>
    <t>Fun88619</t>
  </si>
  <si>
    <t>0889698886192</t>
  </si>
  <si>
    <t>Фигурка Funko POP! Moment AC/DC Angus Young (Dance) (415) 79803</t>
  </si>
  <si>
    <t>Fun79803</t>
  </si>
  <si>
    <t>0889698798037</t>
  </si>
  <si>
    <t>18 / 25,7 / 19,4</t>
  </si>
  <si>
    <t>Фигурка Funko POP! Moment Alien 3 Ripley and The Runner (1767) 83793</t>
  </si>
  <si>
    <t>Fun83793</t>
  </si>
  <si>
    <t>0889698837934</t>
  </si>
  <si>
    <t>Чужой</t>
  </si>
  <si>
    <t>19,5 / 25,5 / 18</t>
  </si>
  <si>
    <t>Фигурка Funko POP! Moment Bobble Marvel Loki The Void (06) 70262</t>
  </si>
  <si>
    <t>Fun70262</t>
  </si>
  <si>
    <t>0889698702621</t>
  </si>
  <si>
    <t>12,4 / 46,8 / 33,8</t>
  </si>
  <si>
    <t>Фигурка Funko POP! Moment Bobble Star Wars Rey &amp; Kylo Ren (GW) (Exc) (758) 85182</t>
  </si>
  <si>
    <t>Fun85182</t>
  </si>
  <si>
    <t>0889698851824</t>
  </si>
  <si>
    <t>25,5 / 19,2 / 17,7</t>
  </si>
  <si>
    <t>Фигурка Funko POP! Moment Boble Marvel Loki Season 2 Snake Eating It's Tail (Exc) (1330) 74511</t>
  </si>
  <si>
    <t>Fun74511</t>
  </si>
  <si>
    <t>0889698745116</t>
  </si>
  <si>
    <t>17,7 / 25,5 / 19,1</t>
  </si>
  <si>
    <t>Фигурка Funko POP! Moment Bride of Chucky Chucky &amp; Tiffany (Exc) (1857) 81692</t>
  </si>
  <si>
    <t>Fun81692</t>
  </si>
  <si>
    <t>0889698816922</t>
  </si>
  <si>
    <t>Фигурка Funko POP! Moment BTTF 2 Hoverboard Chase Marty/Griff/Data/Whitey/Spike (11) 76563</t>
  </si>
  <si>
    <t>Fun76563</t>
  </si>
  <si>
    <t>0889698765633</t>
  </si>
  <si>
    <t>33,5 / 46,2 / 12</t>
  </si>
  <si>
    <t>Фигурка Funko POP! Moment DC Batman 85th Batman in Batcave (519) 80685</t>
  </si>
  <si>
    <t>Fun80685</t>
  </si>
  <si>
    <t>0889698806855</t>
  </si>
  <si>
    <t>18 / 26 / 19</t>
  </si>
  <si>
    <t>Фигурка Funko POP! Moment Jujutsu Kaisen Yuji Itadori &amp; Aoi Todo vs Hanami S1 (06) 70265</t>
  </si>
  <si>
    <t>Fun70265</t>
  </si>
  <si>
    <t>0889698702652</t>
  </si>
  <si>
    <t>Фигурка Funko POP! Moment Jujutsu Kaisen Yuji Itadori with Cursed Doll (Exc) (1541) 74510</t>
  </si>
  <si>
    <t>Fun74510</t>
  </si>
  <si>
    <t>0889698745109</t>
  </si>
  <si>
    <t>17,8 / 25,8 / 19,1</t>
  </si>
  <si>
    <t>Фигурка Funko POP! Moment Naruto Shippuden Pain vs Naruto (1433) 72074</t>
  </si>
  <si>
    <t>Fun72074</t>
  </si>
  <si>
    <t>0889698720748</t>
  </si>
  <si>
    <t>17,8 / 25,6 / 19,1</t>
  </si>
  <si>
    <t>Фигурка Funko POP! Moment One Piece Unmasked Roronoa Zoro vs King (Exc) (1954) 84487</t>
  </si>
  <si>
    <t>Fun84487</t>
  </si>
  <si>
    <t>0889698844871</t>
  </si>
  <si>
    <t>17,5 / 25,5 / 17</t>
  </si>
  <si>
    <t>Фигурка Funko POP! Moment Peanuts Charlie Brown &amp; Lucy (Exc) (1682) 85185</t>
  </si>
  <si>
    <t>Fun85185</t>
  </si>
  <si>
    <t>0889698851855</t>
  </si>
  <si>
    <t>18 / 25,6 / 19</t>
  </si>
  <si>
    <t>Фигурка Funko POP! Movie Moments Disney TNBC Snowman Jack/Carolers (12) 73249</t>
  </si>
  <si>
    <t>Fun73249</t>
  </si>
  <si>
    <t>0889698732499</t>
  </si>
  <si>
    <t>46 / 33,5 / 12</t>
  </si>
  <si>
    <t>Фигурка Funko POP! Movie Posters Disney D100 Peter Pan and Tinker Bell (16) 70143</t>
  </si>
  <si>
    <t>Fun70143</t>
  </si>
  <si>
    <t>0889698701433</t>
  </si>
  <si>
    <t>15 / 28,7 / 43,8</t>
  </si>
  <si>
    <t>Фигурка Funko POP! Movie Posters Movies Godzilla Godzilla vs Mothra (23) 80882</t>
  </si>
  <si>
    <t>Fun80882</t>
  </si>
  <si>
    <t>0889698808828</t>
  </si>
  <si>
    <t>44 / 28,3 / 14</t>
  </si>
  <si>
    <t>Фигурка Funko POP! Movies Abigail Abigail (1582) 82237</t>
  </si>
  <si>
    <t>Fun82237</t>
  </si>
  <si>
    <t>0889698822374</t>
  </si>
  <si>
    <t>Эбигейл</t>
  </si>
  <si>
    <t>Фигурка Funko POP! Movies Aliens Romulus Andy (1615) 82657</t>
  </si>
  <si>
    <t>Fun82657</t>
  </si>
  <si>
    <t>0889698826570</t>
  </si>
  <si>
    <t>Фигурка Funko POP! Movies Aliens Romulus Rain (1614) 82656</t>
  </si>
  <si>
    <t>Fun82656</t>
  </si>
  <si>
    <t>0889698826563</t>
  </si>
  <si>
    <t>Фигурка Funko POP! Movies American Tail Fievel (1651) 81201</t>
  </si>
  <si>
    <t>Fun81201</t>
  </si>
  <si>
    <t>0889698812016</t>
  </si>
  <si>
    <t>Американская история</t>
  </si>
  <si>
    <t>Фигурка Funko POP! Movies American Tail Papa (1652) 81202</t>
  </si>
  <si>
    <t>Fun81202</t>
  </si>
  <si>
    <t>0889698812023</t>
  </si>
  <si>
    <t>Фигурка Funko POP! Movies American Tail Tanya (1653) 81203</t>
  </si>
  <si>
    <t>Fun81203</t>
  </si>
  <si>
    <t>0889698812030</t>
  </si>
  <si>
    <t>Фигурка Funko POP! Movies American Tail Tiger (1654) 81204</t>
  </si>
  <si>
    <t>Fun81204</t>
  </si>
  <si>
    <t>0889698812047</t>
  </si>
  <si>
    <t>Фигурка Funko POP! Movies American Werewolf in London David Kessler (1765) 80708</t>
  </si>
  <si>
    <t>Fun80708</t>
  </si>
  <si>
    <t>0889698807081</t>
  </si>
  <si>
    <t>Фигурка Funko POP! Movies Aquaman and the Lost Kingdom Aquaman (DGLT) (Exc) (1301) 68187</t>
  </si>
  <si>
    <t>Fun68187</t>
  </si>
  <si>
    <t>0889698681872</t>
  </si>
  <si>
    <t>Аквамен</t>
  </si>
  <si>
    <t>Фигурка Funko POP! Movies Aquaman And The Lost Kingdom Aquaman Stealth Suit (1302) 67566</t>
  </si>
  <si>
    <t>Fun67566</t>
  </si>
  <si>
    <t>0889698675666</t>
  </si>
  <si>
    <t>Фигурка Funko POP! Movies Aquaman And The Lost Kingdom Black Manta w/Trident (1303) 67567</t>
  </si>
  <si>
    <t>Fun67567</t>
  </si>
  <si>
    <t>0889698675673</t>
  </si>
  <si>
    <t>Фигурка Funko POP! Movies Aquaman And The Lost Kingdom Dr. Shin (1308) 67573</t>
  </si>
  <si>
    <t>Fun67573</t>
  </si>
  <si>
    <t>0889698675734</t>
  </si>
  <si>
    <t>Фигурка Funko POP! Movies Aquaman And The Lost Kingdom Mera w/Hydrokinesis (1306) 67570</t>
  </si>
  <si>
    <t>Fun67570</t>
  </si>
  <si>
    <t>0889698675703</t>
  </si>
  <si>
    <t>Фигурка Funko POP! Movies Aquaman And The Lost Kingdom Storm (1305) 67569</t>
  </si>
  <si>
    <t>Fun67569</t>
  </si>
  <si>
    <t>0889698675697</t>
  </si>
  <si>
    <t>Фигурка Funko POP! Movies Army of Darkness Ash w/Boomstick (1880) 83840</t>
  </si>
  <si>
    <t>Fun83840</t>
  </si>
  <si>
    <t>0889698838405</t>
  </si>
  <si>
    <t>Фигурка Funko POP! Movies Army of Darkness Evil Ash (1881) 83842</t>
  </si>
  <si>
    <t>Fun83842</t>
  </si>
  <si>
    <t>0889698838429</t>
  </si>
  <si>
    <t>Фигурка Funko POP! Movies Avatar TWOW Jake Sully (Battle) (1549) 73087</t>
  </si>
  <si>
    <t>Fun73087</t>
  </si>
  <si>
    <t>0889698730877</t>
  </si>
  <si>
    <t>Аватар</t>
  </si>
  <si>
    <t>18+</t>
  </si>
  <si>
    <t>Фигурка Funko POP! Movies Barbie Gold Disco Barbie (1445) 72635</t>
  </si>
  <si>
    <t>Fun72635</t>
  </si>
  <si>
    <t>0889698726351</t>
  </si>
  <si>
    <t>Барби</t>
  </si>
  <si>
    <t>Фигурка Funko POP! Movies Barbie Western Barbie (1447) 72637</t>
  </si>
  <si>
    <t>Fun72637</t>
  </si>
  <si>
    <t>0889698726375</t>
  </si>
  <si>
    <t>Фигурка Funko POP! Movies Beetlejuice 2 Beetlejuice w/Chase (1689) 82653</t>
  </si>
  <si>
    <t>Fun82653</t>
  </si>
  <si>
    <t>0889698826532</t>
  </si>
  <si>
    <t>Фигурка Funko POP! Movies Beetlejuice 2 Lydia Deetz (1690) 82654</t>
  </si>
  <si>
    <t>Fun82654</t>
  </si>
  <si>
    <t>0889698826549</t>
  </si>
  <si>
    <t>Фигурка Funko POP! Movies Beetlejuice S3 Beetlejuice (Shrunken Head) (Exc) (1761) 84862</t>
  </si>
  <si>
    <t>Fun84862</t>
  </si>
  <si>
    <t>0889698848626</t>
  </si>
  <si>
    <t>Фигурка Funko POP! Movies Beetlejuice S3 Beetlejuice (Snake) (Exc) (1728) 84491</t>
  </si>
  <si>
    <t>Fun84491</t>
  </si>
  <si>
    <t>0889698844918</t>
  </si>
  <si>
    <t>Фигурка Funko POP! Movies Beetlejuice S3 Delia Deetz (1758) 83563</t>
  </si>
  <si>
    <t>Fun83563</t>
  </si>
  <si>
    <t>0889698835633</t>
  </si>
  <si>
    <t>Фигурка Funko POP! Movies Beetlejuice S3 Lydia Deetz (1759) 83564</t>
  </si>
  <si>
    <t>Fun83564</t>
  </si>
  <si>
    <t>0889698835640</t>
  </si>
  <si>
    <t>Фигурка Funko POP! Movies Black Phone The Grabber w/Chase (1488) 75908</t>
  </si>
  <si>
    <t>Fun75908</t>
  </si>
  <si>
    <t>0889698759083</t>
  </si>
  <si>
    <t>Чёрный телефон</t>
  </si>
  <si>
    <t>Фигурка Funko POP! Movies Bloodsport Frank Dux (1866) 80779</t>
  </si>
  <si>
    <t>Fun80779</t>
  </si>
  <si>
    <t>0889698807791</t>
  </si>
  <si>
    <t>Фигурка Funko POP! Movies Blue Beetle Conrad Carapax (Flying) (1405) 72352</t>
  </si>
  <si>
    <t>Fun72352</t>
  </si>
  <si>
    <t>0889698723527</t>
  </si>
  <si>
    <t>Синий жук</t>
  </si>
  <si>
    <t>Фигурка Funko POP! Movies Blue Beetle Jaime Reyes w/Scarab (1404) 72351</t>
  </si>
  <si>
    <t>Fun72351</t>
  </si>
  <si>
    <t>0889698723510</t>
  </si>
  <si>
    <t>Фигурка Funko POP! Movies Bride of Chucky Tiffany w/Chase (468) 20117</t>
  </si>
  <si>
    <t>Fun2459</t>
  </si>
  <si>
    <t>0889698201179</t>
  </si>
  <si>
    <t>Фигурка Funko POP! Movies BTTF Doc With Helmet (959) 46914</t>
  </si>
  <si>
    <t>Fun2549639</t>
  </si>
  <si>
    <t>0889698469142</t>
  </si>
  <si>
    <t>Фигурка Funko POP! Movies BTTF Marty in Puffy Vest (961) 48705</t>
  </si>
  <si>
    <t>Fun2549642</t>
  </si>
  <si>
    <t>0889698487054</t>
  </si>
  <si>
    <t>Фигурка Funko POP! Movies BTTF Marty McFly (49) 3400</t>
  </si>
  <si>
    <t>Fun13</t>
  </si>
  <si>
    <t>0830395034003</t>
  </si>
  <si>
    <t>Фигурка Funko POP! Movies BTTF Marty w/glasses (958) 46912</t>
  </si>
  <si>
    <t>Fun2549643</t>
  </si>
  <si>
    <t>0889698469128</t>
  </si>
  <si>
    <t>Фигурка Funko POP! Movies Bullet Train The Wolf (1293) 65740</t>
  </si>
  <si>
    <t>Fun65740</t>
  </si>
  <si>
    <t>0889698657402</t>
  </si>
  <si>
    <t>Быстрее пули</t>
  </si>
  <si>
    <t>Фигурка Funko POP! Movies Care Bears X U Monsters Bedtime Bear as the Mummy (1628) 81538</t>
  </si>
  <si>
    <t>Fun81538</t>
  </si>
  <si>
    <t>0889698815383</t>
  </si>
  <si>
    <t>Фигурка Funko POP! Movies Care Bears X U Monsters Cheer Bear as Bride of Frankenstein (1626) 81537</t>
  </si>
  <si>
    <t>Fun81537</t>
  </si>
  <si>
    <t>0889698815376</t>
  </si>
  <si>
    <t>Фигурка Funko POP! Movies Care Bears X U Monsters Grumpy Bear as Frankenstein (1627) 81536</t>
  </si>
  <si>
    <t>Fun81536</t>
  </si>
  <si>
    <t>0889698815369</t>
  </si>
  <si>
    <t>Фигурка Funko POP! Movies Care Bears X U Monsters Tenderheart Bear as Dracula (1629) 81539</t>
  </si>
  <si>
    <t>Fun81539</t>
  </si>
  <si>
    <t>0889698815390</t>
  </si>
  <si>
    <t>Фигурка Funko POP! Movies Casino Ginger McKenna (1860) 80201</t>
  </si>
  <si>
    <t>Fun80201</t>
  </si>
  <si>
    <t>0889698802017</t>
  </si>
  <si>
    <t>Казино</t>
  </si>
  <si>
    <t>Фигурка Funko POP! Movies Casino Nicky Santoro (1861) 80202</t>
  </si>
  <si>
    <t>Fun80202</t>
  </si>
  <si>
    <t>0889698802024</t>
  </si>
  <si>
    <t>Фигурка Funko POP! Movies Casino Sam Rothstein (1862) 80203</t>
  </si>
  <si>
    <t>Fun80203</t>
  </si>
  <si>
    <t>0889698802031</t>
  </si>
  <si>
    <t>Фигурка Funko POP! Movies Child's Play 2 Chucky (56) 3362</t>
  </si>
  <si>
    <t>Fun3362</t>
  </si>
  <si>
    <t>0830395033624</t>
  </si>
  <si>
    <t>Фигурка Funko POP! Movies Chucky Vintage Halloween Chucky (1249) 81000</t>
  </si>
  <si>
    <t>Fun81000</t>
  </si>
  <si>
    <t>0889698810005</t>
  </si>
  <si>
    <t>Фигурка Funko POP! Movies Chucky Vintage Halloween Good Guy​ Chucky (1589) 80999</t>
  </si>
  <si>
    <t>Fun80999</t>
  </si>
  <si>
    <t>0889698809993</t>
  </si>
  <si>
    <t>Фигурка Funko POP! Movies Clerks 3 Dante (1482) 72442</t>
  </si>
  <si>
    <t>Fun72442</t>
  </si>
  <si>
    <t>0889698724425</t>
  </si>
  <si>
    <t>Фигурка Funko POP! Movies Clerks 3 Elias Grover (1481) 72441</t>
  </si>
  <si>
    <t>Fun72441</t>
  </si>
  <si>
    <t>0889698724418</t>
  </si>
  <si>
    <t>Фигурка Funko POP! Movies Clueless 30th Cher (1807) 83608</t>
  </si>
  <si>
    <t>Fun83608</t>
  </si>
  <si>
    <t>0889698836081</t>
  </si>
  <si>
    <t>Бестолковые (1995)</t>
  </si>
  <si>
    <t>Фигурка Funko POP! Movies Clueless 30th Cher (As IF!) (1810) 83873</t>
  </si>
  <si>
    <t>Fun83873</t>
  </si>
  <si>
    <t>0889698838733</t>
  </si>
  <si>
    <t>Фигурка Funko POP! Movies Clueless 30th Dionne (1808) 83609</t>
  </si>
  <si>
    <t>Fun83609</t>
  </si>
  <si>
    <t>0889698836098</t>
  </si>
  <si>
    <t>Фигурка Funko POP! Movies Clueless 30th Tai (1809) 83610</t>
  </si>
  <si>
    <t>Fun83610</t>
  </si>
  <si>
    <t>0889698836104</t>
  </si>
  <si>
    <t>Фигурка Funko POP! Movies D&amp;D Edgin (1325) 68079</t>
  </si>
  <si>
    <t>Fun68079</t>
  </si>
  <si>
    <t>0889698680790</t>
  </si>
  <si>
    <t>Фигурка Funko POP! Movies D&amp;D Forge (1330) 68084</t>
  </si>
  <si>
    <t>Fun68084</t>
  </si>
  <si>
    <t>0889698680844</t>
  </si>
  <si>
    <t>Фигурка Funko POP! Movies D&amp;D Holga (1326) 68080</t>
  </si>
  <si>
    <t>Fun68080</t>
  </si>
  <si>
    <t>0889698680806</t>
  </si>
  <si>
    <t>Фигурка Funko POP! Movies D&amp;D Simon (1327) 68081</t>
  </si>
  <si>
    <t>Fun68081</t>
  </si>
  <si>
    <t>0889698680813</t>
  </si>
  <si>
    <t>Фигурка Funko POP! Movies D&amp;D Xenk (1329) 68083</t>
  </si>
  <si>
    <t>Fun68083</t>
  </si>
  <si>
    <t>0889698680837</t>
  </si>
  <si>
    <t>Фигурка Funko POP! Movies Despicable Me 4 Mega Minion Mel (1556) 76052</t>
  </si>
  <si>
    <t>Fun76052</t>
  </si>
  <si>
    <t>889698760522</t>
  </si>
  <si>
    <t>Гадкий я</t>
  </si>
  <si>
    <t>Фигурка Funko POP! Movies Despicable Me 4 Mega Minion Tim (1557) 76053</t>
  </si>
  <si>
    <t>Fun76053</t>
  </si>
  <si>
    <t>889698760539</t>
  </si>
  <si>
    <t>Фигурка Funko POP! Movies Disney Elio Elio with 00000 (GW) (1532) 77177</t>
  </si>
  <si>
    <t>Fun77177</t>
  </si>
  <si>
    <t>0889698771771</t>
  </si>
  <si>
    <t>Элио</t>
  </si>
  <si>
    <t>Фигурка Funko POP! Movies Disney Muppets Christmas Carol Charles Dickens w/Rizzo (1456) 72413</t>
  </si>
  <si>
    <t>Fun72413</t>
  </si>
  <si>
    <t>0889698724135</t>
  </si>
  <si>
    <t>Фигурка Funko POP! Movies Dragons Toothless w/Tongue (Exc) (1785) 85248</t>
  </si>
  <si>
    <t>Fun85248</t>
  </si>
  <si>
    <t>0889698852487</t>
  </si>
  <si>
    <t>Фигурка Funko POP! Movies Dune 2 Chani (1495) 72633</t>
  </si>
  <si>
    <t>Fun72633</t>
  </si>
  <si>
    <t>0889698726337</t>
  </si>
  <si>
    <t>Фигурка Funko POP! Movies Dune 2 Gurney Halleck (1494) 72632</t>
  </si>
  <si>
    <t>Fun72632</t>
  </si>
  <si>
    <t>0889698726320</t>
  </si>
  <si>
    <t>Фигурка Funko POP! Movies Dune 2 Princess Irulan (1498) 75786</t>
  </si>
  <si>
    <t>Fun75786</t>
  </si>
  <si>
    <t>0889698757867</t>
  </si>
  <si>
    <t>Фигурка Funko POP! Movies Electric State Cosmo (1739) 79771</t>
  </si>
  <si>
    <t>Fun79771</t>
  </si>
  <si>
    <t>0889698797719</t>
  </si>
  <si>
    <t>Фигурка Funko POP! Movies Electric State Herman (1741) 82758</t>
  </si>
  <si>
    <t>Fun82758</t>
  </si>
  <si>
    <t>0889698827584</t>
  </si>
  <si>
    <t>Фигурка Funko POP! Movies Electric State Keats (1740) 79772</t>
  </si>
  <si>
    <t>Fun79772</t>
  </si>
  <si>
    <t>0889698797726</t>
  </si>
  <si>
    <t>Фигурка Funko POP! Movies Electric State Michelle (1738) 79770</t>
  </si>
  <si>
    <t>Fun79770</t>
  </si>
  <si>
    <t>0889698797702</t>
  </si>
  <si>
    <t>Электрический штат</t>
  </si>
  <si>
    <t>Фигурка Funko POP! Movies Elvira Elvira and Gonk (1647) 80694</t>
  </si>
  <si>
    <t>Fun80694</t>
  </si>
  <si>
    <t>0889698806947</t>
  </si>
  <si>
    <t>Фигурка Funko POP! Movies Free Guy Guy NYCC22 (Exc) (1241) 64535</t>
  </si>
  <si>
    <t>Fun64535</t>
  </si>
  <si>
    <t>0889698645355</t>
  </si>
  <si>
    <t>Фигурка Funko POP! Movies Get Out Chris Washington w/Deer (1859) 74267</t>
  </si>
  <si>
    <t>Fun74267</t>
  </si>
  <si>
    <t>0889698742672</t>
  </si>
  <si>
    <t>Фигурка Funko POP! Movies Ghost Face Ghost Face (1607) 80696</t>
  </si>
  <si>
    <t>Fun80696</t>
  </si>
  <si>
    <t>0889698806961</t>
  </si>
  <si>
    <t>Фигурка Funko POP! Movies Ghost Face Ghost Face (BLKLT) (Exc) (1607) 84928</t>
  </si>
  <si>
    <t>Fun84928</t>
  </si>
  <si>
    <t>0889698849289</t>
  </si>
  <si>
    <t>Scream</t>
  </si>
  <si>
    <t>Фигурка Funko POP! Movies Ghost Face Ghost Face (Bloody) (Exc) (1607) 81708</t>
  </si>
  <si>
    <t>Fun81708</t>
  </si>
  <si>
    <t>0889698817080</t>
  </si>
  <si>
    <t>Фигурка Funko POP! Movies Ghost Face Ghost Face (GW) (Exc) (1607) 81684</t>
  </si>
  <si>
    <t>Fun81684</t>
  </si>
  <si>
    <t>0889698816847</t>
  </si>
  <si>
    <t>Фигурка Funko POP! Movies Ghostbusters Frozen Empire Ray Stantz (GW) (1510) 73387</t>
  </si>
  <si>
    <t>Fun73387</t>
  </si>
  <si>
    <t>0889698733878</t>
  </si>
  <si>
    <t>Фигурка Funko POP! Movies Ghostbusters Slimer w/Hot Dogs (747) 39333</t>
  </si>
  <si>
    <t>Fun2549536</t>
  </si>
  <si>
    <t>0889698393331</t>
  </si>
  <si>
    <t>Фигурка Funko POP! Movies Godzilla 70th Godzilla 1954 (1662) 80877</t>
  </si>
  <si>
    <t>Fun80877</t>
  </si>
  <si>
    <t>0889698808774</t>
  </si>
  <si>
    <t>Фигурка Funko POP! Movies Godzilla 70th Godzilla 1954 (PLT) (Exc) (1662) 84398</t>
  </si>
  <si>
    <t>Fun84398</t>
  </si>
  <si>
    <t>0889698843980</t>
  </si>
  <si>
    <t>Фигурка Funko POP! Movies Godzilla 70th Godzilla 1954 10" (1666) 80881</t>
  </si>
  <si>
    <t>Fun80881</t>
  </si>
  <si>
    <t>0889698808811</t>
  </si>
  <si>
    <t>Фигурка Funko POP! Movies Godzilla 70th Godzilla 1984 w/Chase (1663) 80878</t>
  </si>
  <si>
    <t>Fun80878</t>
  </si>
  <si>
    <t>0889698808781</t>
  </si>
  <si>
    <t>Фигурка Funko POP! Movies Godzilla 70th Godzilla 1999 (1664) 80879</t>
  </si>
  <si>
    <t>Fun80879</t>
  </si>
  <si>
    <t>0889698808798</t>
  </si>
  <si>
    <t>Фигурка Funko POP! Movies Godzilla 70th Shin Godzilla 2016 (1665) 80880</t>
  </si>
  <si>
    <t>Fun80880</t>
  </si>
  <si>
    <t>0889698808804</t>
  </si>
  <si>
    <t>Фигурка Funko POP! Movies Godzilla Vs Kong NE Kong (1540) 75927</t>
  </si>
  <si>
    <t>Fun75927</t>
  </si>
  <si>
    <t>0889698759274</t>
  </si>
  <si>
    <t>Godzilla Vs Kong</t>
  </si>
  <si>
    <t>Фигурка Funko POP! Movies Godzilla Vs Kong NE Kong 6" (1545) 75931</t>
  </si>
  <si>
    <t>Fun75931</t>
  </si>
  <si>
    <t>0889698759311</t>
  </si>
  <si>
    <t>Фигурка Funko POP! Movies Godzilla Vs Kong NE Skar King (1541) 75929</t>
  </si>
  <si>
    <t>Fun75929</t>
  </si>
  <si>
    <t>0889698759298</t>
  </si>
  <si>
    <t>Фигурка Funko POP! Movies Godzilla Vs Kong NE Suko (1543) 75928</t>
  </si>
  <si>
    <t>Fun75928</t>
  </si>
  <si>
    <t>0889698759281</t>
  </si>
  <si>
    <t>Фигурка Funko POP! Movies Goodfellas S1 Henry Hill (1503) 75932</t>
  </si>
  <si>
    <t>Fun75932</t>
  </si>
  <si>
    <t>0889698759328</t>
  </si>
  <si>
    <t>Славные парни</t>
  </si>
  <si>
    <t>Фигурка Funko POP! Movies Goodfellas S1 Jimmy Conway (1504) 75933</t>
  </si>
  <si>
    <t>Fun75933</t>
  </si>
  <si>
    <t>0889698759335</t>
  </si>
  <si>
    <t>Фигурка Funko POP! Movies Goodfellas S1 Tommy Devito (1505) 75934</t>
  </si>
  <si>
    <t>Fun75934</t>
  </si>
  <si>
    <t>0889698759342</t>
  </si>
  <si>
    <t>Фигурка Funko POP! Movies Gremlins 2 Gizmo with Bow (1753) 83550</t>
  </si>
  <si>
    <t>Fun83550</t>
  </si>
  <si>
    <t>0889698835503</t>
  </si>
  <si>
    <t>Gremlins</t>
  </si>
  <si>
    <t>Фигурка Funko POP! Movies How to Train Your Dragon Live Action Astrid (1791) 83455</t>
  </si>
  <si>
    <t>Fun83455</t>
  </si>
  <si>
    <t>0889698834551</t>
  </si>
  <si>
    <t>Фигурка Funko POP! Movies How to Train Your Dragon Live Action Hiccup (1790) 83454</t>
  </si>
  <si>
    <t>Fun83454</t>
  </si>
  <si>
    <t>0889698834544</t>
  </si>
  <si>
    <t>Фигурка Funko POP! Movies Insidious Red Face Demon (1639) 80702</t>
  </si>
  <si>
    <t>Fun80702</t>
  </si>
  <si>
    <t>0889698807029</t>
  </si>
  <si>
    <t>Астрал</t>
  </si>
  <si>
    <t>Фигурка Funko POP! Movies Interview with a Vampire Claudia (1417) 72325</t>
  </si>
  <si>
    <t>Fun72325</t>
  </si>
  <si>
    <t>0889698723251</t>
  </si>
  <si>
    <t>Фигурка Funko POP! Movies Interview with a Vampire Louis de Pointe du Lac (1418) 72327</t>
  </si>
  <si>
    <t>Fun72327</t>
  </si>
  <si>
    <t>0889698723275</t>
  </si>
  <si>
    <t>Фигурка Funko POP! Movies IT Chapter 2 Pennywise w/ Balloon (780) 40630</t>
  </si>
  <si>
    <t>Fun2379</t>
  </si>
  <si>
    <t>0889698406307</t>
  </si>
  <si>
    <t>Фигурка Funko POP! Movies IT Pennywise (55) 3363</t>
  </si>
  <si>
    <t>Fun768</t>
  </si>
  <si>
    <t>0830395033631</t>
  </si>
  <si>
    <t>Фигурка Funko POP! Movies IT Pennywise with Boat (472) 20176</t>
  </si>
  <si>
    <t>Fun824</t>
  </si>
  <si>
    <t>0889698201766</t>
  </si>
  <si>
    <t>Фигурка Funko POP! Movies IT S2 Georgie Denbrough w/Boat w/Chase (536) 29520</t>
  </si>
  <si>
    <t>Fun1183</t>
  </si>
  <si>
    <t>0889698295208</t>
  </si>
  <si>
    <t>Фигурка Funko POP! Movies Jaws 50th Matt Hooper (1756) 84366</t>
  </si>
  <si>
    <t>Fun84366</t>
  </si>
  <si>
    <t>0889698843669</t>
  </si>
  <si>
    <t>Jaws</t>
  </si>
  <si>
    <t>Фигурка Funko POP! Movies Jaws 50th Quint (1755) 83974</t>
  </si>
  <si>
    <t>Fun83974</t>
  </si>
  <si>
    <t>0889698839747</t>
  </si>
  <si>
    <t>Фигурка Funko POP! Movies John Wick 3 John Wick (1763) 83572</t>
  </si>
  <si>
    <t>Fun83572</t>
  </si>
  <si>
    <t>0889698835725</t>
  </si>
  <si>
    <t>John Wick</t>
  </si>
  <si>
    <t>Lionsgate</t>
  </si>
  <si>
    <t>Фигурка Funko POP! Movies John Wick 4 John Wick (1687) 76103</t>
  </si>
  <si>
    <t>Fun76103</t>
  </si>
  <si>
    <t>0889698761031</t>
  </si>
  <si>
    <t>Фигурка Funko POP! Movies John Wick 4 Winston (1688) 76104</t>
  </si>
  <si>
    <t>Fun76104</t>
  </si>
  <si>
    <t>0889698761048</t>
  </si>
  <si>
    <t>Фигурка Funko POP! Movies Jurassic Park 25th Dilophosaurus (Red) (Exc) (550) 32364</t>
  </si>
  <si>
    <t>Fun32364</t>
  </si>
  <si>
    <t>0889698323642</t>
  </si>
  <si>
    <t>Парк Юрского периода</t>
  </si>
  <si>
    <t>Фигурка Funko POP! Movies Jurassic Park Dilophosaurus (MNLT) (Exc) (550) 81707</t>
  </si>
  <si>
    <t>Fun81707</t>
  </si>
  <si>
    <t>0889698817073</t>
  </si>
  <si>
    <t>Фигурка Funko POP! Movies Jurassic Park Dilophosaurus Hatchling (1718) 75984</t>
  </si>
  <si>
    <t>Fun75984</t>
  </si>
  <si>
    <t>0889698759847</t>
  </si>
  <si>
    <t>Фигурка Funko POP! Movies Jurassic Park Stygimoloch Hatchling (1719) 75985</t>
  </si>
  <si>
    <t>Fun75985</t>
  </si>
  <si>
    <t>0889698759854</t>
  </si>
  <si>
    <t>Фигурка Funko POP! Movies Jurassic Park T. Rex Hatchling (1716) 75986</t>
  </si>
  <si>
    <t>Fun75986</t>
  </si>
  <si>
    <t>0889698759861</t>
  </si>
  <si>
    <t>Фигурка Funko POP! Movies Jurassic Park Tyrannosaurus Rex (548) 26734</t>
  </si>
  <si>
    <t>Fun1225</t>
  </si>
  <si>
    <t>0889698267342</t>
  </si>
  <si>
    <t>Фигурка Funko POP! Movies Jurassic Park Velociraptor Hatchling (1717) 75987</t>
  </si>
  <si>
    <t>Fun75987</t>
  </si>
  <si>
    <t>0889698759878</t>
  </si>
  <si>
    <t>Фигурка Funko POP! Movies Jurassic World Dilophosaurus (Fossil) (1680) 80223</t>
  </si>
  <si>
    <t>Fun80223</t>
  </si>
  <si>
    <t>0889698802239</t>
  </si>
  <si>
    <t>Фигурка Funko POP! Movies Jurassic World Triceratops (Fossil) (1681) 80224</t>
  </si>
  <si>
    <t>Fun80224</t>
  </si>
  <si>
    <t>0889698802246</t>
  </si>
  <si>
    <t>Фигурка Funko POP! Movies Jurassic World Tyrannosaurus (Fossil) (1682) 80225</t>
  </si>
  <si>
    <t>Fun80225</t>
  </si>
  <si>
    <t>0889698802253</t>
  </si>
  <si>
    <t>Фигурка Funko POP! Movies Jurassic World Velociraptor (Fossil) (Exc) 6" (1733) 84598</t>
  </si>
  <si>
    <t>Fun84598</t>
  </si>
  <si>
    <t>0889698845984</t>
  </si>
  <si>
    <t>Фигурка Funko POP! Movies Killer Klowns From Outer Space Chubby (1622) 80801</t>
  </si>
  <si>
    <t>Fun80801</t>
  </si>
  <si>
    <t>0889698808019</t>
  </si>
  <si>
    <t>Фигурка Funko POP! Movies LOTR Battle Eowyn w/Chase (1743) 51527</t>
  </si>
  <si>
    <t>Fun51527</t>
  </si>
  <si>
    <t>0889698515276</t>
  </si>
  <si>
    <t>Фигурка Funko POP! Movies LOTR Cave Troll 6" (1580) 80830</t>
  </si>
  <si>
    <t>Fun80830</t>
  </si>
  <si>
    <t>0889698808309</t>
  </si>
  <si>
    <t>Фигурка Funko POP! Movies LOTR Legolas Greenleaf (1577) 80831</t>
  </si>
  <si>
    <t>Fun80831</t>
  </si>
  <si>
    <t>0889698808316</t>
  </si>
  <si>
    <t>Фигурка Funko POP! Movies LOTR Mouth of Sauron (1578) 80832</t>
  </si>
  <si>
    <t>Fun80832</t>
  </si>
  <si>
    <t>0889698808323</t>
  </si>
  <si>
    <t>Фигурка Funko POP! Movies LOTR S8 Arwen Coronation (1745) 83786</t>
  </si>
  <si>
    <t>Fun83786</t>
  </si>
  <si>
    <t>0889698837866</t>
  </si>
  <si>
    <t>Фигурка Funko POP! Movies LOTR S8 Nazgul (1744) 83785</t>
  </si>
  <si>
    <t>Fun83785</t>
  </si>
  <si>
    <t>0889698837859</t>
  </si>
  <si>
    <t>Фигурка Funko POP! Movies LOTR Treebeard with Merry &amp; Pippin 6" (1579) 80834</t>
  </si>
  <si>
    <t>Fun80834</t>
  </si>
  <si>
    <t>0889698808347</t>
  </si>
  <si>
    <t>20,3 / 16,5 / 13,5</t>
  </si>
  <si>
    <t>Фигурка Funko POP! Movies LOTR/Hobbit Frodo Baggins w/Chase (444) 13551</t>
  </si>
  <si>
    <t>Fun683</t>
  </si>
  <si>
    <t>0889698135511</t>
  </si>
  <si>
    <t>Фигурка Funko POP! Movies LOTR/Hobbit Gandalf (443) 13550</t>
  </si>
  <si>
    <t>Fun421</t>
  </si>
  <si>
    <t>0889698135504</t>
  </si>
  <si>
    <t>Фигурка Funko POP! Movies LOTR/Hobbit S3 Aragorn (531) 13565</t>
  </si>
  <si>
    <t>Fun798</t>
  </si>
  <si>
    <t>0889698135658</t>
  </si>
  <si>
    <t>Фигурка Funko POP! Movies LOTR/Hobbit S3 Gollum w/Chase (532) 13559</t>
  </si>
  <si>
    <t>Fun799</t>
  </si>
  <si>
    <t>0889698135597</t>
  </si>
  <si>
    <t>Фигурка Funko POP! Movies LOTR/Hobbit S4 Legolas (628) 33247</t>
  </si>
  <si>
    <t>Fun1650</t>
  </si>
  <si>
    <t>0889698332477</t>
  </si>
  <si>
    <t>Фигурка Funko POP! Movies LOTR/Hobbit S4 Witch King (632) 33251</t>
  </si>
  <si>
    <t>Fun1651</t>
  </si>
  <si>
    <t>0889698332514</t>
  </si>
  <si>
    <t>Фигурка Funko POP! Movies LOTR/Hobbit Samwise Gamgee (445) 13553</t>
  </si>
  <si>
    <t>Fun684</t>
  </si>
  <si>
    <t>0889698135535</t>
  </si>
  <si>
    <t>Фигурка Funko POP! Movies LOTR/Hobbit Saruman (447) 13555</t>
  </si>
  <si>
    <t>Fun265</t>
  </si>
  <si>
    <t>0889698135559</t>
  </si>
  <si>
    <t>Фигурка Funko POP! Movies Mad Max 2 RW Lord Humungus (1468) 72433</t>
  </si>
  <si>
    <t>Fun72433</t>
  </si>
  <si>
    <t>0889698724333</t>
  </si>
  <si>
    <t>Mad Max</t>
  </si>
  <si>
    <t>Фигурка Funko POP! Movies Mad Max 2 RW Wez (1470) 72435</t>
  </si>
  <si>
    <t>Fun72435</t>
  </si>
  <si>
    <t>0889698724357</t>
  </si>
  <si>
    <t>Фигурка Funko POP! Movies Mars Attacks Martian Ambassador (1874) 83565</t>
  </si>
  <si>
    <t>Fun83565</t>
  </si>
  <si>
    <t>0889698835657</t>
  </si>
  <si>
    <t>Марс атакует</t>
  </si>
  <si>
    <t>Фигурка Funko POP! Movies Mars Attacks Martian Soldier (1877) 83566</t>
  </si>
  <si>
    <t>Fun83566</t>
  </si>
  <si>
    <t>0889698835664</t>
  </si>
  <si>
    <t>Фигурка Funko POP! Movies Mars Attacks Martian Soldier w/(GW) Chase SS (1877) 84462</t>
  </si>
  <si>
    <t>Fun84462</t>
  </si>
  <si>
    <t>0889698844628</t>
  </si>
  <si>
    <t>Фигурка Funko POP! Movies Mars Attacks Martian Spy Girl (1876) 83567</t>
  </si>
  <si>
    <t>Fun83567</t>
  </si>
  <si>
    <t>0889698835671</t>
  </si>
  <si>
    <t>Фигурка Funko POP! Movies Meme S1 LOTR Boromir (1709) 81069</t>
  </si>
  <si>
    <t>Fun81069</t>
  </si>
  <si>
    <t>0889698810692</t>
  </si>
  <si>
    <t>Фигурка Funko POP! Movies Motel Hell Vincent Smith (1737) 84128</t>
  </si>
  <si>
    <t>Fun84128</t>
  </si>
  <si>
    <t>0889698841283</t>
  </si>
  <si>
    <t>Фигурка Funko POP! Movies Netflix Pinocchio Geppetto (1297) 67386</t>
  </si>
  <si>
    <t>Fun67386</t>
  </si>
  <si>
    <t>0889698673860</t>
  </si>
  <si>
    <t>Фигурка Funko POP! Movies NOPE OJ Haywood (1433) 73286</t>
  </si>
  <si>
    <t>Fun73286</t>
  </si>
  <si>
    <t>0889698732864</t>
  </si>
  <si>
    <t>Фигурка Funko POP! Movies Peanuts Charlie Brown (1627) 80013</t>
  </si>
  <si>
    <t>Fun80013</t>
  </si>
  <si>
    <t>0889698800136</t>
  </si>
  <si>
    <t>Фигурка Funko POP! Movies Peanuts Snoopy and Woodstock (1628) 80014</t>
  </si>
  <si>
    <t>Fun80014</t>
  </si>
  <si>
    <t>0889698800143</t>
  </si>
  <si>
    <t>Фигурка Funko POP! Movies Pet Sematary Ellie and Church (1584) 80714</t>
  </si>
  <si>
    <t>Fun80714</t>
  </si>
  <si>
    <t>0889698807142</t>
  </si>
  <si>
    <t>Кладбище домашних животных</t>
  </si>
  <si>
    <t>Фигурка Funko POP! Movies Pet Sematary Gage Creed (1585) 80712</t>
  </si>
  <si>
    <t>Fun80712</t>
  </si>
  <si>
    <t>0889698807128</t>
  </si>
  <si>
    <t>Фигурка Funko POP! Movies Pet Sematary Victor Pascow (1586) 80713</t>
  </si>
  <si>
    <t>Fun80713</t>
  </si>
  <si>
    <t>0889698807135</t>
  </si>
  <si>
    <t>Фигурка Funko POP! Movies Planes, Trains and Automobiles Neal Page and Del Griffith 2PK 80921</t>
  </si>
  <si>
    <t>Fun80921</t>
  </si>
  <si>
    <t>0889698809214</t>
  </si>
  <si>
    <t>Фигурка Funko POP! Movies Poltergeist II Carol Anne Freeling (1583) 80855</t>
  </si>
  <si>
    <t>Fun80855</t>
  </si>
  <si>
    <t>0889698808552</t>
  </si>
  <si>
    <t>Фигурка Funko POP! Movies Rebel Moon Kai (1537) 72626</t>
  </si>
  <si>
    <t>Fun72626</t>
  </si>
  <si>
    <t>0889698726269</t>
  </si>
  <si>
    <t>Мятежная Луна</t>
  </si>
  <si>
    <t>Фигурка Funko POP! Movies Rebel Moon Kora (1533) 72624</t>
  </si>
  <si>
    <t>Fun72624</t>
  </si>
  <si>
    <t>0889698726245</t>
  </si>
  <si>
    <t>Фигурка Funko POP! Movies Rebel Without a Cause Jim Stark (1724) 80228</t>
  </si>
  <si>
    <t>Fun80228</t>
  </si>
  <si>
    <t>0889698802284</t>
  </si>
  <si>
    <t>Фигурка Funko POP! Movies Red Dawn Jed Eckert (1640) 81170</t>
  </si>
  <si>
    <t>Fun81170</t>
  </si>
  <si>
    <t>0889698811705</t>
  </si>
  <si>
    <t>Красный рассвет</t>
  </si>
  <si>
    <t>Фигурка Funko POP! Movies Red Dawn Matt Eckert (1641) 81171</t>
  </si>
  <si>
    <t>Fun81171</t>
  </si>
  <si>
    <t>0889698811712</t>
  </si>
  <si>
    <t>Фигурка Funko POP! Movies Red One Callum Drift (1685) 79784</t>
  </si>
  <si>
    <t>Fun79784</t>
  </si>
  <si>
    <t>0889698797849</t>
  </si>
  <si>
    <t>Миссия Красный</t>
  </si>
  <si>
    <t>Фигурка Funko POP! Movies Red One Nick (1686) 79785</t>
  </si>
  <si>
    <t>Fun79785</t>
  </si>
  <si>
    <t>0889698797856</t>
  </si>
  <si>
    <t>Фигурка Funko POP! Movies Robocop Clarence Boddicker (1637) 80793</t>
  </si>
  <si>
    <t>Fun80793</t>
  </si>
  <si>
    <t>0889698807937</t>
  </si>
  <si>
    <t>Робокоп</t>
  </si>
  <si>
    <t>MGM</t>
  </si>
  <si>
    <t>Фигурка Funko POP! Movies Robocop Robocop (1635) 80794</t>
  </si>
  <si>
    <t>Fun80794</t>
  </si>
  <si>
    <t>0889698807944</t>
  </si>
  <si>
    <t>Фигурка Funko POP! Movies Rocky 45th Rocky Balboa (1177) 59252</t>
  </si>
  <si>
    <t>Fun25491856</t>
  </si>
  <si>
    <t>0889698592529</t>
  </si>
  <si>
    <t>Рокки</t>
  </si>
  <si>
    <t>Фигурка Funko POP! Movies Rocky Clubber Lang (1714) 83547</t>
  </si>
  <si>
    <t>Fun83547</t>
  </si>
  <si>
    <t>0889698835473</t>
  </si>
  <si>
    <t>Фигурка Funko POP! Movies Rocky Ivan Drago (1715) 83549</t>
  </si>
  <si>
    <t>Fun83549</t>
  </si>
  <si>
    <t>0889698835497</t>
  </si>
  <si>
    <t>Фигурка Funko POP! Movies Rocky Rocky Balboa (1713)​ 83548</t>
  </si>
  <si>
    <t>Fun83548</t>
  </si>
  <si>
    <t>0889698835480</t>
  </si>
  <si>
    <t>Фигурка Funko POP! Movies Rudolph 60th Bumble (1859) 79944</t>
  </si>
  <si>
    <t>Fun79944</t>
  </si>
  <si>
    <t>0889698799447</t>
  </si>
  <si>
    <t>Фигурка Funko POP! Movies Rudolph 60th Clarice (1569) 81040</t>
  </si>
  <si>
    <t>Fun81040</t>
  </si>
  <si>
    <t>0889698810401</t>
  </si>
  <si>
    <t>Фигурка Funko POP! Movies Rudolph 60th King Moonracer​ (1570) 81041</t>
  </si>
  <si>
    <t>Fun81041</t>
  </si>
  <si>
    <t>0889698810418</t>
  </si>
  <si>
    <t>Фигурка Funko POP! Movies Rudolph 60th Mrs Claus​ (1571) 81042</t>
  </si>
  <si>
    <t>Fun81042</t>
  </si>
  <si>
    <t>0889698810425</t>
  </si>
  <si>
    <t>Фигурка Funko POP! Movies Rudolph 60th Rudolph (Flying​) (1568) 81043</t>
  </si>
  <si>
    <t>Fun81043</t>
  </si>
  <si>
    <t>0889698810432</t>
  </si>
  <si>
    <t>Фигурка Funko POP! Movies Rudolph 60th Rudolph Sitting (1858) 79945</t>
  </si>
  <si>
    <t>Fun79945</t>
  </si>
  <si>
    <t>0889698799454</t>
  </si>
  <si>
    <t>Фигурка Funko POP! Movies Saltburn Felix Catton (1683) 85732</t>
  </si>
  <si>
    <t>Fun85732</t>
  </si>
  <si>
    <t>0889698857321</t>
  </si>
  <si>
    <t>Солтберн</t>
  </si>
  <si>
    <t>Фигурка Funko POP! Movies Saltburn Oliver Quick (1684) 85733</t>
  </si>
  <si>
    <t>Fun85733</t>
  </si>
  <si>
    <t>0889698857338</t>
  </si>
  <si>
    <t>Фигурка Funko POP! Movies Say Anything Lloyd Dobler (1734) 83556</t>
  </si>
  <si>
    <t>Fun83556</t>
  </si>
  <si>
    <t>0889698835565</t>
  </si>
  <si>
    <t>Фигурка Funko POP! Movies Seed of Chucky Glen w/Axe (Exc) (1772) 87167</t>
  </si>
  <si>
    <t>Fun87167</t>
  </si>
  <si>
    <t>0889698871679</t>
  </si>
  <si>
    <t>Фигурка Funko POP! Movies Shaun of the Dead Shaun w/(BD) Chase SS (1660) 84931</t>
  </si>
  <si>
    <t>Fun84931</t>
  </si>
  <si>
    <t>0889698849319</t>
  </si>
  <si>
    <t>Зомби по имени Шон (2004)</t>
  </si>
  <si>
    <t>Фигурка Funko POP! Movies Shawshank Redemption Andy Dufresne (1735) 80230</t>
  </si>
  <si>
    <t>Fun80230</t>
  </si>
  <si>
    <t>0889698802307</t>
  </si>
  <si>
    <t>Побег из Шоушенка</t>
  </si>
  <si>
    <t>Фигурка Funko POP! Movies Shawshank Redemption Ellis Red Boyd Redding (1736) 80231</t>
  </si>
  <si>
    <t>Fun80231</t>
  </si>
  <si>
    <t>0889698802314</t>
  </si>
  <si>
    <t>Фигурка Funko POP! Movies Shrek DW 30th Donkey (Glitter) (1598) 81172</t>
  </si>
  <si>
    <t>Fun81172</t>
  </si>
  <si>
    <t>0889698811729</t>
  </si>
  <si>
    <t>Шрек</t>
  </si>
  <si>
    <t>DreamWorks</t>
  </si>
  <si>
    <t>Фигурка Funko POP! Movies Spellbound Monster Solon (1441) 74278</t>
  </si>
  <si>
    <t>Fun74278</t>
  </si>
  <si>
    <t>0889698742788</t>
  </si>
  <si>
    <t>Фигурка Funko POP! Movies Spellbound Princess Ellian with Flink (1438) 67870</t>
  </si>
  <si>
    <t>Fun67870</t>
  </si>
  <si>
    <t>0889698678704</t>
  </si>
  <si>
    <t>Фигурка Funko POP! Movies Star Trek First Contact Borg Queen (1707) 83451</t>
  </si>
  <si>
    <t>Fun83451</t>
  </si>
  <si>
    <t>0889698834513</t>
  </si>
  <si>
    <t>Star Trek</t>
  </si>
  <si>
    <t>Фигурка Funko POP! Movies Star Trek First Contact Locutus of Borg (1708) 83452</t>
  </si>
  <si>
    <t>Fun83452</t>
  </si>
  <si>
    <t>0889698834520</t>
  </si>
  <si>
    <t>Фигурка Funko POP! Movies Stargate Anubis Guard MT (1572) 76022</t>
  </si>
  <si>
    <t>Fun76022</t>
  </si>
  <si>
    <t>0889698760225</t>
  </si>
  <si>
    <t>Звездные врата</t>
  </si>
  <si>
    <t>Фигурка Funko POP! Movies Stargate Daniel Jackson (1575) 76023</t>
  </si>
  <si>
    <t>Fun76023</t>
  </si>
  <si>
    <t>0889698760232</t>
  </si>
  <si>
    <t>Фигурка Funko POP! Movies Stargate Horus Guard MT (1574) 76024</t>
  </si>
  <si>
    <t>Fun76024</t>
  </si>
  <si>
    <t>0889698760249</t>
  </si>
  <si>
    <t>Фигурка Funko POP! Movies Stargate Jack O'Neill (1576) 76025</t>
  </si>
  <si>
    <t>Fun76025</t>
  </si>
  <si>
    <t>0889698760256</t>
  </si>
  <si>
    <t>Фигурка Funko POP! Movies Stargate Ra (1573) 76026</t>
  </si>
  <si>
    <t>Fun76026</t>
  </si>
  <si>
    <t>0889698760263</t>
  </si>
  <si>
    <t>Фигурка Funko POP! Movies Terrifier Art the Clown (1590) 80705</t>
  </si>
  <si>
    <t>Fun80705</t>
  </si>
  <si>
    <t>0889698807050</t>
  </si>
  <si>
    <t>Ужасающий</t>
  </si>
  <si>
    <t>Фигурка Funko POP! Movies Texas Chainsaw Massacre Leatherface (Exc) (1673) 82852</t>
  </si>
  <si>
    <t>Fun82852</t>
  </si>
  <si>
    <t>0889698828529</t>
  </si>
  <si>
    <t>Техасская резня бензопилой</t>
  </si>
  <si>
    <t>Фигурка Funko POP! Movies The Batman Batman (1187) 59276</t>
  </si>
  <si>
    <t>Fun25492111</t>
  </si>
  <si>
    <t>0889698592765</t>
  </si>
  <si>
    <t>Фигурка Funko POP! Movies The Batman Batman (Battle-Ready) (1189) 59278</t>
  </si>
  <si>
    <t>Fun25492112</t>
  </si>
  <si>
    <t>0889698592789</t>
  </si>
  <si>
    <t>Фигурка Funko POP! Movies The Breakfast Club Allison (1655) 83557</t>
  </si>
  <si>
    <t>Fun83557</t>
  </si>
  <si>
    <t>0889698835572</t>
  </si>
  <si>
    <t>Фигурка Funko POP! Movies The Breakfast Club Andrew (1656) 83558</t>
  </si>
  <si>
    <t>Fun83558</t>
  </si>
  <si>
    <t>0889698835589</t>
  </si>
  <si>
    <t>Фигурка Funko POP! Movies The Breakfast Club Bender (1657) 83559</t>
  </si>
  <si>
    <t>Fun83559</t>
  </si>
  <si>
    <t>0889698835596</t>
  </si>
  <si>
    <t>Фигурка Funko POP! Movies The Breakfast Club Brian (1658) 83560</t>
  </si>
  <si>
    <t>Fun83560</t>
  </si>
  <si>
    <t>0889698835602</t>
  </si>
  <si>
    <t>Фигурка Funko POP! Movies The Breakfast Club Claire (1659) 83561</t>
  </si>
  <si>
    <t>Fun83561</t>
  </si>
  <si>
    <t>0889698835619</t>
  </si>
  <si>
    <t>Фигурка Funko POP! Movies The Conjuring Ed (1618) 80850</t>
  </si>
  <si>
    <t>Fun80850</t>
  </si>
  <si>
    <t>0889698808507</t>
  </si>
  <si>
    <t>Заклятие</t>
  </si>
  <si>
    <t>Фигурка Funko POP! Movies The Conjuring Lorraine (1618) 80851</t>
  </si>
  <si>
    <t>Fun80851</t>
  </si>
  <si>
    <t>0889698808514</t>
  </si>
  <si>
    <t>Фигурка Funko POP! Movies The Crow Eric Draven (1428) 72379</t>
  </si>
  <si>
    <t>Fun72379</t>
  </si>
  <si>
    <t>0889698723794</t>
  </si>
  <si>
    <t>Ворон</t>
  </si>
  <si>
    <t>Фигурка Funko POP! Movies The Crow Eric Draven with Crow (1429) 72380</t>
  </si>
  <si>
    <t>Fun72380</t>
  </si>
  <si>
    <t>0889698723800</t>
  </si>
  <si>
    <t>Фигурка Funko POP! Movies The Exorcist Angela (Possessed) (1645) 79761</t>
  </si>
  <si>
    <t>Fun79761</t>
  </si>
  <si>
    <t>0889698797610</t>
  </si>
  <si>
    <t>Фигурка Funko POP! Movies The Exorcist Katherine (Possessed) (1646) 79760</t>
  </si>
  <si>
    <t>Fun79760</t>
  </si>
  <si>
    <t>0889698797603</t>
  </si>
  <si>
    <t>Фигурка Funko POP! Movies The Exorcist Regan (203) 6141</t>
  </si>
  <si>
    <t>Fun38</t>
  </si>
  <si>
    <t>0849803061418</t>
  </si>
  <si>
    <t>Фигурка Funko POP! Movies The Flash Batman (Keaton) Unmasked (Exc) (1344) 66377</t>
  </si>
  <si>
    <t>Fun66377</t>
  </si>
  <si>
    <t>0889698663779</t>
  </si>
  <si>
    <t>Флэш</t>
  </si>
  <si>
    <t>Фигурка Funko POP! Movies The Flash Dark Flash (1338) 65598</t>
  </si>
  <si>
    <t>Fun65598</t>
  </si>
  <si>
    <t>0889698655989</t>
  </si>
  <si>
    <t>Фигурка Funko POP! Movies The Godfather Part 2 Fredo Corleone (1523) 75935</t>
  </si>
  <si>
    <t>Fun75935</t>
  </si>
  <si>
    <t>0889698759359</t>
  </si>
  <si>
    <t>Крестный отец</t>
  </si>
  <si>
    <t>Фигурка Funko POP! Movies The Godfather Part 2 Tom Hagen (1524) 75937</t>
  </si>
  <si>
    <t>Fun75937</t>
  </si>
  <si>
    <t>0889698759373</t>
  </si>
  <si>
    <t>Фигурка Funko POP! Movies The Godfather Part 2 Vito Corleone (1525) 75938</t>
  </si>
  <si>
    <t>Fun75938</t>
  </si>
  <si>
    <t>0889698759380</t>
  </si>
  <si>
    <t>Фигурка Funko POP! Movies The Matrix 4 Morpheus (Exc) (1175) 60279</t>
  </si>
  <si>
    <t>Fun25491888</t>
  </si>
  <si>
    <t>0889698602792</t>
  </si>
  <si>
    <t>Фигурка Funko POP! Movies The Matrix 4 The Analyst (Exc) (1176) 60280</t>
  </si>
  <si>
    <t>Fun25491889</t>
  </si>
  <si>
    <t>0889698602808</t>
  </si>
  <si>
    <t>Фигурка Funko POP! Movies The Nun II The Nun (1710) 83447</t>
  </si>
  <si>
    <t>Fun83447</t>
  </si>
  <si>
    <t>0889698834476</t>
  </si>
  <si>
    <t>Фигурка Funko POP! Movies The Nun The Nun (Demonic) (776) 41139</t>
  </si>
  <si>
    <t>Fun2429</t>
  </si>
  <si>
    <t>0889698411394</t>
  </si>
  <si>
    <t>Фигурка Funko POP! Movies The Secret of NIMH Jeremy (1317) 67434</t>
  </si>
  <si>
    <t>Fun67434</t>
  </si>
  <si>
    <t>0889698674348</t>
  </si>
  <si>
    <t>Секрет Н.И.М.Х.</t>
  </si>
  <si>
    <t>Фигурка Funko POP! Movies The Secret of NIMH Mr. Ages (1319) 67436</t>
  </si>
  <si>
    <t>Fun67436</t>
  </si>
  <si>
    <t>0889698674362</t>
  </si>
  <si>
    <t>Фигурка Funko POP! Movies The Secret of NIMH Mrs. Brisby (1320) 67437</t>
  </si>
  <si>
    <t>Fun67437</t>
  </si>
  <si>
    <t>0889698674379</t>
  </si>
  <si>
    <t>Фигурка Funko POP! Movies The Suicide Squad Harley (Damaged Dress) (1111) 56016</t>
  </si>
  <si>
    <t>Fun25491173</t>
  </si>
  <si>
    <t>0889698560160</t>
  </si>
  <si>
    <t>Фигурка Funko POP! Movies The Wizard of Oz 85th Cowardly Lion w/(FL) Chase (1515) 75973</t>
  </si>
  <si>
    <t>Fun75973</t>
  </si>
  <si>
    <t>0889698759731</t>
  </si>
  <si>
    <t>Волшебник страны Оз</t>
  </si>
  <si>
    <t>Фигурка Funko POP! Movies The Wizard of Oz 85th Dorothy w/Toto (1502) 75979</t>
  </si>
  <si>
    <t>Fun75979</t>
  </si>
  <si>
    <t>0889698759793</t>
  </si>
  <si>
    <t>Фигурка Funko POP! Movies The Wizard of Oz 85th Glinda the Good Witch (1518) 75974</t>
  </si>
  <si>
    <t>Fun75974</t>
  </si>
  <si>
    <t>0889698759748</t>
  </si>
  <si>
    <t>Фигурка Funko POP! Movies The Wizard of Oz 85th The Scarecrow (1516) 75975</t>
  </si>
  <si>
    <t>Fun75975</t>
  </si>
  <si>
    <t>0889698759755</t>
  </si>
  <si>
    <t>Фигурка Funko POP! Movies The Wizard of Oz 85th The Tin Man (1517) 75976</t>
  </si>
  <si>
    <t>Fun75976</t>
  </si>
  <si>
    <t>0889698759762</t>
  </si>
  <si>
    <t>Фигурка Funko POP! Movies The Wizard of Oz 85th The Wicked Witch (1519) 75977</t>
  </si>
  <si>
    <t>Fun75977</t>
  </si>
  <si>
    <t>0889698759779</t>
  </si>
  <si>
    <t>Фигурка Funko POP! Movies The Wizard of Oz 85th Winged Monkey w/(MT) Chase (Exc) (1520) 77423</t>
  </si>
  <si>
    <t>Fun77423</t>
  </si>
  <si>
    <t>0889698774239</t>
  </si>
  <si>
    <t>Фигурка Funko POP! Movies TMNT 2 Donatello (1133) 56160</t>
  </si>
  <si>
    <t>Fun25491198</t>
  </si>
  <si>
    <t>0889698561600</t>
  </si>
  <si>
    <t>16 / 8,9 / 11,5</t>
  </si>
  <si>
    <t>Фигурка Funko POP! Movies TMNT 2 Leonardo (1134) 56161</t>
  </si>
  <si>
    <t>Fun25491199</t>
  </si>
  <si>
    <t>0889698561617</t>
  </si>
  <si>
    <t>9 / 11,8 / 16</t>
  </si>
  <si>
    <t>Фигурка Funko POP! Movies TMNT 2 Michaelangelo (1136) 56162</t>
  </si>
  <si>
    <t>Fun25491200</t>
  </si>
  <si>
    <t>0889698561624</t>
  </si>
  <si>
    <t>Фигурка Funko POP! Movies TMNT 2 Raphael (1135) 56164</t>
  </si>
  <si>
    <t>Fun25491201</t>
  </si>
  <si>
    <t>0889698561648</t>
  </si>
  <si>
    <t>Фигурка Funko POP! Movies TMNT Donatello w/Napkin (1609) 76045</t>
  </si>
  <si>
    <t>Fun76045</t>
  </si>
  <si>
    <t>0889698760454</t>
  </si>
  <si>
    <t>Фигурка Funko POP! Movies TMNT Mutant Mayhem Donatello (1394) 72335</t>
  </si>
  <si>
    <t>Fun72335</t>
  </si>
  <si>
    <t>0889698723350</t>
  </si>
  <si>
    <t>Фигурка Funko POP! Movies TMNT Mutant Mayhem Leonardo (1391) 72332</t>
  </si>
  <si>
    <t>Fun72332</t>
  </si>
  <si>
    <t>0889698723329</t>
  </si>
  <si>
    <t>Фигурка Funko POP! Movies TMNT Mutant Mayhem Michelangelo (1395) 72336</t>
  </si>
  <si>
    <t>Fun72336</t>
  </si>
  <si>
    <t>0889698723367</t>
  </si>
  <si>
    <t>Фигурка Funko POP! Movies TMNT Mutant Mayhem Raphael (1396) 72337</t>
  </si>
  <si>
    <t>Fun72337</t>
  </si>
  <si>
    <t>0889698723374</t>
  </si>
  <si>
    <t>Фигурка Funko POP! Movies TMNT Spirit Splinter (TRL) (Exc) (1613) 78652</t>
  </si>
  <si>
    <t>Fun78652</t>
  </si>
  <si>
    <t>0889698786522</t>
  </si>
  <si>
    <t>Фигурка Funko POP! Movies Uncle Buck Uncle Buck (1670) 81009</t>
  </si>
  <si>
    <t>Fun81009</t>
  </si>
  <si>
    <t>0889698810098</t>
  </si>
  <si>
    <t>Дядюшка Бак</t>
  </si>
  <si>
    <t>Фигурка Funko POP! Movies Universal Monster S5 Bride of Frankenstein (1631) 80995</t>
  </si>
  <si>
    <t>Fun80995</t>
  </si>
  <si>
    <t>0889698809955</t>
  </si>
  <si>
    <t>Фигурка Funko POP! Movies Universal Monster S5 Dracula (1634) 80996</t>
  </si>
  <si>
    <t>Fun80996</t>
  </si>
  <si>
    <t>0889698809962</t>
  </si>
  <si>
    <t>Фигурка Funko POP! Movies Universal Monster S5 Frankenstein (1630) 80997</t>
  </si>
  <si>
    <t>Fun80997</t>
  </si>
  <si>
    <t>0889698809979</t>
  </si>
  <si>
    <t>Фигурка Funko POP! Movies Universal Monster S5 Gill-Man (1632) 80998</t>
  </si>
  <si>
    <t>Fun80998</t>
  </si>
  <si>
    <t>0889698809986</t>
  </si>
  <si>
    <t>Фигурка Funko POP! Movies US Adelaide Wilson (1858) 73288</t>
  </si>
  <si>
    <t>Fun73288</t>
  </si>
  <si>
    <t>0889698732888</t>
  </si>
  <si>
    <t>Фигурка Funko POP! Movies Valentines Chucky Chucky (1726) 83102</t>
  </si>
  <si>
    <t>Fun83102</t>
  </si>
  <si>
    <t>0889698831024</t>
  </si>
  <si>
    <t>Фигурка Funko POP! Movies Valentines Chuсky Tiffany (1727) 83103</t>
  </si>
  <si>
    <t>Fun83103</t>
  </si>
  <si>
    <t>0889698831031</t>
  </si>
  <si>
    <t>Фигурка Funko POP! Movies Valentines Ghost Face Ghost Face (1725) 83105</t>
  </si>
  <si>
    <t>Fun83105</t>
  </si>
  <si>
    <t>0889698831055</t>
  </si>
  <si>
    <t>Фигурка Funko POP! Movies Wallace &amp; Gromit Feathers McGraw (1746) 79782</t>
  </si>
  <si>
    <t>Fun79782</t>
  </si>
  <si>
    <t>0889698797825</t>
  </si>
  <si>
    <t>Уоллес и Громит</t>
  </si>
  <si>
    <t>Фигурка Funko POP! Movies Wallace &amp; Gromit Gromit (1745) 79781</t>
  </si>
  <si>
    <t>Fun79781</t>
  </si>
  <si>
    <t>0889698797818</t>
  </si>
  <si>
    <t>Фигурка Funko POP! Movies Wallace &amp; Gromit Norbot (1747) 79783</t>
  </si>
  <si>
    <t>Fun79783</t>
  </si>
  <si>
    <t>0889698797832</t>
  </si>
  <si>
    <t>Фигурка Funko POP! Movies Wallace &amp; Gromit Wallace (in Pajamas) (1744) 79780</t>
  </si>
  <si>
    <t>Fun79780</t>
  </si>
  <si>
    <t>0889698797801</t>
  </si>
  <si>
    <t>Фигурка Funko POP! Movies Where the Wild Things Are Moishe (Exc) (1879) 85450</t>
  </si>
  <si>
    <t>Fun85450</t>
  </si>
  <si>
    <t>0889698854504</t>
  </si>
  <si>
    <t>Там, где живут чудовища</t>
  </si>
  <si>
    <t>Фигурка Funko POP! Movies Wicked Elphaba (1696) 79747</t>
  </si>
  <si>
    <t>Fun79747</t>
  </si>
  <si>
    <t>0889698797474</t>
  </si>
  <si>
    <t>Фигурка Funko POP! Movies Wicked Elphaba (Valentine) (1711) 83098</t>
  </si>
  <si>
    <t>Fun83098</t>
  </si>
  <si>
    <t>0889698830980</t>
  </si>
  <si>
    <t>Фигурка Funko POP! Movies Wicked Glinda (Valentine) (1712) 83099</t>
  </si>
  <si>
    <t>Fun83099</t>
  </si>
  <si>
    <t>0889698830997</t>
  </si>
  <si>
    <t>Фигурка Funko POP! Movies Wicked Glinda in Bubble Gown (1697) 79748</t>
  </si>
  <si>
    <t>Fun79748</t>
  </si>
  <si>
    <t>0889698797481</t>
  </si>
  <si>
    <t>Фигурка Funko POP! Movies Wicked Glinda in Nightgown (1699) 79750</t>
  </si>
  <si>
    <t>Fun79750</t>
  </si>
  <si>
    <t>0889698797504</t>
  </si>
  <si>
    <t>Фигурка Funko POP! Movies Wild Robot Roz with Fink &amp; Brightbill (1794) 89381</t>
  </si>
  <si>
    <t>Fun89381</t>
  </si>
  <si>
    <t>0889698893817</t>
  </si>
  <si>
    <t>Дикий робот</t>
  </si>
  <si>
    <t>Фигурка Funko POP! Movies Willy Wonka Willy Wonka (SC) (1669) 80790</t>
  </si>
  <si>
    <t>Fun80790</t>
  </si>
  <si>
    <t>0889698807906</t>
  </si>
  <si>
    <t>Вилли Вонка и шоколадная фабрика</t>
  </si>
  <si>
    <t>Фигурка Funko POP! Movies Wonka Noodle (1477) 68088</t>
  </si>
  <si>
    <t>Fun68088</t>
  </si>
  <si>
    <t>0889698680882</t>
  </si>
  <si>
    <t>Вонка (2023)</t>
  </si>
  <si>
    <t>Фигурка Funko POP! Movies Wonka Prodnose (1479) 68090</t>
  </si>
  <si>
    <t>Fun68090</t>
  </si>
  <si>
    <t>0889698680905</t>
  </si>
  <si>
    <t>Фигурка Funko POP! Movies Wonka Willy Wonka (1476) 68087</t>
  </si>
  <si>
    <t>Fun68087</t>
  </si>
  <si>
    <t>0889698680875</t>
  </si>
  <si>
    <t>Фигурка Funko POP! My Melody 50th Kuromi 20th Kuromi (With Cake) (108) 87169</t>
  </si>
  <si>
    <t>Fun87169</t>
  </si>
  <si>
    <t>0889698871693</t>
  </si>
  <si>
    <t>Фигурка Funko POP! NASCAR Bill Elliott with Fastest Sign (23) 70994</t>
  </si>
  <si>
    <t>Fun70994</t>
  </si>
  <si>
    <t>0889698709941</t>
  </si>
  <si>
    <t>Фигурка Funko POP! NBA All-Stars Dennis Rodman (1992) (160) 67490</t>
  </si>
  <si>
    <t>Fun67490</t>
  </si>
  <si>
    <t>0889698674904</t>
  </si>
  <si>
    <t>NBA</t>
  </si>
  <si>
    <t>Фигурка Funko POP! NBA All-Stars Dirk Nowitzki (2019) (158) 67488</t>
  </si>
  <si>
    <t>Fun67488</t>
  </si>
  <si>
    <t>0889698674881</t>
  </si>
  <si>
    <t>Фигурка Funko POP! NBA Bucks Damian Lillard (177) 83408</t>
  </si>
  <si>
    <t>Fun83408</t>
  </si>
  <si>
    <t>0889698834087</t>
  </si>
  <si>
    <t>Фигурка Funko POP! NBA Bulls Rookie Season Michael Jordan (193) 79678</t>
  </si>
  <si>
    <t>Fun79678</t>
  </si>
  <si>
    <t>0889698796781</t>
  </si>
  <si>
    <t>Фигурка Funko POP! NBA Cavs Darius Garland (181) 79674</t>
  </si>
  <si>
    <t>Fun79674</t>
  </si>
  <si>
    <t>0889698796743</t>
  </si>
  <si>
    <t>Фигурка Funko POP! NBA Jazz RS John Stockton (194) 79679</t>
  </si>
  <si>
    <t>Fun79679</t>
  </si>
  <si>
    <t>0889698796798</t>
  </si>
  <si>
    <t>Фигурка Funko POP! NBA Mascots Dallas Champ (08) 52168</t>
  </si>
  <si>
    <t>Fun52168</t>
  </si>
  <si>
    <t>0889698521680</t>
  </si>
  <si>
    <t>Фигурка Funko POP! NBA Mascots Denver Rocky (10) 79628</t>
  </si>
  <si>
    <t>Fun79628</t>
  </si>
  <si>
    <t>0889698796286</t>
  </si>
  <si>
    <t>Фигурка Funko POP! NBA Mascots Memphis Grizz (11) 79629</t>
  </si>
  <si>
    <t>Fun79629</t>
  </si>
  <si>
    <t>0889698796293</t>
  </si>
  <si>
    <t>Фигурка Funko POP! NBA Mascots Miami Burnie (09) 52169</t>
  </si>
  <si>
    <t>Fun52169</t>
  </si>
  <si>
    <t>0889698521697</t>
  </si>
  <si>
    <t>Фигурка Funko POP! NBA Mascots Orlando Stuff (12) 79630</t>
  </si>
  <si>
    <t>Fun79630</t>
  </si>
  <si>
    <t>0889698796309</t>
  </si>
  <si>
    <t>Фигурка Funko POP! NBA Mavs RS Jason Kidd (195) 79680</t>
  </si>
  <si>
    <t>Fun79680</t>
  </si>
  <si>
    <t>0889698796804</t>
  </si>
  <si>
    <t>Фигурка Funko POP! NBA Pistons Cade Cunningham (179) 65790</t>
  </si>
  <si>
    <t>Fun65790</t>
  </si>
  <si>
    <t>0889698657907</t>
  </si>
  <si>
    <t>Фигурка Funko POP! NBA Pistons RS Grant Hill (196) 79681</t>
  </si>
  <si>
    <t>Fun79681</t>
  </si>
  <si>
    <t>0889698796811</t>
  </si>
  <si>
    <t>Фигурка Funko POP! NBA Suns Kevin Durant (184) 79677</t>
  </si>
  <si>
    <t>Fun79677</t>
  </si>
  <si>
    <t>0889698796774</t>
  </si>
  <si>
    <t>Фигурка Funko POP! NBA Suns Kevin Durant (Icon Edition) (197) 82828</t>
  </si>
  <si>
    <t>Fun82828</t>
  </si>
  <si>
    <t>0889698828284</t>
  </si>
  <si>
    <t>Фигурка Funko POP! NBA Warriors Klay Thompson (175) 75122</t>
  </si>
  <si>
    <t>Fun75122</t>
  </si>
  <si>
    <t>0889698751223</t>
  </si>
  <si>
    <t>Фигурка Funko POP! Plus Animation Demon Slayer Daki w/Ribbons (Exc) (1817) 84421</t>
  </si>
  <si>
    <t>Fun84421</t>
  </si>
  <si>
    <t>0889698844215</t>
  </si>
  <si>
    <t>Фигурка Funko POP! Plus Animation Demon Slayer Gyokko (1855) 85329</t>
  </si>
  <si>
    <t>Fun85329</t>
  </si>
  <si>
    <t>0889698853293</t>
  </si>
  <si>
    <t>Фигурка Funko POP! Plus Animation My Hero Academia Katsuki Bakugo (New Suit) (1810) 80393</t>
  </si>
  <si>
    <t>Fun80393</t>
  </si>
  <si>
    <t>0889698803939</t>
  </si>
  <si>
    <t>Фигурка Funko POP! Plus Animation One Piece Smoker w/(GW) Chase (Exc) (1914) 84991</t>
  </si>
  <si>
    <t>Fun84991</t>
  </si>
  <si>
    <t>0889698849913</t>
  </si>
  <si>
    <t>Фигурка Funko POP! Plus Animation Yu-Gi-Oh! Dark Magician (Attack) (1872) 83702</t>
  </si>
  <si>
    <t>Fun83702</t>
  </si>
  <si>
    <t>0889698837026</t>
  </si>
  <si>
    <t>Фигурка Funko POP! Plus Beetlejuice S3 Beetlejuice on Tombstone (1757) 83562</t>
  </si>
  <si>
    <t>Fun83562</t>
  </si>
  <si>
    <t>0889698835626</t>
  </si>
  <si>
    <t>Фигурка Funko POP! Plus Bobble Marvel Deadpool Lit Cls Deadpool As Cthulhu (1491) 83984</t>
  </si>
  <si>
    <t>Fun83984</t>
  </si>
  <si>
    <t>0889698839846</t>
  </si>
  <si>
    <t>Фигурка Funko POP! Plus Bobble Marvel Deadpool Lit Cls Deadpool As Don Quixote (1492) 83985</t>
  </si>
  <si>
    <t>Fun83985</t>
  </si>
  <si>
    <t>0889698839853</t>
  </si>
  <si>
    <t>Фигурка Funko POP! Plus Bobble Marvel Deadpool Lit Cls Deadpool As Jacob Marley (1494) 83987</t>
  </si>
  <si>
    <t>Fun83987</t>
  </si>
  <si>
    <t>0889698839877</t>
  </si>
  <si>
    <t>Фигурка Funko POP! Plus Bobble Marvel Deadpool Lit Cls Deadpool As Long John Silver (1493) 83986</t>
  </si>
  <si>
    <t>Fun83986</t>
  </si>
  <si>
    <t>0889698839860</t>
  </si>
  <si>
    <t>Фигурка Funko POP! Plus Disney Pocahontas 30th Pocahontas (1579) 83977</t>
  </si>
  <si>
    <t>Fun83977</t>
  </si>
  <si>
    <t>0889698839778</t>
  </si>
  <si>
    <t>Покахонтас (1995)</t>
  </si>
  <si>
    <t>Фигурка Funko POP! Plus InuYasha Sesshomaru (Sitting) (1931) 83719</t>
  </si>
  <si>
    <t>Fun83719</t>
  </si>
  <si>
    <t>0889698837194</t>
  </si>
  <si>
    <t>Фигурка Funko POP! Plus Jujutsu Kaisen Nobara Kugisaki w/(GW) Chase (1884) 85826</t>
  </si>
  <si>
    <t>Fun85826</t>
  </si>
  <si>
    <t>0889698858267</t>
  </si>
  <si>
    <t>Фигурка Funko POP! Plus Jujutsu Kaisen Yuji Itadori (1882) 85290</t>
  </si>
  <si>
    <t>Fun85290</t>
  </si>
  <si>
    <t>0889698852906</t>
  </si>
  <si>
    <t>Фигурка Funko POP! Plus Mobile Suit Gundam Wing 0Z-13MS Gundam Epyon (1934) 86489</t>
  </si>
  <si>
    <t>Fun86489</t>
  </si>
  <si>
    <t>0889698864893</t>
  </si>
  <si>
    <t>Фигурка Funko POP! Plus Mobile Suit Gundam Wing XXXG-00W0 Wing Gundam Zero (1933) 86490</t>
  </si>
  <si>
    <t>Fun86490</t>
  </si>
  <si>
    <t>0889698864909</t>
  </si>
  <si>
    <t>Фигурка Funko POP! Plus Mobile Suit Gundam Wing XXXG-01D Gundam Deathscythe (1935) 86488</t>
  </si>
  <si>
    <t>Fun86488</t>
  </si>
  <si>
    <t>0889698864886</t>
  </si>
  <si>
    <t>Фигурка Funko POP! Plus My Hero Academia Dabi w/(GW) Chase SS (1834) 84642</t>
  </si>
  <si>
    <t>Fun84642</t>
  </si>
  <si>
    <t>0889698846424</t>
  </si>
  <si>
    <t>Фигурка Funko POP! Plus My Hero Academia Izuku Midoriya (Deku Vigilante) (1829) 83686</t>
  </si>
  <si>
    <t>Fun83686</t>
  </si>
  <si>
    <t>0889698836869</t>
  </si>
  <si>
    <t>Фигурка Funko POP! Plus My Hero Academia Tomura Shigaraki (All One) (1830) 83688</t>
  </si>
  <si>
    <t>Fun83688</t>
  </si>
  <si>
    <t>0889698836883</t>
  </si>
  <si>
    <t>Фигурка Funko POP! Plus Naruto Shippuden Neji Hyuga (1846) 83805</t>
  </si>
  <si>
    <t>Fun83805</t>
  </si>
  <si>
    <t>0889698838054</t>
  </si>
  <si>
    <t>Фигурка Funko POP! Plus One Piece King (1893) 83808</t>
  </si>
  <si>
    <t>Fun83808</t>
  </si>
  <si>
    <t>0889698838085</t>
  </si>
  <si>
    <t>Фигурка Funko POP! Plus Predator 2 Elder Greyback (1750) 80199</t>
  </si>
  <si>
    <t>Fun80199</t>
  </si>
  <si>
    <t>0889698801997</t>
  </si>
  <si>
    <t>Хищник</t>
  </si>
  <si>
    <t>Фигурка Funko POP! Plus Sonic the Hedgehog E-123 Omega (1056) 83851</t>
  </si>
  <si>
    <t>Fun83851</t>
  </si>
  <si>
    <t>0889698838511</t>
  </si>
  <si>
    <t>Фигурка Funko POP! Plus Sonic the Hedgehog Super Sonic w/Emeralds (FL) (Exc) (1059) 85015</t>
  </si>
  <si>
    <t>Fun85015</t>
  </si>
  <si>
    <t>0889698850155</t>
  </si>
  <si>
    <t>Фигурка Funko POP! Plus Space Ghost Coast to Coast Space Ghost with Shark (1770) 83764</t>
  </si>
  <si>
    <t>Fun83764</t>
  </si>
  <si>
    <t>0889698837644</t>
  </si>
  <si>
    <t>Фигурка Funko POP! Premium Demon Slayer Kyojuro Rengoku 9th Form (1856) 85001</t>
  </si>
  <si>
    <t>Fun85001</t>
  </si>
  <si>
    <t>0889698850018</t>
  </si>
  <si>
    <t>12 / 14,5 / 19</t>
  </si>
  <si>
    <t>Фигурка Funko POP! Premium How to Train Your Dragon Toothless w/Lightning (Exc) (1872) 84428</t>
  </si>
  <si>
    <t>Fun84428</t>
  </si>
  <si>
    <t>0889698844284</t>
  </si>
  <si>
    <t>Фигурка Funko POP! Premium Meme S1 Spongebob SquarePants Spongebob SquarePants​ (1752) 81071</t>
  </si>
  <si>
    <t>Fun81071</t>
  </si>
  <si>
    <t>0889698810715</t>
  </si>
  <si>
    <t>Фигурка Funko POP! Racing F1 Mercedes-AMG Petronas Formula One Valtteri Bottas (02) 62221</t>
  </si>
  <si>
    <t>Fun62221</t>
  </si>
  <si>
    <t>0889698622219</t>
  </si>
  <si>
    <t>Формула-1</t>
  </si>
  <si>
    <t>Фигурка Funko POP! Racing F1 Oracle RedBull Racing Max Verstappen (03) 72217</t>
  </si>
  <si>
    <t>Fun72217</t>
  </si>
  <si>
    <t>0889698722179</t>
  </si>
  <si>
    <t>Фигурка Funko POP! Racing F1 Oracle RedBull Racing Sergio Perez (04) 72269</t>
  </si>
  <si>
    <t>Fun72269</t>
  </si>
  <si>
    <t>0889698722698</t>
  </si>
  <si>
    <t>Фигурка Funko POP! Racing McLaren Ayrton Senna (11) 86180</t>
  </si>
  <si>
    <t>Fun86180</t>
  </si>
  <si>
    <t>0889698861809</t>
  </si>
  <si>
    <t>Фигурка Funko POP! Retro Toys Barbie 65th Barbie (Exc) (141) 82778</t>
  </si>
  <si>
    <t>Fun82778</t>
  </si>
  <si>
    <t>0889698827782</t>
  </si>
  <si>
    <t>Mattel</t>
  </si>
  <si>
    <t>Фигурка Funko POP! Retro Toys Barbie 65th Barbie Astronaut (139) 81052</t>
  </si>
  <si>
    <t>Fun81052</t>
  </si>
  <si>
    <t>0889698810524</t>
  </si>
  <si>
    <t>Фигурка Funko POP! Retro Toys Barbie 65th Crystal Barbie (124) 75158</t>
  </si>
  <si>
    <t>Fun75158</t>
  </si>
  <si>
    <t>0889698751582</t>
  </si>
  <si>
    <t>Фигурка Funko POP! Retro Toys Barbie 65th Totally Hair Barbie (123) 67454</t>
  </si>
  <si>
    <t>Fun67454</t>
  </si>
  <si>
    <t>0889698674546</t>
  </si>
  <si>
    <t>Фигурка Funko POP! Retro Toys Barbie Barbie Rewind (122) 67453</t>
  </si>
  <si>
    <t>Fun67453</t>
  </si>
  <si>
    <t>0889698674539</t>
  </si>
  <si>
    <t>Фигурка Funko POP! Retro Toys Etch A Sketch Etch A Sketch (130) 81395</t>
  </si>
  <si>
    <t>Fun81395</t>
  </si>
  <si>
    <t>0889698813952</t>
  </si>
  <si>
    <t>Retro Toys</t>
  </si>
  <si>
    <t>Фигурка Funko POP! Retro Toys Monster High Abbey Bominable (155) 83818</t>
  </si>
  <si>
    <t>Fun83818</t>
  </si>
  <si>
    <t>0889698838184</t>
  </si>
  <si>
    <t>Monster High</t>
  </si>
  <si>
    <t>Фигурка Funko POP! Retro Toys Monster High Cleo De Nile (117) 67429</t>
  </si>
  <si>
    <t>Fun67429</t>
  </si>
  <si>
    <t>0889698674294</t>
  </si>
  <si>
    <t>Фигурка Funko POP! Retro Toys Monster High Draculaura Sweet (Exc) (156) 84909</t>
  </si>
  <si>
    <t>Fun84909</t>
  </si>
  <si>
    <t>0889698849098</t>
  </si>
  <si>
    <t>Фигурка Funko POP! Retro Toys Monster High Ghoulia Yelps (154) 83819</t>
  </si>
  <si>
    <t>Fun83819</t>
  </si>
  <si>
    <t>0889698838191</t>
  </si>
  <si>
    <t>Фигурка Funko POP! Retro Toys Polly Pocket Polly Pocket Flower (157) 83816</t>
  </si>
  <si>
    <t>Fun83816</t>
  </si>
  <si>
    <t>0889698838160</t>
  </si>
  <si>
    <t>Фигурка Funko POP! Retro Toys Polly Pocket Polly Pocket Heart (158) 83817</t>
  </si>
  <si>
    <t>Fun83817</t>
  </si>
  <si>
    <t>0889698838177</t>
  </si>
  <si>
    <t>Фигурка Funko POP! Retro Toys Toxic Crusader Toxie (140) 79987</t>
  </si>
  <si>
    <t>Fun79987</t>
  </si>
  <si>
    <t>0889698799874</t>
  </si>
  <si>
    <t>Фигурка Funko POP! Rides Bobble Marvel Deadpool Deadpool on Scooter (45) 30969</t>
  </si>
  <si>
    <t>Fun1305</t>
  </si>
  <si>
    <t>0889698309691</t>
  </si>
  <si>
    <t>Фигурка Funko POP! Rides Bobble Marvel Loki Season 2 Don Personal WatercraftSalesman(Exc)(1327)76819</t>
  </si>
  <si>
    <t>Fun76819</t>
  </si>
  <si>
    <t>0889698768191</t>
  </si>
  <si>
    <t>Фигурка Funko POP! Rides Bobble Star Wars Anakin Skywalker in Naboo Starfighter (Exc) (677) 70132</t>
  </si>
  <si>
    <t>Fun70132</t>
  </si>
  <si>
    <t>0889698701327</t>
  </si>
  <si>
    <t>25 / 19 / 17,5</t>
  </si>
  <si>
    <t>Фигурка Funko POP! Rides Bobble Star Wars Darth Vader First Appearance (743) 80766</t>
  </si>
  <si>
    <t>Fun80766</t>
  </si>
  <si>
    <t>0889698807661</t>
  </si>
  <si>
    <t>14 / 17 / 20,8</t>
  </si>
  <si>
    <t>Фигурка Funko POP! Rides Bobble Star Wars Darth Vader with Tie Advanced x1 Starfighter (742) 80769</t>
  </si>
  <si>
    <t>Fun80769</t>
  </si>
  <si>
    <t>0889698807692</t>
  </si>
  <si>
    <t>Фигурка Funko POP! Rides Bobble Star Wars Ep 1 TPM 25th Darth Maul on Bloodfin Speeder (705) 76014</t>
  </si>
  <si>
    <t>Fun76014</t>
  </si>
  <si>
    <t>0889698760140</t>
  </si>
  <si>
    <t>11,3 / 20,5 / 16</t>
  </si>
  <si>
    <t>Фигурка Funko POP! Rides DC Batman 85th Batman in Batmobile (522) 80689</t>
  </si>
  <si>
    <t>Fun80689</t>
  </si>
  <si>
    <t>0889698806893</t>
  </si>
  <si>
    <t>Фигурка Funko POP! Rides Disney The Adventures of Ichabod and Mr. Toad Headless Horseman (1497)80994</t>
  </si>
  <si>
    <t>Fun80994</t>
  </si>
  <si>
    <t>0889698809948</t>
  </si>
  <si>
    <t>Фигурка Funko POP! Rides Elvira Elvira &amp; Gonk w/Macabre Mobile (311) 80693</t>
  </si>
  <si>
    <t>Fun80693</t>
  </si>
  <si>
    <t>0889698806930</t>
  </si>
  <si>
    <t>Фигурка Funko POP! Rides One Piece Vivi &amp; Karoo (129) 75584</t>
  </si>
  <si>
    <t>Fun75584</t>
  </si>
  <si>
    <t>0889698755849</t>
  </si>
  <si>
    <t>15,8 / 20,5 / 11,5</t>
  </si>
  <si>
    <t>Фигурка Funko POP! Rides Sonic the Hedgehog Dr. Eggman (298) 70584</t>
  </si>
  <si>
    <t>Fun70584</t>
  </si>
  <si>
    <t>0889698705844</t>
  </si>
  <si>
    <t>Фигурка Funko POP! Rides White Lotus Tanya McQuoid on Scooter (125) 81205</t>
  </si>
  <si>
    <t>Fun81205</t>
  </si>
  <si>
    <t>0889698812054</t>
  </si>
  <si>
    <t>Белый Лотос</t>
  </si>
  <si>
    <t>11,5 / 20,5 / 16</t>
  </si>
  <si>
    <t>Фигурка Funko POP! Rocks 2PAC Tupac Vest w/Bandana (158) 45432</t>
  </si>
  <si>
    <t>Fun2549374</t>
  </si>
  <si>
    <t>0889698454322</t>
  </si>
  <si>
    <t>Фигурка Funko POP! Rocks AC/DC Angus Young (Green) (411) 79804</t>
  </si>
  <si>
    <t>Fun79804</t>
  </si>
  <si>
    <t>0889698798044</t>
  </si>
  <si>
    <t>Фигурка Funko POP! Rocks AC/DC Angus Young w/Chase (91) 36318</t>
  </si>
  <si>
    <t>Fun1959</t>
  </si>
  <si>
    <t>0889698363181</t>
  </si>
  <si>
    <t>Фигурка Funko POP! Rocks Amy Winehouse Back to Black (366) 70596</t>
  </si>
  <si>
    <t>Fun70596</t>
  </si>
  <si>
    <t>0889698705967</t>
  </si>
  <si>
    <t>Фигурка Funko POP! Rocks Aretha Franklin Aretha Franklin (Green Dress) (365) 67452</t>
  </si>
  <si>
    <t>Fun67452</t>
  </si>
  <si>
    <t>0889698674522</t>
  </si>
  <si>
    <t>Фигурка Funko POP! Rocks Avril Lavigne (Complicated) (425) 79715</t>
  </si>
  <si>
    <t>Fun79715</t>
  </si>
  <si>
    <t>0889698797153</t>
  </si>
  <si>
    <t>Фигурка Funko POP! Rocks Avril Lavigne Girlfriend (447) 83823</t>
  </si>
  <si>
    <t>Fun83823</t>
  </si>
  <si>
    <t>0889698838238</t>
  </si>
  <si>
    <t>Фигурка Funko POP! Rocks Avril Lavigne Sk8ter Boi (390) 75384</t>
  </si>
  <si>
    <t>Fun75384</t>
  </si>
  <si>
    <t>0889698753845</t>
  </si>
  <si>
    <t>Фигурка Funko POP! Rocks Bella Poarch (Inferno) (389) 75385</t>
  </si>
  <si>
    <t>Fun75385</t>
  </si>
  <si>
    <t>0889698753852</t>
  </si>
  <si>
    <t>Фигурка Funko POP! Rocks Bella Poarch Bella Poarch Build-A-Babe (289) 66454</t>
  </si>
  <si>
    <t>Fun66454</t>
  </si>
  <si>
    <t>0889698664547</t>
  </si>
  <si>
    <t>Фигурка Funko POP! Rocks Bella Poarch Bella Poarch Build-A-Babe (Patchwork) (291) 67839</t>
  </si>
  <si>
    <t>Fun67839</t>
  </si>
  <si>
    <t>0889698678391</t>
  </si>
  <si>
    <t>Фигурка Funko POP! Rocks Bon Jovi (1980's) (1636) 79707</t>
  </si>
  <si>
    <t>Fun79707</t>
  </si>
  <si>
    <t>0889698797078</t>
  </si>
  <si>
    <t>Фигурка Funko POP! Rocks Britney Spears (Oops, I Did it Again) (462) 83835</t>
  </si>
  <si>
    <t>Fun83835</t>
  </si>
  <si>
    <t>0889698838351</t>
  </si>
  <si>
    <t>Фигурка Funko POP! Rocks Britney Spears Britney Spears NYCC24 (Exc) (410) 78658</t>
  </si>
  <si>
    <t>Fun78658</t>
  </si>
  <si>
    <t>0889698786584</t>
  </si>
  <si>
    <t>Фигурка Funko POP! Rocks Britney Spears Lucky (460) 79812</t>
  </si>
  <si>
    <t>Fun79812</t>
  </si>
  <si>
    <t>0889698798129</t>
  </si>
  <si>
    <t>Фигурка Funko POP! Rocks Britney Spears Stronger (461) 83834</t>
  </si>
  <si>
    <t>Fun83834</t>
  </si>
  <si>
    <t>0889698838344</t>
  </si>
  <si>
    <t>Фигурка Funko POP! Rocks BTS Butter J-Hope (282) 64043</t>
  </si>
  <si>
    <t>Fun64043</t>
  </si>
  <si>
    <t>0889698640435</t>
  </si>
  <si>
    <t>Фигурка Funko POP! Rocks BTS S4 Jin (368) 72578</t>
  </si>
  <si>
    <t>Fun72578</t>
  </si>
  <si>
    <t>0889698725781</t>
  </si>
  <si>
    <t>Фигурка Funko POP! Rocks BTS X Despicable Me 4 J-Hope (421) 85963</t>
  </si>
  <si>
    <t>Fun85963</t>
  </si>
  <si>
    <t>0889698859639</t>
  </si>
  <si>
    <t>Фигурка Funko POP! Rocks BTS X Despicable Me 4 Jimin (422) 85964</t>
  </si>
  <si>
    <t>Fun85964</t>
  </si>
  <si>
    <t>0889698859646</t>
  </si>
  <si>
    <t>Фигурка Funko POP! Rocks BTS X Despicable Me 4 Jin (419) 85965</t>
  </si>
  <si>
    <t>Fun85965</t>
  </si>
  <si>
    <t>0889698859653</t>
  </si>
  <si>
    <t>Фигурка Funko POP! Rocks BTS X Despicable Me 4 Jung Kook (424) 85966</t>
  </si>
  <si>
    <t>Fun85966</t>
  </si>
  <si>
    <t>0889698859660</t>
  </si>
  <si>
    <t>Фигурка Funko POP! Rocks BTS X Despicable Me 4 RM (418) 85967</t>
  </si>
  <si>
    <t>Fun85967</t>
  </si>
  <si>
    <t>0889698859677</t>
  </si>
  <si>
    <t>Фигурка Funko POP! Rocks BTS X Despicable Me 4 Suga (420) 85968</t>
  </si>
  <si>
    <t>Fun85968</t>
  </si>
  <si>
    <t>0889698859684</t>
  </si>
  <si>
    <t>Фигурка Funko POP! Rocks BTS X Despicable Me 4 V (423) 85969</t>
  </si>
  <si>
    <t>Fun85969</t>
  </si>
  <si>
    <t>0889698859691</t>
  </si>
  <si>
    <t>Фигурка Funko POP! Rocks Cher Cher (1974 Met Gala) (407) 79704</t>
  </si>
  <si>
    <t>Fun79704</t>
  </si>
  <si>
    <t>0889698797047</t>
  </si>
  <si>
    <t>Фигурка Funko POP! Rocks Cher Living Proof (GL) (385) 75275</t>
  </si>
  <si>
    <t>Fun75275</t>
  </si>
  <si>
    <t>0889698752756</t>
  </si>
  <si>
    <t>Фигурка Funko POP! Rocks Doja Cat Doja Cat Scarlet (441) 85997</t>
  </si>
  <si>
    <t>Fun85997</t>
  </si>
  <si>
    <t>0889698859974</t>
  </si>
  <si>
    <t>Фигурка Funko POP! Rocks Ed Sheeran Ed Sheeran Vampire (348) 70594</t>
  </si>
  <si>
    <t>Fun70594</t>
  </si>
  <si>
    <t>0889698705943</t>
  </si>
  <si>
    <t>Фигурка Funko POP! Rocks Elvis Presley Elvis '68 Comeback Special (188) 40140</t>
  </si>
  <si>
    <t>Fun25491021</t>
  </si>
  <si>
    <t>0889698401401</t>
  </si>
  <si>
    <t>Фигурка Funko POP! Rocks Elvis Presley Elvis '68 Comeback Special (DGLT) (Exc) (188) 36650</t>
  </si>
  <si>
    <t>Fun2549764</t>
  </si>
  <si>
    <t>0889698366502</t>
  </si>
  <si>
    <t>Фигурка Funko POP! Rocks Erykah Badu Erykah Badu (Essence Awards) (426) 79985</t>
  </si>
  <si>
    <t>Fun79985</t>
  </si>
  <si>
    <t>0889698799850</t>
  </si>
  <si>
    <t>Фигурка Funko POP! Rocks Ghost Papa Emeritus IV "Glam" (DGLT) (455) 83837</t>
  </si>
  <si>
    <t>Fun83837</t>
  </si>
  <si>
    <t>0889698838375</t>
  </si>
  <si>
    <t>Фигурка Funko POP! Rocks Ghost Papa Emeritus IV (336) 72565</t>
  </si>
  <si>
    <t>Fun72565</t>
  </si>
  <si>
    <t>0889698725651</t>
  </si>
  <si>
    <t>Фигурка Funko POP! Rocks Guns N' Roses Axl Rose with Red Bandana w/Chase (397) 80482</t>
  </si>
  <si>
    <t>Fun80482</t>
  </si>
  <si>
    <t>0889698804820</t>
  </si>
  <si>
    <t>Фигурка Funko POP! Rocks Guns N' Roses Duff McKagan (1980's) (399) 80483</t>
  </si>
  <si>
    <t>Fun80483</t>
  </si>
  <si>
    <t>0889698804837</t>
  </si>
  <si>
    <t>Фигурка Funko POP! Rocks Guns N' Roses Slash (Shirtless) (398) 80484</t>
  </si>
  <si>
    <t>Fun80484</t>
  </si>
  <si>
    <t>0889698804844</t>
  </si>
  <si>
    <t>Фигурка Funko POP! Rocks Ice Spice Ice Spice (448) 87796</t>
  </si>
  <si>
    <t>Fun87796</t>
  </si>
  <si>
    <t>0889698877961</t>
  </si>
  <si>
    <t>Фигурка Funko POP! Rocks Iron Maiden Cyborg Eddie (438) 80487</t>
  </si>
  <si>
    <t>Fun80487</t>
  </si>
  <si>
    <t>0889698804875</t>
  </si>
  <si>
    <t>Фигурка Funko POP! Rocks Iron Maiden Future Past Eddie 6" (440) 80489</t>
  </si>
  <si>
    <t>Fun80489</t>
  </si>
  <si>
    <t>0889698804899</t>
  </si>
  <si>
    <t>14,1 / 16,8 / 20,6</t>
  </si>
  <si>
    <t>Фигурка Funko POP! Rocks Iron Maiden Mummy Eddie (442) 84021</t>
  </si>
  <si>
    <t>Fun84021</t>
  </si>
  <si>
    <t>0889698840217</t>
  </si>
  <si>
    <t>Фигурка Funko POP! Rocks Iron Maiden Pharaoh Eddie (443) 84022</t>
  </si>
  <si>
    <t>Fun84022</t>
  </si>
  <si>
    <t>0889698840224</t>
  </si>
  <si>
    <t>Фигурка Funko POP! Rocks Iron Maiden Senjutsu Eddie (439) 80488</t>
  </si>
  <si>
    <t>Fun80488</t>
  </si>
  <si>
    <t>0889698804882</t>
  </si>
  <si>
    <t>Фигурка Funko POP! Rocks Ja Rule Ja Rule Iconn Live (384) 75304</t>
  </si>
  <si>
    <t>Fun75304</t>
  </si>
  <si>
    <t>0889698753043</t>
  </si>
  <si>
    <t>Фигурка Funko POP! Rocks Juan Gabriel Juan Gabriel (Floral Mariachi) (400) 79696</t>
  </si>
  <si>
    <t>Fun79696</t>
  </si>
  <si>
    <t>0889698796965</t>
  </si>
  <si>
    <t>Фигурка Funko POP! Rocks Lenny Kravitz Lenny Kravitz (344) 72566</t>
  </si>
  <si>
    <t>Fun72566</t>
  </si>
  <si>
    <t>0889698725668</t>
  </si>
  <si>
    <t>Фигурка Funko POP! Rocks Lionel Richie (349) 64041</t>
  </si>
  <si>
    <t>Fun64041</t>
  </si>
  <si>
    <t>0889698640411</t>
  </si>
  <si>
    <t>Фигурка Funko POP! Rocks Mariah Carey Emancipation of Mimi (GD) (382) 75274</t>
  </si>
  <si>
    <t>Fun75274</t>
  </si>
  <si>
    <t>0889698752749</t>
  </si>
  <si>
    <t>Фигурка Funko POP! Rocks Master P (386) 75398</t>
  </si>
  <si>
    <t>Fun75398</t>
  </si>
  <si>
    <t>0889698753982</t>
  </si>
  <si>
    <t>Фигурка Funko POP! Rocks Michael Jackson (Billie Jean) (360) 72590</t>
  </si>
  <si>
    <t>Fun72590</t>
  </si>
  <si>
    <t>0889698725903</t>
  </si>
  <si>
    <t>Фигурка Funko POP! Rocks Michael Jackson (Dirty Diana) (383) 75386</t>
  </si>
  <si>
    <t>Fun75386</t>
  </si>
  <si>
    <t>0889698753869</t>
  </si>
  <si>
    <t>Фигурка Funko POP! Rocks Michael Jackson (Thriller) (359) 72591</t>
  </si>
  <si>
    <t>Fun72591</t>
  </si>
  <si>
    <t>0889698725910</t>
  </si>
  <si>
    <t>Фигурка Funko POP! Rocks Michael Jackson Rock With You (GL) (456) 79702</t>
  </si>
  <si>
    <t>Fun79702</t>
  </si>
  <si>
    <t>0889698797023</t>
  </si>
  <si>
    <t>Фигурка Funko POP! Rocks NewJeans Danielle (452) 85679</t>
  </si>
  <si>
    <t>Fun85679</t>
  </si>
  <si>
    <t>0889698856799</t>
  </si>
  <si>
    <t>Фигурка Funko POP! Rocks NewJeans Haerin (453) 85680</t>
  </si>
  <si>
    <t>Fun85680</t>
  </si>
  <si>
    <t>0889698856805</t>
  </si>
  <si>
    <t>Фигурка Funko POP! Rocks NewJeans Hanni (451) 85681</t>
  </si>
  <si>
    <t>Fun85681</t>
  </si>
  <si>
    <t>0889698856812</t>
  </si>
  <si>
    <t>Фигурка Funko POP! Rocks NewJeans Hyein (454) 85682</t>
  </si>
  <si>
    <t>Fun85682</t>
  </si>
  <si>
    <t>0889698856829</t>
  </si>
  <si>
    <t>Фигурка Funko POP! Rocks NewJeans Minji (450) 85683</t>
  </si>
  <si>
    <t>Fun85683</t>
  </si>
  <si>
    <t>0889698856836</t>
  </si>
  <si>
    <t>Фигурка Funko POP! Rocks Notorious B.I.G. Notorious B.I.G. Summer '95 (436) 83824</t>
  </si>
  <si>
    <t>Fun83824</t>
  </si>
  <si>
    <t>0889698838245</t>
  </si>
  <si>
    <t>Фигурка Funko POP! Rocks Notorious B.I.G. Notorious B.I.G. with Crown (77) 31550</t>
  </si>
  <si>
    <t>Fun1738</t>
  </si>
  <si>
    <t>0889698315500</t>
  </si>
  <si>
    <t>Фигурка Funko POP! Rocks Oasis Liam Gallagher (256) 57763</t>
  </si>
  <si>
    <t>Fun57763</t>
  </si>
  <si>
    <t>0889698577632</t>
  </si>
  <si>
    <t>Фигурка Funko POP! Rocks Oasis Noel Gallagher (257) 57764</t>
  </si>
  <si>
    <t>Fun57764</t>
  </si>
  <si>
    <t>0889698577649</t>
  </si>
  <si>
    <t>Фигурка Funko POP! Rocks Ozzy Osbourne Ozzy Osbourne Shirtless (1989) (404) 79708</t>
  </si>
  <si>
    <t>Fun79708</t>
  </si>
  <si>
    <t>0889698797085</t>
  </si>
  <si>
    <t>Фигурка Funko POP! Rocks P!nk P!nk Trustfall (459) 86349</t>
  </si>
  <si>
    <t>Fun86349</t>
  </si>
  <si>
    <t>0889698863490</t>
  </si>
  <si>
    <t>Фигурка Funko POP! Rocks Queen Freddie Mercury Radio Gaga (183) 33735</t>
  </si>
  <si>
    <t>Fun2549882</t>
  </si>
  <si>
    <t>0889698337359</t>
  </si>
  <si>
    <t>Фигурка Funko POP! Rocks Queen Freddie Mercury w/Cape (414) 75374</t>
  </si>
  <si>
    <t>Fun75374</t>
  </si>
  <si>
    <t>0889698753746</t>
  </si>
  <si>
    <t>Фигурка Funko POP! Rocks Queen Freddy Mercury I Was Born to Love You (375) 75375</t>
  </si>
  <si>
    <t>Fun75375</t>
  </si>
  <si>
    <t>0889698753753</t>
  </si>
  <si>
    <t>Фигурка Funko POP! Rocks Rosalia Rosalia (Motomami Tour) (416) 75405</t>
  </si>
  <si>
    <t>Fun75405</t>
  </si>
  <si>
    <t>0889698754057</t>
  </si>
  <si>
    <t>Фигурка Funko POP! Rocks Santana Carlos Santana (409) 79712</t>
  </si>
  <si>
    <t>Fun79712</t>
  </si>
  <si>
    <t>0889698797122</t>
  </si>
  <si>
    <t>Фигурка Funko POP! Rocks Shakira Shakira (Wherever/Whenever) (357) 72583</t>
  </si>
  <si>
    <t>Fun72583</t>
  </si>
  <si>
    <t>0889698725835</t>
  </si>
  <si>
    <t>Фигурка Funko POP! Rocks Shakira Shakira Waka Waka (406) 79711</t>
  </si>
  <si>
    <t>Fun79711</t>
  </si>
  <si>
    <t>0889698797115</t>
  </si>
  <si>
    <t>Фигурка Funko POP! Rocks Snoop Dogg (Snoop on the Stoop) (412) 79718</t>
  </si>
  <si>
    <t>Fun79718</t>
  </si>
  <si>
    <t>0889698797184</t>
  </si>
  <si>
    <t>Фигурка Funko POP! Rocks Snoop Dogg Sensual Seduction (391) 75399</t>
  </si>
  <si>
    <t>Fun75399</t>
  </si>
  <si>
    <t>0889698753999</t>
  </si>
  <si>
    <t>Фигурка Funko POP! Rocks Soundgarden Chris Cornell/Kim Thayil/Ben Shepherd/Matt Cameron 4PK 75395</t>
  </si>
  <si>
    <t>Fun75395</t>
  </si>
  <si>
    <t>0889698753951</t>
  </si>
  <si>
    <t>Фигурка Funko POP! Rocks The Beach Boys Pet Sounds 5PK 84023</t>
  </si>
  <si>
    <t>Fun84023</t>
  </si>
  <si>
    <t>0889698840231</t>
  </si>
  <si>
    <t>44,5 / 16 / 8,8</t>
  </si>
  <si>
    <t>Фигурка Funko POP! Rocks The Black Crowes Chris &amp; Rich Robinson 2PK 79815</t>
  </si>
  <si>
    <t>Fun79815</t>
  </si>
  <si>
    <t>0889698798150</t>
  </si>
  <si>
    <t>9 / 20,6 / 16,1</t>
  </si>
  <si>
    <t>Фигурка Funko POP! Rocks TLC Scrubs T-Boz/Left Eye/Chilly 3PK 79709</t>
  </si>
  <si>
    <t>Fun79709</t>
  </si>
  <si>
    <t>0889698797092</t>
  </si>
  <si>
    <t>23 / 16 / 9</t>
  </si>
  <si>
    <t>Фигурка Funko POP! Rocks T-Pain (Rappa Ternt Sanga) (445) 83826</t>
  </si>
  <si>
    <t>Fun83826</t>
  </si>
  <si>
    <t>0889698838269</t>
  </si>
  <si>
    <t>Фигурка Funko POP! Rocks T-Pain T-Pain (395) 79706</t>
  </si>
  <si>
    <t>Fun79706</t>
  </si>
  <si>
    <t>0889698797061</t>
  </si>
  <si>
    <t>Фигурка Funko POP! Rocks Tupac Tupac Shakur California Love (446) 83827</t>
  </si>
  <si>
    <t>Fun83827</t>
  </si>
  <si>
    <t>0889698838276</t>
  </si>
  <si>
    <t>Фигурка Funko POP! Rocks Usher Usher Yeah (308) 65774</t>
  </si>
  <si>
    <t>Fun65774</t>
  </si>
  <si>
    <t>0889698657747</t>
  </si>
  <si>
    <t>Фигурка Funko POP! Sesame Street Bert and Ernie 2PK 82870</t>
  </si>
  <si>
    <t>Fun82870</t>
  </si>
  <si>
    <t>0889698828703</t>
  </si>
  <si>
    <t>Фигурка Funko POP! SNL Saturday Night Live 50th Lunch Lady (Chris Farley) (Exc) (12) 81701</t>
  </si>
  <si>
    <t>Fun81701</t>
  </si>
  <si>
    <t>0889698817011</t>
  </si>
  <si>
    <t>Фигурка Funko POP! Sports Illustrated Boxing Muhammad Ali (04) 80583</t>
  </si>
  <si>
    <t>Fun80583</t>
  </si>
  <si>
    <t>0889698805834</t>
  </si>
  <si>
    <t>29,5 / 22,5 / 8,5</t>
  </si>
  <si>
    <t>Фигурка Funko POP! Town Disney Encanto Mirabel with Casita (34) 73717</t>
  </si>
  <si>
    <t>Fun73717</t>
  </si>
  <si>
    <t>0889698737173</t>
  </si>
  <si>
    <t>Фигурка Funko POP! Town Harry Potter Gingerbread Albus Dumbledore and Hogwarts (42) 80021</t>
  </si>
  <si>
    <t>Fun80021</t>
  </si>
  <si>
    <t>0889698800211</t>
  </si>
  <si>
    <t>19,5 / 26 / 18</t>
  </si>
  <si>
    <t>Фигурка Funko POP! Town Home Alone Kevin with McCallister Home (41) 80042</t>
  </si>
  <si>
    <t>Fun80042</t>
  </si>
  <si>
    <t>0889698800426</t>
  </si>
  <si>
    <t>Один дома</t>
  </si>
  <si>
    <t>18 / 26 / 20</t>
  </si>
  <si>
    <t>Фигурка Funko POP! Town LOTR Bilbo Baggins with Bag-End (39) 80835</t>
  </si>
  <si>
    <t>Fun80835</t>
  </si>
  <si>
    <t>0889698808354</t>
  </si>
  <si>
    <t>17,5 / 25,5 / 19</t>
  </si>
  <si>
    <t>Фигурка Funko POP! Town LOTR S8 Elrond with Rivendell (1747) 83787</t>
  </si>
  <si>
    <t>Fun83787</t>
  </si>
  <si>
    <t>0889698837873</t>
  </si>
  <si>
    <t>18 / 25,5 / 19</t>
  </si>
  <si>
    <t>Фигурка Funko POP! Town The Wizard of Oz 85th Wizard of Oz With Emerald City (38) 75978</t>
  </si>
  <si>
    <t>Fun75978</t>
  </si>
  <si>
    <t>0889698759786</t>
  </si>
  <si>
    <t>18,5 / 25,7 / 19,6</t>
  </si>
  <si>
    <t>Фигурка Funko POP! Town TV Addams Family Addams Home with Uncle Fester (40) 81208</t>
  </si>
  <si>
    <t>Fun81208</t>
  </si>
  <si>
    <t>0889698812085</t>
  </si>
  <si>
    <t>Семейка Аддамс</t>
  </si>
  <si>
    <t>17,7 / 25,5 / 19</t>
  </si>
  <si>
    <t>Фигурка Funko POP! Town Villains S5 Ursula &amp; Ursula's Lair (43) 80932</t>
  </si>
  <si>
    <t>Fun80932</t>
  </si>
  <si>
    <t>0889698809320</t>
  </si>
  <si>
    <t>Фигурка Funko POP! Town Wicked Elphaba w/Emerald City (44) 79751</t>
  </si>
  <si>
    <t>Fun79751</t>
  </si>
  <si>
    <t>0889698797511</t>
  </si>
  <si>
    <t>25,5 / 19,2 / 18</t>
  </si>
  <si>
    <t>Фигурка Funko POP! TV Addams Family Gomez Addams (1548) 81209</t>
  </si>
  <si>
    <t>Fun81209</t>
  </si>
  <si>
    <t>0889698812092</t>
  </si>
  <si>
    <t>Фигурка Funko POP! TV Addams Family Wednesday Addams (1549) 81210</t>
  </si>
  <si>
    <t>Fun81210</t>
  </si>
  <si>
    <t>0889698812108</t>
  </si>
  <si>
    <t>Фигурка Funko POP! TV Addams Family Wednesday Addams (DGLT) (Exc) (811) 82389</t>
  </si>
  <si>
    <t>Fun82389</t>
  </si>
  <si>
    <t>0889698823890</t>
  </si>
  <si>
    <t>Фигурка Funko POP! TV Arcane League of Legends Ekko (1603) 75648</t>
  </si>
  <si>
    <t>Fun75648</t>
  </si>
  <si>
    <t>0889698756488</t>
  </si>
  <si>
    <t>Аркейн (сериал)</t>
  </si>
  <si>
    <t>Фигурка Funko POP! TV Arcane League of Legends Heimerdinger w/Poro (1605) 80193</t>
  </si>
  <si>
    <t>Fun80193</t>
  </si>
  <si>
    <t>0889698801935</t>
  </si>
  <si>
    <t>Фигурка Funko POP! TV Beavis &amp; Butt-Head S2 Beavis (1592) 80167</t>
  </si>
  <si>
    <t>Fun80167</t>
  </si>
  <si>
    <t>0889698801676</t>
  </si>
  <si>
    <t>Beavis and Butt-Head</t>
  </si>
  <si>
    <t>Фигурка Funko POP! TV Beavis &amp; Butt-Head S2 Butt-Head (1591) 80168</t>
  </si>
  <si>
    <t>Fun80168</t>
  </si>
  <si>
    <t>0889698801683</t>
  </si>
  <si>
    <t>Фигурка Funko POP! TV Beavis &amp; Butt-Head S2 Butt-Head (Ghost) (Exc) (1594) 85082</t>
  </si>
  <si>
    <t>Fun85082</t>
  </si>
  <si>
    <t>0889698850827</t>
  </si>
  <si>
    <t>Фигурка Funko POP! TV Beavis &amp; Butt-Head S2 Cornholio (1593) 80169</t>
  </si>
  <si>
    <t>Fun80169</t>
  </si>
  <si>
    <t>0889698801690</t>
  </si>
  <si>
    <t>Фигурка Funko POP! TV Big Bang Theory S2 Leonard Hofstadter In Robe (778) 38586</t>
  </si>
  <si>
    <t>Fun2230</t>
  </si>
  <si>
    <t>0889698385862</t>
  </si>
  <si>
    <t>Теория большого взрыва</t>
  </si>
  <si>
    <t>Фигурка Funko POP! TV Bobble Marvel Ms. Marvel Kamran (Exc) (1108) 66447</t>
  </si>
  <si>
    <t>Fun66447</t>
  </si>
  <si>
    <t>0889698664479</t>
  </si>
  <si>
    <t>Мисс Марвел</t>
  </si>
  <si>
    <t>Фигурка Funko POP! TV Bridgerton Penelope Featherington w/Chase (1663) 61395</t>
  </si>
  <si>
    <t>Fun61395</t>
  </si>
  <si>
    <t>0889698613958</t>
  </si>
  <si>
    <t>Фигурка Funko POP! TV Buffy the Vampire Slayer S2 Angelus (Vampire) (1618) 80156</t>
  </si>
  <si>
    <t>Fun80156</t>
  </si>
  <si>
    <t>0889698801560</t>
  </si>
  <si>
    <t>Баффи — истребительница вампиров</t>
  </si>
  <si>
    <t>Фигурка Funko POP! TV Buffy the Vampire Slayer S2 Spike (Vampire) (1619) 80155</t>
  </si>
  <si>
    <t>Fun80155</t>
  </si>
  <si>
    <t>0889698801553</t>
  </si>
  <si>
    <t>Фигурка Funko POP! TV Buffy the Vampire Slayer S2 The Gentleman (1620) 80154</t>
  </si>
  <si>
    <t>Fun80154</t>
  </si>
  <si>
    <t>0889698801546</t>
  </si>
  <si>
    <t>Фигурка Funko POP! TV DC Creature Commandos Doctor Phosphorus (1480) 81032</t>
  </si>
  <si>
    <t>Fun81032</t>
  </si>
  <si>
    <t>0889698810326</t>
  </si>
  <si>
    <t>Монстры-коммандос</t>
  </si>
  <si>
    <t>Фигурка Funko POP! TV DC Creature Commandos Dr. Nina Mazursky (1479) 81031</t>
  </si>
  <si>
    <t>Fun81031</t>
  </si>
  <si>
    <t>0889698810319</t>
  </si>
  <si>
    <t>Фигурка Funko POP! TV DC Creature Commandos Dr. Phosphorus (GW) (Exc) (1480) 82461</t>
  </si>
  <si>
    <t>Fun82461</t>
  </si>
  <si>
    <t>0889698824613</t>
  </si>
  <si>
    <t>Фигурка Funko POP! TV DC Creature Commandos Eric Frankenstein (1483) 83055</t>
  </si>
  <si>
    <t>Fun83055</t>
  </si>
  <si>
    <t>0889698830553</t>
  </si>
  <si>
    <t>Фигурка Funko POP! TV DC Creature Commandos G.I. Robot (1481) 81033</t>
  </si>
  <si>
    <t>Fun81033</t>
  </si>
  <si>
    <t>0889698810333</t>
  </si>
  <si>
    <t>Фигурка Funko POP! TV DC Creature Commandos The Bride (1478) 81030</t>
  </si>
  <si>
    <t>Fun81030</t>
  </si>
  <si>
    <t>0889698810302</t>
  </si>
  <si>
    <t>Фигурка Funko POP! TV DC Creature Commandos Weasel (1482) 81034</t>
  </si>
  <si>
    <t>Fun81034</t>
  </si>
  <si>
    <t>0889698810340</t>
  </si>
  <si>
    <t>Фигурка Funko POP! TV DC Doom Patrol Mr. Nobody (GW) (1536) 75891</t>
  </si>
  <si>
    <t>Fun75891</t>
  </si>
  <si>
    <t>0889698758918</t>
  </si>
  <si>
    <t>Роковой патруль</t>
  </si>
  <si>
    <t>Фигурка Funko POP! TV DC Doom Patrol Negative Man (1535) 75895</t>
  </si>
  <si>
    <t>Fun75895</t>
  </si>
  <si>
    <t>0889698758956</t>
  </si>
  <si>
    <t>Фигурка Funko POP! TV DC Doom Patrol Robotman (1534) 75896</t>
  </si>
  <si>
    <t>Fun75896</t>
  </si>
  <si>
    <t>0889698758963</t>
  </si>
  <si>
    <t>Фигурка Funko POP! TV DC Titans Beast Boy (1512) 75874</t>
  </si>
  <si>
    <t>Fun75874</t>
  </si>
  <si>
    <t>0889698758741</t>
  </si>
  <si>
    <t>Фигурка Funko POP! TV DC Titans Starfire (1515) 75880</t>
  </si>
  <si>
    <t>Fun75880</t>
  </si>
  <si>
    <t>0889698758802</t>
  </si>
  <si>
    <t>Фигурка Funko POP! TV Dexter Debra Morgan (1696) 83538</t>
  </si>
  <si>
    <t>Fun83538</t>
  </si>
  <si>
    <t>0889698835381</t>
  </si>
  <si>
    <t>Декстер</t>
  </si>
  <si>
    <t>Фигурка Funko POP! TV Felix the Cat 105th Felix the Cat (1616) 80076</t>
  </si>
  <si>
    <t>Fun80076</t>
  </si>
  <si>
    <t>0889698800761</t>
  </si>
  <si>
    <t>Фигурка Funko POP! TV Friends Joey Tribbiani with Pizza (1275) 65674</t>
  </si>
  <si>
    <t>Fun65674</t>
  </si>
  <si>
    <t>0889698656740</t>
  </si>
  <si>
    <t>Фигурка Funko POP! TV Friends Monica Geller as Waitress w/Chase (1279) 65679</t>
  </si>
  <si>
    <t>Fun65679</t>
  </si>
  <si>
    <t>0889698656795</t>
  </si>
  <si>
    <t>Фигурка Funko POP! TV Friends Phoebe Buffay with Chicken Pox (1277) 65677</t>
  </si>
  <si>
    <t>Fun65677</t>
  </si>
  <si>
    <t>0889698656771</t>
  </si>
  <si>
    <t>Фигурка Funko POP! TV Friends S6 Chandler Bing (1646) 80185</t>
  </si>
  <si>
    <t>Fun80185</t>
  </si>
  <si>
    <t>0889698801850</t>
  </si>
  <si>
    <t>Фигурка Funko POP! TV Friends S6 Joey Tribbiany (1645) 80186</t>
  </si>
  <si>
    <t>Fun80186</t>
  </si>
  <si>
    <t>0889698801867</t>
  </si>
  <si>
    <t>Фигурка Funko POP! TV Friends S6 Monica Geller (1649) 80187</t>
  </si>
  <si>
    <t>Fun80187</t>
  </si>
  <si>
    <t>0889698801874</t>
  </si>
  <si>
    <t>Фигурка Funko POP! TV Friends S6 Phoebe Buffay (1647) 80188</t>
  </si>
  <si>
    <t>Fun80188</t>
  </si>
  <si>
    <t>0889698801881</t>
  </si>
  <si>
    <t>Фигурка Funko POP! TV Friends S6 Rachel Green (1650) 80189</t>
  </si>
  <si>
    <t>Fun80189</t>
  </si>
  <si>
    <t>0889698801898</t>
  </si>
  <si>
    <t>Фигурка Funko POP! TV Friends S6 Ross Geller (1648) 80190</t>
  </si>
  <si>
    <t>Fun80190</t>
  </si>
  <si>
    <t>0889698801904</t>
  </si>
  <si>
    <t>Фигурка Funko POP! TV HOTD Alicent Hightower (03) 65606</t>
  </si>
  <si>
    <t>Fun65606</t>
  </si>
  <si>
    <t>0889698656061</t>
  </si>
  <si>
    <t>Дом Дракона</t>
  </si>
  <si>
    <t>Фигурка Funko POP! TV HOTD S2 Crabfeeder (14) 76473</t>
  </si>
  <si>
    <t>Fun76473</t>
  </si>
  <si>
    <t>0889698764735</t>
  </si>
  <si>
    <t>Фигурка Funko POP! TV HOTD S3 Allicent Hightower (20) 79723</t>
  </si>
  <si>
    <t>Fun79723</t>
  </si>
  <si>
    <t>0889698797238</t>
  </si>
  <si>
    <t>Фигурка Funko POP! TV HOTD S3 Baela Targaryen (19) 79722</t>
  </si>
  <si>
    <t>Fun79722</t>
  </si>
  <si>
    <t>0889698797221</t>
  </si>
  <si>
    <t>Фигурка Funko POP! TV HOTD S3 Daemon Targaryen (17) 79724</t>
  </si>
  <si>
    <t>Fun79724</t>
  </si>
  <si>
    <t>0889698797245</t>
  </si>
  <si>
    <t>Фигурка Funko POP! TV HOTD S3 Jacaerys Valaryon (18) 79721</t>
  </si>
  <si>
    <t>Fun79721</t>
  </si>
  <si>
    <t>0889698797214</t>
  </si>
  <si>
    <t>Фигурка Funko POP! TV HOTD S3 Rhaenyra Targaryen (16) 79720</t>
  </si>
  <si>
    <t>Fun79720</t>
  </si>
  <si>
    <t>0889698797207</t>
  </si>
  <si>
    <t>Фигурка Funko POP! TV HOTD S3 Ser Criston Cole (Exc) (21) 81667</t>
  </si>
  <si>
    <t>Fun81667</t>
  </si>
  <si>
    <t>0889698816670</t>
  </si>
  <si>
    <t>Фигурка Funko POP! TV HOTD Syrax (Dragon) (07) 65605</t>
  </si>
  <si>
    <t>Fun65605</t>
  </si>
  <si>
    <t>0889698656054</t>
  </si>
  <si>
    <t>Фигурка Funko POP! TV Invader Zim Invader Zim WonderCon25 (Exc) (1881) 85291</t>
  </si>
  <si>
    <t>Fun85291</t>
  </si>
  <si>
    <t>0889698852913</t>
  </si>
  <si>
    <t>Фигурка Funko POP! TV Law &amp; Order SVU Odafin "Fin" Tutuola (1272) 61405</t>
  </si>
  <si>
    <t>Fun61405</t>
  </si>
  <si>
    <t>0889698614054</t>
  </si>
  <si>
    <t>Фигурка Funko POP! TV Law &amp; Order SVU Olivia Benson (1273) 61406</t>
  </si>
  <si>
    <t>Fun61406</t>
  </si>
  <si>
    <t>0889698614061</t>
  </si>
  <si>
    <t>Фигурка Funko POP! TV Meme S1 Futurama Philip J. Fry (Exc) (1782) 81068</t>
  </si>
  <si>
    <t>Fun81068</t>
  </si>
  <si>
    <t>0889698810685</t>
  </si>
  <si>
    <t>Фигурка Funko POP! TV Meme S1 MOTU Skeletor (1643) 81067</t>
  </si>
  <si>
    <t>Fun81067</t>
  </si>
  <si>
    <t>0889698810678</t>
  </si>
  <si>
    <t>Masters of the Universe</t>
  </si>
  <si>
    <t>Фигурка Funko POP! TV Meme S1 WandaVision Agatha Harkness (1457) 81070</t>
  </si>
  <si>
    <t>Fun81070</t>
  </si>
  <si>
    <t>0889698810708</t>
  </si>
  <si>
    <t>Ванда/Вижн</t>
  </si>
  <si>
    <t>Фигурка Funko POP! TV Ozark Ruth Langmore (1197) 55802</t>
  </si>
  <si>
    <t>Fun55802</t>
  </si>
  <si>
    <t>0889698558020</t>
  </si>
  <si>
    <t>Фигурка Funko POP! TV Parks and Recreation 15th Andy Radical (1567) 80171</t>
  </si>
  <si>
    <t>Fun80171</t>
  </si>
  <si>
    <t>0889698801713</t>
  </si>
  <si>
    <t>Парки и зоны отдыха</t>
  </si>
  <si>
    <t>Фигурка Funko POP! TV Parks and Recreation 15th April Ludgate (1568) 80172</t>
  </si>
  <si>
    <t>Fun80172</t>
  </si>
  <si>
    <t>0889698801720</t>
  </si>
  <si>
    <t>Фигурка Funko POP! TV Parks and Recreation 15th Dont Be Suspicious Jean-Ralphio &amp; Mona-Lisa2PK 80174</t>
  </si>
  <si>
    <t>Fun80174</t>
  </si>
  <si>
    <t>0889698801744</t>
  </si>
  <si>
    <t>Фигурка Funko POP! TV Parks and Recreation 15th Ron Swanson (1569) 80175</t>
  </si>
  <si>
    <t>Fun80175</t>
  </si>
  <si>
    <t>0889698801751</t>
  </si>
  <si>
    <t>Фигурка Funko POP! TV Parks and Recreation April Ludgate NYCC24 (Exc) (1581) 78661</t>
  </si>
  <si>
    <t>Fun78661</t>
  </si>
  <si>
    <t>0889698786614</t>
  </si>
  <si>
    <t>Фигурка Funko POP! TV Parks and Recreation Chris Traeger w/Champion (1415) 74431</t>
  </si>
  <si>
    <t>Fun74431</t>
  </si>
  <si>
    <t>0889698744317</t>
  </si>
  <si>
    <t>Фигурка Funko POP! TV Parks and Recreation Leslie Knope in Wedding Dress (1287) 65694</t>
  </si>
  <si>
    <t>Fun65694</t>
  </si>
  <si>
    <t>0889698656948</t>
  </si>
  <si>
    <t>Фигурка Funko POP! TV Parks and Recreation Leslie Knope with Waffles (1537) 80170</t>
  </si>
  <si>
    <t>Fun80170</t>
  </si>
  <si>
    <t>0889698801706</t>
  </si>
  <si>
    <t>Фигурка Funko POP! TV Peaky Blinders Ada Thome (1397) 72180</t>
  </si>
  <si>
    <t>Fun72180</t>
  </si>
  <si>
    <t>0889698721806</t>
  </si>
  <si>
    <t>Острые козырьки</t>
  </si>
  <si>
    <t>Фигурка Funko POP! TV Peaky Blinders Alfie Solomons (1398) 72181</t>
  </si>
  <si>
    <t>Fun72181</t>
  </si>
  <si>
    <t>0889698721813</t>
  </si>
  <si>
    <t>Фигурка Funko POP! TV Peaky Blinders Arthur Shelby (1399) 72182</t>
  </si>
  <si>
    <t>Fun72182</t>
  </si>
  <si>
    <t>0889698721820</t>
  </si>
  <si>
    <t>Фигурка Funko POP! TV Peaky Blinders Michael Gray (1400) 72183</t>
  </si>
  <si>
    <t>Fun72183</t>
  </si>
  <si>
    <t>0889698721837</t>
  </si>
  <si>
    <t>Фигурка Funko POP! TV Peaky Blinders Polly Gray (1401) 72184</t>
  </si>
  <si>
    <t>Fun72184</t>
  </si>
  <si>
    <t>0889698721844</t>
  </si>
  <si>
    <t>Фигурка Funko POP! TV Peanuts Linus (1588) 81368</t>
  </si>
  <si>
    <t>Fun81368</t>
  </si>
  <si>
    <t>0889698813686</t>
  </si>
  <si>
    <t>Фигурка Funko POP! TV Peanuts S7 Astronaut Snoopy &amp; Woodstock (1679) 83507</t>
  </si>
  <si>
    <t>Fun83507</t>
  </si>
  <si>
    <t>0889698835077</t>
  </si>
  <si>
    <t>Фигурка Funko POP! TV Peanuts S7 Charlie Brown (Good Grief) (1677) 83508</t>
  </si>
  <si>
    <t>Fun83508</t>
  </si>
  <si>
    <t>0889698835084</t>
  </si>
  <si>
    <t>Фигурка Funko POP! TV Peanuts S7 Charlie Brown w/Kite (1678) 83506</t>
  </si>
  <si>
    <t>Fun83506</t>
  </si>
  <si>
    <t>0889698835060</t>
  </si>
  <si>
    <t>Фигурка Funko POP! TV Peanuts S7 Joe Cool &amp; Woodstock (1680) 83509</t>
  </si>
  <si>
    <t>Fun83509</t>
  </si>
  <si>
    <t>0889698835091</t>
  </si>
  <si>
    <t>Фигурка Funko POP! TV Peanuts S7 Snoopy in Coat w/Chase SS (1681) 84932</t>
  </si>
  <si>
    <t>Fun84932</t>
  </si>
  <si>
    <t>0889698849326</t>
  </si>
  <si>
    <t>Фигурка Funko POP! TV Pink Panther Pink Panther (1551) 81574</t>
  </si>
  <si>
    <t>Fun81574</t>
  </si>
  <si>
    <t>0889698815741</t>
  </si>
  <si>
    <t>Фигурка Funko POP! TV Power Rangers 30th Pink Ranger (1373) 72156</t>
  </si>
  <si>
    <t>Fun72156</t>
  </si>
  <si>
    <t>0889698721561</t>
  </si>
  <si>
    <t>Фигурка Funko POP! TV Psych Shawn Spencer &amp; Burton "Gus" Guster 2PK 83972</t>
  </si>
  <si>
    <t>Fun83972</t>
  </si>
  <si>
    <t>0889698839723</t>
  </si>
  <si>
    <t>Ясновидец</t>
  </si>
  <si>
    <t>Фигурка Funko POP! TV Sandman Dream w/Chase (1638) 80050</t>
  </si>
  <si>
    <t>Fun80050</t>
  </si>
  <si>
    <t>0889698800501</t>
  </si>
  <si>
    <t>Песочный человек</t>
  </si>
  <si>
    <t>Фигурка Funko POP! TV Sandman Dream with Raven NYCC24 (Exc) (1642) 79452</t>
  </si>
  <si>
    <t>Fun79452</t>
  </si>
  <si>
    <t>0889698794527</t>
  </si>
  <si>
    <t>Фигурка Funko POP! TV Sandman Lucienne with Matthew (1639) 80051</t>
  </si>
  <si>
    <t>Fun80051</t>
  </si>
  <si>
    <t>0889698800518</t>
  </si>
  <si>
    <t>Фигурка Funko POP! TV Sandman Lucifer (1640) 80052</t>
  </si>
  <si>
    <t>Fun80052</t>
  </si>
  <si>
    <t>0889698800525</t>
  </si>
  <si>
    <t>Фигурка Funko POP! TV Sandman The Corinthian (1641) 80053</t>
  </si>
  <si>
    <t>Fun80053</t>
  </si>
  <si>
    <t>0889698800532</t>
  </si>
  <si>
    <t>Фигурка Funko POP! TV Sesame Street S3 Abby (1610) 80140</t>
  </si>
  <si>
    <t>Fun80140</t>
  </si>
  <si>
    <t>0889698801409</t>
  </si>
  <si>
    <t>Фигурка Funko POP! TV Sesame Street S5 Elmo and Tango (1611) 80143</t>
  </si>
  <si>
    <t>Fun80143</t>
  </si>
  <si>
    <t>0889698801430</t>
  </si>
  <si>
    <t>Фигурка Funko POP! TV Simpsons Poochie C2E224 (Exc) (1498) 76845</t>
  </si>
  <si>
    <t>Fun76845</t>
  </si>
  <si>
    <t>0889698768450</t>
  </si>
  <si>
    <t>Фигурка Funko POP! TV Simpsons S10 Bart (1652) 80071</t>
  </si>
  <si>
    <t>Fun80071</t>
  </si>
  <si>
    <t>0889698800716</t>
  </si>
  <si>
    <t>Фигурка Funko POP! TV Simpsons S10 Fallout Boy (1655) 80074</t>
  </si>
  <si>
    <t>Fun80074</t>
  </si>
  <si>
    <t>0889698800747</t>
  </si>
  <si>
    <t>Фигурка Funko POP! TV Simpsons S10 Martin as Calliope (1654) 80073</t>
  </si>
  <si>
    <t>Fun80073</t>
  </si>
  <si>
    <t>0889698800730</t>
  </si>
  <si>
    <t>Фигурка Funko POP! TV Simpsons S10 Sideshow Bob (1656) 80075</t>
  </si>
  <si>
    <t>Fun80075</t>
  </si>
  <si>
    <t>0889698800754</t>
  </si>
  <si>
    <t>Фигурка Funko POP! TV Smallville S2 Clark Kent (543) 83483</t>
  </si>
  <si>
    <t>Fun83483</t>
  </si>
  <si>
    <t>0889698834834</t>
  </si>
  <si>
    <t>Тайны Смолвиля</t>
  </si>
  <si>
    <t>Фигурка Funko POP! TV Smallville S2 Doomsday Max (541) 83481</t>
  </si>
  <si>
    <t>Fun83481</t>
  </si>
  <si>
    <t>0889698834810</t>
  </si>
  <si>
    <t>Фигурка Funko POP! TV Smallville S2 Kara Kent​ (542) 83482</t>
  </si>
  <si>
    <t>Fun83482</t>
  </si>
  <si>
    <t>0889698834827</t>
  </si>
  <si>
    <t>Фигурка Funko POP! TV Smurfs Grouchy Smurf (1518) 79257</t>
  </si>
  <si>
    <t>Fun79257</t>
  </si>
  <si>
    <t>0889698792578</t>
  </si>
  <si>
    <t>Смурфики</t>
  </si>
  <si>
    <t>Фигурка Funko POP! TV Smurfs Handy Smurf (1519) 79258</t>
  </si>
  <si>
    <t>Fun79258</t>
  </si>
  <si>
    <t>0889698792585</t>
  </si>
  <si>
    <t>Фигурка Funko POP! TV Smurfs Vanity Smurf (1517) 79260</t>
  </si>
  <si>
    <t>Fun79260</t>
  </si>
  <si>
    <t>0889698792608</t>
  </si>
  <si>
    <t>Фигурка Funko POP! TV Star Trek Lower Decks Samanthan Rutherford (1436) 75845</t>
  </si>
  <si>
    <t>Fun75845</t>
  </si>
  <si>
    <t>0889698758451</t>
  </si>
  <si>
    <t>Фигурка Funko POP! TV Stranger Things Demogorgon (Scoops Ahoy) 6" (1547) 79996</t>
  </si>
  <si>
    <t>Fun79996</t>
  </si>
  <si>
    <t>0889698799966</t>
  </si>
  <si>
    <t>Фигурка Funko POP! TV Stranger Things Rift Demogorgon (1596) 80048</t>
  </si>
  <si>
    <t>Fun80048</t>
  </si>
  <si>
    <t>0889698800488</t>
  </si>
  <si>
    <t>Фигурка Funko POP! TV Stranger Things Rift Mind Flayer 6" (1597) 80047</t>
  </si>
  <si>
    <t>Fun80047</t>
  </si>
  <si>
    <t>0889698800471</t>
  </si>
  <si>
    <t>20,4 / 16,6 / 14</t>
  </si>
  <si>
    <t>Фигурка Funko POP! TV Stranger Things Rift Vecna (1595) 80049</t>
  </si>
  <si>
    <t>Fun80049</t>
  </si>
  <si>
    <t>0889698800495</t>
  </si>
  <si>
    <t>Фигурка Funko POP! TV Stranger Things Robin (Scoops Ahoy) (1546) 79997</t>
  </si>
  <si>
    <t>Fun79997</t>
  </si>
  <si>
    <t>0889698799973</t>
  </si>
  <si>
    <t>Фигурка Funko POP! TV Stranger Things S4 Hunter Eddie w/Guitar (1462) 72138</t>
  </si>
  <si>
    <t>Fun72138</t>
  </si>
  <si>
    <t>0889698721387</t>
  </si>
  <si>
    <t>Фигурка Funko POP! TV Stranger Things S4 Hunter Robin/Steve/Vecna 3PK (Exc) 66909</t>
  </si>
  <si>
    <t>Fun66909</t>
  </si>
  <si>
    <t>0889698669092</t>
  </si>
  <si>
    <t>8,6 / 23 / 16,2</t>
  </si>
  <si>
    <t>Фигурка Funko POP! TV Stranger Things S4 Murray w/Flamethrower (1543) 74418</t>
  </si>
  <si>
    <t>Fun74418</t>
  </si>
  <si>
    <t>0889698744188</t>
  </si>
  <si>
    <t>Фигурка Funko POP! TV Stranger Things Steve (Scoops Ahoy) (1545) 79998</t>
  </si>
  <si>
    <t>Fun79998</t>
  </si>
  <si>
    <t>0889698799980</t>
  </si>
  <si>
    <t>Фигурка Funko POP! TV Succession S1 Greg Hirsch (1428) 75654</t>
  </si>
  <si>
    <t>Fun75654</t>
  </si>
  <si>
    <t>0889698756549</t>
  </si>
  <si>
    <t>Наследники</t>
  </si>
  <si>
    <t>Фигурка Funko POP! TV Succession S1 Kendall Roy (1429) 75655</t>
  </si>
  <si>
    <t>Fun75655</t>
  </si>
  <si>
    <t>0889698756556</t>
  </si>
  <si>
    <t>Фигурка Funko POP! TV Suits Louis Litt With Mikado (1709) 83967</t>
  </si>
  <si>
    <t>Fun83967</t>
  </si>
  <si>
    <t>0889698839679</t>
  </si>
  <si>
    <t>Форс-мажоры</t>
  </si>
  <si>
    <t>Фигурка Funko POP! TV The Boys Firecracker (1600) 75645</t>
  </si>
  <si>
    <t>Fun75645</t>
  </si>
  <si>
    <t>0889698756457</t>
  </si>
  <si>
    <t>Пацаны</t>
  </si>
  <si>
    <t>Фигурка Funko POP! TV The Boys Frenchie (1598) 75643</t>
  </si>
  <si>
    <t>Fun75643</t>
  </si>
  <si>
    <t>0889698756433</t>
  </si>
  <si>
    <t>Фигурка Funko POP! TV The Boys Sister Sage (1599) 75644</t>
  </si>
  <si>
    <t>Fun75644</t>
  </si>
  <si>
    <t>0889698756440</t>
  </si>
  <si>
    <t>Фигурка Funko POP! TV The Office Kelly Kapoor Halloween NYCC22 (Exc) (1285) 67027</t>
  </si>
  <si>
    <t>Fun67027</t>
  </si>
  <si>
    <t>0889698670272</t>
  </si>
  <si>
    <t>Office</t>
  </si>
  <si>
    <t>Фигурка Funko POP! TV The Sopranos Bobby "Bacala" Baccalieri (1699) 83779</t>
  </si>
  <si>
    <t>Fun83779</t>
  </si>
  <si>
    <t>0889698837798</t>
  </si>
  <si>
    <t>Сопрано</t>
  </si>
  <si>
    <t>Фигурка Funko POP! TV The Twilight Zone 1959 Narrator (1582) 80198</t>
  </si>
  <si>
    <t>Fun80198</t>
  </si>
  <si>
    <t>0889698801980</t>
  </si>
  <si>
    <t>Фигурка Funko POP! TV The Wire Bubbles (1422) 65761</t>
  </si>
  <si>
    <t>Fun65761</t>
  </si>
  <si>
    <t>0889698657617</t>
  </si>
  <si>
    <t>Прослушка</t>
  </si>
  <si>
    <t>Фигурка Funko POP! TV The Wire James Jimmy McNulty (1420) 65762</t>
  </si>
  <si>
    <t>Fun65762</t>
  </si>
  <si>
    <t>0889698657624</t>
  </si>
  <si>
    <t>Фигурка Funko POP! TV The Wire Stringer Bell (1421) 65764</t>
  </si>
  <si>
    <t>Fun65764</t>
  </si>
  <si>
    <t>0889698657648</t>
  </si>
  <si>
    <t>Фигурка Funko POP! TV ThunderCats Classic Mumm-Ra (1705) 83775</t>
  </si>
  <si>
    <t>Fun83775</t>
  </si>
  <si>
    <t>0889698837750</t>
  </si>
  <si>
    <t>Громокошки</t>
  </si>
  <si>
    <t>Фигурка Funko POP! TV ThunderCats Classic Wilykat and Wilykit 2PK 83776</t>
  </si>
  <si>
    <t>Fun83776</t>
  </si>
  <si>
    <t>0889698837767</t>
  </si>
  <si>
    <t>Фигурка Funko POP! TV TMNT Easter Leonardo (1667) 86043</t>
  </si>
  <si>
    <t>Fun86043</t>
  </si>
  <si>
    <t>0889698860437</t>
  </si>
  <si>
    <t>Фигурка Funko POP! TV TMNT Easter Michaelangelo (1668) 86044</t>
  </si>
  <si>
    <t>Fun86044</t>
  </si>
  <si>
    <t>0889698860444</t>
  </si>
  <si>
    <t>Фигурка Funko POP! TV TMNT S4 Donatello (1554) 78049</t>
  </si>
  <si>
    <t>Fun78049</t>
  </si>
  <si>
    <t>0889698780490</t>
  </si>
  <si>
    <t>Фигурка Funko POP! TV TMNT S4 Leonardo (1555) 78054</t>
  </si>
  <si>
    <t>Fun78054</t>
  </si>
  <si>
    <t>0889698780544</t>
  </si>
  <si>
    <t>Фигурка Funko POP! TV TMNT S4 Michelangelo (1557) 78050</t>
  </si>
  <si>
    <t>Fun78050</t>
  </si>
  <si>
    <t>0889698780506</t>
  </si>
  <si>
    <t>Фигурка Funko POP! TV TMNT S4 Raphael (1556) 78051</t>
  </si>
  <si>
    <t>Fun78051</t>
  </si>
  <si>
    <t>0889698780513</t>
  </si>
  <si>
    <t>Фигурка Funko POP! TV TMNT S4 Slash with Pre-Mutated Slash (1558) 78048</t>
  </si>
  <si>
    <t>Fun78048</t>
  </si>
  <si>
    <t>0889698780483</t>
  </si>
  <si>
    <t>Фигурка Funko POP! TV Tom &amp; Jerry S3 Jerry (1658) 80160</t>
  </si>
  <si>
    <t>Fun80160</t>
  </si>
  <si>
    <t>0889698801607</t>
  </si>
  <si>
    <t>Том и Джерри</t>
  </si>
  <si>
    <t>Фигурка Funko POP! TV Tom &amp; Jerry S3 Tom (1657) 80159</t>
  </si>
  <si>
    <t>Fun80159</t>
  </si>
  <si>
    <t>0889698801591</t>
  </si>
  <si>
    <t>Фигурка Funko POP! TV Trailer Park Boys Bubbles with Cat (1323) 59300</t>
  </si>
  <si>
    <t>Fun59300</t>
  </si>
  <si>
    <t>0889698593007</t>
  </si>
  <si>
    <t>Парни из Трейлерпарка</t>
  </si>
  <si>
    <t>Фигурка Funko POP! TV Voltron Voltron (Retro) 6" (1497) 83468</t>
  </si>
  <si>
    <t>Fun83468</t>
  </si>
  <si>
    <t>0889698834681</t>
  </si>
  <si>
    <t>Фигурка Funko POP! TV Wednesday Bianca Barclay Rave'n (1579) 83313</t>
  </si>
  <si>
    <t>Fun83313</t>
  </si>
  <si>
    <t>0889698833134</t>
  </si>
  <si>
    <t>Фигурка Funko POP! TV Wednesday Enid Sinclair Rave'n (1578) 83315</t>
  </si>
  <si>
    <t>Fun83315</t>
  </si>
  <si>
    <t>0889698833158</t>
  </si>
  <si>
    <t>Фигурка Funko POP! TV Wednesday Marilyn Thornhill Rave'n (1580) 83314</t>
  </si>
  <si>
    <t>Fun83314</t>
  </si>
  <si>
    <t>0889698833141</t>
  </si>
  <si>
    <t>Фигурка Funko POP! TV Wednesday Wednesday Addams (1309) 67457</t>
  </si>
  <si>
    <t>Fun67457</t>
  </si>
  <si>
    <t>0889698674577</t>
  </si>
  <si>
    <t>Фигурка Funko POP! TV Wednesday Wednesday Addams Rave'n (1577) 83316</t>
  </si>
  <si>
    <t>Fun83316</t>
  </si>
  <si>
    <t>0889698833165</t>
  </si>
  <si>
    <t>Фигурка Funko POP! TV Wednesday Wednesday Addams w/Umbrella (Exc) (1552) 81741</t>
  </si>
  <si>
    <t>Fun81741</t>
  </si>
  <si>
    <t>0889698817417</t>
  </si>
  <si>
    <t>Фигурка Funko POP! TV White Lotus Armond w/Suitcase (1484) 81206</t>
  </si>
  <si>
    <t>Fun81206</t>
  </si>
  <si>
    <t>0889698812061</t>
  </si>
  <si>
    <t>Фигурка Funko POP! TV Witcher Jaskier (Red Outfit) (1194) 58909</t>
  </si>
  <si>
    <t>Fun25491925</t>
  </si>
  <si>
    <t>0889698589093</t>
  </si>
  <si>
    <t>Фигурка Funko POP! TV Witcher S2 Yennefer (1318) 67426</t>
  </si>
  <si>
    <t>Fun67426</t>
  </si>
  <si>
    <t>0889698674263</t>
  </si>
  <si>
    <t>Фигурка Funko POP! TV Wondla Rovender Kitt (1607) 79753</t>
  </si>
  <si>
    <t>Fun79753</t>
  </si>
  <si>
    <t>0889698797535</t>
  </si>
  <si>
    <t>УдивЛа</t>
  </si>
  <si>
    <t>Фигурка Funko POP! TV Xena Xena w/Spear (1665) 83505</t>
  </si>
  <si>
    <t>Fun83505</t>
  </si>
  <si>
    <t>0889698835053</t>
  </si>
  <si>
    <t>Зена – королева воинов</t>
  </si>
  <si>
    <t>Фигурка Funko POP! TV X-Files S2 Dana Scully (1613) 80157</t>
  </si>
  <si>
    <t>Fun80157</t>
  </si>
  <si>
    <t>0889698801577</t>
  </si>
  <si>
    <t>Секретные материалы</t>
  </si>
  <si>
    <t>Фигурка Funko POP! TV X-Files S2 Fox Mulder (1614) 80158</t>
  </si>
  <si>
    <t>Fun80158</t>
  </si>
  <si>
    <t>0889698801584</t>
  </si>
  <si>
    <t>Фигурка Funko POP! TV Yellowstone Beth Dutton (1560) 80176</t>
  </si>
  <si>
    <t>Fun80176</t>
  </si>
  <si>
    <t>0889698801768</t>
  </si>
  <si>
    <t>Йеллоустоун</t>
  </si>
  <si>
    <t>Фигурка Funko POP! TV Yellowstone Jimmy Hurdstrom (1561) 80177</t>
  </si>
  <si>
    <t>Fun80177</t>
  </si>
  <si>
    <t>0889698801775</t>
  </si>
  <si>
    <t>Фигурка Funko POP! TV Yellowstone John Dutton (1563) 80178</t>
  </si>
  <si>
    <t>Fun80178</t>
  </si>
  <si>
    <t>0889698801782</t>
  </si>
  <si>
    <t>Фигурка Funko POP! TV Yellowstone Lloyd Pierce (1562) 80179</t>
  </si>
  <si>
    <t>Fun80179</t>
  </si>
  <si>
    <t>0889698801799</t>
  </si>
  <si>
    <t>Фигурка Funko POP! TV Yellowstone Teeter (1564) 80180</t>
  </si>
  <si>
    <t>Fun80180</t>
  </si>
  <si>
    <t>0889698801805</t>
  </si>
  <si>
    <t>Фигурка Funko POP! TV Stranger Things S4 Vecna (Transformation) (1540) 80138</t>
  </si>
  <si>
    <t>Fun80138</t>
  </si>
  <si>
    <t>0889698801386</t>
  </si>
  <si>
    <t>Funko FSDU POS</t>
  </si>
  <si>
    <t>EventCov-117</t>
  </si>
  <si>
    <t>Воблер для полок Funko Shelf Wobbler 100mm x 100mm EventCov-117</t>
  </si>
  <si>
    <t>Fun201120</t>
  </si>
  <si>
    <t>2000901228365</t>
  </si>
  <si>
    <t>9,5 / 9,5 / 0,1</t>
  </si>
  <si>
    <t>Торговое оборудование</t>
  </si>
  <si>
    <t>UT-57920</t>
  </si>
  <si>
    <t>Картонный стеллаж Funko FSDU Disney Standard Pop SS21 80 pcs, 20 faces UT-57920</t>
  </si>
  <si>
    <t>Fun201127</t>
  </si>
  <si>
    <t>0889698579209</t>
  </si>
  <si>
    <t>153 / 99,5 / 3</t>
  </si>
  <si>
    <t>UT-57923</t>
  </si>
  <si>
    <t>Картонный стеллаж Funko FSDU Generic Standard Pop 80 pcs, 20 faces UT-57923</t>
  </si>
  <si>
    <t>Fun201126</t>
  </si>
  <si>
    <t>0889698579230</t>
  </si>
  <si>
    <t>UT-38985</t>
  </si>
  <si>
    <t>Картонный стеллаж Funko FSDU Mixed Fortnite (All Catagories) Double UT-38985</t>
  </si>
  <si>
    <t>Fun20112</t>
  </si>
  <si>
    <t>0889698389853</t>
  </si>
  <si>
    <t>Фортнайт</t>
  </si>
  <si>
    <t>Epic Games</t>
  </si>
  <si>
    <t>62 / 160,5 / 3,5</t>
  </si>
  <si>
    <t>12614-BX-AST</t>
  </si>
  <si>
    <t>Картонный стеллаж Funko FSDU POS Poster &amp; Window Cling Bundle 12614-BX-AST</t>
  </si>
  <si>
    <t>Fun20115</t>
  </si>
  <si>
    <t>0889698126144</t>
  </si>
  <si>
    <t>62 / 5 / 5</t>
  </si>
  <si>
    <t>UT-57922</t>
  </si>
  <si>
    <t>Картонный стеллаж Funko FSDU Star Wars Standard Pop SS21 80 pcs, 20 faces UT-57922</t>
  </si>
  <si>
    <t>Fun201128</t>
  </si>
  <si>
    <t>0889698579223</t>
  </si>
  <si>
    <t>EventCov-111</t>
  </si>
  <si>
    <t>Напольный стикер Funko Floor Sticker 500 x 500 mm EventCov-111</t>
  </si>
  <si>
    <t>Fun201122</t>
  </si>
  <si>
    <t>2000901228372</t>
  </si>
  <si>
    <t>50 / 50 / 0,1</t>
  </si>
  <si>
    <t>EventCov-115</t>
  </si>
  <si>
    <t>Оконный стикер Funko Window Sticker Circular 600mm x 600mm EventCov-115</t>
  </si>
  <si>
    <t>Fun201123</t>
  </si>
  <si>
    <t>2000901228389</t>
  </si>
  <si>
    <t>EventCov-109</t>
  </si>
  <si>
    <t>Постер Funko A2 Poster Logo 420mm x 590mm EventCov-109</t>
  </si>
  <si>
    <t>Fun201124</t>
  </si>
  <si>
    <t>2000901228396</t>
  </si>
  <si>
    <t>59,5 / 42 / 0,1</t>
  </si>
  <si>
    <t>EventCov-118</t>
  </si>
  <si>
    <t>Постер Funko A2 Poster Long Live The Fan EventCov-118</t>
  </si>
  <si>
    <t>Fun201125</t>
  </si>
  <si>
    <t>2000901228402</t>
  </si>
  <si>
    <t>EventCov-112</t>
  </si>
  <si>
    <t>Указатель Funko A5 Till Point Sign 148mm x 210mm EventCov-112</t>
  </si>
  <si>
    <t>Fun201121</t>
  </si>
  <si>
    <t>2000901228419</t>
  </si>
  <si>
    <t>0,3 / 15 / 21</t>
  </si>
  <si>
    <t>EventCov-103</t>
  </si>
  <si>
    <t>Хэдер Funko Header board Logo &amp; Crown  1000 x 400mm  EventCov-103</t>
  </si>
  <si>
    <t>Fun201113</t>
  </si>
  <si>
    <t>2000901228426</t>
  </si>
  <si>
    <t>40 / 100 / 0,5</t>
  </si>
  <si>
    <t>EventCov-104</t>
  </si>
  <si>
    <t>Хэдер Funko Header board Logo &amp; Crown 1200 x 400mm EventCov-104</t>
  </si>
  <si>
    <t>Fun201114</t>
  </si>
  <si>
    <t>2000901228433</t>
  </si>
  <si>
    <t>EventCov-105</t>
  </si>
  <si>
    <t>Хэдер Funko Header Board Logo &amp; Crown 1500 x 400mm EventCov-105</t>
  </si>
  <si>
    <t>Fun201115</t>
  </si>
  <si>
    <t>2000901228440</t>
  </si>
  <si>
    <t>40 / 149,5 / 0,5</t>
  </si>
  <si>
    <t>EventCov-106</t>
  </si>
  <si>
    <t>Хэдер Funko Header board Logo &amp; Pop! 1000 x 400mm EventCov-106</t>
  </si>
  <si>
    <t>Fun201116</t>
  </si>
  <si>
    <t>2000901228457</t>
  </si>
  <si>
    <t>EventCov-107</t>
  </si>
  <si>
    <t>Хэдер Funko Header board Logo &amp; Pop! 1200 x 400mm EventCov-107</t>
  </si>
  <si>
    <t>Fun201117</t>
  </si>
  <si>
    <t>2000901228464</t>
  </si>
  <si>
    <t>EventCov-108</t>
  </si>
  <si>
    <t>Хэдер Funko Header Board Logo &amp; Pop! 1500 x 400mm EventCov-108</t>
  </si>
  <si>
    <t>Fun201118</t>
  </si>
  <si>
    <t>2000901228471</t>
  </si>
  <si>
    <t>Funko Homeware</t>
  </si>
  <si>
    <t>Ручка Funko POP! Pens DC Super Heroes 1 шт в ассортименте 48657</t>
  </si>
  <si>
    <t>Fun48657</t>
  </si>
  <si>
    <t>0889698486576</t>
  </si>
  <si>
    <t>0,5 / 1,5 / 17</t>
  </si>
  <si>
    <t>5+</t>
  </si>
  <si>
    <t>Ручка Funko POP! Pens Disney Lilo &amp; Stitch in Costume 1 шт в ассортименте (из 4) 85775</t>
  </si>
  <si>
    <t>Fun85775</t>
  </si>
  <si>
    <t>0889698857758</t>
  </si>
  <si>
    <t>17,5 / 2 / 0,8</t>
  </si>
  <si>
    <t>Ручка Funko POP! Pens Marvel New Classics 1 шт в ассортименте (из 4) 85752</t>
  </si>
  <si>
    <t>Fun85752</t>
  </si>
  <si>
    <t>0889698857529</t>
  </si>
  <si>
    <t>16,5 / 2 / 1,5</t>
  </si>
  <si>
    <t>Ручка Funko POP! Pens One Piece 1 шт в ассортименте (из 4) 85770</t>
  </si>
  <si>
    <t>Fun85770</t>
  </si>
  <si>
    <t>0889698857703</t>
  </si>
  <si>
    <t>17,5 / 2 / 1</t>
  </si>
  <si>
    <t xml:space="preserve">Funko Keychain </t>
  </si>
  <si>
    <t>Брелок Funko Pocket POP! Aggretsuko Aggretsuko w/Guitar 80390</t>
  </si>
  <si>
    <t>Fun80390</t>
  </si>
  <si>
    <t>0889698803908</t>
  </si>
  <si>
    <t>10 / 4,8 / 4</t>
  </si>
  <si>
    <t>Брелок Funko Pocket POP! Animation Black Clover Yuno 80298</t>
  </si>
  <si>
    <t>Fun80298</t>
  </si>
  <si>
    <t>0889698802987</t>
  </si>
  <si>
    <t>10 / 5 / 4</t>
  </si>
  <si>
    <t>Брелок Funko Pocket POP! Chainsaw Man Aki 83633</t>
  </si>
  <si>
    <t>Fun83633</t>
  </si>
  <si>
    <t>0889698836333</t>
  </si>
  <si>
    <t>10 / 5 / 4,5</t>
  </si>
  <si>
    <t>Брелок Funko Pocket POP! Chainsaw Man Denji 80325</t>
  </si>
  <si>
    <t>Fun80325</t>
  </si>
  <si>
    <t>0889698803250</t>
  </si>
  <si>
    <t>10,1 / 5 / 4</t>
  </si>
  <si>
    <t>Брелок Funko Pocket POP! Child's Play 2 Chucky 4868</t>
  </si>
  <si>
    <t>Fun507</t>
  </si>
  <si>
    <t>0849803048686</t>
  </si>
  <si>
    <t>10,5 / 6,5 / 4</t>
  </si>
  <si>
    <t>Брелок Funko Pocket POP! DC Patchwork Joker 80908</t>
  </si>
  <si>
    <t>Fun80908</t>
  </si>
  <si>
    <t>0889698809085</t>
  </si>
  <si>
    <t>Брелок Funko Pocket POP! DC Superman 2025 Superman 85647</t>
  </si>
  <si>
    <t>Fun85647</t>
  </si>
  <si>
    <t>0889698856478</t>
  </si>
  <si>
    <t>4,4 / 5 / 10</t>
  </si>
  <si>
    <t>Брелок Funko Pocket POP! Demon Slayer Kanao Tsuyuri 75576</t>
  </si>
  <si>
    <t>Fun75576</t>
  </si>
  <si>
    <t>0889698755764</t>
  </si>
  <si>
    <t>10 / 4,9 / 4</t>
  </si>
  <si>
    <t>Брелок Funko Pocket POP! Demon Slayer Makomo with Flower Headdress 72615</t>
  </si>
  <si>
    <t>Fun72615</t>
  </si>
  <si>
    <t>0889698726153</t>
  </si>
  <si>
    <t>Брелок Funko Pocket POP! Demon Slayer Muichiro Tokito (Attack) 85333</t>
  </si>
  <si>
    <t>Fun85333</t>
  </si>
  <si>
    <t>0889698853330</t>
  </si>
  <si>
    <t>10,3 / 5 / 4,4</t>
  </si>
  <si>
    <t>Брелок Funko Pocket POP! Demon Slayer Nezuko Kamado (Demon Form) 80336</t>
  </si>
  <si>
    <t>Fun80336</t>
  </si>
  <si>
    <t>0889698803366</t>
  </si>
  <si>
    <t>10,1 / 5 / 4,2</t>
  </si>
  <si>
    <t>Брелок Funko Pocket POP! Demon Slayer Tanjiro Kamado (Sun Breathing) 85334</t>
  </si>
  <si>
    <t>Fun85334</t>
  </si>
  <si>
    <t>0889698853347</t>
  </si>
  <si>
    <t>Брелок Funko Pocket POP! Diablo 4 Treasure Goblin 82374</t>
  </si>
  <si>
    <t>Fun82374</t>
  </si>
  <si>
    <t>0889698823746</t>
  </si>
  <si>
    <t>10,1 / 4,9 / 4,2</t>
  </si>
  <si>
    <t>Брелок Funko Pocket POP! Disney Lilo &amp; Stitch Stitch as Pineapple 87209</t>
  </si>
  <si>
    <t>Fun87209</t>
  </si>
  <si>
    <t>0889698872096</t>
  </si>
  <si>
    <t>Брелок Funko Pocket POP! Disney Moana 2 Moana 83546</t>
  </si>
  <si>
    <t>Fun83546</t>
  </si>
  <si>
    <t>0889698835466</t>
  </si>
  <si>
    <t>10,2 / 4,8 / 4</t>
  </si>
  <si>
    <t>Брелок Funko Pocket POP! Disney TNBC Jack Skellington (BLKLT) 63966</t>
  </si>
  <si>
    <t>Fun63966</t>
  </si>
  <si>
    <t>0889698639668</t>
  </si>
  <si>
    <t>Брелок Funko Pocket POP! Disney TNBC Santa Jack w/Jackolantern 82822</t>
  </si>
  <si>
    <t>Fun82822</t>
  </si>
  <si>
    <t>0889698828222</t>
  </si>
  <si>
    <t>Брелок Funko Pocket POP! Dragon Ball Super Son Gohan (Beast) 75640</t>
  </si>
  <si>
    <t>Fun75640</t>
  </si>
  <si>
    <t>0889698756402</t>
  </si>
  <si>
    <t>Брелок Funko Pocket POP! Godzilla Vs Kong NE Kong with Mechanical Arm 75924</t>
  </si>
  <si>
    <t>Fun75924</t>
  </si>
  <si>
    <t>0889698759243</t>
  </si>
  <si>
    <t>4 / 4,9 / 10,1</t>
  </si>
  <si>
    <t>Брелок Funko Pocket POP! Harry Potter Harry Potter 7616</t>
  </si>
  <si>
    <t>Fun104</t>
  </si>
  <si>
    <t>0849803076160</t>
  </si>
  <si>
    <t>10,2 / 5,1 / 4,3</t>
  </si>
  <si>
    <t>Брелок Funko Pocket POP! Hunter Х Hunter Gon Freecss 80350</t>
  </si>
  <si>
    <t>Fun80350</t>
  </si>
  <si>
    <t>0889698803502</t>
  </si>
  <si>
    <t>Брелок Funko Pocket POP! IT S2 Pennywise (w/balloon) 31811</t>
  </si>
  <si>
    <t>Fun1388</t>
  </si>
  <si>
    <t>0889698318112</t>
  </si>
  <si>
    <t>10,2 / 5 / 4,3</t>
  </si>
  <si>
    <t>Брелок Funko Pocket POP! Marvel Agatha All Along Agatha Harkness 75707</t>
  </si>
  <si>
    <t>Fun75707</t>
  </si>
  <si>
    <t>0889698757072</t>
  </si>
  <si>
    <t>Брелок Funko Pocket POP! Marvel New Classics Iron Man 82494</t>
  </si>
  <si>
    <t>Fun82494</t>
  </si>
  <si>
    <t>0889698824941</t>
  </si>
  <si>
    <t>Брелок Funko Pocket POP! Marvel New Classics Spider-Man 82495</t>
  </si>
  <si>
    <t>Fun82495</t>
  </si>
  <si>
    <t>0889698824958</t>
  </si>
  <si>
    <t>10,2 / 5 / 4,2</t>
  </si>
  <si>
    <t>Брелок Funko Pocket POP! Naruto Shippuden Naruto 10663</t>
  </si>
  <si>
    <t>Fun1260</t>
  </si>
  <si>
    <t>0889698106634</t>
  </si>
  <si>
    <t>Брелок Funko Pocket POP! One Piece Luffytaro in Kimono 61370</t>
  </si>
  <si>
    <t>Fun61370</t>
  </si>
  <si>
    <t>0889698613705</t>
  </si>
  <si>
    <t>4,4 / 5 / 10,4</t>
  </si>
  <si>
    <t>Брелок Funko Pocket POP! One Piece Yamato 75583</t>
  </si>
  <si>
    <t>Fun75583</t>
  </si>
  <si>
    <t>0889698755832</t>
  </si>
  <si>
    <t>Брелок Funko Pocket POP! Shrek DW 30th Donkey (Exc) 82223</t>
  </si>
  <si>
    <t>Fun82223</t>
  </si>
  <si>
    <t>0889698822237</t>
  </si>
  <si>
    <t>Брелок Funko Pocket POP! Star Wars Ahsoka S2 Grand Amiral Thrawn 77021</t>
  </si>
  <si>
    <t>Fun77021</t>
  </si>
  <si>
    <t>0889698770217</t>
  </si>
  <si>
    <t>Брелок Funko Pocket POP! Star Wars Darth Vader 53049</t>
  </si>
  <si>
    <t>Fun2040122</t>
  </si>
  <si>
    <t>0889698530491</t>
  </si>
  <si>
    <t>Брелок Funko Pocket POP! Texas Chainsaw Massacre Leatherface (Exc) 82855</t>
  </si>
  <si>
    <t>Fun82855</t>
  </si>
  <si>
    <t>0889698828550</t>
  </si>
  <si>
    <t>10,2 / 5 / 4</t>
  </si>
  <si>
    <t>Брелок Funko Pocket POP! The Nun II The Nun 83446</t>
  </si>
  <si>
    <t>Fun83446</t>
  </si>
  <si>
    <t>0889698834469</t>
  </si>
  <si>
    <t>10 / 5 / 4,2</t>
  </si>
  <si>
    <t>Брелок Funko Pocket POP! Wednesday Wednesday Addams 81863</t>
  </si>
  <si>
    <t>Fun81863</t>
  </si>
  <si>
    <t>0889698818636</t>
  </si>
  <si>
    <t>Брелок Funko Pocket POP! Wicked Elphaba 79745</t>
  </si>
  <si>
    <t>Fun79745</t>
  </si>
  <si>
    <t>0889698797450</t>
  </si>
  <si>
    <t>4 / 4,6 / 10</t>
  </si>
  <si>
    <t>Брелок Funko Pocket POP! Wicked Glinda 79746</t>
  </si>
  <si>
    <t>Fun79746</t>
  </si>
  <si>
    <t>0889698797467</t>
  </si>
  <si>
    <t>Funko Loungefly</t>
  </si>
  <si>
    <t>WDPN3244</t>
  </si>
  <si>
    <t>Значок в ассортименте Loungefly Blind Box Pin Disney Stitch Funny Faces WDPN3244</t>
  </si>
  <si>
    <t>Fun47597</t>
  </si>
  <si>
    <t>0671803475977</t>
  </si>
  <si>
    <t>2,2 / 4,5 / 8,7</t>
  </si>
  <si>
    <t>MVPN0165</t>
  </si>
  <si>
    <t>Значок в ассортименте Loungefly Blind Box Pin Marvel Infinity Saga Stain Glass MVPN0165</t>
  </si>
  <si>
    <t>Fun43077</t>
  </si>
  <si>
    <t>0671803430778</t>
  </si>
  <si>
    <t>9 / 4,5 / 2,5</t>
  </si>
  <si>
    <t>Loungefly</t>
  </si>
  <si>
    <t>WDWA1785</t>
  </si>
  <si>
    <t>Кошелек Loungefly Disney Seasonal Snowman Minnie Mickey AOP Zip Around Wallet WDWA1785</t>
  </si>
  <si>
    <t>Fun2164332</t>
  </si>
  <si>
    <t>0671803382749</t>
  </si>
  <si>
    <t>16,5 / 9,7 / 2,1</t>
  </si>
  <si>
    <t>Funko Mystery Minis</t>
  </si>
  <si>
    <t>Фигурка Funko Minis Bobble Marvel Fantastic Four FF 1 штука в ассортименте (из 4) (Exc) 87218</t>
  </si>
  <si>
    <t>Fun87218</t>
  </si>
  <si>
    <t>0889698872188</t>
  </si>
  <si>
    <t>10 / 7,5 / 5</t>
  </si>
  <si>
    <t>Фигурка Funko Mystery Minis Bobble Marvel New Classics 1 штука в ассортименте (из12) 82501</t>
  </si>
  <si>
    <t>Fun82501</t>
  </si>
  <si>
    <t>0889698825016</t>
  </si>
  <si>
    <t>10,5 / 7,5 / 5,5</t>
  </si>
  <si>
    <t>Фигурка Funko Mystery Minis Demon Slayer 1 штука в ассортименте (из 12) 62094</t>
  </si>
  <si>
    <t>Fun62094</t>
  </si>
  <si>
    <t>0889698620949</t>
  </si>
  <si>
    <t>8,9 / 7,9 / 6,5</t>
  </si>
  <si>
    <t>Фигурка Funko Mystery Minis Disney Lilo &amp; Stitch 1 штука в ассортименте (из 12) 55816</t>
  </si>
  <si>
    <t>Fun55816</t>
  </si>
  <si>
    <t>0889698558167</t>
  </si>
  <si>
    <t>6,5 / 7,6 / 9,1</t>
  </si>
  <si>
    <t>Фигурка Funko Mystery Minis Disney Lilo &amp; Stitch Stitch in Costume 1 штука в ассортим (из 12) 76081</t>
  </si>
  <si>
    <t>Fun76081</t>
  </si>
  <si>
    <t>0889698760812</t>
  </si>
  <si>
    <t>5,5 / 7,8 / 10,2</t>
  </si>
  <si>
    <t>Фигурка Funko Mystery Minis Disney Mickey &amp; Friends 1 штука в ассортименте (из 12) 59617</t>
  </si>
  <si>
    <t>Fun189437</t>
  </si>
  <si>
    <t>0889698596176</t>
  </si>
  <si>
    <t>9 / 7,5 / 6,5</t>
  </si>
  <si>
    <t>Фигурка Funko Mystery Minis Disney TNBC 1 штука в ассортименте (из 12) 73079</t>
  </si>
  <si>
    <t>Fun73079</t>
  </si>
  <si>
    <t>0889698730792</t>
  </si>
  <si>
    <t>Фигурка Funko Mystery Minis Disney Ultimate Princess 1 штука в ассортименте (из 12) 54740</t>
  </si>
  <si>
    <t>Fun54740</t>
  </si>
  <si>
    <t>0889698547406</t>
  </si>
  <si>
    <t>Фигурка Funko Mystery Minis Disney Villains 1 штука в ассортименте (из 12) 57347</t>
  </si>
  <si>
    <t>Fun189438</t>
  </si>
  <si>
    <t>0889698573474</t>
  </si>
  <si>
    <t>Villains</t>
  </si>
  <si>
    <t>9,5 / 6,5 / 6,5</t>
  </si>
  <si>
    <t>Фигурка Funko Mystery Minis FNAF S2 1 штука в ассортименте (из12) 67871</t>
  </si>
  <si>
    <t>Fun67871</t>
  </si>
  <si>
    <t>0889698678711</t>
  </si>
  <si>
    <t>Фигурка Funko Mystery Minis FNAF S7 Events 1 штука в ассортименте (из 12) 59687</t>
  </si>
  <si>
    <t>Fun189432</t>
  </si>
  <si>
    <t>0889698596879</t>
  </si>
  <si>
    <t>6,7 / 7,8 / 9,3</t>
  </si>
  <si>
    <t>Фигурка Funko Mystery Minis Godzilla 70th 1 штука в ассортименте (из12) 80883</t>
  </si>
  <si>
    <t>Fun80883</t>
  </si>
  <si>
    <t>0889698808835</t>
  </si>
  <si>
    <t>10 / 8,5 / 6,7</t>
  </si>
  <si>
    <t>Фигурка Funko Mystery Minis Jujutsu Kaisen 1 штука в ассортименте (из12) 80286</t>
  </si>
  <si>
    <t>Fun80286</t>
  </si>
  <si>
    <t>0889698802864</t>
  </si>
  <si>
    <t>5,5 / 7,7 / 10,3</t>
  </si>
  <si>
    <t>Фигурка Funko Mystery Minis Marvel I Am Groot 1 штука в ассортименте (из 12) 70656</t>
  </si>
  <si>
    <t>Fun70656</t>
  </si>
  <si>
    <t>0889698706568</t>
  </si>
  <si>
    <t>Фигурка Funko Mystery Minis Mattel 80th Retro Toys 1 штука в ассортименте (из12) 83978</t>
  </si>
  <si>
    <t>Fun83978</t>
  </si>
  <si>
    <t>0889698839785</t>
  </si>
  <si>
    <t>Фигурка Funko Mystery Minis Naruto 1 штука в ассортименте (из 12) 80257</t>
  </si>
  <si>
    <t>Fun80257</t>
  </si>
  <si>
    <t>0889698802574</t>
  </si>
  <si>
    <t>10,4 / 7,7 / 5,5</t>
  </si>
  <si>
    <t>Фигурка Funko Mystery Minis NBCU Horror 1 штука в ассортименте (из 12) 87800</t>
  </si>
  <si>
    <t>Fun87800</t>
  </si>
  <si>
    <t>0889698878005</t>
  </si>
  <si>
    <t>10,2 / 7,7 / 5,2</t>
  </si>
  <si>
    <t>Funko Plush</t>
  </si>
  <si>
    <t>Фигурка плюшевая Funko Plush FNAF Security Glamrock Freddy 7" 59561</t>
  </si>
  <si>
    <t>Fun254840</t>
  </si>
  <si>
    <t>0889698595612</t>
  </si>
  <si>
    <t>10,2 / 18 / 10,5</t>
  </si>
  <si>
    <t>Фигурка плюшевая Funko Plush FNAF TieDye Chica 7" 64221</t>
  </si>
  <si>
    <t>Fun64221</t>
  </si>
  <si>
    <t>0889698642217</t>
  </si>
  <si>
    <t>26 / 13 / 12</t>
  </si>
  <si>
    <t>Фигурка плюшевая Funko Plush FNAF TieDye Fun Time Foxy 7" 64224</t>
  </si>
  <si>
    <t>Fun64224</t>
  </si>
  <si>
    <t>0889698642248</t>
  </si>
  <si>
    <t>10 / 14 / 20</t>
  </si>
  <si>
    <t>Фигурка плюшевая Funko Plush How to Train Your Dragon Light Fury 7" 81182</t>
  </si>
  <si>
    <t>Fun81182</t>
  </si>
  <si>
    <t>0889698811828</t>
  </si>
  <si>
    <t>26,5 / 21 / 13,5</t>
  </si>
  <si>
    <t>miHoYo</t>
  </si>
  <si>
    <t>Акриловая подставка Character Themed Acrylic Phone Stand Vago Mundo Zhongli 6974096534173</t>
  </si>
  <si>
    <t>GEN16</t>
  </si>
  <si>
    <t>6974096534173</t>
  </si>
  <si>
    <t>0,5 / 16,1 / 20,3</t>
  </si>
  <si>
    <t>Акриловая фигурка  Inazuma Kamisato Ayato 6975213680124</t>
  </si>
  <si>
    <t>GEN461</t>
  </si>
  <si>
    <t>6975213680124</t>
  </si>
  <si>
    <t>20,2 / 16,5 / 0,3</t>
  </si>
  <si>
    <t>Акриловая фигурка  Inazuma Kuki Shinobu 6975213689608</t>
  </si>
  <si>
    <t>GEN462</t>
  </si>
  <si>
    <t>6975213689608</t>
  </si>
  <si>
    <t>19 / 14,5 / 0,5</t>
  </si>
  <si>
    <t>Акриловая фигурка  Liyue Yaoyao 6976068141341</t>
  </si>
  <si>
    <t>GEN460</t>
  </si>
  <si>
    <t>6976068141341</t>
  </si>
  <si>
    <t>Акриловая фигурка  Mondstadt Albedo 6974096530069</t>
  </si>
  <si>
    <t>GEN458</t>
  </si>
  <si>
    <t>6974096530069</t>
  </si>
  <si>
    <t>Акриловая фигурка  Sumeru Candace 6975628249183</t>
  </si>
  <si>
    <t>GEN468</t>
  </si>
  <si>
    <t>6975628249183</t>
  </si>
  <si>
    <t>19,5 / 17 / 0,5</t>
  </si>
  <si>
    <t>Акриловая фигурка  Sumeru Cyno 6975628249152</t>
  </si>
  <si>
    <t>GEN465</t>
  </si>
  <si>
    <t>6975628249152</t>
  </si>
  <si>
    <t>Акриловая фигурка  Sumeru Dehya 6976068141334</t>
  </si>
  <si>
    <t>GEN473</t>
  </si>
  <si>
    <t>6976068141334</t>
  </si>
  <si>
    <t>Акриловая фигурка  Sumeru Dori 6975628249176</t>
  </si>
  <si>
    <t>GEN467</t>
  </si>
  <si>
    <t>6975628249176</t>
  </si>
  <si>
    <t>Акриловая фигурка  Sumeru Faruzan 6975628249220</t>
  </si>
  <si>
    <t>GEN472</t>
  </si>
  <si>
    <t>6975628249220</t>
  </si>
  <si>
    <t>Акриловая фигурка  Sumeru Layla 6975628249206</t>
  </si>
  <si>
    <t>GEN470</t>
  </si>
  <si>
    <t>6975628249206</t>
  </si>
  <si>
    <t>Акриловая фигурка  Sumeru Nilou 6975628249145</t>
  </si>
  <si>
    <t>GEN464</t>
  </si>
  <si>
    <t>6975628249145</t>
  </si>
  <si>
    <t>Акриловая фигурка  Sumeru The Wanderer 6975628249213</t>
  </si>
  <si>
    <t>GEN471</t>
  </si>
  <si>
    <t>6975628249213</t>
  </si>
  <si>
    <t>Акриловая фигурка  Sumeru Tighnari 6975628249138</t>
  </si>
  <si>
    <t>GEN463</t>
  </si>
  <si>
    <t>6975628249138</t>
  </si>
  <si>
    <t>Акриловая фигурка 2023 Fontaine Art Exhibit Lynette 6976068149712</t>
  </si>
  <si>
    <t>GEN969</t>
  </si>
  <si>
    <t>6976068149712</t>
  </si>
  <si>
    <t>22,8 / 20 / 1</t>
  </si>
  <si>
    <t>Акриловая фигурка Character Standee Fontaine Lynette 6976525004103</t>
  </si>
  <si>
    <t>GEN941</t>
  </si>
  <si>
    <t>6976525004103</t>
  </si>
  <si>
    <t>20 / 14,5 / 0,3</t>
  </si>
  <si>
    <t>Акриловая фигурка Character Standee Paimon 6972957482854</t>
  </si>
  <si>
    <t>GEN33</t>
  </si>
  <si>
    <t>6972957482854</t>
  </si>
  <si>
    <t>Акриловая фигурка Character Standee Traveler Aether 6972957482861</t>
  </si>
  <si>
    <t>GEN2</t>
  </si>
  <si>
    <t>6972957482861</t>
  </si>
  <si>
    <t>Акриловая фигурка Fatui Character Standee Tartaglia 6972957488115</t>
  </si>
  <si>
    <t>GEN67</t>
  </si>
  <si>
    <t>6972957488115</t>
  </si>
  <si>
    <t>24 / 11,5 / 0,3</t>
  </si>
  <si>
    <t>Акриловая фигурка Genshin Concert Melodies of an Endless Journey Barbara 6974096538591</t>
  </si>
  <si>
    <t>GEN315</t>
  </si>
  <si>
    <t>6974096538591</t>
  </si>
  <si>
    <t>0,5 / 12 / 20,5</t>
  </si>
  <si>
    <t>Акриловая фигурка Genshin Concert Melodies of an Endless Journey Beidou 6974096538638</t>
  </si>
  <si>
    <t>GEN308</t>
  </si>
  <si>
    <t>6974096538638</t>
  </si>
  <si>
    <t>0,5 / 15,2 / 18</t>
  </si>
  <si>
    <t>Акриловая фигурка Genshin Concert Melodies of an Endless Journey Klee 6974096538607</t>
  </si>
  <si>
    <t>GEN311</t>
  </si>
  <si>
    <t>6974096538607</t>
  </si>
  <si>
    <t>Акриловая фигурка Genshin Concert Melodies of an Endless Journey Klee 6974096538782</t>
  </si>
  <si>
    <t>GEN329</t>
  </si>
  <si>
    <t>6974096538782</t>
  </si>
  <si>
    <t>11,5 / 8 / 0,3</t>
  </si>
  <si>
    <t>Акриловая фигурка Genshin Concert Melodies of an Endless Journey Ningguang 6974096538744</t>
  </si>
  <si>
    <t>GEN325</t>
  </si>
  <si>
    <t>6974096538744</t>
  </si>
  <si>
    <t>11 / 9 / 0,3</t>
  </si>
  <si>
    <t>Акриловая фигурка Genshin Concert Melodies of an Endless Journey Qiqi 6974096538614</t>
  </si>
  <si>
    <t>GEN310</t>
  </si>
  <si>
    <t>6974096538614</t>
  </si>
  <si>
    <t>Акриловая фигурка Genshin Concert Melodies of an Endless Journey Xiangling 6974096538584</t>
  </si>
  <si>
    <t>GEN312</t>
  </si>
  <si>
    <t>6974096538584</t>
  </si>
  <si>
    <t>Акриловая фигурка Genshin Impact A Parade of Providence Inazuma Ayaka 6976525000839</t>
  </si>
  <si>
    <t>GEN1137</t>
  </si>
  <si>
    <t>6976525000839</t>
  </si>
  <si>
    <t>18 / 13 / 0,5</t>
  </si>
  <si>
    <t>Акриловая фигурка Genshin Impact A Parade of Providence Inazuma Ayaka 6976525000853</t>
  </si>
  <si>
    <t>GEN1139</t>
  </si>
  <si>
    <t>6976525000853</t>
  </si>
  <si>
    <t>10 / 8,5 / 0,5</t>
  </si>
  <si>
    <t>Акриловая фигурка Genshin Impact A Parade of Providence Inazuma Yoimiya 6976525000846</t>
  </si>
  <si>
    <t>GEN1138</t>
  </si>
  <si>
    <t>6976525000846</t>
  </si>
  <si>
    <t>17,3 / 13 / 1</t>
  </si>
  <si>
    <t>Акриловая фигурка Genshin Impact A Parade of Providence Inazuma Yoimiya 6976525000860</t>
  </si>
  <si>
    <t>GEN1140</t>
  </si>
  <si>
    <t>6976525000860</t>
  </si>
  <si>
    <t>10 / 8 / 0,5</t>
  </si>
  <si>
    <t>Акриловая фигурка Genshin Impact Burning Nata Кинич Kinich 6942421138334</t>
  </si>
  <si>
    <t>GEN1349</t>
  </si>
  <si>
    <t>6942421138334</t>
  </si>
  <si>
    <t>15,5 / 13 / 1</t>
  </si>
  <si>
    <t>Акриловая фигурка Genshin Impact Endless Sonata Навия Navia 6942421134206</t>
  </si>
  <si>
    <t>GEN1290</t>
  </si>
  <si>
    <t>6942421134206</t>
  </si>
  <si>
    <t>16 / 10 / 0,5</t>
  </si>
  <si>
    <t>Акриловая фигурка Genshin Impact Fontaine Palace Fontaine Chevreuse 6942421104728</t>
  </si>
  <si>
    <t>GEN1107</t>
  </si>
  <si>
    <t>6942421104728</t>
  </si>
  <si>
    <t>0,8 / 14,1 / 17,8</t>
  </si>
  <si>
    <t>Акриловая фигурка Genshin Impact Fontainebleau Fontaine Furina Ousia 6942421104742</t>
  </si>
  <si>
    <t>GEN1061</t>
  </si>
  <si>
    <t>6942421104742</t>
  </si>
  <si>
    <t>0,5 / 14 / 17,5</t>
  </si>
  <si>
    <t>Акриловая фигурка Genshin Impact Fontainebleau Fontaine Furina Pneuma 6942421101529</t>
  </si>
  <si>
    <t>GEN1060</t>
  </si>
  <si>
    <t>6942421101529</t>
  </si>
  <si>
    <t>17,5 / 14 / 1</t>
  </si>
  <si>
    <t>Акриловая фигурка Genshin Impact Fontainebleau Fontaine Navia 6942421104711</t>
  </si>
  <si>
    <t>GEN1106</t>
  </si>
  <si>
    <t>6942421104711</t>
  </si>
  <si>
    <t>20 / 14,5 / 1,2</t>
  </si>
  <si>
    <t>Акриловая фигурка Genshin Impact Gaming 6942421110040</t>
  </si>
  <si>
    <t>GEN1105</t>
  </si>
  <si>
    <t>6942421110040</t>
  </si>
  <si>
    <t>17,5 / 14,5 / 1</t>
  </si>
  <si>
    <t>Акриловая фигурка Genshin Impact Girls Moon Harbor Baizhu 6976068142096</t>
  </si>
  <si>
    <t>GEN1103</t>
  </si>
  <si>
    <t>6976068142096</t>
  </si>
  <si>
    <t>Акриловая фигурка Genshin Impact Happy Heart Ganyu 6942421102618</t>
  </si>
  <si>
    <t>GEN1109</t>
  </si>
  <si>
    <t>6942421102618</t>
  </si>
  <si>
    <t>0,8 / 16 / 16</t>
  </si>
  <si>
    <t>Акриловая фигурка Genshin Impact Happy Heart Shenhe 6942421102601</t>
  </si>
  <si>
    <t>GEN1108</t>
  </si>
  <si>
    <t>6942421102601</t>
  </si>
  <si>
    <t>16 / 16 / 0,5</t>
  </si>
  <si>
    <t>Акриловая фигурка Genshin Impact Hunting Shadows Series Навия Navia 6942421139744</t>
  </si>
  <si>
    <t>GEN1285</t>
  </si>
  <si>
    <t>6942421139744</t>
  </si>
  <si>
    <t>14 / 10,5 / 0,5</t>
  </si>
  <si>
    <t>Акриловая фигурка Genshin Impact Hunting Shadows Фурина Furina 6942421139713</t>
  </si>
  <si>
    <t>GEN1284</t>
  </si>
  <si>
    <t>6942421139713</t>
  </si>
  <si>
    <t>Акриловая фигурка Genshin Impact Kaveh 6976068142065</t>
  </si>
  <si>
    <t>GEN1062</t>
  </si>
  <si>
    <t>6976068142065</t>
  </si>
  <si>
    <t>19 / 14 / 1</t>
  </si>
  <si>
    <t>Акриловая фигурка Genshin Impact Masquerade of the Guilty 6942421132820</t>
  </si>
  <si>
    <t>GEN1273</t>
  </si>
  <si>
    <t>6942421132820</t>
  </si>
  <si>
    <t>13 / 8,5 / 1</t>
  </si>
  <si>
    <t>Акриловая фигурка Genshin Impact Melodies of an Endless Journey Liyue Gan Yu 6942421104230</t>
  </si>
  <si>
    <t>GEN1056</t>
  </si>
  <si>
    <t>6942421104230</t>
  </si>
  <si>
    <t>0,8 / 7,6 / 9</t>
  </si>
  <si>
    <t>Акриловая фигурка Genshin Impact Melodies of an Endless Journey Liyue Xiao 6942421104193</t>
  </si>
  <si>
    <t>GEN1052</t>
  </si>
  <si>
    <t>6942421104193</t>
  </si>
  <si>
    <t>9 / 7,5 / 0,5</t>
  </si>
  <si>
    <t>Акриловая фигурка Genshin Impact Melodies of an Endless Journey Liyue Zhongli 6942421104209</t>
  </si>
  <si>
    <t>GEN1053</t>
  </si>
  <si>
    <t>6942421104209</t>
  </si>
  <si>
    <t>9 / 7,5 / 1</t>
  </si>
  <si>
    <t>Акриловая фигурка Genshin Impact Melodies of an Endless Journey Mondstadt Albedo 6942421104216</t>
  </si>
  <si>
    <t>GEN1054</t>
  </si>
  <si>
    <t>6942421104216</t>
  </si>
  <si>
    <t>Акриловая фигурка Genshin Impact Melodies of an Endless Journey Mondstadt Eula 6942421104247</t>
  </si>
  <si>
    <t>GEN1057</t>
  </si>
  <si>
    <t>6942421104247</t>
  </si>
  <si>
    <t>Акриловая фигурка Genshin Impact Melodies of an Endless Journey Tartaglia 6942421104223</t>
  </si>
  <si>
    <t>GEN1055</t>
  </si>
  <si>
    <t>6942421104223</t>
  </si>
  <si>
    <t>Акриловая фигурка Genshin Impact Pendant Starlight Letters Alhaitham 6942421111412</t>
  </si>
  <si>
    <t>GEN1049</t>
  </si>
  <si>
    <t>6942421111412</t>
  </si>
  <si>
    <t>14 / 8,5 / 1,5</t>
  </si>
  <si>
    <t>Акриловая фигурка Genshin Impact Prayer Арлекино Arlecchino 6942421136729</t>
  </si>
  <si>
    <t>GEN1367</t>
  </si>
  <si>
    <t>6942421136729</t>
  </si>
  <si>
    <t>0,5 / 26 / 21</t>
  </si>
  <si>
    <t>Акриловая фигурка Genshin Impact Prayer Нёвиллет Neuvillette 6942421136644</t>
  </si>
  <si>
    <t>GEN1364</t>
  </si>
  <si>
    <t>6942421136644</t>
  </si>
  <si>
    <t>21 / 25 / 0,5</t>
  </si>
  <si>
    <t>Акриловая фигурка Genshin Impact Prayer Ризли 6942421136637</t>
  </si>
  <si>
    <t>GEN1363</t>
  </si>
  <si>
    <t>6942421136637</t>
  </si>
  <si>
    <t>Акриловая фигурка Genshin Impact Prayer Сянь Юнь Xianyun 6942421136699</t>
  </si>
  <si>
    <t>GEN1366</t>
  </si>
  <si>
    <t>6942421136699</t>
  </si>
  <si>
    <t>0,8 / 26 / 21</t>
  </si>
  <si>
    <t>Акриловая фигурка Genshin Impact Prayer Фурина Furina 6942421136651</t>
  </si>
  <si>
    <t>GEN1365</t>
  </si>
  <si>
    <t>6942421136651</t>
  </si>
  <si>
    <t>Акриловая фигурка Genshin Impact Rich Fantasy Навия Navia 6942421141181</t>
  </si>
  <si>
    <t>GEN1325</t>
  </si>
  <si>
    <t>6942421141181</t>
  </si>
  <si>
    <t>15 / 12,5 / 1</t>
  </si>
  <si>
    <t>Акриловая фигурка Genshin Impact Rich Fantasy Сиджвин 6942421141198</t>
  </si>
  <si>
    <t>GEN1326</t>
  </si>
  <si>
    <t>6942421141198</t>
  </si>
  <si>
    <t>0,8 / 12,5 / 15</t>
  </si>
  <si>
    <t>Акриловая фигурка Genshin Impact Rich Fantasy Фурина Furina 6942421141174</t>
  </si>
  <si>
    <t>GEN1324</t>
  </si>
  <si>
    <t>6942421141174</t>
  </si>
  <si>
    <t>0,5 / 13,5 / 15</t>
  </si>
  <si>
    <t>Акриловая фигурка Genshin Impact Starlight Letters Freminet 6942421111450</t>
  </si>
  <si>
    <t>GEN1051</t>
  </si>
  <si>
    <t>6942421111450</t>
  </si>
  <si>
    <t>1 / 8,2 / 14</t>
  </si>
  <si>
    <t>Акриловая фигурка Genshin Impact Starlight Letters Lyney 6942421111436</t>
  </si>
  <si>
    <t>GEN1050</t>
  </si>
  <si>
    <t>6942421111436</t>
  </si>
  <si>
    <t>1,5 / 8,4 / 13,7</t>
  </si>
  <si>
    <t>Акриловая фигурка Genshin Impact Starlight Letters Neuvillette 6942421111382</t>
  </si>
  <si>
    <t>GEN1046</t>
  </si>
  <si>
    <t>6942421111382</t>
  </si>
  <si>
    <t>14 / 8,3 / 1,7</t>
  </si>
  <si>
    <t>Акриловая фигурка Genshin Impact Starlight Letters Wanderer 6942421111405</t>
  </si>
  <si>
    <t>GEN1048</t>
  </si>
  <si>
    <t>6942421111405</t>
  </si>
  <si>
    <t>1,5 / 8,4 / 13,8</t>
  </si>
  <si>
    <t>Акриловая фигурка Genshin Impact Starlight Letters Ризли 6942421111399</t>
  </si>
  <si>
    <t>GEN1047</t>
  </si>
  <si>
    <t>6942421111399</t>
  </si>
  <si>
    <t>14 / 8,5 / 1,7</t>
  </si>
  <si>
    <t>Акриловая фигурка Genshin Impact Sumeru Alhaitham 6976068141327</t>
  </si>
  <si>
    <t>GEN1063</t>
  </si>
  <si>
    <t>6976068141327</t>
  </si>
  <si>
    <t>19 / 15 / 0,5</t>
  </si>
  <si>
    <t>Акриловая фигурка Genshin Impact Xianyun 6942421110033</t>
  </si>
  <si>
    <t>GEN1104</t>
  </si>
  <si>
    <t>6942421110033</t>
  </si>
  <si>
    <t>18,1 / 14,1 / 0,5</t>
  </si>
  <si>
    <t>Акриловая фигурка Genshin Impact Zhongli 6942421123460</t>
  </si>
  <si>
    <t>GEN1416</t>
  </si>
  <si>
    <t>6942421123460</t>
  </si>
  <si>
    <t>1,5 / 6,5 / 11,5</t>
  </si>
  <si>
    <t>Акриловая фигурка Genshin Impact Венти Venti 6942421123453</t>
  </si>
  <si>
    <t>GEN1415</t>
  </si>
  <si>
    <t>6942421123453</t>
  </si>
  <si>
    <t>1,8 / 6,5 / 11,5</t>
  </si>
  <si>
    <t>Акриловая фигурка Genshin Impact Кадзуха Kaedehara Kazuha 6942421123491</t>
  </si>
  <si>
    <t>GEN1418</t>
  </si>
  <si>
    <t>6942421123491</t>
  </si>
  <si>
    <t>Акриловая фигурка Genshin Impact Кадзуха Kazuha 6974096538096</t>
  </si>
  <si>
    <t>GEN68</t>
  </si>
  <si>
    <t>6974096538096</t>
  </si>
  <si>
    <t>Акриловая фигурка Genshin Impact Кинич Kinich Natlan Themed 6942421153771</t>
  </si>
  <si>
    <t>GEN1382</t>
  </si>
  <si>
    <t>6942421153771</t>
  </si>
  <si>
    <t>Акриловая фигурка Genshin Impact Лини Lyney 6942421123569</t>
  </si>
  <si>
    <t>GEN1420</t>
  </si>
  <si>
    <t>6942421123569</t>
  </si>
  <si>
    <t>12 / 6,5 / 2</t>
  </si>
  <si>
    <t>Акриловая фигурка Genshin Impact Муалани Mualani Natlan Themed 6942421153757</t>
  </si>
  <si>
    <t>GEN1381</t>
  </si>
  <si>
    <t>6942421153757</t>
  </si>
  <si>
    <t>21 / 16,5 / 1</t>
  </si>
  <si>
    <t>Акриловая фигурка Genshin Impact Невиллет Neuvillette 6942421123576</t>
  </si>
  <si>
    <t>GEN1421</t>
  </si>
  <si>
    <t>6942421123576</t>
  </si>
  <si>
    <t>Акриловая фигурка Genshin Impact Нёвиллет Neuvillette 6976525005476</t>
  </si>
  <si>
    <t>GEN938</t>
  </si>
  <si>
    <t>6976525005476</t>
  </si>
  <si>
    <t>19,5 / 14,1 / 0,5</t>
  </si>
  <si>
    <t>Акриловая фигурка Genshin Impact Нёвиллет Neuvillette 6976525006244</t>
  </si>
  <si>
    <t>GEN989</t>
  </si>
  <si>
    <t>6976525006244</t>
  </si>
  <si>
    <t>8,5 / 7,5 / 3,7</t>
  </si>
  <si>
    <t>Акриловая фигурка Genshin Impact Райдэн Raiden Raiden Shougun 6974696611809</t>
  </si>
  <si>
    <t>GEN72</t>
  </si>
  <si>
    <t>6974696611809</t>
  </si>
  <si>
    <t>22,1 / 16 / 0,5</t>
  </si>
  <si>
    <t>Акриловая фигурка Genshin Impact Райдэн Raiden Shogun 6942421123521</t>
  </si>
  <si>
    <t>GEN1419</t>
  </si>
  <si>
    <t>6942421123521</t>
  </si>
  <si>
    <t>Акриловая фигурка Genshin Impact Ризли Wriothesley 6942421123583</t>
  </si>
  <si>
    <t>GEN1422</t>
  </si>
  <si>
    <t>6942421123583</t>
  </si>
  <si>
    <t>Акриловая фигурка Genshin Impact Ризли Wriothesley 6976525005483</t>
  </si>
  <si>
    <t>GEN939</t>
  </si>
  <si>
    <t>6976525005483</t>
  </si>
  <si>
    <t>Акриловая фигурка Genshin Impact Сяо Xiao Жонгли Zhongli Fifth Day of Lunar New Year 6942421106487</t>
  </si>
  <si>
    <t>GEN1205</t>
  </si>
  <si>
    <t>6942421106487</t>
  </si>
  <si>
    <t>14 / 12 / 1</t>
  </si>
  <si>
    <t>Акриловая фигурка Genshin Impact Фурина Furina 6942421102540</t>
  </si>
  <si>
    <t>GEN1204</t>
  </si>
  <si>
    <t>6942421102540</t>
  </si>
  <si>
    <t>Акриловая фигурка Genshin Impact Фурина Furina 6942421123590</t>
  </si>
  <si>
    <t>GEN1423</t>
  </si>
  <si>
    <t>6942421123590</t>
  </si>
  <si>
    <t>Акриловая фигурка Genshin Impact Фурина Furina Starlight Letters 6942421111375</t>
  </si>
  <si>
    <t>GEN1200</t>
  </si>
  <si>
    <t>6942421111375</t>
  </si>
  <si>
    <t>Акриловая фигурка Genshin Impact Ху Тао Hu Tao 6942421123477</t>
  </si>
  <si>
    <t>GEN1417</t>
  </si>
  <si>
    <t>6942421123477</t>
  </si>
  <si>
    <t>12 / 6,7 / 1,7</t>
  </si>
  <si>
    <t>Акриловая фигурка Genshin Impact Шилонен Xilonen Natlan Themed 6942421154990</t>
  </si>
  <si>
    <t>GEN1384</t>
  </si>
  <si>
    <t>6942421154990</t>
  </si>
  <si>
    <t>Акриловая фигурка Inazuma Character Standee Gorou 6974696616019</t>
  </si>
  <si>
    <t>GEN76</t>
  </si>
  <si>
    <t>6974696616019</t>
  </si>
  <si>
    <t>Акриловая фигурка Inazuma Character Standee Kamisato Ayaka 6974696610840</t>
  </si>
  <si>
    <t>GEN69</t>
  </si>
  <si>
    <t>6974696610840</t>
  </si>
  <si>
    <t>Акриловая фигурка Inazuma Character Standee Kujou Sara 6974696611823</t>
  </si>
  <si>
    <t>GEN73</t>
  </si>
  <si>
    <t>6974696611823</t>
  </si>
  <si>
    <t>Акриловая фигурка Inazuma Character Standee Sayu 6974696610857</t>
  </si>
  <si>
    <t>GEN71</t>
  </si>
  <si>
    <t>6974696610857</t>
  </si>
  <si>
    <t>0,5 / 15 / 17,8</t>
  </si>
  <si>
    <t>Акриловая фигурка Inazuma Character Standee Shikanoin Heizou 6975213689622</t>
  </si>
  <si>
    <t>GEN79</t>
  </si>
  <si>
    <t>6975213689622</t>
  </si>
  <si>
    <t>Акриловая фигурка Inazuma Character Standee Thoma 6974696616026</t>
  </si>
  <si>
    <t>GEN75</t>
  </si>
  <si>
    <t>6974696616026</t>
  </si>
  <si>
    <t>Акриловая фигурка Inazuma Character Standee Yae Miko 6974696618495</t>
  </si>
  <si>
    <t>GEN78</t>
  </si>
  <si>
    <t>6974696618495</t>
  </si>
  <si>
    <t>Акриловая фигурка Inazuma Character Standee Yoimiya 6974696610864</t>
  </si>
  <si>
    <t>GEN70</t>
  </si>
  <si>
    <t>6974696610864</t>
  </si>
  <si>
    <t>Акриловая фигурка Joyful Summer! Evil Dragon? Fairy Tale Kingdom! Navia 6942421148630</t>
  </si>
  <si>
    <t>GEN1428</t>
  </si>
  <si>
    <t>6942421148630</t>
  </si>
  <si>
    <t>16,5 / 12,6 / 1</t>
  </si>
  <si>
    <t>Акриловая фигурка Liyue Character Standee Beidou 6972957483011</t>
  </si>
  <si>
    <t>GEN53</t>
  </si>
  <si>
    <t>6972957483011</t>
  </si>
  <si>
    <t>Акриловая фигурка Liyue Character Standee Chongyun 6972957483059</t>
  </si>
  <si>
    <t>GEN57</t>
  </si>
  <si>
    <t>6972957483059</t>
  </si>
  <si>
    <t>Акриловая фигурка Liyue Character Standee Hutao 6974096531011</t>
  </si>
  <si>
    <t>GEN62</t>
  </si>
  <si>
    <t>6974096531011</t>
  </si>
  <si>
    <t>Акриловая фигурка Liyue Character Standee Keqing 6972957487088</t>
  </si>
  <si>
    <t>GEN58</t>
  </si>
  <si>
    <t>6972957487088</t>
  </si>
  <si>
    <t>Акриловая фигурка Liyue Character Standee Ningguang 6972957483028</t>
  </si>
  <si>
    <t>GEN54</t>
  </si>
  <si>
    <t>6972957483028</t>
  </si>
  <si>
    <t>Акриловая фигурка Liyue Character Standee Qiqi 6972957487095</t>
  </si>
  <si>
    <t>GEN59</t>
  </si>
  <si>
    <t>6972957487095</t>
  </si>
  <si>
    <t>Акриловая фигурка Liyue Character Standee Shenhe 6974696617337</t>
  </si>
  <si>
    <t>GEN64</t>
  </si>
  <si>
    <t>6974696617337</t>
  </si>
  <si>
    <t>Акриловая фигурка Liyue Character Standee Xiangling 6972957483035</t>
  </si>
  <si>
    <t>GEN55</t>
  </si>
  <si>
    <t>6972957483035</t>
  </si>
  <si>
    <t>Акриловая фигурка Liyue Character Standee Xiao 6972957483004</t>
  </si>
  <si>
    <t>GEN52</t>
  </si>
  <si>
    <t>6972957483004</t>
  </si>
  <si>
    <t>Акриловая фигурка Liyue Character Standee Xingqiu 6972957483042</t>
  </si>
  <si>
    <t>GEN56</t>
  </si>
  <si>
    <t>6972957483042</t>
  </si>
  <si>
    <t>Акриловая фигурка Liyue Character Standee Xinyan 6972957488108</t>
  </si>
  <si>
    <t>GEN61</t>
  </si>
  <si>
    <t>6972957488108</t>
  </si>
  <si>
    <t>Акриловая фигурка Liyue Character Standee Yanfei 6974096534227</t>
  </si>
  <si>
    <t>GEN63</t>
  </si>
  <si>
    <t>6974096534227</t>
  </si>
  <si>
    <t>Акриловая фигурка Liyue Character Standee Yelan 6975213689646</t>
  </si>
  <si>
    <t>GEN66</t>
  </si>
  <si>
    <t>6975213689646</t>
  </si>
  <si>
    <t>Акриловая фигурка Liyue Character Standee Yun Jin Юнь Цзинь 6974696617344</t>
  </si>
  <si>
    <t>GEN65</t>
  </si>
  <si>
    <t>6974696617344</t>
  </si>
  <si>
    <t>Акриловая фигурка Liyue Character Standee Zhongli 6972957488092</t>
  </si>
  <si>
    <t>GEN60</t>
  </si>
  <si>
    <t>6972957488092</t>
  </si>
  <si>
    <t>Акриловая фигурка Monstadt Characters Standee Amber 6975628240555</t>
  </si>
  <si>
    <t>GEN36</t>
  </si>
  <si>
    <t>6975628240555</t>
  </si>
  <si>
    <t>Акриловая фигурка Monstadt Characters Standee Barbara 6972957482922</t>
  </si>
  <si>
    <t>GEN39</t>
  </si>
  <si>
    <t>6972957482922</t>
  </si>
  <si>
    <t>Акриловая фигурка Monstadt Characters Standee Bennett 6972957482977</t>
  </si>
  <si>
    <t>GEN44</t>
  </si>
  <si>
    <t>6972957482977</t>
  </si>
  <si>
    <t>Акриловая фигурка Monstadt Characters Standee Diluc 6972957482939</t>
  </si>
  <si>
    <t>GEN40</t>
  </si>
  <si>
    <t>6972957482939</t>
  </si>
  <si>
    <t>Акриловая фигурка Monstadt Characters Standee Diona 6972957488085</t>
  </si>
  <si>
    <t>GEN49</t>
  </si>
  <si>
    <t>6972957488085</t>
  </si>
  <si>
    <t>Акриловая фигурка Monstadt Characters Standee Eula 6974096534210</t>
  </si>
  <si>
    <t>GEN51</t>
  </si>
  <si>
    <t>6974096534210</t>
  </si>
  <si>
    <t>0,5 / 14,9 / 20,8</t>
  </si>
  <si>
    <t>Акриловая фигурка Monstadt Characters Standee Fischl 6972957482991</t>
  </si>
  <si>
    <t>GEN46</t>
  </si>
  <si>
    <t>6972957482991</t>
  </si>
  <si>
    <t>Акриловая фигурка Monstadt Characters Standee Jean 6975628240548</t>
  </si>
  <si>
    <t>GEN35</t>
  </si>
  <si>
    <t>6975628240548</t>
  </si>
  <si>
    <t>Акриловая фигурка Monstadt Characters Standee Kaeya 6972957482915</t>
  </si>
  <si>
    <t>GEN38</t>
  </si>
  <si>
    <t>6972957482915</t>
  </si>
  <si>
    <t>Акриловая фигурка Monstadt Characters Standee Klee 6972957482960</t>
  </si>
  <si>
    <t>GEN43</t>
  </si>
  <si>
    <t>6972957482960</t>
  </si>
  <si>
    <t>Акриловая фигурка Monstadt Characters Standee Lisa 6972957482908</t>
  </si>
  <si>
    <t>GEN37</t>
  </si>
  <si>
    <t>6972957482908</t>
  </si>
  <si>
    <t>Акриловая фигурка Monstadt Characters Standee Noelle 6972957482984</t>
  </si>
  <si>
    <t>GEN45</t>
  </si>
  <si>
    <t>6972957482984</t>
  </si>
  <si>
    <t>Акриловая фигурка Monstadt Characters Standee Razor 6972957482946</t>
  </si>
  <si>
    <t>GEN41</t>
  </si>
  <si>
    <t>6972957482946</t>
  </si>
  <si>
    <t>Акриловая фигурка Monstadt Characters Standee Rosaria 6975628240562</t>
  </si>
  <si>
    <t>GEN50</t>
  </si>
  <si>
    <t>6975628240562</t>
  </si>
  <si>
    <t>Акриловая фигурка Monstadt Characters Standee Sucrose 6972957487071</t>
  </si>
  <si>
    <t>GEN48</t>
  </si>
  <si>
    <t>6972957487071</t>
  </si>
  <si>
    <t>Акриловая фигурка Sumeru Collei 6975628249169</t>
  </si>
  <si>
    <t>GEN466</t>
  </si>
  <si>
    <t>6975628249169</t>
  </si>
  <si>
    <t>Акриловая фигурка Summer Fantasia Series Products Standee Ein Immernachtstraum Fischl 6975628241965</t>
  </si>
  <si>
    <t>GEN396</t>
  </si>
  <si>
    <t>6975628241965</t>
  </si>
  <si>
    <t>0,5 / 13,9 / 15,4</t>
  </si>
  <si>
    <t>Акриловая фигурка держатель для ручек Genshin Impact Halloween Liyue Hu Tao 6974696614145</t>
  </si>
  <si>
    <t>GEN1122</t>
  </si>
  <si>
    <t>6974696614145</t>
  </si>
  <si>
    <t>11 / 11 / 0,5</t>
  </si>
  <si>
    <t>Акриловая фигурка держатель для ручек Genshin Impact Halloween Tartaglia 6974696614169</t>
  </si>
  <si>
    <t>GEN1124</t>
  </si>
  <si>
    <t>6974696614169</t>
  </si>
  <si>
    <t>10,5 / 10 / 0,5</t>
  </si>
  <si>
    <t>Акриловая фигурка держатель для ручек Genshin Impact Halloween Xiao 6974696614152</t>
  </si>
  <si>
    <t>GEN1123</t>
  </si>
  <si>
    <t>6974696614152</t>
  </si>
  <si>
    <t>Акриловый блок Genshin Fontaine Фурина Furina 6942421110156</t>
  </si>
  <si>
    <t>GEN1230</t>
  </si>
  <si>
    <t>6942421110156</t>
  </si>
  <si>
    <t>8,7 / 5,5 / 1</t>
  </si>
  <si>
    <t>Акриловый блок Genshin Impact Dance of the Twisted Realm 6942421103486</t>
  </si>
  <si>
    <t>GEN1045</t>
  </si>
  <si>
    <t>6942421103486</t>
  </si>
  <si>
    <t>15,7 / 7,7 / 2</t>
  </si>
  <si>
    <t>Акриловый блок Genshin Impact Inazuma Kamisato Ayato 6942421101475</t>
  </si>
  <si>
    <t>GEN1043</t>
  </si>
  <si>
    <t>6942421101475</t>
  </si>
  <si>
    <t>7,2 / 11 / 1,4</t>
  </si>
  <si>
    <t>Акриловый блок Genshin Impact Inazuma Yae miko 6976068143338</t>
  </si>
  <si>
    <t>GEN1042</t>
  </si>
  <si>
    <t>6976068143338</t>
  </si>
  <si>
    <t>Акриловый блок Genshin Impact Splendor and Wisdom Baizhu 6976068143727</t>
  </si>
  <si>
    <t>GEN1044</t>
  </si>
  <si>
    <t>6976068143727</t>
  </si>
  <si>
    <t>10,1 / 6,7 / 1,2</t>
  </si>
  <si>
    <t>Акриловый блок Genshin Impact Tales of the Fantastic Fontaine Freminet 6942421107446</t>
  </si>
  <si>
    <t>GEN1116</t>
  </si>
  <si>
    <t>6942421107446</t>
  </si>
  <si>
    <t>12,5 / 7,2 / 1</t>
  </si>
  <si>
    <t>Акриловый стенд 2023 Genshin Fes 6976068146292</t>
  </si>
  <si>
    <t>GEN881</t>
  </si>
  <si>
    <t>6976068146292</t>
  </si>
  <si>
    <t>15,6 / 9,5 / 1,5</t>
  </si>
  <si>
    <t>Акриловый стенд Chibi Character Klee 6975213681800</t>
  </si>
  <si>
    <t>GEN719</t>
  </si>
  <si>
    <t>6975213681800</t>
  </si>
  <si>
    <t>0,5 / 9,6 / 22,2</t>
  </si>
  <si>
    <t>Акриловый стенд Fleeting Colors in Flight Ningguang 6974696617962</t>
  </si>
  <si>
    <t>GEN712</t>
  </si>
  <si>
    <t>6974696617962</t>
  </si>
  <si>
    <t>0,5 / 18 / 18,6</t>
  </si>
  <si>
    <t>Акриловый стенд Genshin Impact 1st Anniversary Congratulatory Artwork 6976068149392</t>
  </si>
  <si>
    <t>GEN882</t>
  </si>
  <si>
    <t>6976068149392</t>
  </si>
  <si>
    <t>22 / 14,3 / 1</t>
  </si>
  <si>
    <t>Акриловый стенд Heytea Collaboration Ayato &amp; Ayaka 6975628246106</t>
  </si>
  <si>
    <t>GEN757</t>
  </si>
  <si>
    <t>6975628246106</t>
  </si>
  <si>
    <t>0,5 / 16 / 15,3</t>
  </si>
  <si>
    <t>Акриловый стенд Signature Board (Shikishi) 2023 Offline Genshin Event Kamisato Ayaka 6975628245857</t>
  </si>
  <si>
    <t>GEN900</t>
  </si>
  <si>
    <t>6975628245857</t>
  </si>
  <si>
    <t>22 / 15,5 / 0,5</t>
  </si>
  <si>
    <t>Амулет Genshin Impact Albedo 6942421102458</t>
  </si>
  <si>
    <t>GEN1117</t>
  </si>
  <si>
    <t>6942421102458</t>
  </si>
  <si>
    <t>11 / 7,4 / 1</t>
  </si>
  <si>
    <t>Амулет Genshin Impact Klee 6942421102472</t>
  </si>
  <si>
    <t>GEN1118</t>
  </si>
  <si>
    <t>6942421102472</t>
  </si>
  <si>
    <t>Амулет Genshin Impact Venti 6942421102441</t>
  </si>
  <si>
    <t>GEN1119</t>
  </si>
  <si>
    <t>6942421102441</t>
  </si>
  <si>
    <t>Амулет Liyue Xiangling 6974696614398</t>
  </si>
  <si>
    <t>GEN706</t>
  </si>
  <si>
    <t>6974696614398</t>
  </si>
  <si>
    <t>0,5 / 8,6 / 11,2</t>
  </si>
  <si>
    <t>Ароматизатор и карточка для заметок Genshin Impact Rich Fantasy Навия Navia 6942421141228</t>
  </si>
  <si>
    <t>GEN1328</t>
  </si>
  <si>
    <t>6942421141228</t>
  </si>
  <si>
    <t>22 / 9,5 / 0,3</t>
  </si>
  <si>
    <t>Ароматизатор и карточка для заметок Genshin Impact Rich Fantasy Фурина Furina 6942421141211</t>
  </si>
  <si>
    <t>GEN1327</t>
  </si>
  <si>
    <t>6942421141211</t>
  </si>
  <si>
    <t>Блокнот Teyvat Zoo Themed Amber 6975213681053</t>
  </si>
  <si>
    <t>GEN833</t>
  </si>
  <si>
    <t>6975213681053</t>
  </si>
  <si>
    <t>11 / 10,5 / 1,7</t>
  </si>
  <si>
    <t>Блокнот Teyvat Zoo Themed Diluc 6975213681008</t>
  </si>
  <si>
    <t>GEN828</t>
  </si>
  <si>
    <t>6975213681008</t>
  </si>
  <si>
    <t>10 / 11 / 1,5</t>
  </si>
  <si>
    <t>Блокнот Teyvat Zoo Themed Diona 6975213681039</t>
  </si>
  <si>
    <t>GEN831</t>
  </si>
  <si>
    <t>6975213681039</t>
  </si>
  <si>
    <t>Блокнот Teyvat Zoo Themed Ganyu 6975213681015</t>
  </si>
  <si>
    <t>GEN829</t>
  </si>
  <si>
    <t>6975213681015</t>
  </si>
  <si>
    <t>Блокнот Teyvat Zoo Themed Keqing 6975213681022</t>
  </si>
  <si>
    <t>GEN830</t>
  </si>
  <si>
    <t>6975213681022</t>
  </si>
  <si>
    <t>Блокнот Teyvat Zoo Themed Tartaglia 6975213680995</t>
  </si>
  <si>
    <t>GEN827</t>
  </si>
  <si>
    <t>6975213680995</t>
  </si>
  <si>
    <t>Блокнот Teyvat Zoo Themed Xiao 6975213681046</t>
  </si>
  <si>
    <t>GEN832</t>
  </si>
  <si>
    <t>6975213681046</t>
  </si>
  <si>
    <t>Браслет Character Theme String Bracelets Barbara 6974096531134</t>
  </si>
  <si>
    <t>GEN430</t>
  </si>
  <si>
    <t>6974096531134</t>
  </si>
  <si>
    <t>10 / 10,1 / 3</t>
  </si>
  <si>
    <t>Браслет Character Theme String Bracelets Venti 6974096531127</t>
  </si>
  <si>
    <t>GEN24</t>
  </si>
  <si>
    <t>6974096531127</t>
  </si>
  <si>
    <t>Браслет Genshin Impact Дилюк Diluc Character Theme 6942421155003</t>
  </si>
  <si>
    <t>GEN1454</t>
  </si>
  <si>
    <t>6942421155003</t>
  </si>
  <si>
    <t>Браслет Genshin Impact Лини Lyney Character Theme 6942421155096</t>
  </si>
  <si>
    <t>GEN1459</t>
  </si>
  <si>
    <t>6942421155096</t>
  </si>
  <si>
    <t>2,8 / 9,8 / 10</t>
  </si>
  <si>
    <t>Браслет Genshin Impact Нахида Nahida Character Theme 6942421155072</t>
  </si>
  <si>
    <t>GEN1457</t>
  </si>
  <si>
    <t>6942421155072</t>
  </si>
  <si>
    <t>Браслет Genshin Impact Невиллет Neuvillette Character Theme 6942421155102</t>
  </si>
  <si>
    <t>GEN1460</t>
  </si>
  <si>
    <t>6942421155102</t>
  </si>
  <si>
    <t>10 / 10 / 3</t>
  </si>
  <si>
    <t>Браслет Genshin Impact Странник Wanderer Character Theme 6942421155089</t>
  </si>
  <si>
    <t>GEN1458</t>
  </si>
  <si>
    <t>6942421155089</t>
  </si>
  <si>
    <t>Браслет Genshin Impact Тигнари Tighnari Character Theme 6942421155058</t>
  </si>
  <si>
    <t>GEN1456</t>
  </si>
  <si>
    <t>6942421155058</t>
  </si>
  <si>
    <t>Браслет Genshin Impact Фурина Furina Character Theme 6942421155119</t>
  </si>
  <si>
    <t>GEN1461</t>
  </si>
  <si>
    <t>6942421155119</t>
  </si>
  <si>
    <t>10 / 9,7 / 2,7</t>
  </si>
  <si>
    <t>Браслет Genshin Impact Яэ Мико Yae Miko Character Theme 6942421155034</t>
  </si>
  <si>
    <t>GEN1455</t>
  </si>
  <si>
    <t>6942421155034</t>
  </si>
  <si>
    <t>Брелок Coaster Strap Character Birthday Art Beidou 6976068149576</t>
  </si>
  <si>
    <t>GEN896</t>
  </si>
  <si>
    <t>6976068149576</t>
  </si>
  <si>
    <t>11,5 / 9 / 0,5</t>
  </si>
  <si>
    <t>Брелок Genshin Impact Fontaine Фурина Furina 6976068147527</t>
  </si>
  <si>
    <t>GEN922</t>
  </si>
  <si>
    <t>6976068147527</t>
  </si>
  <si>
    <t>4 / 7 / 10,4</t>
  </si>
  <si>
    <t>Брелок Genshin Impact Inazuma Райден Raiden 6976068147503</t>
  </si>
  <si>
    <t>GEN920</t>
  </si>
  <si>
    <t>6976068147503</t>
  </si>
  <si>
    <t>10,6 / 7 / 4</t>
  </si>
  <si>
    <t>Брелок Genshin Impact Liyue Чжун Ли Zhongli 6976068147497</t>
  </si>
  <si>
    <t>GEN919</t>
  </si>
  <si>
    <t>6976068147497</t>
  </si>
  <si>
    <t>Брелок Genshin Impact Mondstadt Венти Venti 6976068147480</t>
  </si>
  <si>
    <t>GEN918</t>
  </si>
  <si>
    <t>6976068147480</t>
  </si>
  <si>
    <t>Брелок Genshin Impact Q-version Burning Nata Кинич Kinich 6942421138440</t>
  </si>
  <si>
    <t>GEN1350</t>
  </si>
  <si>
    <t>6942421138440</t>
  </si>
  <si>
    <t>17 / 9,5 / 1</t>
  </si>
  <si>
    <t>Брелок Genshin Impact To the Stars Shining in the Depths Arlecchino 6942421102229</t>
  </si>
  <si>
    <t>GEN1066</t>
  </si>
  <si>
    <t>6942421102229</t>
  </si>
  <si>
    <t>0,5 / 8 / 17</t>
  </si>
  <si>
    <t>Брелок акриловый  Amber 6975628241675</t>
  </si>
  <si>
    <t>GEN513</t>
  </si>
  <si>
    <t>6975628241675</t>
  </si>
  <si>
    <t>8 / 5 / 1</t>
  </si>
  <si>
    <t>Брелок акриловый  Arataki Ittou 6975628241750</t>
  </si>
  <si>
    <t>GEN521</t>
  </si>
  <si>
    <t>6975628241750</t>
  </si>
  <si>
    <t>Брелок акриловый  Barbara 6975628241644</t>
  </si>
  <si>
    <t>GEN510</t>
  </si>
  <si>
    <t>6975628241644</t>
  </si>
  <si>
    <t>Брелок акриловый  Candace 6975213686737</t>
  </si>
  <si>
    <t>GEN531</t>
  </si>
  <si>
    <t>6975213686737</t>
  </si>
  <si>
    <t>Брелок акриловый  Chongyun 6974696611427</t>
  </si>
  <si>
    <t>GEN509</t>
  </si>
  <si>
    <t>6974696611427</t>
  </si>
  <si>
    <t>Брелок акриловый  Collei 6975213686713</t>
  </si>
  <si>
    <t>GEN529</t>
  </si>
  <si>
    <t>6975213686713</t>
  </si>
  <si>
    <t>Брелок акриловый  Cyno 6975213686706</t>
  </si>
  <si>
    <t>GEN528</t>
  </si>
  <si>
    <t>6975213686706</t>
  </si>
  <si>
    <t>Брелок акриловый  Dehya 6976068141372</t>
  </si>
  <si>
    <t>GEN537</t>
  </si>
  <si>
    <t>6976068141372</t>
  </si>
  <si>
    <t>Брелок акриловый  Faruzan 6975628249251</t>
  </si>
  <si>
    <t>GEN535</t>
  </si>
  <si>
    <t>6975628249251</t>
  </si>
  <si>
    <t>Брелок акриловый  Fischl 6975628241651</t>
  </si>
  <si>
    <t>GEN511</t>
  </si>
  <si>
    <t>6975628241651</t>
  </si>
  <si>
    <t>Брелок акриловый  Glittering Elixirs Series Nahida 6976068147602</t>
  </si>
  <si>
    <t>GEN890</t>
  </si>
  <si>
    <t>6976068147602</t>
  </si>
  <si>
    <t>9,5 / 8 / 1</t>
  </si>
  <si>
    <t>Брелок акриловый  Jean 6975628241668</t>
  </si>
  <si>
    <t>GEN512</t>
  </si>
  <si>
    <t>6975628241668</t>
  </si>
  <si>
    <t>Брелок акриловый  Kaedehara Kazuha 6975628241774</t>
  </si>
  <si>
    <t>GEN523</t>
  </si>
  <si>
    <t>6975628241774</t>
  </si>
  <si>
    <t>Брелок акриловый  Kamisato Ayaka 6975628241767</t>
  </si>
  <si>
    <t>GEN522</t>
  </si>
  <si>
    <t>6975628241767</t>
  </si>
  <si>
    <t>Брелок акриловый  Kamisato Ayato 6975628241729</t>
  </si>
  <si>
    <t>GEN518</t>
  </si>
  <si>
    <t>6975628241729</t>
  </si>
  <si>
    <t>Брелок акриловый  Klee 6972957489891</t>
  </si>
  <si>
    <t>GEN507</t>
  </si>
  <si>
    <t>6972957489891</t>
  </si>
  <si>
    <t>Брелок акриловый  Layla 6975628249237</t>
  </si>
  <si>
    <t>GEN533</t>
  </si>
  <si>
    <t>6975628249237</t>
  </si>
  <si>
    <t>Брелок акриловый  Mika 6976068141396</t>
  </si>
  <si>
    <t>GEN539</t>
  </si>
  <si>
    <t>6976068141396</t>
  </si>
  <si>
    <t>Брелок акриловый  Nahida 6975213686744</t>
  </si>
  <si>
    <t>GEN532</t>
  </si>
  <si>
    <t>6975213686744</t>
  </si>
  <si>
    <t>Брелок акриловый  Nilou 6975213686690</t>
  </si>
  <si>
    <t>GEN527</t>
  </si>
  <si>
    <t>6975213686690</t>
  </si>
  <si>
    <t>Брелок акриловый  Qiqi 6972957489884</t>
  </si>
  <si>
    <t>GEN506</t>
  </si>
  <si>
    <t>6972957489884</t>
  </si>
  <si>
    <t>Брелок акриловый  Raiden Shogun 6975628241798</t>
  </si>
  <si>
    <t>GEN525</t>
  </si>
  <si>
    <t>6975628241798</t>
  </si>
  <si>
    <t>Брелок акриловый  Razor 6974696611397</t>
  </si>
  <si>
    <t>GEN508</t>
  </si>
  <si>
    <t>6974696611397</t>
  </si>
  <si>
    <t>Брелок акриловый  Shenhe 6975628241705</t>
  </si>
  <si>
    <t>GEN516</t>
  </si>
  <si>
    <t>6975628241705</t>
  </si>
  <si>
    <t>Брелок акриловый  The Wanderer 6975628249244</t>
  </si>
  <si>
    <t>GEN534</t>
  </si>
  <si>
    <t>6975628249244</t>
  </si>
  <si>
    <t>Брелок акриловый  Thoma 6975628241736</t>
  </si>
  <si>
    <t>GEN519</t>
  </si>
  <si>
    <t>6975628241736</t>
  </si>
  <si>
    <t>Брелок акриловый  Xingqiu 6975628241712</t>
  </si>
  <si>
    <t>GEN517</t>
  </si>
  <si>
    <t>6975628241712</t>
  </si>
  <si>
    <t>Брелок акриловый  Yae Miko 6975628241781</t>
  </si>
  <si>
    <t>GEN524</t>
  </si>
  <si>
    <t>6975628241781</t>
  </si>
  <si>
    <t>Брелок акриловый  Yaoyao 6976068141389</t>
  </si>
  <si>
    <t>GEN538</t>
  </si>
  <si>
    <t>6976068141389</t>
  </si>
  <si>
    <t>Брелок акриловый  Yelan 6975628241682</t>
  </si>
  <si>
    <t>GEN514</t>
  </si>
  <si>
    <t>6975628241682</t>
  </si>
  <si>
    <t>Брелок акриловый  Yoimiya 6975628241743</t>
  </si>
  <si>
    <t>GEN520</t>
  </si>
  <si>
    <t>6975628241743</t>
  </si>
  <si>
    <t>Брелок акриловый 2023 Fontaine Art Exhibit Chibi Expression Ruin Guard 6976068149637</t>
  </si>
  <si>
    <t>GEN961</t>
  </si>
  <si>
    <t>6976068149637</t>
  </si>
  <si>
    <t>9,5 / 8,5 / 0,5</t>
  </si>
  <si>
    <t>Брелок акриловый 2023 Fontaine Art Exhibit Chibi Expression Traveler Aether 6976068149620</t>
  </si>
  <si>
    <t>GEN960</t>
  </si>
  <si>
    <t>6976068149620</t>
  </si>
  <si>
    <t>Брелок акриловый Arataki Ittou 6975628245147</t>
  </si>
  <si>
    <t>GEN687</t>
  </si>
  <si>
    <t>6975628245147</t>
  </si>
  <si>
    <t>0,5 / 8,9 / 8,3</t>
  </si>
  <si>
    <t>Брелок акриловый Block Strap Venti 6972957489877</t>
  </si>
  <si>
    <t>GEN884</t>
  </si>
  <si>
    <t>6972957489877</t>
  </si>
  <si>
    <t>Брелок акриловый Block Strap Zhongli 6972957489822</t>
  </si>
  <si>
    <t>GEN883</t>
  </si>
  <si>
    <t>6972957489822</t>
  </si>
  <si>
    <t>Брелок акриловый Characters Acrylic Block Strap Albedo 6974696611373</t>
  </si>
  <si>
    <t>GEN5</t>
  </si>
  <si>
    <t>6974696611373</t>
  </si>
  <si>
    <t>1 / 5 / 8,2</t>
  </si>
  <si>
    <t>Брелок акриловый Characters Acrylic Block Strap Eula 6974696611403</t>
  </si>
  <si>
    <t>GEN126</t>
  </si>
  <si>
    <t>6974696611403</t>
  </si>
  <si>
    <t>Брелок акриловый Characters Acrylic Block Strap Ganyu 6974696611410</t>
  </si>
  <si>
    <t>GEN127</t>
  </si>
  <si>
    <t>6974696611410</t>
  </si>
  <si>
    <t>Брелок акриловый Characters Acrylic Block Strap Hutao 6974696611434</t>
  </si>
  <si>
    <t>GEN128</t>
  </si>
  <si>
    <t>6974696611434</t>
  </si>
  <si>
    <t>0,7 / 5,1 / 8</t>
  </si>
  <si>
    <t>Брелок акриловый Characters Acrylic Block Strap Ningguang 6974696611366</t>
  </si>
  <si>
    <t>GEN129</t>
  </si>
  <si>
    <t>6974696611366</t>
  </si>
  <si>
    <t>Брелок акриловый Characters Acrylic Block Strap Xiao 6974696611380</t>
  </si>
  <si>
    <t>GEN125</t>
  </si>
  <si>
    <t>6974696611380</t>
  </si>
  <si>
    <t>Брелок акриловый Chibi Expressions Candace 6975628247301</t>
  </si>
  <si>
    <t>GEN631</t>
  </si>
  <si>
    <t>6975628247301</t>
  </si>
  <si>
    <t>14,4 / 10,6 / 0,5</t>
  </si>
  <si>
    <t>Брелок акриловый Chibi Expressions Character Acrylic Keychain Azhdaha 6974096537556</t>
  </si>
  <si>
    <t>GEN13</t>
  </si>
  <si>
    <t>6974096537556</t>
  </si>
  <si>
    <t>14,1 / 9,5 / 1</t>
  </si>
  <si>
    <t>Брелок акриловый Chibi Expressions Character Acrylic Keychain Eula 6974096537549</t>
  </si>
  <si>
    <t>GEN233</t>
  </si>
  <si>
    <t>6974096537549</t>
  </si>
  <si>
    <t>0,5 / 10,5 / 13,6</t>
  </si>
  <si>
    <t>Брелок акриловый Chibi Expressions Character Acrylic Keychain Gorou 6975213680414</t>
  </si>
  <si>
    <t>GEN243</t>
  </si>
  <si>
    <t>6975213680414</t>
  </si>
  <si>
    <t>0,5 / 10,6 / 13,6</t>
  </si>
  <si>
    <t>Брелок акриловый Chibi Expressions Character Acrylic Keychain Kamisato Ayaka 6974696611328</t>
  </si>
  <si>
    <t>GEN235</t>
  </si>
  <si>
    <t>6974696611328</t>
  </si>
  <si>
    <t>Брелок акриловый Chibi Expressions Character Acrylic Keychain Shenhe 6975213680438</t>
  </si>
  <si>
    <t>GEN888</t>
  </si>
  <si>
    <t>6975213680438</t>
  </si>
  <si>
    <t>15,1 / 10,3 / 0,3</t>
  </si>
  <si>
    <t>Брелок акриловый Chibi Expressions Character Acrylic Keychain Sucrose 6976068147367</t>
  </si>
  <si>
    <t>GEN893</t>
  </si>
  <si>
    <t>6976068147367</t>
  </si>
  <si>
    <t>Брелок акриловый Chibi Expressions Character Acrylic Keychain Tartaglia 6972957488191</t>
  </si>
  <si>
    <t>GEN224</t>
  </si>
  <si>
    <t>6972957488191</t>
  </si>
  <si>
    <t>Брелок акриловый Chibi Expressions Character Acrylic Keychain Thoma 6974696611342</t>
  </si>
  <si>
    <t>GEN237</t>
  </si>
  <si>
    <t>6974696611342</t>
  </si>
  <si>
    <t>Брелок акриловый Chibi Expressions Character Acrylic Keychain Xiangling 6974696616644</t>
  </si>
  <si>
    <t>GEN241</t>
  </si>
  <si>
    <t>6974696616644</t>
  </si>
  <si>
    <t>0,5 / 10,6 / 13,7</t>
  </si>
  <si>
    <t>Брелок акриловый Chibi Expressions Character Acrylic Keychain Yanfei 6974096537532</t>
  </si>
  <si>
    <t>GEN232</t>
  </si>
  <si>
    <t>6974096537532</t>
  </si>
  <si>
    <t>Брелок акриловый Chibi Expressions Character Acrylic Keychain Yoimiya 6974696611335</t>
  </si>
  <si>
    <t>GEN236</t>
  </si>
  <si>
    <t>6974696611335</t>
  </si>
  <si>
    <t>Брелок акриловый Chibi Expressions Character Acrylic Keychain Yoimiya 6976068147343</t>
  </si>
  <si>
    <t>GEN891</t>
  </si>
  <si>
    <t>6976068147343</t>
  </si>
  <si>
    <t>Брелок акриловый Chibi Expressions Character Acrylic Keychain Zhongli 6972957488160</t>
  </si>
  <si>
    <t>GEN223</t>
  </si>
  <si>
    <t>6972957488160</t>
  </si>
  <si>
    <t>Брелок акриловый Chibi Expressions Character Acrylic Keychain Zhongli 6976068147350</t>
  </si>
  <si>
    <t>GEN892</t>
  </si>
  <si>
    <t>6976068147350</t>
  </si>
  <si>
    <t>Брелок акриловый Chibi Expressions Dehya 6976068141266</t>
  </si>
  <si>
    <t>GEN637</t>
  </si>
  <si>
    <t>6976068141266</t>
  </si>
  <si>
    <t>Брелок акриловый Chibi Expressions Dori 6975628247295</t>
  </si>
  <si>
    <t>GEN628</t>
  </si>
  <si>
    <t>6975628247295</t>
  </si>
  <si>
    <t>Брелок акриловый Chibi Expressions Faruzan 6975628248353</t>
  </si>
  <si>
    <t>GEN635</t>
  </si>
  <si>
    <t>6975628248353</t>
  </si>
  <si>
    <t>Брелок акриловый Chibi Expressions Kuki Shinobu 6975628248377</t>
  </si>
  <si>
    <t>GEN625</t>
  </si>
  <si>
    <t>6975628248377</t>
  </si>
  <si>
    <t>Брелок акриловый Chibi Expressions Layla 6975628248339</t>
  </si>
  <si>
    <t>GEN632</t>
  </si>
  <si>
    <t>6975628248339</t>
  </si>
  <si>
    <t>Брелок акриловый Chibi Expressions Mika 6976068141273</t>
  </si>
  <si>
    <t>GEN642</t>
  </si>
  <si>
    <t>6976068141273</t>
  </si>
  <si>
    <t>Брелок акриловый Chibi Expressions Nilou 6975628247264</t>
  </si>
  <si>
    <t>GEN630</t>
  </si>
  <si>
    <t>6975628247264</t>
  </si>
  <si>
    <t>Брелок акриловый Chibi Expressions Ningguang 6976068141242</t>
  </si>
  <si>
    <t>GEN640</t>
  </si>
  <si>
    <t>6976068141242</t>
  </si>
  <si>
    <t>Брелок акриловый Chibi Expressions Shikanoin Heizou 6976068141235</t>
  </si>
  <si>
    <t>GEN639</t>
  </si>
  <si>
    <t>6976068141235</t>
  </si>
  <si>
    <t>Брелок акриловый Chibi Expressions The Wanderer 6975628248346</t>
  </si>
  <si>
    <t>GEN634</t>
  </si>
  <si>
    <t>6975628248346</t>
  </si>
  <si>
    <t>Брелок акриловый Chibi Expressions Xingqiu 6976068141259</t>
  </si>
  <si>
    <t>GEN641</t>
  </si>
  <si>
    <t>6976068141259</t>
  </si>
  <si>
    <t>Брелок акриловый Chibi Expressions Yelan 6975628248360</t>
  </si>
  <si>
    <t>GEN624</t>
  </si>
  <si>
    <t>6975628248360</t>
  </si>
  <si>
    <t>Брелок акриловый Dori 6975213686720</t>
  </si>
  <si>
    <t>GEN530</t>
  </si>
  <si>
    <t>6975213686720</t>
  </si>
  <si>
    <t>Брелок акриловый Fischl 6975628245178</t>
  </si>
  <si>
    <t>GEN690</t>
  </si>
  <si>
    <t>6975628245178</t>
  </si>
  <si>
    <t>Брелок акриловый Genshin Impact Character Acrylic Strap Albedo 6974696616224</t>
  </si>
  <si>
    <t>GEN355</t>
  </si>
  <si>
    <t>6974696616224</t>
  </si>
  <si>
    <t>Брелок акриловый Genshin Impact Character Acrylic Strap Eula 6974696616187</t>
  </si>
  <si>
    <t>GEN351</t>
  </si>
  <si>
    <t>6974696616187</t>
  </si>
  <si>
    <t>Брелок акриловый Genshin Impact Character Acrylic Strap Ganyu 6974696614831</t>
  </si>
  <si>
    <t>GEN349</t>
  </si>
  <si>
    <t>6974696614831</t>
  </si>
  <si>
    <t>Брелок акриловый Genshin Impact Character Acrylic Strap Hutao 6974696614848</t>
  </si>
  <si>
    <t>GEN350</t>
  </si>
  <si>
    <t>6974696614848</t>
  </si>
  <si>
    <t>Брелок акриловый Genshin Impact Character Acrylic Strap Klee 6974696616194</t>
  </si>
  <si>
    <t>GEN352</t>
  </si>
  <si>
    <t>6974696616194</t>
  </si>
  <si>
    <t>0,5 / 7,6 / 7,6</t>
  </si>
  <si>
    <t>Брелок акриловый Genshin Impact Character Acrylic Strap Paimon 6974696616217</t>
  </si>
  <si>
    <t>GEN354</t>
  </si>
  <si>
    <t>6974696616217</t>
  </si>
  <si>
    <t>0,5 / 9 / 9</t>
  </si>
  <si>
    <t>Брелок акриловый Genshin Impact Character Acrylic Strap Tartaglia 6974696614824</t>
  </si>
  <si>
    <t>GEN348</t>
  </si>
  <si>
    <t>6974696614824</t>
  </si>
  <si>
    <t>Брелок акриловый Genshin Impact Character Acrylic Strap Traveller Aether 6974696616200</t>
  </si>
  <si>
    <t>GEN353</t>
  </si>
  <si>
    <t>6974696616200</t>
  </si>
  <si>
    <t>Брелок акриловый Genshin Impact Character Acrylic Strap Traveller Lumine 6974696614817</t>
  </si>
  <si>
    <t>GEN347</t>
  </si>
  <si>
    <t>6974696614817</t>
  </si>
  <si>
    <t>Брелок акриловый Genshin Impact Character Acrylic Strap Xiao 6974696616231</t>
  </si>
  <si>
    <t>GEN356</t>
  </si>
  <si>
    <t>6974696616231</t>
  </si>
  <si>
    <t>Брелок акриловый Genshin Impact Earthly Chapter Tartaglia 6976525002024</t>
  </si>
  <si>
    <t>GEN1126</t>
  </si>
  <si>
    <t>6976525002024</t>
  </si>
  <si>
    <t>9 / 8 / 1,5</t>
  </si>
  <si>
    <t>Брелок акриловый Genshin Impact Fontaine Charlotte 6942421102533</t>
  </si>
  <si>
    <t>GEN1041</t>
  </si>
  <si>
    <t>6942421102533</t>
  </si>
  <si>
    <t>13,5 / 9,5 / 0,5</t>
  </si>
  <si>
    <t>Брелок акриловый Genshin Impact Fontaine Нёвиллет Neuvillette The Morning Star in the Deep Waters 69</t>
  </si>
  <si>
    <t>GEN1229</t>
  </si>
  <si>
    <t>6942421102205</t>
  </si>
  <si>
    <t>16,7 / 8 / 0,5</t>
  </si>
  <si>
    <t>Брелок акриловый Genshin Impact Furina 6942421102236</t>
  </si>
  <si>
    <t>GEN1064</t>
  </si>
  <si>
    <t>6942421102236</t>
  </si>
  <si>
    <t>16,6 / 7,8 / 1</t>
  </si>
  <si>
    <t>Брелок акриловый Genshin Impact Liyue Zhongli 6976525002000</t>
  </si>
  <si>
    <t>GEN1125</t>
  </si>
  <si>
    <t>6976525002000</t>
  </si>
  <si>
    <t>8,7 / 8 / 1,3</t>
  </si>
  <si>
    <t>Брелок акриловый Genshin Impact Nahida 6976068149958</t>
  </si>
  <si>
    <t>GEN1120</t>
  </si>
  <si>
    <t>6976068149958</t>
  </si>
  <si>
    <t>8 / 8 / 0,8</t>
  </si>
  <si>
    <t>Брелок акриловый Genshin Impact Raiden Shogun 6942421104094</t>
  </si>
  <si>
    <t>GEN1145</t>
  </si>
  <si>
    <t>6942421104094</t>
  </si>
  <si>
    <t>14,5 / 11,5 / 1</t>
  </si>
  <si>
    <t>Брелок акриловый Genshin Impact Raiden Shogun 6942421104124</t>
  </si>
  <si>
    <t>GEN1147</t>
  </si>
  <si>
    <t>6942421104124</t>
  </si>
  <si>
    <t>12,5 / 15,5 / 0,5</t>
  </si>
  <si>
    <t>Брелок акриловый Genshin Impact Raiden Shogun 6942421104162</t>
  </si>
  <si>
    <t>GEN1149</t>
  </si>
  <si>
    <t>6942421104162</t>
  </si>
  <si>
    <t>0,8 / 14,6 / 11,5</t>
  </si>
  <si>
    <t>Брелок акриловый Genshin Impact Tales of the Fantastic Fontaine Freminet 6942421107439</t>
  </si>
  <si>
    <t>GEN1115</t>
  </si>
  <si>
    <t>6942421107439</t>
  </si>
  <si>
    <t>14,5 / 9,5 / 0,5</t>
  </si>
  <si>
    <t>Брелок акриловый Genshin Impact Tartaglia 6972957489839</t>
  </si>
  <si>
    <t>GEN1121</t>
  </si>
  <si>
    <t>6972957489839</t>
  </si>
  <si>
    <t>Брелок акриловый Genshin Impact To the Stars Shining in the Depths Ризли 6942421102212</t>
  </si>
  <si>
    <t>GEN1065</t>
  </si>
  <si>
    <t>6942421102212</t>
  </si>
  <si>
    <t>Брелок акриловый Genshin Impact Venti 6942421104070</t>
  </si>
  <si>
    <t>GEN1144</t>
  </si>
  <si>
    <t>6942421104070</t>
  </si>
  <si>
    <t>11,5 / 14,5 / 0,5</t>
  </si>
  <si>
    <t>Брелок акриловый Genshin Impact Zhongli 6942421104117</t>
  </si>
  <si>
    <t>GEN1146</t>
  </si>
  <si>
    <t>6942421104117</t>
  </si>
  <si>
    <t>Брелок акриловый Genshin Impact Zhongli 6942421104155</t>
  </si>
  <si>
    <t>GEN1148</t>
  </si>
  <si>
    <t>6942421104155</t>
  </si>
  <si>
    <t>14,3 / 11,5 / 0,4</t>
  </si>
  <si>
    <t>Брелок акриловый Genshin Impact Венти Venti 6942421104148</t>
  </si>
  <si>
    <t>GEN1217</t>
  </si>
  <si>
    <t>6942421104148</t>
  </si>
  <si>
    <t>Брелок акриловый Genshin Impact Дилюк Diluc Predestined Day 6942421106005</t>
  </si>
  <si>
    <t>GEN1220</t>
  </si>
  <si>
    <t>6942421106005</t>
  </si>
  <si>
    <t>12 / 8,5 / 0,5</t>
  </si>
  <si>
    <t>Брелок акриловый Genshin Impact Дилюк Diluc Predestined Day 6942421106012</t>
  </si>
  <si>
    <t>GEN1221</t>
  </si>
  <si>
    <t>6942421106012</t>
  </si>
  <si>
    <t>11,5 / 7,5 / 0,5</t>
  </si>
  <si>
    <t>Брелок акриловый Genshin Impact Дилюк Diluc Predestined Day 6942421106029</t>
  </si>
  <si>
    <t>GEN1225</t>
  </si>
  <si>
    <t>6942421106029</t>
  </si>
  <si>
    <t>11 / 7,5 / 0,5</t>
  </si>
  <si>
    <t>Брелок акриловый Genshin Impact Жонгли Zhongli 6942421113997</t>
  </si>
  <si>
    <t>GEN1206</t>
  </si>
  <si>
    <t>6942421113997</t>
  </si>
  <si>
    <t>14,5 / 10 / 0,5</t>
  </si>
  <si>
    <t>Брелок акриловый Genshin Impact Райдэн Raiden Raiden Shougun 6942421114055</t>
  </si>
  <si>
    <t>GEN1208</t>
  </si>
  <si>
    <t>6942421114055</t>
  </si>
  <si>
    <t>14 / 9 / 0,5</t>
  </si>
  <si>
    <t>Брелок акриловый Genshin Impact Сяо Xiao Predestined Day 6942421105978</t>
  </si>
  <si>
    <t>GEN1222</t>
  </si>
  <si>
    <t>6942421105978</t>
  </si>
  <si>
    <t>Брелок акриловый Genshin Impact Сяо Xiao Predestined Day 6942421105985</t>
  </si>
  <si>
    <t>GEN1223</t>
  </si>
  <si>
    <t>6942421105985</t>
  </si>
  <si>
    <t>Брелок акриловый Genshin Impact Сяо Xiao Predestined Day 6942421105992</t>
  </si>
  <si>
    <t>GEN1224</t>
  </si>
  <si>
    <t>6942421105992</t>
  </si>
  <si>
    <t>Брелок акриловый Genshin Impact Фурина Furina 6942421104186</t>
  </si>
  <si>
    <t>GEN1218</t>
  </si>
  <si>
    <t>6942421104186</t>
  </si>
  <si>
    <t>Брелок акриловый Genshin Impact Фурина Furina 6942421114123</t>
  </si>
  <si>
    <t>GEN1209</t>
  </si>
  <si>
    <t>6942421114123</t>
  </si>
  <si>
    <t>14 / 9 / 1</t>
  </si>
  <si>
    <t>Брелок акриловый Genshin Impact Ху Тао Hu Tao 6942421114000</t>
  </si>
  <si>
    <t>GEN1207</t>
  </si>
  <si>
    <t>6942421114000</t>
  </si>
  <si>
    <t>Брелок акриловый Genshin Impact Шэнь Хэ Shenhe Predestined Day 6942421106050</t>
  </si>
  <si>
    <t>GEN1226</t>
  </si>
  <si>
    <t>6942421106050</t>
  </si>
  <si>
    <t>11,2 / 7,7 / 1</t>
  </si>
  <si>
    <t>Брелок акриловый Gorou 6975628245130</t>
  </si>
  <si>
    <t>GEN686</t>
  </si>
  <si>
    <t>6975628245130</t>
  </si>
  <si>
    <t>Брелок акриловый Kamisato Ayaka 6975628245055</t>
  </si>
  <si>
    <t>GEN678</t>
  </si>
  <si>
    <t>6975628245055</t>
  </si>
  <si>
    <t>Брелок акриловый Kuki Shinobu 6975628245161</t>
  </si>
  <si>
    <t>GEN689</t>
  </si>
  <si>
    <t>6975628245161</t>
  </si>
  <si>
    <t>Брелок акриловый Shenhe 6975628245086</t>
  </si>
  <si>
    <t>GEN681</t>
  </si>
  <si>
    <t>6975628245086</t>
  </si>
  <si>
    <t>Брелок акриловый Thoma 6975628245079</t>
  </si>
  <si>
    <t>GEN680</t>
  </si>
  <si>
    <t>6975628245079</t>
  </si>
  <si>
    <t>Брелок акриловый Xiangling 6975628245062</t>
  </si>
  <si>
    <t>GEN679</t>
  </si>
  <si>
    <t>6975628245062</t>
  </si>
  <si>
    <t>Брелок акриловый Yelan 6975628245154</t>
  </si>
  <si>
    <t>GEN688</t>
  </si>
  <si>
    <t>6975628245154</t>
  </si>
  <si>
    <t>Брелок акриловый Yoimiya 6975628245185</t>
  </si>
  <si>
    <t>GEN691</t>
  </si>
  <si>
    <t>6975628245185</t>
  </si>
  <si>
    <t>Брелок акриловый Yun Jin Юнь Цзинь 6975628241699</t>
  </si>
  <si>
    <t>GEN515</t>
  </si>
  <si>
    <t>6975628241699</t>
  </si>
  <si>
    <t>Брелок акриловый Yun Jin Юнь Цзинь 6975628245093</t>
  </si>
  <si>
    <t>GEN682</t>
  </si>
  <si>
    <t>6975628245093</t>
  </si>
  <si>
    <t>Брелок акриловый Zhongli 6974696616255</t>
  </si>
  <si>
    <t>GEN677</t>
  </si>
  <si>
    <t>6974696616255</t>
  </si>
  <si>
    <t>Брелок металлический  Epitome Invocation Weapons Skyward Harp 6974096530885</t>
  </si>
  <si>
    <t>GEN540</t>
  </si>
  <si>
    <t>6974096530885</t>
  </si>
  <si>
    <t>15 / 7 / 0,3</t>
  </si>
  <si>
    <t>Брелок металлический  Haran Geppaku Futsu 6975628246359</t>
  </si>
  <si>
    <t>GEN546</t>
  </si>
  <si>
    <t>6975628246359</t>
  </si>
  <si>
    <t>Брелок металлический  Polar Star 6975628246328</t>
  </si>
  <si>
    <t>GEN543</t>
  </si>
  <si>
    <t>6975628246328</t>
  </si>
  <si>
    <t>Брелок металлический Character Banner Art Metal &amp; Resin Keychain Adrift in the Harbor 6974696617498</t>
  </si>
  <si>
    <t>GEN7</t>
  </si>
  <si>
    <t>6974696617498</t>
  </si>
  <si>
    <t>0,5 / 6,3 / 20</t>
  </si>
  <si>
    <t>Брелок металлический Character Banner Art Metal &amp; Resin Keychain Born of Ocean Swell Eula 746966170</t>
  </si>
  <si>
    <t>GEN143</t>
  </si>
  <si>
    <t>6974696617061</t>
  </si>
  <si>
    <t>0,5 / 6 / 20,7</t>
  </si>
  <si>
    <t>Брелок металлический Character Banner Art Metal &amp; Resin Keychain Farewell of Snezhnaya Tartaglia 697</t>
  </si>
  <si>
    <t>GEN139</t>
  </si>
  <si>
    <t>6974096532537</t>
  </si>
  <si>
    <t>0,5 / 5,8 / 20,6</t>
  </si>
  <si>
    <t>Брелок металлический Character Banner Art Metal &amp; Resin Keychain Moment of Bloom Hutao 6974696615609</t>
  </si>
  <si>
    <t>GEN142</t>
  </si>
  <si>
    <t>6974696615609</t>
  </si>
  <si>
    <t>20,5 / 6 / 0,3</t>
  </si>
  <si>
    <t>Брелок металлический Character Banner Art Metal &amp; Resin Keychain Secretum Secretorum Albedo 97469661</t>
  </si>
  <si>
    <t>GEN144</t>
  </si>
  <si>
    <t>6974696615647</t>
  </si>
  <si>
    <t>Брелок металлический Character Banner Art Metal &amp; Resin Keychain The Spark Knight Klee 6974096535576</t>
  </si>
  <si>
    <t>GEN141</t>
  </si>
  <si>
    <t>6974096535576</t>
  </si>
  <si>
    <t>Брелок металлический Character Banner Art Metal &amp; Resin Keychain The Vigilant Yaksha Xiao 746966174</t>
  </si>
  <si>
    <t>GEN145</t>
  </si>
  <si>
    <t>6974696617467</t>
  </si>
  <si>
    <t>Брелок металлический Character Banner Art Metal &amp; Resin Keychain Vago Mundo Zhongli 6974096534180</t>
  </si>
  <si>
    <t>GEN140</t>
  </si>
  <si>
    <t>6974096534180</t>
  </si>
  <si>
    <t>Брелок металлический Character Banner Art Metal &amp; Resin Keychain Windborne Bard Venti 6974096531868</t>
  </si>
  <si>
    <t>GEN138</t>
  </si>
  <si>
    <t>6974096531868</t>
  </si>
  <si>
    <t>Брелок металлический Characters Acrylic Block Strap Albedo 6974696617542</t>
  </si>
  <si>
    <t>GEN6</t>
  </si>
  <si>
    <t>6974696617542</t>
  </si>
  <si>
    <t>17,9 / 8,5 / 0,3</t>
  </si>
  <si>
    <t>Брелок металлический Chibi Character Eula 6974696612516</t>
  </si>
  <si>
    <t>GEN602</t>
  </si>
  <si>
    <t>6974696612516</t>
  </si>
  <si>
    <t>Брелок металлический Chibi Character Metal Keychain Fischl 6972957486258</t>
  </si>
  <si>
    <t>GEN182</t>
  </si>
  <si>
    <t>6972957486258</t>
  </si>
  <si>
    <t>0,3 / 9,1 / 19,5</t>
  </si>
  <si>
    <t>Брелок металлический Chibi Character Metal Keychain Kamisato Ayaka 6974696612547</t>
  </si>
  <si>
    <t>GEN195</t>
  </si>
  <si>
    <t>6974696612547</t>
  </si>
  <si>
    <t>Брелок металлический Chibi Character Metal Keychain Ningguang 6972957486296</t>
  </si>
  <si>
    <t>GEN185</t>
  </si>
  <si>
    <t>6972957486296</t>
  </si>
  <si>
    <t>0,5 / 8,9 / 19,4</t>
  </si>
  <si>
    <t>Брелок металлический Chibi Character Metal Keychain Qiqi 6974096530397</t>
  </si>
  <si>
    <t>GEN191</t>
  </si>
  <si>
    <t>6974096530397</t>
  </si>
  <si>
    <t>0,5 / 9 / 19</t>
  </si>
  <si>
    <t>Брелок металлический Chibi Character Metal Keychain Raiden Shogun 6974696617825</t>
  </si>
  <si>
    <t>GEN197</t>
  </si>
  <si>
    <t>6974696617825</t>
  </si>
  <si>
    <t>Брелок металлический Chibi Character Metal Keychain Traveller Lumine 6972957486272</t>
  </si>
  <si>
    <t>GEN184</t>
  </si>
  <si>
    <t>6972957486272</t>
  </si>
  <si>
    <t>Брелок металлический Chibi Character Metal Keychain Xiangling 6972957486302</t>
  </si>
  <si>
    <t>GEN186</t>
  </si>
  <si>
    <t>6972957486302</t>
  </si>
  <si>
    <t>19 / 9 / 0,3</t>
  </si>
  <si>
    <t>Брелок металлический Chibi Character Metal Keychain Xingqiu 6972957486319</t>
  </si>
  <si>
    <t>GEN187</t>
  </si>
  <si>
    <t>6972957486319</t>
  </si>
  <si>
    <t>Брелок металлический Chibi Character Metal Keychain Zhongli 6974096530380</t>
  </si>
  <si>
    <t>GEN190</t>
  </si>
  <si>
    <t>6974096530380</t>
  </si>
  <si>
    <t>Брелок металлический Chibi Character Tartaglia 6974096530427</t>
  </si>
  <si>
    <t>GEN601</t>
  </si>
  <si>
    <t>6974096530427</t>
  </si>
  <si>
    <t>Брелок металлический Epitome Invocation Weapons Metal Keychains Cinnabar Spindle 6974696617559</t>
  </si>
  <si>
    <t>GEN133</t>
  </si>
  <si>
    <t>6974696617559</t>
  </si>
  <si>
    <t>0,5 / 7,4 / 18,6</t>
  </si>
  <si>
    <t>Брелок металлический Epitome Invocation Weapons Metal Keychains FreedomSworn 6974696611731</t>
  </si>
  <si>
    <t>GEN132</t>
  </si>
  <si>
    <t>6974696611731</t>
  </si>
  <si>
    <t>0,5 / 7,8 / 18,4</t>
  </si>
  <si>
    <t>Брелок металлический Epitome Invocation Weapons Metal Keychains Vortex Vanquisher 6974696611748</t>
  </si>
  <si>
    <t>GEN131</t>
  </si>
  <si>
    <t>6974696611748</t>
  </si>
  <si>
    <t>Брелок металлический Epitome Invocation Weapons Metal Keychains Wolf's Gravestone 6974096530878</t>
  </si>
  <si>
    <t>GEN130</t>
  </si>
  <si>
    <t>6974096530878</t>
  </si>
  <si>
    <t>0,5 / 8 / 19,1</t>
  </si>
  <si>
    <t>Брелок металлический Genshin Impact Grass Sumeru Eye of God 6976068147565</t>
  </si>
  <si>
    <t>GEN1212</t>
  </si>
  <si>
    <t>6976068147565</t>
  </si>
  <si>
    <t>13 / 13 / 6</t>
  </si>
  <si>
    <t>Брелок металлический Genshin Impact Inazuma Dendro 6942421100782</t>
  </si>
  <si>
    <t>GEN1228</t>
  </si>
  <si>
    <t>6942421100782</t>
  </si>
  <si>
    <t>Брелок металлический Genshin Impact Inazuma Wind Eye of God 6942421100775</t>
  </si>
  <si>
    <t>GEN1215</t>
  </si>
  <si>
    <t>6942421100775</t>
  </si>
  <si>
    <t>Брелок металлический Genshin Impact Liyue Rock Eye of God 6976068147541</t>
  </si>
  <si>
    <t>GEN1211</t>
  </si>
  <si>
    <t>6976068147541</t>
  </si>
  <si>
    <t>Брелок металлический Genshin Impact Liyue Thunder Eye of God 6942421100720</t>
  </si>
  <si>
    <t>GEN1216</t>
  </si>
  <si>
    <t>6942421100720</t>
  </si>
  <si>
    <t>12,8 / 13 / 6,2</t>
  </si>
  <si>
    <t>Брелок металлический Genshin Impact Liyue Wind Eye of God 6942421100713</t>
  </si>
  <si>
    <t>GEN1214</t>
  </si>
  <si>
    <t>6942421100713</t>
  </si>
  <si>
    <t>Брелок металлический Genshin Impact Mondstadt Grass Eye of God Pendant 6942421100669</t>
  </si>
  <si>
    <t>GEN1213</t>
  </si>
  <si>
    <t>6942421100669</t>
  </si>
  <si>
    <t>Брелок металлический Genshin Impact Mondstadt Rock 6942421100683</t>
  </si>
  <si>
    <t>GEN1227</t>
  </si>
  <si>
    <t>6942421100683</t>
  </si>
  <si>
    <t>Брелок металлический Genshin Impact Wind Eye of God 6976068147534</t>
  </si>
  <si>
    <t>GEN1210</t>
  </si>
  <si>
    <t>6976068147534</t>
  </si>
  <si>
    <t>Брелок металлический Go Camping! Series Metallic Keychain Gorou 6975213688380</t>
  </si>
  <si>
    <t>GEN403</t>
  </si>
  <si>
    <t>6975213688380</t>
  </si>
  <si>
    <t>20,5 / 8,5 / 0,3</t>
  </si>
  <si>
    <t>Брелок металлический Go Camping! Series Metallic Keychain Kaedehara Kazuha 6975213688397</t>
  </si>
  <si>
    <t>GEN404</t>
  </si>
  <si>
    <t>6975213688397</t>
  </si>
  <si>
    <t>Брелок металлический Go Camping! Series Metallic Keychain Paimon 6975213688410</t>
  </si>
  <si>
    <t>GEN406</t>
  </si>
  <si>
    <t>6975213688410</t>
  </si>
  <si>
    <t>Брелок металлический Go Camping! Series Metallic Keychain Sayu 6975213688434</t>
  </si>
  <si>
    <t>GEN407</t>
  </si>
  <si>
    <t>6975213688434</t>
  </si>
  <si>
    <t>Брелок металлический Go Camping! Series Metallic Keychain Xiangling 6975213688427</t>
  </si>
  <si>
    <t>GEN12</t>
  </si>
  <si>
    <t>6975213688427</t>
  </si>
  <si>
    <t>0,3 / 8 / 19,7</t>
  </si>
  <si>
    <t>Брелок металлический Go Camping! Series Metallic Keychain Zhongli 6975213688403</t>
  </si>
  <si>
    <t>GEN405</t>
  </si>
  <si>
    <t>6975213688403</t>
  </si>
  <si>
    <t>Брелок плюшевый Genshin Impact Angelic Sea Hare Blue 6976525009450</t>
  </si>
  <si>
    <t>GEN1031</t>
  </si>
  <si>
    <t>6976525009450</t>
  </si>
  <si>
    <t>12,5 / 13,5 / 4</t>
  </si>
  <si>
    <t>Брелок плюшевый Genshin Impact Angelic Sea Hare Pink 6976525009467</t>
  </si>
  <si>
    <t>GEN1032</t>
  </si>
  <si>
    <t>6976525009467</t>
  </si>
  <si>
    <t>13,5 / 13,5 / 3</t>
  </si>
  <si>
    <t>Брелок плюшевый Genshin Impact Blubber beast Blue 6976525004813</t>
  </si>
  <si>
    <t>GEN1027</t>
  </si>
  <si>
    <t>6976525004813</t>
  </si>
  <si>
    <t>16,5 / 17,5 / 7</t>
  </si>
  <si>
    <t>Брелок плюшевый Genshin Impact Blubber beast Purple 6976525004820</t>
  </si>
  <si>
    <t>GEN1028</t>
  </si>
  <si>
    <t>6976525004820</t>
  </si>
  <si>
    <t>Брелок плюшевый Genshin Impact Bubble Seahorse Blue and Pink 6976525004868</t>
  </si>
  <si>
    <t>GEN1023</t>
  </si>
  <si>
    <t>6976525004868</t>
  </si>
  <si>
    <t>Брелок плюшевый Genshin Impact Bubble Seahorse Brown 6976525004875</t>
  </si>
  <si>
    <t>GEN1024</t>
  </si>
  <si>
    <t>6976525004875</t>
  </si>
  <si>
    <t>20 / 14 / 5</t>
  </si>
  <si>
    <t>Брелок плюшевый Genshin Impact Bubble Seahorse Purple 6976525004851</t>
  </si>
  <si>
    <t>GEN1022</t>
  </si>
  <si>
    <t>6976525004851</t>
  </si>
  <si>
    <t>6,5 / 18 / 22</t>
  </si>
  <si>
    <t>Брелок плюшевый Genshin Impact Fontaine Freminet 6942421101420</t>
  </si>
  <si>
    <t>GEN1039</t>
  </si>
  <si>
    <t>6942421101420</t>
  </si>
  <si>
    <t>4 / 7 / 10,5</t>
  </si>
  <si>
    <t>Брелок плюшевый Genshin Impact Fontaine Lynette 6942421101413</t>
  </si>
  <si>
    <t>GEN1036</t>
  </si>
  <si>
    <t>6942421101413</t>
  </si>
  <si>
    <t>Брелок плюшевый Genshin Impact Fontaine Lyney 6942421101406</t>
  </si>
  <si>
    <t>GEN1040</t>
  </si>
  <si>
    <t>6942421101406</t>
  </si>
  <si>
    <t>Брелок плюшевый Genshin Impact Fontaine Lyney Grin-Malkin Cat 6976525004776</t>
  </si>
  <si>
    <t>GEN1030</t>
  </si>
  <si>
    <t>6976525004776</t>
  </si>
  <si>
    <t>15 / 10 / 9</t>
  </si>
  <si>
    <t>Брелок плюшевый Genshin Impact Fontaine Neuvillette 6942421101437</t>
  </si>
  <si>
    <t>GEN1037</t>
  </si>
  <si>
    <t>6942421101437</t>
  </si>
  <si>
    <t>Брелок плюшевый Genshin Impact Fontaine Ризли 6942421101444</t>
  </si>
  <si>
    <t>GEN1038</t>
  </si>
  <si>
    <t>6942421101444</t>
  </si>
  <si>
    <t>Брелок плюшевый Genshin Impact Leisurely Otter 6976525004783</t>
  </si>
  <si>
    <t>GEN1035</t>
  </si>
  <si>
    <t>6976525004783</t>
  </si>
  <si>
    <t>Брелок плюшевый Genshin Impact дельфин Муалани Mualani Freshwater Dolphin Plush Keychain 69424211418</t>
  </si>
  <si>
    <t>GEN1425</t>
  </si>
  <si>
    <t>6942421141860</t>
  </si>
  <si>
    <t>10 / 11 / 11</t>
  </si>
  <si>
    <t>Брелок плюшевый Genshin Impact дракон Кохолазавр Blazing Natlan 6942421138563</t>
  </si>
  <si>
    <t>GEN1432</t>
  </si>
  <si>
    <t>6942421138563</t>
  </si>
  <si>
    <t>11,5 / 8,5 / 15,2</t>
  </si>
  <si>
    <t>Брелок плюшевый Genshin Impact дракон Тепетлизавр Blazing Natlan 6942421138556</t>
  </si>
  <si>
    <t>GEN1431</t>
  </si>
  <si>
    <t>6942421138556</t>
  </si>
  <si>
    <t>11,5 / 8,5 / 15</t>
  </si>
  <si>
    <t>Брелок плюшевый Genshin Impact дракон Ямказавр Blazing Natlan 6942421138570</t>
  </si>
  <si>
    <t>GEN1433</t>
  </si>
  <si>
    <t>6942421138570</t>
  </si>
  <si>
    <t>Брелок плюшевый Genshin Impact Тарталья Tartaglia Childe Cozy Winter Gathering 6942421148692</t>
  </si>
  <si>
    <t>GEN1406</t>
  </si>
  <si>
    <t>6942421148692</t>
  </si>
  <si>
    <t>8,5 / 13 / 6</t>
  </si>
  <si>
    <t>Брелок плюшевый Genshin Impact Фремине Freminet Cozy Winter Gathering 6942421148678</t>
  </si>
  <si>
    <t>GEN1404</t>
  </si>
  <si>
    <t>6942421148678</t>
  </si>
  <si>
    <t>Брелок резиновый Genshin Impact Плесенник Fungus 6976068144380</t>
  </si>
  <si>
    <t>GEN953</t>
  </si>
  <si>
    <t>6976068144380</t>
  </si>
  <si>
    <t>9 / 15 / 23,5</t>
  </si>
  <si>
    <t>Брошь Genshin Impact Liyue Hutao 6976525009382</t>
  </si>
  <si>
    <t>GEN1175</t>
  </si>
  <si>
    <t>6976525009382</t>
  </si>
  <si>
    <t>10 / 9,5 / 2,8</t>
  </si>
  <si>
    <t>Брошь Genshin Impact Wanderer 6976525002338</t>
  </si>
  <si>
    <t>GEN1174</t>
  </si>
  <si>
    <t>6976525002338</t>
  </si>
  <si>
    <t>11,5 / 11,5 / 1,7</t>
  </si>
  <si>
    <t>Брошь Melodies of an Endless Journey Jewelry Set Bard's Arrow Feather 6974696610932</t>
  </si>
  <si>
    <t>GEN26</t>
  </si>
  <si>
    <t>6974696610932</t>
  </si>
  <si>
    <t>9,5 / 9,5 / 5</t>
  </si>
  <si>
    <t>Визитница Teyvat Zoo Themed Diona 6975213681664</t>
  </si>
  <si>
    <t>GEN838</t>
  </si>
  <si>
    <t>6975213681664</t>
  </si>
  <si>
    <t>20,7 / 11 / 2</t>
  </si>
  <si>
    <t>Визитница Teyvat Zoo Themed Ganyu 6975213681640</t>
  </si>
  <si>
    <t>GEN836</t>
  </si>
  <si>
    <t>6975213681640</t>
  </si>
  <si>
    <t>Гель для чистки клавиатуры Hydro Slime 6975213680353</t>
  </si>
  <si>
    <t>GEN819</t>
  </si>
  <si>
    <t>6975213680353</t>
  </si>
  <si>
    <t>5,5 / 5,5 / 5,5</t>
  </si>
  <si>
    <t>Доска Шикиши Anecdotes Series Nahida 260x145мм 6976068140818</t>
  </si>
  <si>
    <t>GEN563</t>
  </si>
  <si>
    <t>6976068140818</t>
  </si>
  <si>
    <t>16,3 / 27,7 / 0,5</t>
  </si>
  <si>
    <t>Доска Шикиши Anecdotes Series Nilou 260x145мм 6976068140825</t>
  </si>
  <si>
    <t>GEN564</t>
  </si>
  <si>
    <t>6976068140825</t>
  </si>
  <si>
    <t>Доска Шикиши Anecdotes Series Yelan 260x145мм 6976068140795</t>
  </si>
  <si>
    <t>GEN561</t>
  </si>
  <si>
    <t>6976068140795</t>
  </si>
  <si>
    <t>Доска Шикиши Genshin Impact Dance of the Twisted Realm 6942421104278</t>
  </si>
  <si>
    <t>GEN1101</t>
  </si>
  <si>
    <t>6942421104278</t>
  </si>
  <si>
    <t>23,2 / 16,4 / 0,2</t>
  </si>
  <si>
    <t>Доска Шикиши Genshin Impact Dance of the Twisted Realm Fontaine Funina 6942421104964</t>
  </si>
  <si>
    <t>GEN1100</t>
  </si>
  <si>
    <t>6942421104964</t>
  </si>
  <si>
    <t>23,5 / 16,5 / 0,5</t>
  </si>
  <si>
    <t>Доска Шикиши Genshin Impact Duel! The Peak of Summoning! 6976068147688</t>
  </si>
  <si>
    <t>GEN1099</t>
  </si>
  <si>
    <t>6976068147688</t>
  </si>
  <si>
    <t>0,5 / 23,4 / 16,3</t>
  </si>
  <si>
    <t>Доска Шикиши Genshin Impact Earthly 6976525002062</t>
  </si>
  <si>
    <t>GEN1097</t>
  </si>
  <si>
    <t>6976525002062</t>
  </si>
  <si>
    <t>26,5 / 16,8 / 0,5</t>
  </si>
  <si>
    <t>Доска Шикиши Genshin Impact Grand Ceremony and Wisdom Industry 6976068143734</t>
  </si>
  <si>
    <t>GEN1093</t>
  </si>
  <si>
    <t>6976068143734</t>
  </si>
  <si>
    <t>23,4 / 16,2 / 0,3</t>
  </si>
  <si>
    <t>Доска Шикиши Genshin Impact Grand Ceremony and Wisdom Industry 6976068143741</t>
  </si>
  <si>
    <t>GEN1094</t>
  </si>
  <si>
    <t>6976068143741</t>
  </si>
  <si>
    <t>Доска Шикиши Genshin Impact Like the light rain falling for no reason 6976525004745</t>
  </si>
  <si>
    <t>GEN1096</t>
  </si>
  <si>
    <t>6976525004745</t>
  </si>
  <si>
    <t>23,5 / 16 / 0,5</t>
  </si>
  <si>
    <t>Доска Шикиши Genshin Impact Masquerade of the Guilty 6942421132813</t>
  </si>
  <si>
    <t>GEN1275</t>
  </si>
  <si>
    <t>6942421132813</t>
  </si>
  <si>
    <t>Доска шикиши Genshin Impact Mondstadt Дилюк Diluc 2021 Edition 6942421106142</t>
  </si>
  <si>
    <t>GEN1240</t>
  </si>
  <si>
    <t>6942421106142</t>
  </si>
  <si>
    <t>17 / 17 / 0,5</t>
  </si>
  <si>
    <t>Доска шикиши Genshin Impact Mondstadt Дилюк Diluc 2022 Edition 6942421106159</t>
  </si>
  <si>
    <t>GEN1241</t>
  </si>
  <si>
    <t>6942421106159</t>
  </si>
  <si>
    <t>17 / 17 / 0,3</t>
  </si>
  <si>
    <t>Доска шикиши Genshin Impact Mondstadt Дилюк Diluc 2023 Edition 6942421106166</t>
  </si>
  <si>
    <t>GEN1242</t>
  </si>
  <si>
    <t>6942421106166</t>
  </si>
  <si>
    <t>17 / 17,5 / 0,3</t>
  </si>
  <si>
    <t>Доска Шикиши Genshin Impact Qingxia! Paradise? The Great Secret Realm! Xumi Wanderer 6976525000259</t>
  </si>
  <si>
    <t>GEN1095</t>
  </si>
  <si>
    <t>6976525000259</t>
  </si>
  <si>
    <t>23,3 / 16,2 / 0,4</t>
  </si>
  <si>
    <t>Доска Шикиши Genshin Impact Sumeru's Eclipsing Moon Fontaine Neuvillette 6942421101598</t>
  </si>
  <si>
    <t>GEN1098</t>
  </si>
  <si>
    <t>6942421101598</t>
  </si>
  <si>
    <t>Доска Шикиши Genshin Impact Summertide Scales and Tales 6942421142492</t>
  </si>
  <si>
    <t>GEN1292</t>
  </si>
  <si>
    <t>6942421142492</t>
  </si>
  <si>
    <t>23,3 / 16,5 / 0,5</t>
  </si>
  <si>
    <t>Доска Шикиши Genshin Impact To the Stars Shining in the Depths Ризли и Нёвиллет</t>
  </si>
  <si>
    <t>GEN1274</t>
  </si>
  <si>
    <t>6942421132806</t>
  </si>
  <si>
    <t>Доска Шикиши Genshin Impact Two Worlds Aflame, the Crimson Night Fades Арлекино, Лини, Линетт и Фрем</t>
  </si>
  <si>
    <t>GEN1276</t>
  </si>
  <si>
    <t>6942421135302</t>
  </si>
  <si>
    <t>Доска Шикиши Genshin Impact Кинич Муалани Качина Path of Glory and Blazing Sun 6942421148401</t>
  </si>
  <si>
    <t>GEN1375</t>
  </si>
  <si>
    <t>6942421148401</t>
  </si>
  <si>
    <t>Доска шикиши Genshin Impact Лини Lyney 6942421101581</t>
  </si>
  <si>
    <t>GEN1233</t>
  </si>
  <si>
    <t>6942421101581</t>
  </si>
  <si>
    <t>Доска шикиши Genshin Impact Лини Lyney Линетт Lynette Фремине Freminet Like the light rain falling f</t>
  </si>
  <si>
    <t>GEN1236</t>
  </si>
  <si>
    <t>6976525004738</t>
  </si>
  <si>
    <t>Доска шикиши Genshin Impact Ризли Wriothesley Нёвиллет Neuvillette Toward the Morning Star in Deep W</t>
  </si>
  <si>
    <t>GEN1235</t>
  </si>
  <si>
    <t>6942421102199</t>
  </si>
  <si>
    <t>Доска шикиши Genshin Impact Сяо Xiao Fateful Day 2021 6942421106111</t>
  </si>
  <si>
    <t>GEN1237</t>
  </si>
  <si>
    <t>6942421106111</t>
  </si>
  <si>
    <t>Доска шикиши Genshin Impact Сяо Xiao Fateful Day 2022 6942421106128</t>
  </si>
  <si>
    <t>GEN1238</t>
  </si>
  <si>
    <t>6942421106128</t>
  </si>
  <si>
    <t>Доска шикиши Genshin Impact Сяо Xiao Fateful Day 2023 6942421106135</t>
  </si>
  <si>
    <t>GEN1239</t>
  </si>
  <si>
    <t>6942421106135</t>
  </si>
  <si>
    <t>Доска шикиши Genshin Impact Фурина Furina  6942421110170</t>
  </si>
  <si>
    <t>GEN1234</t>
  </si>
  <si>
    <t>6942421110170</t>
  </si>
  <si>
    <t>0,5 / 28 / 16,1</t>
  </si>
  <si>
    <t>Доска Шикиши Genshin Impact Шеврез и Эмилия Joyful Summer! Evil Dragon? Fairy Tale Kingdom! 69424211</t>
  </si>
  <si>
    <t>GEN1374</t>
  </si>
  <si>
    <t>6942421142508</t>
  </si>
  <si>
    <t>Доска Шикиши Hidden Dreams in the Depths Ш21.5*В14.5см 6975628244522</t>
  </si>
  <si>
    <t>GEN497</t>
  </si>
  <si>
    <t>6975628244522</t>
  </si>
  <si>
    <t>25,5 / 16,5 / 0,2</t>
  </si>
  <si>
    <t>Доска Шикиши The Exquisite Night Chimes Alhaitham Ш21.5*В14.5см 6976068141563</t>
  </si>
  <si>
    <t>GEN502</t>
  </si>
  <si>
    <t>6976068141563</t>
  </si>
  <si>
    <t>Доска Шикиши The Exquisite Night Chimes Ganyu Ш21.5*В14.5см 6976068141082</t>
  </si>
  <si>
    <t>GEN501</t>
  </si>
  <si>
    <t>6976068141082</t>
  </si>
  <si>
    <t>Доска Шикиши The Exquisite Night Chimes Ш21.5*В14.5см 6976068141075</t>
  </si>
  <si>
    <t>GEN505</t>
  </si>
  <si>
    <t>6976068141075</t>
  </si>
  <si>
    <t>Доска Шикиши Windblume's Breath Ш21.5*В14.5см 6976068141600</t>
  </si>
  <si>
    <t>GEN503</t>
  </si>
  <si>
    <t>6976068141600</t>
  </si>
  <si>
    <t>Доска Шикиши из акрила Genshin Impact A Parade of Providence 6976525000808</t>
  </si>
  <si>
    <t>GEN1136</t>
  </si>
  <si>
    <t>6976525000808</t>
  </si>
  <si>
    <t>Ежедневник с календарем Genshin Impact 2025 6942421158837</t>
  </si>
  <si>
    <t>GEN1296</t>
  </si>
  <si>
    <t>6942421158837</t>
  </si>
  <si>
    <t>6,4 / 22,4 / 15</t>
  </si>
  <si>
    <t>Зеркало Genshin Impact Fontaine Alhaitham Starlight Letters 6942421111245</t>
  </si>
  <si>
    <t>GEN1267</t>
  </si>
  <si>
    <t>6942421111245</t>
  </si>
  <si>
    <t>0,8 / 8,1 / 12,3</t>
  </si>
  <si>
    <t>Зеркало Genshin Impact Fontaine Charlotte 6942421111252</t>
  </si>
  <si>
    <t>GEN1268</t>
  </si>
  <si>
    <t>6942421111252</t>
  </si>
  <si>
    <t>Зеркало Genshin Impact Fontaine Fiona Starlight Letters Fiona's Mango style 6942421111207</t>
  </si>
  <si>
    <t>GEN1266</t>
  </si>
  <si>
    <t>6942421111207</t>
  </si>
  <si>
    <t>Значки Genshin Impact Тарталья Childe Tartaglia Memory of Meeting 2шт 6942421120995</t>
  </si>
  <si>
    <t>GEN1183</t>
  </si>
  <si>
    <t>6942421120995</t>
  </si>
  <si>
    <t>6,2 / 12,5 / 0,5</t>
  </si>
  <si>
    <t>Значки Genshin Impact Ху Тао Hu Tao Memory of Meeting 2шт 6942421120988</t>
  </si>
  <si>
    <t>GEN1182</t>
  </si>
  <si>
    <t>6942421120988</t>
  </si>
  <si>
    <t>12,5 / 6,5 / 0,5</t>
  </si>
  <si>
    <t>Значки Genshin Impact Яэ Мико Yae Miko Memory of Meeting 2шт 6942421112471</t>
  </si>
  <si>
    <t>GEN1184</t>
  </si>
  <si>
    <t>6942421112471</t>
  </si>
  <si>
    <t>6 / 12,5 / 1</t>
  </si>
  <si>
    <t>Значок 2022 Online Concert Can Badge Kaedehara Kazuha 6975628240265</t>
  </si>
  <si>
    <t>GEN378</t>
  </si>
  <si>
    <t>6975628240265</t>
  </si>
  <si>
    <t>Значок 2022 Online Concert Can Badge Xinyan 6975628240241</t>
  </si>
  <si>
    <t>GEN376</t>
  </si>
  <si>
    <t>6975628240241</t>
  </si>
  <si>
    <t>Значок 2022 Online Concert Yun Jin Юнь Цзинь 6975628240234</t>
  </si>
  <si>
    <t>GEN735</t>
  </si>
  <si>
    <t>6975628240234</t>
  </si>
  <si>
    <t>0,5 / 8,8 / 9,8</t>
  </si>
  <si>
    <t>Значок 2023 Fontaine Art Exhibit Freminet 6976068149675</t>
  </si>
  <si>
    <t>GEN967</t>
  </si>
  <si>
    <t>6976068149675</t>
  </si>
  <si>
    <t>10,5 / 9,7 / 0,5</t>
  </si>
  <si>
    <t>Значок 2023 Fontaine Art Exhibit Lynette 6976068149682</t>
  </si>
  <si>
    <t>GEN966</t>
  </si>
  <si>
    <t>6976068149682</t>
  </si>
  <si>
    <t>9 / 8,5 / 0,5</t>
  </si>
  <si>
    <t>Значок 2023 Fontaine Art Exhibit Lyney 6976068149668</t>
  </si>
  <si>
    <t>GEN965</t>
  </si>
  <si>
    <t>6976068149668</t>
  </si>
  <si>
    <t>Значок 2023 Offline Genshin Event Square Kamisato Ayaka 6975213681060</t>
  </si>
  <si>
    <t>GEN899</t>
  </si>
  <si>
    <t>6975213681060</t>
  </si>
  <si>
    <t>Значок Anecdotes Series Nilou 6976068140757</t>
  </si>
  <si>
    <t>GEN557</t>
  </si>
  <si>
    <t>6976068140757</t>
  </si>
  <si>
    <t>Значок Anecdotes Series Yelan 6976068140726</t>
  </si>
  <si>
    <t>GEN554</t>
  </si>
  <si>
    <t>6976068140726</t>
  </si>
  <si>
    <t>Значок Can Badge Paimon 6972957482649</t>
  </si>
  <si>
    <t>GEN80</t>
  </si>
  <si>
    <t>6972957482649</t>
  </si>
  <si>
    <t>Значок Can Badge Traveler Aether 6972957482656</t>
  </si>
  <si>
    <t>GEN82</t>
  </si>
  <si>
    <t>6972957482656</t>
  </si>
  <si>
    <t>Значок Can Badge Traveler Lumine 6972957482663</t>
  </si>
  <si>
    <t>GEN81</t>
  </si>
  <si>
    <t>6972957482663</t>
  </si>
  <si>
    <t>Значок Character Banner Art Can Badges The Vigilant Yaksha Xiao 6974696617450</t>
  </si>
  <si>
    <t>GEN136</t>
  </si>
  <si>
    <t>6974696617450</t>
  </si>
  <si>
    <t>0,5 / 11,6 / 7,8</t>
  </si>
  <si>
    <t>Значок Character Banner Art Can Badges Vago Mundo Zhongli 6974096534166</t>
  </si>
  <si>
    <t>GEN134</t>
  </si>
  <si>
    <t>6974096534166</t>
  </si>
  <si>
    <t>Значок Character PV Series Cyno 6942421101758</t>
  </si>
  <si>
    <t>GEN1002</t>
  </si>
  <si>
    <t>6942421101758</t>
  </si>
  <si>
    <t>Значок Character PV Series Ganyu 6942421101666</t>
  </si>
  <si>
    <t>GEN993</t>
  </si>
  <si>
    <t>6942421101666</t>
  </si>
  <si>
    <t>Значок Character PV Series Kamisato Ayato 6942421101710</t>
  </si>
  <si>
    <t>GEN998</t>
  </si>
  <si>
    <t>6942421101710</t>
  </si>
  <si>
    <t>Значок Character PV Series Klee 6942421101659</t>
  </si>
  <si>
    <t>GEN992</t>
  </si>
  <si>
    <t>6942421101659</t>
  </si>
  <si>
    <t>Значок Character PV Series Nahida 6942421101734</t>
  </si>
  <si>
    <t>GEN1000</t>
  </si>
  <si>
    <t>6942421101734</t>
  </si>
  <si>
    <t>Значок Character PV Series Nilou 6942421101741</t>
  </si>
  <si>
    <t>GEN1001</t>
  </si>
  <si>
    <t>6942421101741</t>
  </si>
  <si>
    <t>Значок Character PV Series Tartaglia 6942421101673</t>
  </si>
  <si>
    <t>GEN994</t>
  </si>
  <si>
    <t>6942421101673</t>
  </si>
  <si>
    <t>Значок Character PV Series Tighnari 6942421101727</t>
  </si>
  <si>
    <t>GEN999</t>
  </si>
  <si>
    <t>6942421101727</t>
  </si>
  <si>
    <t>Значок Character PV Series Yae Miko 6942421101697</t>
  </si>
  <si>
    <t>GEN996</t>
  </si>
  <si>
    <t>6942421101697</t>
  </si>
  <si>
    <t>Значок Character PV Series Yelan 6942421101703</t>
  </si>
  <si>
    <t>GEN997</t>
  </si>
  <si>
    <t>6942421101703</t>
  </si>
  <si>
    <t>Значок Chibi Character Cloth Badge Exquisite Delicacy Xiangling 6974696618341</t>
  </si>
  <si>
    <t>GEN151</t>
  </si>
  <si>
    <t>6974696618341</t>
  </si>
  <si>
    <t>Значок Chibi Character Cloth Badge Geo Archon Zhongli 6974096533879</t>
  </si>
  <si>
    <t>GEN147</t>
  </si>
  <si>
    <t>6974096533879</t>
  </si>
  <si>
    <t>11,1 / 8,1 / 0,1</t>
  </si>
  <si>
    <t>Значок Chibi Character Cloth Badge Prinzessin der Verurteilung Fischl 6974696613148</t>
  </si>
  <si>
    <t>GEN886</t>
  </si>
  <si>
    <t>6974696613148</t>
  </si>
  <si>
    <t>Значок Chibi Expressions Candace 6975628247363</t>
  </si>
  <si>
    <t>GEN612</t>
  </si>
  <si>
    <t>6975628247363</t>
  </si>
  <si>
    <t>Значок Chibi Expressions Character Can Badge Azhdaha 6974096537518</t>
  </si>
  <si>
    <t>GEN212</t>
  </si>
  <si>
    <t>6974096537518</t>
  </si>
  <si>
    <t>Значок Chibi Expressions Character Can Badge Freminet 6976525003700</t>
  </si>
  <si>
    <t>GEN983</t>
  </si>
  <si>
    <t>6976525003700</t>
  </si>
  <si>
    <t>Значок Chibi Expressions Character Can Badge Jean 6974696616590</t>
  </si>
  <si>
    <t>GEN218</t>
  </si>
  <si>
    <t>6974696616590</t>
  </si>
  <si>
    <t>Значок Chibi Expressions Character Can Badge Lynette 6976525003694</t>
  </si>
  <si>
    <t>GEN982</t>
  </si>
  <si>
    <t>6976525003694</t>
  </si>
  <si>
    <t>Значок Chibi Expressions Character Can Badge Lyney 6976525003687</t>
  </si>
  <si>
    <t>GEN981</t>
  </si>
  <si>
    <t>6976525003687</t>
  </si>
  <si>
    <t>Значок Chibi Expressions Character Can Badge Mona 6972957488214</t>
  </si>
  <si>
    <t>GEN205</t>
  </si>
  <si>
    <t>6972957488214</t>
  </si>
  <si>
    <t>Значок Chibi Expressions Character Can Badge Yun Jin Юнь Цзинь 6975213680384</t>
  </si>
  <si>
    <t>GEN897</t>
  </si>
  <si>
    <t>6975213680384</t>
  </si>
  <si>
    <t>Значок Chibi Expressions Collei 6975628247349</t>
  </si>
  <si>
    <t>GEN608</t>
  </si>
  <si>
    <t>6975628247349</t>
  </si>
  <si>
    <t>Значок Chibi Expressions Dehya 6976068141198</t>
  </si>
  <si>
    <t>GEN618</t>
  </si>
  <si>
    <t>6976068141198</t>
  </si>
  <si>
    <t>Значок Chibi Expressions Dori 6975628247356</t>
  </si>
  <si>
    <t>GEN609</t>
  </si>
  <si>
    <t>6975628247356</t>
  </si>
  <si>
    <t>Значок Chibi Expressions Faruzan 6975628248414</t>
  </si>
  <si>
    <t>GEN616</t>
  </si>
  <si>
    <t>6975628248414</t>
  </si>
  <si>
    <t>Значок Chibi Expressions Kuki Shinobu 6975628248438</t>
  </si>
  <si>
    <t>GEN606</t>
  </si>
  <si>
    <t>6975628248438</t>
  </si>
  <si>
    <t>Значок Chibi Expressions Layla 6975628248391</t>
  </si>
  <si>
    <t>GEN613</t>
  </si>
  <si>
    <t>6975628248391</t>
  </si>
  <si>
    <t>Значок Chibi Expressions Mika 6976068141204</t>
  </si>
  <si>
    <t>GEN623</t>
  </si>
  <si>
    <t>6976068141204</t>
  </si>
  <si>
    <t>Значок Chibi Expressions Nilou 6975628247325</t>
  </si>
  <si>
    <t>GEN611</t>
  </si>
  <si>
    <t>6975628247325</t>
  </si>
  <si>
    <t>Значок Chibi Expressions Ningguang 6976068141174</t>
  </si>
  <si>
    <t>GEN621</t>
  </si>
  <si>
    <t>6976068141174</t>
  </si>
  <si>
    <t>Значок Chibi Expressions Shikanoin Heizou 6976068141167</t>
  </si>
  <si>
    <t>GEN620</t>
  </si>
  <si>
    <t>6976068141167</t>
  </si>
  <si>
    <t>Значок Chibi Expressions Xingqiu 6976068141181</t>
  </si>
  <si>
    <t>GEN622</t>
  </si>
  <si>
    <t>6976068141181</t>
  </si>
  <si>
    <t>Значок Chibi Expressions Yaoyao 6976068141150</t>
  </si>
  <si>
    <t>GEN619</t>
  </si>
  <si>
    <t>6976068141150</t>
  </si>
  <si>
    <t>Значок Eula 6974696616088</t>
  </si>
  <si>
    <t>GEN657</t>
  </si>
  <si>
    <t>6974696616088</t>
  </si>
  <si>
    <t>Значок Farewell of Snezhnaya Tartaglia 6974096532513</t>
  </si>
  <si>
    <t>GEN548</t>
  </si>
  <si>
    <t>6974096532513</t>
  </si>
  <si>
    <t>Значок Fatui Can Badge Tartaglia 6972957488078</t>
  </si>
  <si>
    <t>GEN114</t>
  </si>
  <si>
    <t>6972957488078</t>
  </si>
  <si>
    <t>Значок Genshin Concert Melodies of an Endless Journey Can Badge Barbara 6974096537136</t>
  </si>
  <si>
    <t>GEN306</t>
  </si>
  <si>
    <t>6974096537136</t>
  </si>
  <si>
    <t>Значок Genshin Concert Melodies of an Endless Journey Can Badge Diluc 6974096537129</t>
  </si>
  <si>
    <t>GEN305</t>
  </si>
  <si>
    <t>6974096537129</t>
  </si>
  <si>
    <t>Значок Genshin Concert Melodies of an Endless Journey Can Badge Xiangling 6974096537105</t>
  </si>
  <si>
    <t>GEN303</t>
  </si>
  <si>
    <t>6974096537105</t>
  </si>
  <si>
    <t>Значок Genshin Concert Melodies of an Endless Journey Chibi Character Badge Barbara 6974096538683</t>
  </si>
  <si>
    <t>GEN324</t>
  </si>
  <si>
    <t>6974096538683</t>
  </si>
  <si>
    <t>8 / 7 / 0,5</t>
  </si>
  <si>
    <t>Значок Genshin Concert Melodies of an Endless Journey Chibi Character Badge Xiangling 6974096538676</t>
  </si>
  <si>
    <t>GEN321</t>
  </si>
  <si>
    <t>6974096538676</t>
  </si>
  <si>
    <t>Значок Genshin Fes 2023 Paimon 6976068146315</t>
  </si>
  <si>
    <t>GEN902</t>
  </si>
  <si>
    <t>6976068146315</t>
  </si>
  <si>
    <t>Значок Genshin Fes 2023 Traveler (Aether) 6976068146339</t>
  </si>
  <si>
    <t>GEN904</t>
  </si>
  <si>
    <t>6976068146339</t>
  </si>
  <si>
    <t>Значок Genshin Fes 2023 Traveler (Lumine) 6976068146322</t>
  </si>
  <si>
    <t>GEN903</t>
  </si>
  <si>
    <t>6976068146322</t>
  </si>
  <si>
    <t>Значок Genshin Impact 2024 Carnival Reunion Сиджвин Sigewinne 6942421136064</t>
  </si>
  <si>
    <t>GEN1249</t>
  </si>
  <si>
    <t>6942421136064</t>
  </si>
  <si>
    <t>7,5 / 7 / 1</t>
  </si>
  <si>
    <t>Значок Genshin Impact 2024 Carnival Reunion Тарталья Childe Tartaglia 6942421136040</t>
  </si>
  <si>
    <t>GEN1248</t>
  </si>
  <si>
    <t>6942421136040</t>
  </si>
  <si>
    <t>Значок Genshin Impact 2024 Carnival Reunion Яэ Мико Yae Miko 6942421136057</t>
  </si>
  <si>
    <t>GEN1247</t>
  </si>
  <si>
    <t>6942421136057</t>
  </si>
  <si>
    <t>8 / 8 / 0,5</t>
  </si>
  <si>
    <t>Значок Genshin Impact Anniversary series Венти Venti 6942421148128</t>
  </si>
  <si>
    <t>GEN1334</t>
  </si>
  <si>
    <t>6942421148128</t>
  </si>
  <si>
    <t>9,5 / 8,5 / 1</t>
  </si>
  <si>
    <t>Значок Genshin Impact Anniversary series Мавуика Mavuika 6942421148173</t>
  </si>
  <si>
    <t>GEN1339</t>
  </si>
  <si>
    <t>6942421148173</t>
  </si>
  <si>
    <t>9 / 8,5 / 1</t>
  </si>
  <si>
    <t>Значок Genshin Impact Anniversary series Нахида Nahida 6942421148159</t>
  </si>
  <si>
    <t>GEN1337</t>
  </si>
  <si>
    <t>6942421148159</t>
  </si>
  <si>
    <t>Значок Genshin Impact Anniversary series Райдэн Raiden 6942421148142</t>
  </si>
  <si>
    <t>GEN1336</t>
  </si>
  <si>
    <t>6942421148142</t>
  </si>
  <si>
    <t>9,5 / 8,5 / 0,8</t>
  </si>
  <si>
    <t>Значок Genshin Impact Anniversary series Фурина Furina 6942421148166</t>
  </si>
  <si>
    <t>GEN1338</t>
  </si>
  <si>
    <t>6942421148166</t>
  </si>
  <si>
    <t>Значок Genshin Impact Anniversary series Чжунли Zhongli 6942421148135</t>
  </si>
  <si>
    <t>GEN1335</t>
  </si>
  <si>
    <t>6942421148135</t>
  </si>
  <si>
    <t>Значок Genshin Impact As Light Rain Falls Without Reason Cyno 6976068146148</t>
  </si>
  <si>
    <t>GEN1085</t>
  </si>
  <si>
    <t>6976068146148</t>
  </si>
  <si>
    <t>11 / 8 / 1</t>
  </si>
  <si>
    <t>Значок Genshin Impact Captain Earthly Tartaglia 6976525001959</t>
  </si>
  <si>
    <t>GEN1072</t>
  </si>
  <si>
    <t>6976525001959</t>
  </si>
  <si>
    <t>8,5 / 8,5 / 1</t>
  </si>
  <si>
    <t>Значок Genshin Impact Captain Earthly Zhongli 6976525001935</t>
  </si>
  <si>
    <t>GEN1071</t>
  </si>
  <si>
    <t>6976525001935</t>
  </si>
  <si>
    <t>8,5 / 8,5 / 0,5</t>
  </si>
  <si>
    <t>Значок Genshin Impact Character Badge Kaedehara Kazuha 6974696616163</t>
  </si>
  <si>
    <t>GEN346</t>
  </si>
  <si>
    <t>6974696616163</t>
  </si>
  <si>
    <t>Значок Genshin Impact Diluc  6942421106296</t>
  </si>
  <si>
    <t>GEN1084</t>
  </si>
  <si>
    <t>6942421106296</t>
  </si>
  <si>
    <t>Значок Genshin Impact Emoji Liyue Xiao 6976068146070</t>
  </si>
  <si>
    <t>GEN1082</t>
  </si>
  <si>
    <t>6976068146070</t>
  </si>
  <si>
    <t>Значок Genshin Impact Emoji Liyue Zhongli 6976068146049</t>
  </si>
  <si>
    <t>GEN1081</t>
  </si>
  <si>
    <t>6976068146049</t>
  </si>
  <si>
    <t>Значок Genshin Impact Emoji Navia 6942421107460</t>
  </si>
  <si>
    <t>GEN1083</t>
  </si>
  <si>
    <t>6942421107460</t>
  </si>
  <si>
    <t>0,8 / 8,6 / 9</t>
  </si>
  <si>
    <t>Значок Genshin Impact Endless Sonata Линетт Lynette 6942421134176</t>
  </si>
  <si>
    <t>GEN1288</t>
  </si>
  <si>
    <t>6942421134176</t>
  </si>
  <si>
    <t>10,5 / 10,5 / 0,5</t>
  </si>
  <si>
    <t>Значок Genshin Impact Endless Sonata Навия Navia 6942421134183</t>
  </si>
  <si>
    <t>GEN1289</t>
  </si>
  <si>
    <t>6942421134183</t>
  </si>
  <si>
    <t>0,8 / 10 / 10</t>
  </si>
  <si>
    <t>Значок Genshin Impact Eula 6942421114161</t>
  </si>
  <si>
    <t>GEN1141</t>
  </si>
  <si>
    <t>6942421114161</t>
  </si>
  <si>
    <t>Значок Genshin Impact Fontaine Chevreuse 6942421104704</t>
  </si>
  <si>
    <t>GEN1078</t>
  </si>
  <si>
    <t>6942421104704</t>
  </si>
  <si>
    <t>Значок Genshin Impact Fontaine Furina Ousia 6942421104735</t>
  </si>
  <si>
    <t>GEN1077</t>
  </si>
  <si>
    <t>6942421104735</t>
  </si>
  <si>
    <t>Значок Genshin Impact Fontaine Furina Pneuma 6942421101505</t>
  </si>
  <si>
    <t>GEN1076</t>
  </si>
  <si>
    <t>6942421101505</t>
  </si>
  <si>
    <t>Значок Genshin Impact Fontaine Lyney 6976525004066</t>
  </si>
  <si>
    <t>GEN1074</t>
  </si>
  <si>
    <t>6976525004066</t>
  </si>
  <si>
    <t>Значок Genshin Impact Fontaine Navia 6942421104698</t>
  </si>
  <si>
    <t>GEN1073</t>
  </si>
  <si>
    <t>6942421104698</t>
  </si>
  <si>
    <t>Значок Genshin Impact Fontaine Wriothesley 6976525005469</t>
  </si>
  <si>
    <t>GEN1075</t>
  </si>
  <si>
    <t>6976525005469</t>
  </si>
  <si>
    <t>Значок Genshin Impact Furina 6942421104032</t>
  </si>
  <si>
    <t>GEN1135</t>
  </si>
  <si>
    <t>6942421104032</t>
  </si>
  <si>
    <t>Значок Genshin Impact Gaming Liyue 6942421110026</t>
  </si>
  <si>
    <t>GEN1068</t>
  </si>
  <si>
    <t>6942421110026</t>
  </si>
  <si>
    <t>Значок Genshin Impact Inazuma Sumeru's Eclipsing Moon Yae Miko 6976068143369</t>
  </si>
  <si>
    <t>GEN1079</t>
  </si>
  <si>
    <t>6976068143369</t>
  </si>
  <si>
    <t>Значок Genshin Impact Liyue Xianyun 6942421110019</t>
  </si>
  <si>
    <t>GEN1067</t>
  </si>
  <si>
    <t>6942421110019</t>
  </si>
  <si>
    <t>Значок Genshin Impact Lyney 6942421114246</t>
  </si>
  <si>
    <t>GEN1143</t>
  </si>
  <si>
    <t>6942421114246</t>
  </si>
  <si>
    <t>Значок Genshin Impact Moment of Syzygy Liyue Xiao 6942421105831</t>
  </si>
  <si>
    <t>GEN1090</t>
  </si>
  <si>
    <t>6942421105831</t>
  </si>
  <si>
    <t>0,8 / 9 / 9,5</t>
  </si>
  <si>
    <t>Значок Genshin Impact Moment of Syzygy Mondstadt Diluc 6942421105862</t>
  </si>
  <si>
    <t>GEN1091</t>
  </si>
  <si>
    <t>6942421105862</t>
  </si>
  <si>
    <t>9,5 / 9 / 1</t>
  </si>
  <si>
    <t>Значок Genshin Impact Moment of Syzygy Mondstadt Diluc 6942421105879</t>
  </si>
  <si>
    <t>GEN1092</t>
  </si>
  <si>
    <t>6942421105879</t>
  </si>
  <si>
    <t>Значок Genshin Impact Mondstadt Venti 6942421103998</t>
  </si>
  <si>
    <t>GEN1132</t>
  </si>
  <si>
    <t>6942421103998</t>
  </si>
  <si>
    <t>Значок Genshin Impact Prospective Series Арлекино Arlecchino 6942421138082</t>
  </si>
  <si>
    <t>GEN1272</t>
  </si>
  <si>
    <t>6942421138082</t>
  </si>
  <si>
    <t>Значок Genshin Impact Q Version Court of Fontaine Клоринда Clorinde 6942421133520</t>
  </si>
  <si>
    <t>GEN1244</t>
  </si>
  <si>
    <t>6942421133520</t>
  </si>
  <si>
    <t>10 / 9 / 0,5</t>
  </si>
  <si>
    <t>Значок Genshin Impact Q Version Court of Fontaine Сиджвин Sigewinne 6942421133513</t>
  </si>
  <si>
    <t>GEN1243</t>
  </si>
  <si>
    <t>6942421133513</t>
  </si>
  <si>
    <t>Значок Genshin Impact Q Version Fatui Арлекино Arlecchino 6942421107651</t>
  </si>
  <si>
    <t>GEN1245</t>
  </si>
  <si>
    <t>6942421107651</t>
  </si>
  <si>
    <t>10,5 / 9 / 0,5</t>
  </si>
  <si>
    <t>Значок Genshin Impact Q Version Fatui Тарталья Childe Tartaglia 6942421107668</t>
  </si>
  <si>
    <t>GEN1246</t>
  </si>
  <si>
    <t>6942421107668</t>
  </si>
  <si>
    <t>Значок Genshin Impact Q-Version Bottle Cap Фурина Furina 6942421141259</t>
  </si>
  <si>
    <t>GEN1329</t>
  </si>
  <si>
    <t>6942421141259</t>
  </si>
  <si>
    <t>0,8 / 14 / 6</t>
  </si>
  <si>
    <t>Значок Genshin Impact Raiden Shogun 6942421104018</t>
  </si>
  <si>
    <t>GEN1134</t>
  </si>
  <si>
    <t>6942421104018</t>
  </si>
  <si>
    <t>Значок Genshin Impact Rich Fantasy Навия Navia 6942421141143</t>
  </si>
  <si>
    <t>GEN1322</t>
  </si>
  <si>
    <t>6942421141143</t>
  </si>
  <si>
    <t>Значок Genshin Impact Rich Fantasy Сиджвин Sigewinne 6942421141150</t>
  </si>
  <si>
    <t>GEN1323</t>
  </si>
  <si>
    <t>6942421141150</t>
  </si>
  <si>
    <t>Значок Genshin Impact Rich Fantasy Фурина Furina 6942421141136</t>
  </si>
  <si>
    <t>GEN1321</t>
  </si>
  <si>
    <t>6942421141136</t>
  </si>
  <si>
    <t>0,8 / 14 / 12</t>
  </si>
  <si>
    <t>Значок Genshin Impact Sangonomiya Kokomi 6942421114215</t>
  </si>
  <si>
    <t>GEN1142</t>
  </si>
  <si>
    <t>6942421114215</t>
  </si>
  <si>
    <t>Значок Genshin Impact Shadow Hunter Навия Navia 6942421139652</t>
  </si>
  <si>
    <t>GEN1278</t>
  </si>
  <si>
    <t>6942421139652</t>
  </si>
  <si>
    <t>Значок Genshin Impact Shadow Hunter Фурина Furina 6942421139621</t>
  </si>
  <si>
    <t>GEN1277</t>
  </si>
  <si>
    <t>6942421139621</t>
  </si>
  <si>
    <t>Значок Genshin Impact Starlight Letters Kaveh 6942421111672</t>
  </si>
  <si>
    <t>GEN1150</t>
  </si>
  <si>
    <t>6942421111672</t>
  </si>
  <si>
    <t>Значок Genshin Impact Starlight Letters Wriothesley 6942421111566</t>
  </si>
  <si>
    <t>GEN1151</t>
  </si>
  <si>
    <t>6942421111566</t>
  </si>
  <si>
    <t>8 / 8 / 1</t>
  </si>
  <si>
    <t>Значок Genshin Impact Sumeru's Eclipsing Moon Neuvillette 6942421101550</t>
  </si>
  <si>
    <t>GEN1080</t>
  </si>
  <si>
    <t>6942421101550</t>
  </si>
  <si>
    <t>Значок Genshin Impact The heart has something to delight in Ganyu 6942421102571</t>
  </si>
  <si>
    <t>GEN1069</t>
  </si>
  <si>
    <t>6942421102571</t>
  </si>
  <si>
    <t>Значок Genshin Impact To the Stars Shining in the Depths Arlecchino 6942421102267</t>
  </si>
  <si>
    <t>GEN1088</t>
  </si>
  <si>
    <t>6942421102267</t>
  </si>
  <si>
    <t>0,8 / 7,9 / 11</t>
  </si>
  <si>
    <t>Значок Genshin Impact To the Stars Shining in the Depths Neuvillette 6942421102243</t>
  </si>
  <si>
    <t>GEN1086</t>
  </si>
  <si>
    <t>6942421102243</t>
  </si>
  <si>
    <t>Значок Genshin Impact To the Stars Shining in the Depths Wriothesley 6942421102250</t>
  </si>
  <si>
    <t>GEN1087</t>
  </si>
  <si>
    <t>6942421102250</t>
  </si>
  <si>
    <t>Значок Genshin Impact To the Stars Shining in the Depths Wriothesley 6942421102298</t>
  </si>
  <si>
    <t>GEN1089</t>
  </si>
  <si>
    <t>6942421102298</t>
  </si>
  <si>
    <t>0,8 / 8 / 11</t>
  </si>
  <si>
    <t>Значок Genshin Impact Wanderer Pendant Ornaments Metal Badge Starlight Letters Series Character Badg</t>
  </si>
  <si>
    <t>GEN1152</t>
  </si>
  <si>
    <t>6942421111573</t>
  </si>
  <si>
    <t>Значок Genshin Impact Winter Night Fool's Play Pantalone 6942421120827</t>
  </si>
  <si>
    <t>GEN1156</t>
  </si>
  <si>
    <t>6942421120827</t>
  </si>
  <si>
    <t>Значок Genshin Impact Zhongli 6942421104001</t>
  </si>
  <si>
    <t>GEN1133</t>
  </si>
  <si>
    <t>6942421104001</t>
  </si>
  <si>
    <t>Значок Genshin Impact Арлекино Arlecchino 6942421149651</t>
  </si>
  <si>
    <t>GEN1344</t>
  </si>
  <si>
    <t>6942421149651</t>
  </si>
  <si>
    <t>Значок Genshin Impact Дайнслейф Dainsleif 6976068142119</t>
  </si>
  <si>
    <t>GEN887</t>
  </si>
  <si>
    <t>6976068142119</t>
  </si>
  <si>
    <t>Значок Genshin Impact Кавех Kaveh Version Preview 6942421156222</t>
  </si>
  <si>
    <t>GEN1397</t>
  </si>
  <si>
    <t>6942421156222</t>
  </si>
  <si>
    <t>Значок Genshin Impact Кинич Kinich 6942421138303</t>
  </si>
  <si>
    <t>GEN1348</t>
  </si>
  <si>
    <t>6942421138303</t>
  </si>
  <si>
    <t>Значок Genshin Impact Кинич Kinich Departure! Land of Pyro 6942421157670</t>
  </si>
  <si>
    <t>GEN1385</t>
  </si>
  <si>
    <t>6942421157670</t>
  </si>
  <si>
    <t>Значок Genshin Impact Кинич Kinich Departure! Land of Pyro 6942421157700</t>
  </si>
  <si>
    <t>GEN1387</t>
  </si>
  <si>
    <t>6942421157700</t>
  </si>
  <si>
    <t>0,8 / 10 / 15,5</t>
  </si>
  <si>
    <t>Значок Genshin Impact Кинич Kinich Natlan Theme 6942421153764</t>
  </si>
  <si>
    <t>GEN1373</t>
  </si>
  <si>
    <t>6942421153764</t>
  </si>
  <si>
    <t>0,8 / 9 / 9</t>
  </si>
  <si>
    <t>Значок Genshin Impact Кинич Kinich Traces of Splendor 6942421147077</t>
  </si>
  <si>
    <t>GEN1371</t>
  </si>
  <si>
    <t>6942421147077</t>
  </si>
  <si>
    <t>10 / 10 / 1</t>
  </si>
  <si>
    <t>Значок Genshin Impact Кинич Kinich Version Preview 6942421156291</t>
  </si>
  <si>
    <t>GEN1402</t>
  </si>
  <si>
    <t>6942421156291</t>
  </si>
  <si>
    <t>Значок Genshin Impact Кли Klee Version Preview 6942421156239</t>
  </si>
  <si>
    <t>GEN1398</t>
  </si>
  <si>
    <t>6942421156239</t>
  </si>
  <si>
    <t>Значок Genshin Impact Лини Lyney Cozy Winter Gathering 6942421149316</t>
  </si>
  <si>
    <t>GEN1411</t>
  </si>
  <si>
    <t>6942421149316</t>
  </si>
  <si>
    <t>2,3 / 8 / 8</t>
  </si>
  <si>
    <t>Значок Genshin Impact Лини Lyney Version Preview 6942421156253</t>
  </si>
  <si>
    <t>GEN1400</t>
  </si>
  <si>
    <t>6942421156253</t>
  </si>
  <si>
    <t>Значок Genshin Impact Мавуика Mavuika Natlan Theme 6942421148418</t>
  </si>
  <si>
    <t>GEN1377</t>
  </si>
  <si>
    <t>6942421148418</t>
  </si>
  <si>
    <t>Значок Genshin Impact Маувика Mawica Character  (Version B) 6942421156147</t>
  </si>
  <si>
    <t>GEN1393</t>
  </si>
  <si>
    <t>6942421156147</t>
  </si>
  <si>
    <t>Значок Genshin Impact Муалани Mualani Character  6942421148432</t>
  </si>
  <si>
    <t>GEN1379</t>
  </si>
  <si>
    <t>6942421148432</t>
  </si>
  <si>
    <t>Значок Genshin Impact Муалани Mualani Departure! Land of Pyro 6942421157694</t>
  </si>
  <si>
    <t>GEN1386</t>
  </si>
  <si>
    <t>6942421157694</t>
  </si>
  <si>
    <t>Значок Genshin Impact Муалани Mualani Departure! Land of Pyro 6942421157724</t>
  </si>
  <si>
    <t>GEN1389</t>
  </si>
  <si>
    <t>6942421157724</t>
  </si>
  <si>
    <t>15,5 / 10,5 / 0,5</t>
  </si>
  <si>
    <t>Значок Genshin Impact Муалани Mualani Natlan Theme 6942421153740</t>
  </si>
  <si>
    <t>GEN1372</t>
  </si>
  <si>
    <t>6942421153740</t>
  </si>
  <si>
    <t>Значок Genshin Impact Муалани Mualani Version Preview 6942421156277</t>
  </si>
  <si>
    <t>GEN1401</t>
  </si>
  <si>
    <t>6942421156277</t>
  </si>
  <si>
    <t>Значок Genshin Impact Навия Navia 6942421142546</t>
  </si>
  <si>
    <t>GEN1294</t>
  </si>
  <si>
    <t>6942421142546</t>
  </si>
  <si>
    <t>11,1 / 8,1 / 0,5</t>
  </si>
  <si>
    <t>Значок Genshin Impact Навия Navia 6942421148517</t>
  </si>
  <si>
    <t>GEN1333</t>
  </si>
  <si>
    <t>6942421148517</t>
  </si>
  <si>
    <t>Значок Genshin Impact Навия Navia 6942421149590</t>
  </si>
  <si>
    <t>GEN1343</t>
  </si>
  <si>
    <t>6942421149590</t>
  </si>
  <si>
    <t>Значок Genshin Impact Нахида Nahida Version Preview 6942421156208</t>
  </si>
  <si>
    <t>GEN1395</t>
  </si>
  <si>
    <t>6942421156208</t>
  </si>
  <si>
    <t>Значок Genshin Impact Нёвиллет Neuvillette 6942421148494</t>
  </si>
  <si>
    <t>GEN1331</t>
  </si>
  <si>
    <t>6942421148494</t>
  </si>
  <si>
    <t>Значок Genshin Impact Нёвиллет Neuvillette 6942421149576</t>
  </si>
  <si>
    <t>GEN1341</t>
  </si>
  <si>
    <t>6942421149576</t>
  </si>
  <si>
    <t>Значок Genshin Impact Нёвиллет Neuvillette Starlight Letters 6942421111559</t>
  </si>
  <si>
    <t>GEN1181</t>
  </si>
  <si>
    <t>6942421111559</t>
  </si>
  <si>
    <t>Значок Genshin Impact Нёвиллет Neuvillette The Morning Star in the Depths 6942421102281</t>
  </si>
  <si>
    <t>GEN1195</t>
  </si>
  <si>
    <t>6942421102281</t>
  </si>
  <si>
    <t>0,8 / 8,5 / 11</t>
  </si>
  <si>
    <t>Значок Genshin Impact Райдэн Raiden 6975628244966</t>
  </si>
  <si>
    <t>GEN668</t>
  </si>
  <si>
    <t>6975628244966</t>
  </si>
  <si>
    <t>Значок Genshin Impact Ризли Wriothesley 6942421148487</t>
  </si>
  <si>
    <t>GEN1330</t>
  </si>
  <si>
    <t>6942421148487</t>
  </si>
  <si>
    <t>Значок Genshin Impact Ризли Wriothesley 6942421149583</t>
  </si>
  <si>
    <t>GEN1342</t>
  </si>
  <si>
    <t>6942421149583</t>
  </si>
  <si>
    <t>Значок Genshin Impact Сиджвин Sigewinne 6942421149668</t>
  </si>
  <si>
    <t>GEN1345</t>
  </si>
  <si>
    <t>6942421149668</t>
  </si>
  <si>
    <t>Значок Genshin Impact Странник Wanderer 6942421142539</t>
  </si>
  <si>
    <t>GEN1293</t>
  </si>
  <si>
    <t>6942421142539</t>
  </si>
  <si>
    <t>Значок Genshin Impact Странник Wanderer Version Preview 6942421156215</t>
  </si>
  <si>
    <t>GEN1396</t>
  </si>
  <si>
    <t>6942421156215</t>
  </si>
  <si>
    <t>Значок Genshin Impact Тарталья Childe Tartaglia Moment of Syzygy 6942421130048</t>
  </si>
  <si>
    <t>GEN1192</t>
  </si>
  <si>
    <t>6942421130048</t>
  </si>
  <si>
    <t>Значок Genshin Impact Тигнари Tighnari Version Preview 6942421156178</t>
  </si>
  <si>
    <t>GEN1394</t>
  </si>
  <si>
    <t>6942421156178</t>
  </si>
  <si>
    <t>Значок Genshin Impact Фремине Freminet Version Preview 6942421156246</t>
  </si>
  <si>
    <t>GEN1399</t>
  </si>
  <si>
    <t>6942421156246</t>
  </si>
  <si>
    <t>Значок Genshin Impact Фурина Furina 6942421148500</t>
  </si>
  <si>
    <t>GEN1332</t>
  </si>
  <si>
    <t>6942421148500</t>
  </si>
  <si>
    <t>Значок Genshin Impact Фурина Furina 6942421149538</t>
  </si>
  <si>
    <t>GEN1340</t>
  </si>
  <si>
    <t>6942421149538</t>
  </si>
  <si>
    <t>0,8 / 9,5 / 10</t>
  </si>
  <si>
    <t>Значок Genshin Impact Фурина Furina The Morning Star in the Depths 6942421102274</t>
  </si>
  <si>
    <t>GEN1194</t>
  </si>
  <si>
    <t>6942421102274</t>
  </si>
  <si>
    <t>Значок Genshin Impact Ху Тао Hu Tao Moment of Syzygy 6942421130062</t>
  </si>
  <si>
    <t>GEN1193</t>
  </si>
  <si>
    <t>6942421130062</t>
  </si>
  <si>
    <t>Значок Genshin Impact Часка Chasca Character  6942421156130</t>
  </si>
  <si>
    <t>GEN1392</t>
  </si>
  <si>
    <t>6942421156130</t>
  </si>
  <si>
    <t>Значок Genshin Impact Шилонен Xilonen Character  6942421154983</t>
  </si>
  <si>
    <t>GEN1383</t>
  </si>
  <si>
    <t>6942421154983</t>
  </si>
  <si>
    <t>Значок Genshin Тарталья Childe Tartaglia Impact Seven Saints Summoning Event 6942421108641</t>
  </si>
  <si>
    <t>GEN1185</t>
  </si>
  <si>
    <t>6942421108641</t>
  </si>
  <si>
    <t>Значок GI Artwork Sumeru Candace 6976525000150</t>
  </si>
  <si>
    <t>GEN948</t>
  </si>
  <si>
    <t>6976525000150</t>
  </si>
  <si>
    <t>Значок GI Artwork Sumeru Collei 6976525000129</t>
  </si>
  <si>
    <t>GEN945</t>
  </si>
  <si>
    <t>6976525000129</t>
  </si>
  <si>
    <t>Значок GI Artwork Sumeru Dehya 6976525000167</t>
  </si>
  <si>
    <t>GEN949</t>
  </si>
  <si>
    <t>6976525000167</t>
  </si>
  <si>
    <t>Значок GI Artwork Sumeru Dori 6976525000143</t>
  </si>
  <si>
    <t>GEN947</t>
  </si>
  <si>
    <t>6976525000143</t>
  </si>
  <si>
    <t>Значок GI Artwork Sumeru Nilou 6976525000136</t>
  </si>
  <si>
    <t>GEN946</t>
  </si>
  <si>
    <t>6976525000136</t>
  </si>
  <si>
    <t>Значок GI Artwork Sumeru Tighnari 6976525000112</t>
  </si>
  <si>
    <t>GEN944</t>
  </si>
  <si>
    <t>6976525000112</t>
  </si>
  <si>
    <t>Значок Go Camping! Series Square Can Badges Sayu 6975213688373</t>
  </si>
  <si>
    <t>GEN402</t>
  </si>
  <si>
    <t>6975213688373</t>
  </si>
  <si>
    <t>Значок Gorou 6975628244997</t>
  </si>
  <si>
    <t>GEN671</t>
  </si>
  <si>
    <t>6975628244997</t>
  </si>
  <si>
    <t>Значок Heytea Collaboration Kamisato Ayaka 6975628246120</t>
  </si>
  <si>
    <t>GEN759</t>
  </si>
  <si>
    <t>6975628246120</t>
  </si>
  <si>
    <t>Значок Heytea Collaboration Kamisato Ayato 6975628246113</t>
  </si>
  <si>
    <t>GEN758</t>
  </si>
  <si>
    <t>6975628246113</t>
  </si>
  <si>
    <t>Значок Hutao 6974696616064</t>
  </si>
  <si>
    <t>GEN655</t>
  </si>
  <si>
    <t>6974696616064</t>
  </si>
  <si>
    <t>Значок Inazuma Character Can Badge Kaedehara Kazuha 6974096538102</t>
  </si>
  <si>
    <t>GEN115</t>
  </si>
  <si>
    <t>6974096538102</t>
  </si>
  <si>
    <t>Значок Inazuma Character Can Badge Sangonomiya Kokomi 6974696611847</t>
  </si>
  <si>
    <t>GEN121</t>
  </si>
  <si>
    <t>6974696611847</t>
  </si>
  <si>
    <t>Значок Inazuma Character Can Badge Sayu 6974696610819</t>
  </si>
  <si>
    <t>GEN118</t>
  </si>
  <si>
    <t>6974696610819</t>
  </si>
  <si>
    <t>Значок Inazuma Character Can Badge Shikanoin Heizou 6975213689615</t>
  </si>
  <si>
    <t>GEN124</t>
  </si>
  <si>
    <t>6975213689615</t>
  </si>
  <si>
    <t>Значок Inazuma Character Can Badge Yae Miko 6974696618488</t>
  </si>
  <si>
    <t>GEN123</t>
  </si>
  <si>
    <t>6974696618488</t>
  </si>
  <si>
    <t>Значок Inazuma Gorou 6974696613810</t>
  </si>
  <si>
    <t>GEN479</t>
  </si>
  <si>
    <t>6974696613810</t>
  </si>
  <si>
    <t>Значок Inazuma Kamisato Ayato 6975213680117</t>
  </si>
  <si>
    <t>GEN480</t>
  </si>
  <si>
    <t>6975213680117</t>
  </si>
  <si>
    <t>Значок Inazuma Kuki Shinobu 6975213689592</t>
  </si>
  <si>
    <t>GEN481</t>
  </si>
  <si>
    <t>6975213689592</t>
  </si>
  <si>
    <t>Значок Inazuma Thoma 6974696612509</t>
  </si>
  <si>
    <t>GEN478</t>
  </si>
  <si>
    <t>6974696612509</t>
  </si>
  <si>
    <t>Значок Joyful Summer! Evil Dragon? Fairy Tale Kingdom!  Navia 6942421148609</t>
  </si>
  <si>
    <t>GEN1427</t>
  </si>
  <si>
    <t>6942421148609</t>
  </si>
  <si>
    <t>0,5 / 10 / 9,5</t>
  </si>
  <si>
    <t>Значок Kamisato Ayaka 6975628244911</t>
  </si>
  <si>
    <t>GEN663</t>
  </si>
  <si>
    <t>6975628244911</t>
  </si>
  <si>
    <t>Значок Kamisato Ayato 6975628244980</t>
  </si>
  <si>
    <t>GEN670</t>
  </si>
  <si>
    <t>6975628244980</t>
  </si>
  <si>
    <t>Значок Klee 6974696616095</t>
  </si>
  <si>
    <t>GEN658</t>
  </si>
  <si>
    <t>6974696616095</t>
  </si>
  <si>
    <t>Значок Kuki Shinobu 6975628245024</t>
  </si>
  <si>
    <t>GEN674</t>
  </si>
  <si>
    <t>6975628245024</t>
  </si>
  <si>
    <t>Значок Liyue Harbour Character Can Badge Chongyun 6972957482847</t>
  </si>
  <si>
    <t>GEN103</t>
  </si>
  <si>
    <t>6972957482847</t>
  </si>
  <si>
    <t>Значок Liyue Harbour Character Can Badge Hutao 6974096531004</t>
  </si>
  <si>
    <t>GEN109</t>
  </si>
  <si>
    <t>6974096531004</t>
  </si>
  <si>
    <t>Значок Liyue Harbour Character Can Badge Keqing 6972957487040</t>
  </si>
  <si>
    <t>GEN104</t>
  </si>
  <si>
    <t>6972957487040</t>
  </si>
  <si>
    <t>Значок Liyue Harbour Character Can Badge Ningguang 6972957482816</t>
  </si>
  <si>
    <t>GEN100</t>
  </si>
  <si>
    <t>6972957482816</t>
  </si>
  <si>
    <t>Значок Liyue Harbour Character Can Badge Qiqi 6972957487057</t>
  </si>
  <si>
    <t>GEN105</t>
  </si>
  <si>
    <t>6972957487057</t>
  </si>
  <si>
    <t>Значок Liyue Harbour Character Can Badge Xingqiu 6972957482830</t>
  </si>
  <si>
    <t>GEN102</t>
  </si>
  <si>
    <t>6972957482830</t>
  </si>
  <si>
    <t>Значок Liyue Harbour Character Can Badge Xinyan 6972957488061</t>
  </si>
  <si>
    <t>GEN107</t>
  </si>
  <si>
    <t>6972957488061</t>
  </si>
  <si>
    <t>Значок Liyue Harbour Character Can Badge Yelan 6975213689639</t>
  </si>
  <si>
    <t>GEN113</t>
  </si>
  <si>
    <t>6975213689639</t>
  </si>
  <si>
    <t>Значок Liyue Harbour Character Can Badge Yun Jin Юнь Цзинь 6974696617368</t>
  </si>
  <si>
    <t>GEN112</t>
  </si>
  <si>
    <t>6974696617368</t>
  </si>
  <si>
    <t>Значок Liyue Harbour Character Can Badge Zhongli 6972957488054</t>
  </si>
  <si>
    <t>GEN106</t>
  </si>
  <si>
    <t>6972957488054</t>
  </si>
  <si>
    <t>Значок Liyue Yaoyao 6976068141303</t>
  </si>
  <si>
    <t>GEN477</t>
  </si>
  <si>
    <t>6976068141303</t>
  </si>
  <si>
    <t>Значок Mondstadt Can Badge Amber 6975628240517</t>
  </si>
  <si>
    <t>GEN83</t>
  </si>
  <si>
    <t>6975628240517</t>
  </si>
  <si>
    <t>Значок Mondstadt Can Badge Barbara 6972957482717</t>
  </si>
  <si>
    <t>GEN86</t>
  </si>
  <si>
    <t>6972957482717</t>
  </si>
  <si>
    <t>Значок Mondstadt Can Badge Eula 6974096534197</t>
  </si>
  <si>
    <t>GEN97</t>
  </si>
  <si>
    <t>6974096534197</t>
  </si>
  <si>
    <t>Значок Mondstadt Can Badge Fischl 6972957482786</t>
  </si>
  <si>
    <t>GEN91</t>
  </si>
  <si>
    <t>6972957482786</t>
  </si>
  <si>
    <t>Значок Mondstadt Can Badge Kaeya 6972957482700</t>
  </si>
  <si>
    <t>GEN85</t>
  </si>
  <si>
    <t>6972957482700</t>
  </si>
  <si>
    <t>Значок Mondstadt Can Badge Noelle 6972957482779</t>
  </si>
  <si>
    <t>GEN90</t>
  </si>
  <si>
    <t>6972957482779</t>
  </si>
  <si>
    <t>Значок Mondstadt Can Badge Razor 6972957482731</t>
  </si>
  <si>
    <t>GEN87</t>
  </si>
  <si>
    <t>6972957482731</t>
  </si>
  <si>
    <t>Значок Mondstadt Can Badge Sucrose 6972957487033</t>
  </si>
  <si>
    <t>GEN93</t>
  </si>
  <si>
    <t>6972957487033</t>
  </si>
  <si>
    <t>Значок Mondstadt Mika 6976068141310</t>
  </si>
  <si>
    <t>GEN476</t>
  </si>
  <si>
    <t>6976068141310</t>
  </si>
  <si>
    <t>Значок Mondstadt Сап Badge Jean 6975628240500</t>
  </si>
  <si>
    <t>GEN3</t>
  </si>
  <si>
    <t>6975628240500</t>
  </si>
  <si>
    <t>Значок Paimon 6974696616118</t>
  </si>
  <si>
    <t>GEN659</t>
  </si>
  <si>
    <t>6974696616118</t>
  </si>
  <si>
    <t>Значок Pizza Hut 2022 Campaign Amber 6975628246151</t>
  </si>
  <si>
    <t>GEN760</t>
  </si>
  <si>
    <t>6975628246151</t>
  </si>
  <si>
    <t>Значок Pizza Hut 2022 Campaign Eula 6975628246168</t>
  </si>
  <si>
    <t>GEN761</t>
  </si>
  <si>
    <t>6975628246168</t>
  </si>
  <si>
    <t>Значок Rosaria 6974696616071</t>
  </si>
  <si>
    <t>GEN656</t>
  </si>
  <si>
    <t>6974696616071</t>
  </si>
  <si>
    <t>Значок Secretum Secretorum Albedo 6974696615630</t>
  </si>
  <si>
    <t>GEN550</t>
  </si>
  <si>
    <t>6974696615630</t>
  </si>
  <si>
    <t>Значок Shenhe 6975628244942</t>
  </si>
  <si>
    <t>GEN666</t>
  </si>
  <si>
    <t>6975628244942</t>
  </si>
  <si>
    <t>Значок Sumeru Akademiya Series Haravatat 6976068145943</t>
  </si>
  <si>
    <t>GEN906</t>
  </si>
  <si>
    <t>6976068145943</t>
  </si>
  <si>
    <t>Значок Sumeru Candace 6975628249084</t>
  </si>
  <si>
    <t>GEN487</t>
  </si>
  <si>
    <t>6975628249084</t>
  </si>
  <si>
    <t>Значок Sumeru Collei 6975628249060</t>
  </si>
  <si>
    <t>GEN485</t>
  </si>
  <si>
    <t>6975628249060</t>
  </si>
  <si>
    <t>Значок Sumeru Cyno 6975628249053</t>
  </si>
  <si>
    <t>GEN484</t>
  </si>
  <si>
    <t>6975628249053</t>
  </si>
  <si>
    <t>Значок Sumeru Dehya 6976068141297</t>
  </si>
  <si>
    <t>GEN493</t>
  </si>
  <si>
    <t>6976068141297</t>
  </si>
  <si>
    <t>Значок Sumeru Dori 6975628249077</t>
  </si>
  <si>
    <t>GEN486</t>
  </si>
  <si>
    <t>6975628249077</t>
  </si>
  <si>
    <t>Значок Sumeru Faruzan 6975628249121</t>
  </si>
  <si>
    <t>GEN491</t>
  </si>
  <si>
    <t>6975628249121</t>
  </si>
  <si>
    <t>Значок Sumeru Nahida 6975628249091</t>
  </si>
  <si>
    <t>GEN488</t>
  </si>
  <si>
    <t>6975628249091</t>
  </si>
  <si>
    <t>Значок Sumeru Nilou 6975628249046</t>
  </si>
  <si>
    <t>GEN483</t>
  </si>
  <si>
    <t>6975628249046</t>
  </si>
  <si>
    <t>Значок Sumeru Tighnari 6975628249039</t>
  </si>
  <si>
    <t>GEN482</t>
  </si>
  <si>
    <t>6975628249039</t>
  </si>
  <si>
    <t>Значок Tartaglia 6974696616040</t>
  </si>
  <si>
    <t>GEN654</t>
  </si>
  <si>
    <t>6974696616040</t>
  </si>
  <si>
    <t>Значок Thoma 6975628244935</t>
  </si>
  <si>
    <t>GEN665</t>
  </si>
  <si>
    <t>6975628244935</t>
  </si>
  <si>
    <t>Значок Windblume's Breath Series Dvalin 6976068144601</t>
  </si>
  <si>
    <t>GEN901</t>
  </si>
  <si>
    <t>6976068144601</t>
  </si>
  <si>
    <t>Значок Xiangling 6975628244928</t>
  </si>
  <si>
    <t>GEN664</t>
  </si>
  <si>
    <t>6975628244928</t>
  </si>
  <si>
    <t>Значок Yelan 6975628245017</t>
  </si>
  <si>
    <t>GEN673</t>
  </si>
  <si>
    <t>6975628245017</t>
  </si>
  <si>
    <t>Значок Yoimiya 6975628245048</t>
  </si>
  <si>
    <t>GEN676</t>
  </si>
  <si>
    <t>6975628245048</t>
  </si>
  <si>
    <t>Значок Yun Jin Юнь Цзинь 6975628244959</t>
  </si>
  <si>
    <t>GEN667</t>
  </si>
  <si>
    <t>6975628244959</t>
  </si>
  <si>
    <t>Значок металлический Genshin Impact Арлекино Arlecchino Cozy Winter Gathering 49347</t>
  </si>
  <si>
    <t>GEN1413</t>
  </si>
  <si>
    <t>6942421149347</t>
  </si>
  <si>
    <t>8 / 8 / 2,5</t>
  </si>
  <si>
    <t>Значок металлический Genshin Impact Тарталья Tartaglia Childe Cozy Winter Gathering 49354</t>
  </si>
  <si>
    <t>GEN1414</t>
  </si>
  <si>
    <t>6942421149354</t>
  </si>
  <si>
    <t>Значок металлический Noblesse Oblige Metallic Pins Circlet of Logos Royal Masque 6974696610796</t>
  </si>
  <si>
    <t>GEN156</t>
  </si>
  <si>
    <t>6974696610796</t>
  </si>
  <si>
    <t>3 / 11 / 11</t>
  </si>
  <si>
    <t>Зонт Genshin Impact Blaze to Natlan Кинич, Качина, Муалани 6942421138549</t>
  </si>
  <si>
    <t>GEN1351</t>
  </si>
  <si>
    <t>6942421138549</t>
  </si>
  <si>
    <t>30 / 5 / 5</t>
  </si>
  <si>
    <t>Зонт Genshin Impact Nahida 6976525003366</t>
  </si>
  <si>
    <t>GEN1171</t>
  </si>
  <si>
    <t>6976525003366</t>
  </si>
  <si>
    <t>98 / 14 / 13</t>
  </si>
  <si>
    <t>Игрушка Genshin Impact Magic Show Linney's Laughing Hat Cat 6976525005971</t>
  </si>
  <si>
    <t>GEN1170</t>
  </si>
  <si>
    <t>6976525005971</t>
  </si>
  <si>
    <t>14,2 / 14,5 / 14,5</t>
  </si>
  <si>
    <t>Игрушка Magic Show Series Lynette's Wonder Cat 6976525005995</t>
  </si>
  <si>
    <t>GEN1178</t>
  </si>
  <si>
    <t>6976525005995</t>
  </si>
  <si>
    <t>9,5 / 12,5 / 7</t>
  </si>
  <si>
    <t>Игрушка плюшевая Genshin Impact акула Муалани Mualani Sharky Ice Silk Body Pillow 41884</t>
  </si>
  <si>
    <t>GEN1424</t>
  </si>
  <si>
    <t>6942421141884</t>
  </si>
  <si>
    <t>14 / 79 / 39</t>
  </si>
  <si>
    <t>Игрушка плюшевая Genshin Impact Чжун Ли Zhongli Impression Series Rex Lapis Plushie Scarf 6942421150</t>
  </si>
  <si>
    <t>GEN1429</t>
  </si>
  <si>
    <t>6942421150688</t>
  </si>
  <si>
    <t>10 / 23,5 / 36</t>
  </si>
  <si>
    <t>Игрушка с заводным механизмом Penguin 6976525006015</t>
  </si>
  <si>
    <t>GEN1179</t>
  </si>
  <si>
    <t>6976525006015</t>
  </si>
  <si>
    <t>15 / 19 / 15</t>
  </si>
  <si>
    <t>Игрушка с заводным механизмом голубая Penguin 6976525006022</t>
  </si>
  <si>
    <t>GEN1180</t>
  </si>
  <si>
    <t>6976525006022</t>
  </si>
  <si>
    <t>Кардхолдер Chibi Character Card Holder Fischl 6975213681282</t>
  </si>
  <si>
    <t>GEN371</t>
  </si>
  <si>
    <t>6975213681282</t>
  </si>
  <si>
    <t>2,7 / 11,5 / 17,6</t>
  </si>
  <si>
    <t>Кардхолдер Chibi Character Card Holder Klee 6975213681251</t>
  </si>
  <si>
    <t>GEN370</t>
  </si>
  <si>
    <t>6975213681251</t>
  </si>
  <si>
    <t>17 / 11,5 / 3</t>
  </si>
  <si>
    <t>Кардхолдер Chibi Character Card Holder Xiao 6975213681220</t>
  </si>
  <si>
    <t>GEN368</t>
  </si>
  <si>
    <t>6975213681220</t>
  </si>
  <si>
    <t>2,8 / 11,5 / 17,5</t>
  </si>
  <si>
    <t>Кардхолдер Chibl Character Card Holder Venti 6975213681244</t>
  </si>
  <si>
    <t>GEN30</t>
  </si>
  <si>
    <t>6975213681244</t>
  </si>
  <si>
    <t>Кардхолдер Teyvat Zoo Themed Diluc Noctua Version 6975628244034</t>
  </si>
  <si>
    <t>GEN818</t>
  </si>
  <si>
    <t>6975628244034</t>
  </si>
  <si>
    <t>10,5 / 14,5 / 2,5</t>
  </si>
  <si>
    <t>Карточка коллекционная Genshin Impact Tunes of the Stagnant Oasis 6942421103714</t>
  </si>
  <si>
    <t>GEN1102</t>
  </si>
  <si>
    <t>6942421103714</t>
  </si>
  <si>
    <t>19 / 14,5 / 0,2</t>
  </si>
  <si>
    <t>Карточка коллекционная Version Livestream Art Akasha Pulses the Kalpa Flame Rises 6976525005889</t>
  </si>
  <si>
    <t>GEN977</t>
  </si>
  <si>
    <t>6976525005889</t>
  </si>
  <si>
    <t>19,3 / 14,5 / 0,3</t>
  </si>
  <si>
    <t>Карточка коллекционная Version Livestream Art Hidden Dreams in the Depths 6976525005865</t>
  </si>
  <si>
    <t>GEN975</t>
  </si>
  <si>
    <t>6976525005865</t>
  </si>
  <si>
    <t>Карточка коллекционная Version Livestream Art Midsummer! Night Fantasia? Capriccio! 6976525005872</t>
  </si>
  <si>
    <t>GEN976</t>
  </si>
  <si>
    <t>6976525005872</t>
  </si>
  <si>
    <t>Карточка коллекционная Version Livestream Art Secret Summer Paradise 6976525005902</t>
  </si>
  <si>
    <t>GEN979</t>
  </si>
  <si>
    <t>6976525005902</t>
  </si>
  <si>
    <t>Карточка коллекционная Version Livestream Art When the Sakura Bloom 6976525005841</t>
  </si>
  <si>
    <t>GEN973</t>
  </si>
  <si>
    <t>6976525005841</t>
  </si>
  <si>
    <t>Карточка коллекционная Version Livestream Art Zephyr of the Violet Garden 6976525005858</t>
  </si>
  <si>
    <t>GEN974</t>
  </si>
  <si>
    <t>6976525005858</t>
  </si>
  <si>
    <t>Карточка коллекционная Windblume's Breath Series Tighnari 6976068144687</t>
  </si>
  <si>
    <t>GEN924</t>
  </si>
  <si>
    <t>6976068144687</t>
  </si>
  <si>
    <t>22,5 / 9 / 0,5</t>
  </si>
  <si>
    <t>Карточки коллекционные Genshin Impact Alhaitham 6942421102076</t>
  </si>
  <si>
    <t>GEN1159</t>
  </si>
  <si>
    <t>6942421102076</t>
  </si>
  <si>
    <t>11 / 16 / 0,3</t>
  </si>
  <si>
    <t>Карточки коллекционные Genshin Impact Hu Tao 6942421114307</t>
  </si>
  <si>
    <t>GEN1161</t>
  </si>
  <si>
    <t>6942421114307</t>
  </si>
  <si>
    <t>16 / 11 / 0,2</t>
  </si>
  <si>
    <t>Карточки коллекционные Genshin Impact Lyney 6942421114390</t>
  </si>
  <si>
    <t>GEN1162</t>
  </si>
  <si>
    <t>6942421114390</t>
  </si>
  <si>
    <t>16,6 / 11 / 0,3</t>
  </si>
  <si>
    <t>Карточки коллекционные Genshin Impact Nahida 6942421102038</t>
  </si>
  <si>
    <t>GEN1157</t>
  </si>
  <si>
    <t>6942421102038</t>
  </si>
  <si>
    <t>Карточки коллекционные Genshin Impact Venti 6942421114284</t>
  </si>
  <si>
    <t>GEN1160</t>
  </si>
  <si>
    <t>6942421114284</t>
  </si>
  <si>
    <t>15,8 / 10,7 / 0,2</t>
  </si>
  <si>
    <t>Карточки коллекционные Genshin Impact Wanderer 6942421102069</t>
  </si>
  <si>
    <t>GEN1158</t>
  </si>
  <si>
    <t>6942421102069</t>
  </si>
  <si>
    <t>Карточки коллекционные Genshin Impact Итто Itto 3шт 6942421114376</t>
  </si>
  <si>
    <t>GEN1232</t>
  </si>
  <si>
    <t>6942421114376</t>
  </si>
  <si>
    <t>Карточки коллекционные Genshin Impact Кокоми Kokomi 3шт 6942421114369</t>
  </si>
  <si>
    <t>GEN1231</t>
  </si>
  <si>
    <t>6942421114369</t>
  </si>
  <si>
    <t>Коврик для мыши 2023 Fontaine Art Exhibit 40*70 см 6976068149767</t>
  </si>
  <si>
    <t>GEN964</t>
  </si>
  <si>
    <t>6976068149767</t>
  </si>
  <si>
    <t>8,5 / 40,9 / 8,5</t>
  </si>
  <si>
    <t>Коврик для мыши 40*70 см Genshin Impact Desk Mat Dance of the Shimmering Wave (Eula) 6974096534432</t>
  </si>
  <si>
    <t>GEN410</t>
  </si>
  <si>
    <t>6974096534432</t>
  </si>
  <si>
    <t>0,5 / 70 / 40,5</t>
  </si>
  <si>
    <t>Коврик для мыши 40*70 см Genshin Impact Desk Mat Fleeting Colours in Flight 6974696617771</t>
  </si>
  <si>
    <t>GEN413</t>
  </si>
  <si>
    <t>6974696617771</t>
  </si>
  <si>
    <t>41 / 8,5 / 8</t>
  </si>
  <si>
    <t>Коврик для мыши 40*70 см Genshin Impact Desk Mat Hues of the Violet Garden 6975213683156</t>
  </si>
  <si>
    <t>GEN420</t>
  </si>
  <si>
    <t>6975213683156</t>
  </si>
  <si>
    <t>8,6 / 41 / 8,6</t>
  </si>
  <si>
    <t>Коврик для мыши 40*70 см Genshin Impact Desk Mat Moonlight Merriment 6974696618969</t>
  </si>
  <si>
    <t>GEN419</t>
  </si>
  <si>
    <t>6974696618969</t>
  </si>
  <si>
    <t>Коврик для мыши 40*70 см Genshin Impact Desk Mat Oni Royale 6974696618952</t>
  </si>
  <si>
    <t>GEN418</t>
  </si>
  <si>
    <t>6974696618952</t>
  </si>
  <si>
    <t>Коврик для мыши 40*70 см Genshin Impact Desk Mat Shadows Amidst Snowstorms 6974696618990</t>
  </si>
  <si>
    <t>GEN415</t>
  </si>
  <si>
    <t>6974696618990</t>
  </si>
  <si>
    <t>Коврик для мыши 40*70 см Genshin Impact Desk Mat Summer Fantasia Version A. 6975628240838</t>
  </si>
  <si>
    <t>GEN422</t>
  </si>
  <si>
    <t>6975628240838</t>
  </si>
  <si>
    <t>Коврик для мыши 40*70 см Genshin Impact Desk Mat The Immovable God and the Eternal Euthymia 6618983</t>
  </si>
  <si>
    <t>GEN416</t>
  </si>
  <si>
    <t>6974696618983</t>
  </si>
  <si>
    <t>Коврик для мыши 40*70 см Genshin Impact Desk Mat Twin Stars in the Flower Field 6972957488900</t>
  </si>
  <si>
    <t>GEN409</t>
  </si>
  <si>
    <t>6972957488900</t>
  </si>
  <si>
    <t>Коврик для мыши 40*70 см Genshin Impact Desk Mat Zephyr of the Violet Garden 6975213683170</t>
  </si>
  <si>
    <t>GEN421</t>
  </si>
  <si>
    <t>6975213683170</t>
  </si>
  <si>
    <t>Коврик для мыши Genshin Impact Dance of the Twisted Realm 6942421103479</t>
  </si>
  <si>
    <t>GEN1172</t>
  </si>
  <si>
    <t>6942421103479</t>
  </si>
  <si>
    <t>8,5 / 41 / 8,5</t>
  </si>
  <si>
    <t>Коврик для мыши Genshin Impact Endless Sonata Навия и Линетт 6942421134213</t>
  </si>
  <si>
    <t>GEN1291</t>
  </si>
  <si>
    <t>6942421134213</t>
  </si>
  <si>
    <t>Коврик для мыши Genshin Impact Мавуика Path of Glory and Blazing Sun 6942421148395</t>
  </si>
  <si>
    <t>GEN1376</t>
  </si>
  <si>
    <t>6942421148395</t>
  </si>
  <si>
    <t>8,3 / 9 / 41</t>
  </si>
  <si>
    <t>Коврик для мышки Akasha Pulses, the Kalpa Flame Rises 40*70 см 6975628248445</t>
  </si>
  <si>
    <t>GEN777</t>
  </si>
  <si>
    <t>6975628248445</t>
  </si>
  <si>
    <t>Коврик для мышки Secret Summer Paradise! 40*70 см 6976525000273</t>
  </si>
  <si>
    <t>GEN931</t>
  </si>
  <si>
    <t>6976525000273</t>
  </si>
  <si>
    <t>Коврик для мышки Windblume's Breath Series Collei 6976068144793</t>
  </si>
  <si>
    <t>GEN933</t>
  </si>
  <si>
    <t>6976068144793</t>
  </si>
  <si>
    <t>22,5 / 28 / 0,5</t>
  </si>
  <si>
    <t>Коллекционная карточка Genshin Impact Masquerade of the Guilty 6942421132752</t>
  </si>
  <si>
    <t>GEN1270</t>
  </si>
  <si>
    <t>6942421132752</t>
  </si>
  <si>
    <t>Коллекционная карточка Genshin Impact To the Stars Shining in the Depths Ризли и Нёвиллет</t>
  </si>
  <si>
    <t>GEN1269</t>
  </si>
  <si>
    <t>6942421132745</t>
  </si>
  <si>
    <t>19 / 14,4 / 0,3</t>
  </si>
  <si>
    <t>Коллекционная карточка Genshin Impact Two Worlds Aflame, the Crimson Night Fades Арлекино, Лини, Лин</t>
  </si>
  <si>
    <t>GEN1271</t>
  </si>
  <si>
    <t>6942421132790</t>
  </si>
  <si>
    <t>Коллекционные карточки 3D Genshin Impact Tales of the Fantastic Fontaine Freminet 6942421107453</t>
  </si>
  <si>
    <t>GEN1114</t>
  </si>
  <si>
    <t>6942421107453</t>
  </si>
  <si>
    <t>Кольцо Melodies of an Endless Journey Jewelry Set Concert's Final Hour 6974696610918</t>
  </si>
  <si>
    <t>GEN652</t>
  </si>
  <si>
    <t>6974696610918</t>
  </si>
  <si>
    <t>Короб для хранения Genshin Impact Teyvat Zoo Дилюк Diluc 6942421130536</t>
  </si>
  <si>
    <t>GEN1352</t>
  </si>
  <si>
    <t>6942421130536</t>
  </si>
  <si>
    <t>20,5 / 28 / 11,5</t>
  </si>
  <si>
    <t>Короб для хранения Genshin Impact Teyvat Zoo Ризли Wriothesley 6942421130581</t>
  </si>
  <si>
    <t>GEN1357</t>
  </si>
  <si>
    <t>6942421130581</t>
  </si>
  <si>
    <t>20,5 / 28 / 11</t>
  </si>
  <si>
    <t>Короб для хранения Genshin Impact Teyvat Zoo Сяо Xiao 6942421130543</t>
  </si>
  <si>
    <t>GEN1353</t>
  </si>
  <si>
    <t>6942421130543</t>
  </si>
  <si>
    <t>Короб для хранения Genshin Impact Teyvat Zoo Тарталья Tartaglia 6942421130550</t>
  </si>
  <si>
    <t>GEN1354</t>
  </si>
  <si>
    <t>6942421130550</t>
  </si>
  <si>
    <t>Короб для хранения Genshin Impact Teyvat Zoo Тигнари Tighnari 6942421130574</t>
  </si>
  <si>
    <t>GEN1356</t>
  </si>
  <si>
    <t>6942421130574</t>
  </si>
  <si>
    <t>Короб для хранения Genshin Impact Teyvat Zoo Яэ Мико Yae Miko 6942421130567</t>
  </si>
  <si>
    <t>GEN1355</t>
  </si>
  <si>
    <t>6942421130567</t>
  </si>
  <si>
    <t>Коробка для салфеток Genshin Impact дельфин Муалани Mualani Freshwater Dolphin Plush Tissue Pouch 41</t>
  </si>
  <si>
    <t>GEN1426</t>
  </si>
  <si>
    <t>6942421141877</t>
  </si>
  <si>
    <t>20 / 34 / 25</t>
  </si>
  <si>
    <t>Коробка для хранения Genshin Impact Ice Slime Style 6942421102168</t>
  </si>
  <si>
    <t>GEN1263</t>
  </si>
  <si>
    <t>6942421102168</t>
  </si>
  <si>
    <t>5 / 30,5 / 30,5</t>
  </si>
  <si>
    <t>Коробка для хранения Genshin Impact Marvel Electro Slime 6942421102144</t>
  </si>
  <si>
    <t>GEN1262</t>
  </si>
  <si>
    <t>6942421102144</t>
  </si>
  <si>
    <t>Коробка для хранения Genshin Impact Wind Slime Style 6942421102137</t>
  </si>
  <si>
    <t>GEN1264</t>
  </si>
  <si>
    <t>6942421102137</t>
  </si>
  <si>
    <t>Кружка для пикника, с крышкой и подставкой Go Camping! Series Xiangling 6975628241286</t>
  </si>
  <si>
    <t>GEN750</t>
  </si>
  <si>
    <t>6975628241286</t>
  </si>
  <si>
    <t>13 / 13 / 15,1</t>
  </si>
  <si>
    <t>Кулон Genshin Impact Ризли 6942421149415</t>
  </si>
  <si>
    <t>GEN1347</t>
  </si>
  <si>
    <t>6942421149415</t>
  </si>
  <si>
    <t>Кулон Genshin Impact Фурина Furina 6942421149361</t>
  </si>
  <si>
    <t>GEN1346</t>
  </si>
  <si>
    <t>6942421149361</t>
  </si>
  <si>
    <t>Магнит Genshin Impact Hunting Shadows Навия Navia 6942421139836</t>
  </si>
  <si>
    <t>GEN1287</t>
  </si>
  <si>
    <t>6942421139836</t>
  </si>
  <si>
    <t>12,3 / 16,5 / 1</t>
  </si>
  <si>
    <t>Магнит Genshin Impact Hunting Shadows Фурина Furina 6942421139805</t>
  </si>
  <si>
    <t>GEN1286</t>
  </si>
  <si>
    <t>6942421139805</t>
  </si>
  <si>
    <t>17,9 / 12,5 / 1</t>
  </si>
  <si>
    <t>Миска керамическая Genshin Impact Fairy tale cat home 6942421128304</t>
  </si>
  <si>
    <t>GEN1362</t>
  </si>
  <si>
    <t>6942421128304</t>
  </si>
  <si>
    <t>11,5 / 19 / 20</t>
  </si>
  <si>
    <t>Набор Блокнот, Закладка в виде компакт-диска, Фонарик 2022 Online Concert Yun Jin Юнь 6975628241835</t>
  </si>
  <si>
    <t>GEN740</t>
  </si>
  <si>
    <t>6975628241835</t>
  </si>
  <si>
    <t>5,4 / 21,6 / 29,1</t>
  </si>
  <si>
    <t>Набор Блокнот, Закладка в виде компакт-диска, Фонарик 2022 Online ConcertBarbara 6975628241811</t>
  </si>
  <si>
    <t>GEN738</t>
  </si>
  <si>
    <t>6975628241811</t>
  </si>
  <si>
    <t>Набор Блокнот, Закладка в виде компакт-диска, Фонарик 2022 Online ConcertShenhe 6975628241842</t>
  </si>
  <si>
    <t>GEN741</t>
  </si>
  <si>
    <t>6975628241842</t>
  </si>
  <si>
    <t>Набор Блокнот, Закладка в виде компакт-диска, Фонарик 2022 Online ConcertXinyan 6975628241828</t>
  </si>
  <si>
    <t>GEN739</t>
  </si>
  <si>
    <t>6975628241828</t>
  </si>
  <si>
    <t>Набор брелков 2023 Fontaine Art Exhibit Chibi Expression Ruin Guard 6976068149644</t>
  </si>
  <si>
    <t>GEN962</t>
  </si>
  <si>
    <t>6976068149644</t>
  </si>
  <si>
    <t>16 / 13 / 1</t>
  </si>
  <si>
    <t>Набор закладок A Glimpse Of The World Imitation Film Bookmark Set Liyue Harbor 6975628240340</t>
  </si>
  <si>
    <t>GEN434</t>
  </si>
  <si>
    <t>6975628240340</t>
  </si>
  <si>
    <t>1,2 / 9,1 / 23,4</t>
  </si>
  <si>
    <t>Набор закладок A Glimpse Of The World Imitation Film Bookmark Set Mondstadt 6975213683545</t>
  </si>
  <si>
    <t>GEN433</t>
  </si>
  <si>
    <t>6975213683545</t>
  </si>
  <si>
    <t>9,5 / 9,6 / 23,5</t>
  </si>
  <si>
    <t>Набор Значок, Подушка, Подстаканник, Акриловая фигурка A Gift for You series Barbara 2000859971399</t>
  </si>
  <si>
    <t>GEN260</t>
  </si>
  <si>
    <t>2000859971399</t>
  </si>
  <si>
    <t>3,5 / 47 / 46,5</t>
  </si>
  <si>
    <t>Набор Значок, Подушка, Подстаканник, Акриловая фигурка A Gift for You series Zhongli 2000859971375</t>
  </si>
  <si>
    <t>GEN252</t>
  </si>
  <si>
    <t>2000859971375</t>
  </si>
  <si>
    <t>7 / 44,5 / 48</t>
  </si>
  <si>
    <t>Набор Значок, Сикиси, Конверт, Письмо, Наклейк Day of Deskiny Series Hutao 6975213680872</t>
  </si>
  <si>
    <t>GEN644</t>
  </si>
  <si>
    <t>6975213680872</t>
  </si>
  <si>
    <t>20,5 / 28,5 / 3</t>
  </si>
  <si>
    <t>Набор Значок, Сикиси, Конверт, Письмо, Наклейка Day of Destiny Series Barbara 6974696619126</t>
  </si>
  <si>
    <t>GEN274</t>
  </si>
  <si>
    <t>6974696619126</t>
  </si>
  <si>
    <t>3 / 28,6 / 20,7</t>
  </si>
  <si>
    <t>Набор Значок, Сикиси, Конверт, Письмо, Наклейка Day of Destiny Series Bennett 6974696612455</t>
  </si>
  <si>
    <t>GEN264</t>
  </si>
  <si>
    <t>6974696612455</t>
  </si>
  <si>
    <t>Набор Значок, Сикиси, Конверт, Письмо, Наклейка Day of Destiny Series Chongyun 6975213680889</t>
  </si>
  <si>
    <t>GEN276</t>
  </si>
  <si>
    <t>6975213680889</t>
  </si>
  <si>
    <t>Набор Значок, Сикиси, Конверт, Письмо, Наклейка Day of Destiny Series Diona 6974696612431</t>
  </si>
  <si>
    <t>GEN265</t>
  </si>
  <si>
    <t>6974696612431</t>
  </si>
  <si>
    <t>Набор Значок, Сикиси, Конверт, Письмо, Наклейка Day of Destiny Series Eula 6975628240388</t>
  </si>
  <si>
    <t>GEN287</t>
  </si>
  <si>
    <t>6975628240388</t>
  </si>
  <si>
    <t>Набор Значок, Сикиси, Конверт, Письмо, Наклейка Day of Destiny Series Jean 6974696617511</t>
  </si>
  <si>
    <t>GEN266</t>
  </si>
  <si>
    <t>6974696617511</t>
  </si>
  <si>
    <t>Набор Значок, Сикиси, Конверт, Письмо, Наклейка Day of Destiny Series Keqing 6975628240371</t>
  </si>
  <si>
    <t>GEN286</t>
  </si>
  <si>
    <t>6975628240371</t>
  </si>
  <si>
    <t>Набор Значок, Сикиси, Конверт, Письмо, Наклейка Day of Destiny Series Ningguang 6975213680896</t>
  </si>
  <si>
    <t>GEN277</t>
  </si>
  <si>
    <t>6975213680896</t>
  </si>
  <si>
    <t>Набор Значок, Сикиси, Конверт, Письмо, Наклейка Day of Destiny Series Noelle 6974696617528</t>
  </si>
  <si>
    <t>GEN267</t>
  </si>
  <si>
    <t>6974696617528</t>
  </si>
  <si>
    <t>Набор Значок, Сикиси, Конверт, Письмо, Наклейка Day of Destiny Series Paimon 6974696619072</t>
  </si>
  <si>
    <t>GEN272</t>
  </si>
  <si>
    <t>6974696619072</t>
  </si>
  <si>
    <t>Набор Значок, Сикиси, Конверт, Письмо, Наклейка Day of Destiny Series Qiqi 6974696617023</t>
  </si>
  <si>
    <t>GEN269</t>
  </si>
  <si>
    <t>6974696617023</t>
  </si>
  <si>
    <t>Набор Значок, Сикиси, Конверт, Письмо, Наклейка Day of Destiny Series Razor 6975213683194</t>
  </si>
  <si>
    <t>GEN279</t>
  </si>
  <si>
    <t>6975213683194</t>
  </si>
  <si>
    <t>Набор Значок, Сикиси, Конверт, Письмо, Наклейка Day of Destiny Series Sayu 6975213683248</t>
  </si>
  <si>
    <t>GEN284</t>
  </si>
  <si>
    <t>6975213683248</t>
  </si>
  <si>
    <t>Набор Значок, Сикиси, Конверт, Письмо, Наклейка Day of Destiny Series Sucrose 6975628240395</t>
  </si>
  <si>
    <t>GEN288</t>
  </si>
  <si>
    <t>6975628240395</t>
  </si>
  <si>
    <t>21 / 28,5 / 3</t>
  </si>
  <si>
    <t>Набор Значок, Сикиси, Конверт, Письмо, Наклейка Day of Destiny Series Xiangling 6975628240364</t>
  </si>
  <si>
    <t>GEN285</t>
  </si>
  <si>
    <t>6975628240364</t>
  </si>
  <si>
    <t>Набор Значок, Сикиси, Конверт, Письмо, Наклейка Day of Destiny Series Xingqiu 6975213683224</t>
  </si>
  <si>
    <t>GEN282</t>
  </si>
  <si>
    <t>6975213683224</t>
  </si>
  <si>
    <t>Набор Значок, Сикиси, Конверт, Письмо, Наклейка Day of Destiny Series Xinyan 6975213683217</t>
  </si>
  <si>
    <t>GEN281</t>
  </si>
  <si>
    <t>6975213683217</t>
  </si>
  <si>
    <t>Набор Значок, Сикиси, Конверт, Письмо, Наклейка Day of Destiny Series Yanfei 6975213680865</t>
  </si>
  <si>
    <t>GEN275</t>
  </si>
  <si>
    <t>6975213680865</t>
  </si>
  <si>
    <t>Набор Значок, Сикиси, Конверт, Письмо, Наклейка Day of Destiny Series Zhongli 6975213686751</t>
  </si>
  <si>
    <t>GEN923</t>
  </si>
  <si>
    <t>6975213686751</t>
  </si>
  <si>
    <t>Набор из 3 предметов, кружка, блюдце, декоративный коврик "Flavours of the World" Guoba 697469661805</t>
  </si>
  <si>
    <t>GEN715</t>
  </si>
  <si>
    <t>6974696618051</t>
  </si>
  <si>
    <t>9,7 / 31,5 / 25</t>
  </si>
  <si>
    <t>Набор карточек Character PV Series Klee 6942421101956</t>
  </si>
  <si>
    <t>GEN1006</t>
  </si>
  <si>
    <t>6942421101956</t>
  </si>
  <si>
    <t>Набор карточек Character PV Series Yae Miko 6942421101994</t>
  </si>
  <si>
    <t>GEN1008</t>
  </si>
  <si>
    <t>6942421101994</t>
  </si>
  <si>
    <t>Набор Карточка, Конверт Genshin Concert Melodies of an Endless Journey Ticket Holder Barbara 6974696</t>
  </si>
  <si>
    <t>GEN341</t>
  </si>
  <si>
    <t>6974696610239</t>
  </si>
  <si>
    <t>Набор Карточка, Конверт Genshin Concert Melodies of an Endless Journey Ticket Holder Beidou 69746966</t>
  </si>
  <si>
    <t>GEN334</t>
  </si>
  <si>
    <t>6974696610277</t>
  </si>
  <si>
    <t>Набор Карточка, Конверт Genshin Concert Melodies of an Endless Journey Ticket Holder Klee 6974696610</t>
  </si>
  <si>
    <t>GEN337</t>
  </si>
  <si>
    <t>6974696610246</t>
  </si>
  <si>
    <t>Набор Карточка, Конверт Genshin Concert Melodies of an Endless Journey Ticket Holder Ningguang 69746</t>
  </si>
  <si>
    <t>GEN333</t>
  </si>
  <si>
    <t>6974696610208</t>
  </si>
  <si>
    <t>Набор Карточка, Конверт Genshin Concert Melodies of an Endless Journey Ticket Holder Qiqi 6974696610</t>
  </si>
  <si>
    <t>GEN336</t>
  </si>
  <si>
    <t>6974696610253</t>
  </si>
  <si>
    <t>Набор Карточка, Конверт Genshin Concert Melodies of an Endless Journey Ticket Holder Xiangling 69746</t>
  </si>
  <si>
    <t>GEN338</t>
  </si>
  <si>
    <t>6974696610222</t>
  </si>
  <si>
    <t>Набор ланч бокс для пикника Go Camping! Series  6975628241323</t>
  </si>
  <si>
    <t>GEN753</t>
  </si>
  <si>
    <t>6975628241323</t>
  </si>
  <si>
    <t>10,1 / 19,1 / 11</t>
  </si>
  <si>
    <t>Набор открыток A Glimpse Of The World 6975628240494</t>
  </si>
  <si>
    <t>GEN816</t>
  </si>
  <si>
    <t>6975628240494</t>
  </si>
  <si>
    <t>11,4 / 19,5 / 1</t>
  </si>
  <si>
    <t>Набор подарочный (брелок, карточки) Genshin Impact Dehya 6942421106364</t>
  </si>
  <si>
    <t>GEN1113</t>
  </si>
  <si>
    <t>6942421106364</t>
  </si>
  <si>
    <t>10,6 / 14,5 / 0,5</t>
  </si>
  <si>
    <t>Набор подарочный (брелок, карточки) Genshin Impact Diluc  6942421106395</t>
  </si>
  <si>
    <t>GEN1112</t>
  </si>
  <si>
    <t>6942421106395</t>
  </si>
  <si>
    <t>14,5 / 10,5 / 1</t>
  </si>
  <si>
    <t>Набор подарочный (брелок, карточки) Genshin Impact Liyue Xiao 6942421106371</t>
  </si>
  <si>
    <t>GEN1111</t>
  </si>
  <si>
    <t>6942421106371</t>
  </si>
  <si>
    <t>10,5 / 14,5 / 0,5</t>
  </si>
  <si>
    <t>Набор подарочный (брелок, карточки) Genshin Impact Liyue Yelan 6942421106388</t>
  </si>
  <si>
    <t>GEN1110</t>
  </si>
  <si>
    <t>6942421106388</t>
  </si>
  <si>
    <t>15,3 / 11,2 / 0,3</t>
  </si>
  <si>
    <t>Набор подушка, плед Genshin Impact Арлекино Arlecchino Cozy Winter Gathering 6942421149248</t>
  </si>
  <si>
    <t>GEN1409</t>
  </si>
  <si>
    <t>6942421149248</t>
  </si>
  <si>
    <t>33 / 33 / 20</t>
  </si>
  <si>
    <t>Набор подушка, плед Genshin Impact Лини Lyney Cozy Winter Gathering 6942421149217</t>
  </si>
  <si>
    <t>GEN1407</t>
  </si>
  <si>
    <t>6942421149217</t>
  </si>
  <si>
    <t>16 / 37 / 38</t>
  </si>
  <si>
    <t>Набор подушка, плед Genshin Impact Тарталья Tartaglia Childe Cozy Winter Gathering 6942421149255</t>
  </si>
  <si>
    <t>GEN1410</t>
  </si>
  <si>
    <t>6942421149255</t>
  </si>
  <si>
    <t>17 / 38 / 36</t>
  </si>
  <si>
    <t>Набор подушка, плед Genshin Impact Фремине Freminet Cozy Winter Gathering 6942421149231</t>
  </si>
  <si>
    <t>GEN1408</t>
  </si>
  <si>
    <t>6942421149231</t>
  </si>
  <si>
    <t>Набор фигурок 6шт. Paimon Delicacies Blind Box Series Full set of 6 6974096536047</t>
  </si>
  <si>
    <t>GEN437</t>
  </si>
  <si>
    <t>6974096536047</t>
  </si>
  <si>
    <t>11 / 22,7 / 11</t>
  </si>
  <si>
    <t>Наклейки Earthly Drama Reflective Stickers Arataki Itto 6975213680247</t>
  </si>
  <si>
    <t>GEN367</t>
  </si>
  <si>
    <t>6975213680247</t>
  </si>
  <si>
    <t>0,2 / 22,1 / 20,5</t>
  </si>
  <si>
    <t>Ожерелье 2022 Online Concert Mini Harmonica Necklace Barbara 6975628241408</t>
  </si>
  <si>
    <t>GEN390</t>
  </si>
  <si>
    <t>6975628241408</t>
  </si>
  <si>
    <t>2,2 / 9,7 / 14,8</t>
  </si>
  <si>
    <t>Ожерелье 2022 Online Concert Mini Harmonica Necklace Yun Jin Юнь Цзинь 6975628241422</t>
  </si>
  <si>
    <t>GEN391</t>
  </si>
  <si>
    <t>6975628241422</t>
  </si>
  <si>
    <t>Ожерелье 2023 Online Concert Mini Harmonica Necklace Xinyan 6975628241415</t>
  </si>
  <si>
    <t>GEN17</t>
  </si>
  <si>
    <t>6975628241415</t>
  </si>
  <si>
    <t>Ожерелье Genshin Impact Wanderer Clothing Necklace Wanderer Theme Impression Series Necklace 6976525</t>
  </si>
  <si>
    <t>GEN1173</t>
  </si>
  <si>
    <t>6976525002321</t>
  </si>
  <si>
    <t>18,3 / 7,5 / 2,5</t>
  </si>
  <si>
    <t>Орнаменты из акриловых блоков с эффектом зыбучих песков внутри "The Exquisite Night Chimes" Version</t>
  </si>
  <si>
    <t>GEN576</t>
  </si>
  <si>
    <t>6976068141570</t>
  </si>
  <si>
    <t>Орнаменты из акриловых блоков с эффектом зыбучих песков внутри "Windblume's Breath" Version 69760681</t>
  </si>
  <si>
    <t>GEN577</t>
  </si>
  <si>
    <t>6976068141587</t>
  </si>
  <si>
    <t>Орнаменты из акриловых блоков с эффектом зыбучих песков внутри Kamisato Ayato 6976068140665</t>
  </si>
  <si>
    <t>GEN569</t>
  </si>
  <si>
    <t>6976068140665</t>
  </si>
  <si>
    <t>Орнаменты из акриловых блоков с эффектом зыбучих песков внутри The Wanderer 6976068140719</t>
  </si>
  <si>
    <t>GEN574</t>
  </si>
  <si>
    <t>6976068140719</t>
  </si>
  <si>
    <t>Открытки Postcard Set Version Livestream Art 6976525005919</t>
  </si>
  <si>
    <t>GEN980</t>
  </si>
  <si>
    <t>6976525005919</t>
  </si>
  <si>
    <t>1,5 / 11,5 / 20</t>
  </si>
  <si>
    <t>Очиститель экрана телефона Teyvat Zoo Themed Amber 6975213680988</t>
  </si>
  <si>
    <t>GEN826</t>
  </si>
  <si>
    <t>6975213680988</t>
  </si>
  <si>
    <t>12,1 / 6,4 / 0,3</t>
  </si>
  <si>
    <t>Пазл 800 деталей The Morn a Thousand Roses Brings 800 pieces 6975628246373</t>
  </si>
  <si>
    <t>GEN713</t>
  </si>
  <si>
    <t>6975628246373</t>
  </si>
  <si>
    <t>3,9 / 23,5 / 17,8</t>
  </si>
  <si>
    <t>Памятный билет 2022 Online Concert Lazer Cut Commemorative Ticket Barbara 6975213684917</t>
  </si>
  <si>
    <t>GEN389</t>
  </si>
  <si>
    <t>6975213684917</t>
  </si>
  <si>
    <t>23 / 8,5 / 0,1</t>
  </si>
  <si>
    <t>Памятный билет 2022 Online Concert Lazer Cut Commemorative Ticket Shenhe 6975213684863</t>
  </si>
  <si>
    <t>GEN384</t>
  </si>
  <si>
    <t>6975213684863</t>
  </si>
  <si>
    <t>22,5 / 8,5 / 0,2</t>
  </si>
  <si>
    <t>Памятный билет 2022 Online Concert Lazer Cut Commemorative Ticket Xinyan 6975213684887</t>
  </si>
  <si>
    <t>GEN386</t>
  </si>
  <si>
    <t>6975213684887</t>
  </si>
  <si>
    <t>Памятный билет 2022 Online Concert Lazer Cut Commemorative Ticket Yun Jin Юнь Цзинь 6975213684870</t>
  </si>
  <si>
    <t>GEN385</t>
  </si>
  <si>
    <t>6975213684870</t>
  </si>
  <si>
    <t>Памятный билет Genshin Impact Кинич Kinich Departure! Land of Pyro Pull Tab Ticket 6942421157731</t>
  </si>
  <si>
    <t>GEN1390</t>
  </si>
  <si>
    <t>6942421157731</t>
  </si>
  <si>
    <t>13 / 26 / 0,5</t>
  </si>
  <si>
    <t>Памятный билет Genshin Impact Муалани Mualani Departure! Land of Pyro Pull Tab Ticket 6942421157755</t>
  </si>
  <si>
    <t>GEN1391</t>
  </si>
  <si>
    <t>6942421157755</t>
  </si>
  <si>
    <t>27 / 13,5 / 0,3</t>
  </si>
  <si>
    <t>Папка для документов Hues of the Violet Garden 6975213683163</t>
  </si>
  <si>
    <t>GEN788</t>
  </si>
  <si>
    <t>6975213683163</t>
  </si>
  <si>
    <t>31 / 23,5 / 0,1</t>
  </si>
  <si>
    <t>Папка для документов Into the Perilous Labyrinth of Fog 6974696619331</t>
  </si>
  <si>
    <t>GEN786</t>
  </si>
  <si>
    <t>6974696619331</t>
  </si>
  <si>
    <t>Папка для документов Oni Royale 6974696619348</t>
  </si>
  <si>
    <t>GEN787</t>
  </si>
  <si>
    <t>6974696619348</t>
  </si>
  <si>
    <t>Папка для документов Plastic A4 Folder 2023 Fontaine Art Exhibit Freminet 6976068149736</t>
  </si>
  <si>
    <t>GEN972</t>
  </si>
  <si>
    <t>6976068149736</t>
  </si>
  <si>
    <t>31,5 / 22 / 0,1</t>
  </si>
  <si>
    <t>Папка для документов Plastic A4 Folder 2023 Fontaine Art Exhibit Lynette 6976068149743</t>
  </si>
  <si>
    <t>GEN971</t>
  </si>
  <si>
    <t>6976068149743</t>
  </si>
  <si>
    <t>Папка для документов Plastic A4 Folder 2023 Fontaine Art Exhibit Lyney 6976068149729</t>
  </si>
  <si>
    <t>GEN970</t>
  </si>
  <si>
    <t>6976068149729</t>
  </si>
  <si>
    <t>Папка для документов The Exquisite Night Chimes 6976068141068</t>
  </si>
  <si>
    <t>GEN789</t>
  </si>
  <si>
    <t>6976068141068</t>
  </si>
  <si>
    <t>Папка для документов The Immovable God and the Eternal Euthymia 6974696610833</t>
  </si>
  <si>
    <t>GEN785</t>
  </si>
  <si>
    <t>6974696610833</t>
  </si>
  <si>
    <t>Печать Offline Exhibition House of Kamisato Family 6942421101499</t>
  </si>
  <si>
    <t>GEN1131</t>
  </si>
  <si>
    <t>6942421101499</t>
  </si>
  <si>
    <t>6 / 10,3 / 7,5</t>
  </si>
  <si>
    <t>Плюш Cryo Slime 6974696610574</t>
  </si>
  <si>
    <t>GEN589</t>
  </si>
  <si>
    <t>6974696610574</t>
  </si>
  <si>
    <t>10,1 / 10 / 11</t>
  </si>
  <si>
    <t>Плюш Teyvat Zoo Themed Diluc 6974696611670</t>
  </si>
  <si>
    <t>GEN692</t>
  </si>
  <si>
    <t>6974696611670</t>
  </si>
  <si>
    <t>8,8 / 8,8 / 8,1</t>
  </si>
  <si>
    <t>Плюш Teyvat Zoo Themed Diluc Noctua Version 6975628245864</t>
  </si>
  <si>
    <t>GEN596</t>
  </si>
  <si>
    <t>6975628245864</t>
  </si>
  <si>
    <t>34 / 40 / 28</t>
  </si>
  <si>
    <t>Плюш Teyvat Zoo Themed Ganyu 6974696611700</t>
  </si>
  <si>
    <t>GEN693</t>
  </si>
  <si>
    <t>6974696611700</t>
  </si>
  <si>
    <t>Плюш Teyvat Zoo Themed Jean 6975628245659</t>
  </si>
  <si>
    <t>GEN696</t>
  </si>
  <si>
    <t>6975628245659</t>
  </si>
  <si>
    <t>Плюш Teyvat Zoo Themed Xiao (Large) 6975213685525</t>
  </si>
  <si>
    <t>GEN590</t>
  </si>
  <si>
    <t>6975213685525</t>
  </si>
  <si>
    <t>Плюш Teyvat Zoo Themed Xiao 6974696611717</t>
  </si>
  <si>
    <t>GEN694</t>
  </si>
  <si>
    <t>6974696611717</t>
  </si>
  <si>
    <t>Плюш антистресс Slime Series Sweets Party Dendro Slime Macha Roll 6975213685501</t>
  </si>
  <si>
    <t>GEN594</t>
  </si>
  <si>
    <t>6975213685501</t>
  </si>
  <si>
    <t>7 / 7 / 11</t>
  </si>
  <si>
    <t>Плюш брелок Mini Hilichurl Unusual Hilichurl 6975628241804</t>
  </si>
  <si>
    <t>GEN579</t>
  </si>
  <si>
    <t>6975628241804</t>
  </si>
  <si>
    <t>9 / 9 / 9,1</t>
  </si>
  <si>
    <t>Плюш брелок Teyvat Zoo Themed Diluc Noctua Version 6975628245871</t>
  </si>
  <si>
    <t>GEN597</t>
  </si>
  <si>
    <t>6975628245871</t>
  </si>
  <si>
    <t>Плюш кошелек Cuilein-Anbar Version 6975628249015</t>
  </si>
  <si>
    <t>GEN598</t>
  </si>
  <si>
    <t>6975628249015</t>
  </si>
  <si>
    <t>13,9 / 14 / 4,5</t>
  </si>
  <si>
    <t>Плюшевая игрушка Genshin Impact Blubber beast Blue 6976525004837</t>
  </si>
  <si>
    <t>GEN1025</t>
  </si>
  <si>
    <t>6976525004837</t>
  </si>
  <si>
    <t>18 / 74 / 70</t>
  </si>
  <si>
    <t>Плюшевая игрушка Genshin Impact Blubber beast Purple 6976525004844</t>
  </si>
  <si>
    <t>GEN1026</t>
  </si>
  <si>
    <t>6976525004844</t>
  </si>
  <si>
    <t>16 / 72 / 72</t>
  </si>
  <si>
    <t>Плюшевая игрушка Genshin Impact Electro Slime 6974696610604</t>
  </si>
  <si>
    <t>GEN170</t>
  </si>
  <si>
    <t>6974696610604</t>
  </si>
  <si>
    <t>Плюшевая игрушка Genshin Impact Klee 6974096538072</t>
  </si>
  <si>
    <t>GEN584</t>
  </si>
  <si>
    <t>6974096538072</t>
  </si>
  <si>
    <t>19,7 / 13 / 8</t>
  </si>
  <si>
    <t>Плюшевая игрушка Genshin Impact Klee 6976525009443</t>
  </si>
  <si>
    <t>GEN1029</t>
  </si>
  <si>
    <t>6976525009443</t>
  </si>
  <si>
    <t>24 / 16 / 24</t>
  </si>
  <si>
    <t>Плюшевая игрушка Genshin Impact Leisurely Otter 6976525004790</t>
  </si>
  <si>
    <t>GEN1033</t>
  </si>
  <si>
    <t>6976525004790</t>
  </si>
  <si>
    <t>36,5 / 15 / 11</t>
  </si>
  <si>
    <t>Плюшевая игрушка Genshin Impact Сайно Cyno 6942421107569</t>
  </si>
  <si>
    <t>GEN1256</t>
  </si>
  <si>
    <t>6942421107569</t>
  </si>
  <si>
    <t>8,5 / 8,5 / 8,5</t>
  </si>
  <si>
    <t>Плюшевая игрушка Genshin Impact Сяо Xiao 6942421128175</t>
  </si>
  <si>
    <t>GEN1261</t>
  </si>
  <si>
    <t>6942421128175</t>
  </si>
  <si>
    <t>13 / 46 / 39</t>
  </si>
  <si>
    <t>Плюшевая игрушка Genshin Impact Тигнари Tighnari 6942421107552</t>
  </si>
  <si>
    <t>GEN1255</t>
  </si>
  <si>
    <t>6942421107552</t>
  </si>
  <si>
    <t>Плюшевая игрушка Slime Plush Toy Hydro Slime Plush 6974696610581</t>
  </si>
  <si>
    <t>GEN171</t>
  </si>
  <si>
    <t>6974696610581</t>
  </si>
  <si>
    <t>12 / 18 / 18</t>
  </si>
  <si>
    <t>Плюшевая игрушка Teyvat Zoo Themed Mini Plush Amber 6974696611663</t>
  </si>
  <si>
    <t>GEN361</t>
  </si>
  <si>
    <t>6974696611663</t>
  </si>
  <si>
    <t>Плюшевая игрушка Teyvat Zoo Themed Mini Plush Diona 6974696611687</t>
  </si>
  <si>
    <t>GEN359</t>
  </si>
  <si>
    <t>6974696611687</t>
  </si>
  <si>
    <t>Плюшевая игрушка Teyvat Zoo Themed Mondstadt Amber 6975628245987</t>
  </si>
  <si>
    <t>GEN910</t>
  </si>
  <si>
    <t>6975628245987</t>
  </si>
  <si>
    <t>30 / 22 / 9</t>
  </si>
  <si>
    <t>Плюшевая игрушка Teyvat Zoo Themed Mondstadt Klee 6975628246052</t>
  </si>
  <si>
    <t>GEN913</t>
  </si>
  <si>
    <t>6975628246052</t>
  </si>
  <si>
    <t>27,5 / 20,5 / 3</t>
  </si>
  <si>
    <t>Плюшевая игрушка Teyvat Zoo Themed Mondstadt Lisa 6975628245994</t>
  </si>
  <si>
    <t>GEN909</t>
  </si>
  <si>
    <t>6975628245994</t>
  </si>
  <si>
    <t>Плюшевая игрушка Vago Mundo Themed Products Rex Lapis Plush 6974096531073</t>
  </si>
  <si>
    <t>GEN169</t>
  </si>
  <si>
    <t>6974096531073</t>
  </si>
  <si>
    <t>40 / 33 / 18</t>
  </si>
  <si>
    <t>Плюшевая игрушка брелок Hilichurl Mini Plush Toy Electro Hilichurl 6974696618600</t>
  </si>
  <si>
    <t>GEN168</t>
  </si>
  <si>
    <t>6974696618600</t>
  </si>
  <si>
    <t>9 / 9,1 / 9,1</t>
  </si>
  <si>
    <t>Плюшевая игрушка брелок Hilichurl Mini Plush Toy Pyro Hilichurl 6974096535910</t>
  </si>
  <si>
    <t>GEN167</t>
  </si>
  <si>
    <t>6974096535910</t>
  </si>
  <si>
    <t>Плюшевая игрушка пенал Genshin Impact Leisurely Otter  6976525004806</t>
  </si>
  <si>
    <t>GEN1034</t>
  </si>
  <si>
    <t>6976525004806</t>
  </si>
  <si>
    <t>27 / 14 / 13,5</t>
  </si>
  <si>
    <t>Подарочный набор (конверт/письмо/наклейки/картина/значок) Day of Destiny Series Beidou 6974696612448</t>
  </si>
  <si>
    <t>GEN21</t>
  </si>
  <si>
    <t>6974696612448</t>
  </si>
  <si>
    <t>Подвеска на рюкзак  2022 Online Concert Shenhe 6975628240289</t>
  </si>
  <si>
    <t>GEN736</t>
  </si>
  <si>
    <t>6975628240289</t>
  </si>
  <si>
    <t>0,5 / 11,1 / 15,2</t>
  </si>
  <si>
    <t>Подвеска на рюкзак  2022 Online Concert Yun Jin Юнь Цзинь 6975628240296</t>
  </si>
  <si>
    <t>GEN737</t>
  </si>
  <si>
    <t>6975628240296</t>
  </si>
  <si>
    <t>Подвеска на рюкзак  Character's Dialogue Albedo 6975213682807</t>
  </si>
  <si>
    <t>GEN553</t>
  </si>
  <si>
    <t>6975213682807</t>
  </si>
  <si>
    <t>Подвеска на рюкзак  Character's Dialogue Eula 6975213682760</t>
  </si>
  <si>
    <t>GEN552</t>
  </si>
  <si>
    <t>6975213682760</t>
  </si>
  <si>
    <t>Подвеска на рюкзак 2022 Online Concert Acrylic Strap Barbara 6975628240333</t>
  </si>
  <si>
    <t>GEN383</t>
  </si>
  <si>
    <t>6975628240333</t>
  </si>
  <si>
    <t>Подвеска на рюкзак 2022 Online Concert Acrylic Strap Xinyan 6975628240302</t>
  </si>
  <si>
    <t>GEN380</t>
  </si>
  <si>
    <t>6975628240302</t>
  </si>
  <si>
    <t>17 / 11 / 0,5</t>
  </si>
  <si>
    <t>Подвеска на рюкзак Character's Dialogue Rubber Straps Barbara 6974696614336</t>
  </si>
  <si>
    <t>GEN160</t>
  </si>
  <si>
    <t>6974696614336</t>
  </si>
  <si>
    <t>16 / 8,1 / 0,3</t>
  </si>
  <si>
    <t>Подвеска на рюкзак Character's Dialogue Rubber Straps Hutao 6975213682777</t>
  </si>
  <si>
    <t>GEN162</t>
  </si>
  <si>
    <t>6975213682777</t>
  </si>
  <si>
    <t>0,5 / 8,1 / 18,6</t>
  </si>
  <si>
    <t>Подвеска на рюкзак Character's Dialogue Rubber Straps Kaedehara Kazuha 6975213682791</t>
  </si>
  <si>
    <t>GEN8</t>
  </si>
  <si>
    <t>6975213682791</t>
  </si>
  <si>
    <t>0,5 / 8 / 19</t>
  </si>
  <si>
    <t>Подвеска на рюкзак Character's Dialogue Rubber Straps Keqing 6974696614343</t>
  </si>
  <si>
    <t>GEN161</t>
  </si>
  <si>
    <t>6974696614343</t>
  </si>
  <si>
    <t>Подвеска на рюкзак Character's Dialogue Rubber Straps Klee 6974696614312</t>
  </si>
  <si>
    <t>GEN158</t>
  </si>
  <si>
    <t>6974696614312</t>
  </si>
  <si>
    <t>Подвеска на рюкзак Character's Dialogue Rubber Straps Raiden Shogun 6975213682784</t>
  </si>
  <si>
    <t>GEN163</t>
  </si>
  <si>
    <t>6975213682784</t>
  </si>
  <si>
    <t>Подвеска на рюкзак Character's Dialogue Rubber Straps Venti 6974696614305</t>
  </si>
  <si>
    <t>GEN157</t>
  </si>
  <si>
    <t>6974696614305</t>
  </si>
  <si>
    <t>Подвеска на рюкзак Character's Dialogue Rubber Straps Xiao 6975213682814</t>
  </si>
  <si>
    <t>GEN164</t>
  </si>
  <si>
    <t>6975213682814</t>
  </si>
  <si>
    <t>Подвеска на рюкзак Character's Dialogue Rubber Straps Zhongli 6974696614329</t>
  </si>
  <si>
    <t>GEN159</t>
  </si>
  <si>
    <t>6974696614329</t>
  </si>
  <si>
    <t>Подсвечник вращающийся Genshin Impact Тигнари Tighnari с ароматизированной свечой 6976525001720</t>
  </si>
  <si>
    <t>GEN1265</t>
  </si>
  <si>
    <t>6976525001720</t>
  </si>
  <si>
    <t>14,6 / 15 / 9,8</t>
  </si>
  <si>
    <t>Подставка для смартфона Character Themed Acrylic Phone Stand Contemplation in Chalk Albedo 697469661</t>
  </si>
  <si>
    <t>GEN424</t>
  </si>
  <si>
    <t>6974696615623</t>
  </si>
  <si>
    <t>Подставка для смартфона Character Themed Acrylic Phone Stand Plenilune Gaze Ganyu 6974696617504</t>
  </si>
  <si>
    <t>GEN426</t>
  </si>
  <si>
    <t>6974696617504</t>
  </si>
  <si>
    <t>Подставка для смартфона The Windborne Bard Venti 6974096531707</t>
  </si>
  <si>
    <t>GEN780</t>
  </si>
  <si>
    <t>6974096531707</t>
  </si>
  <si>
    <t>19 / 14 / 0,3</t>
  </si>
  <si>
    <t>Подставка для телефона Genshin Impact Венти Venti Genius Invokation TCG Tournament 6942421108986</t>
  </si>
  <si>
    <t>GEN1187</t>
  </si>
  <si>
    <t>6942421108986</t>
  </si>
  <si>
    <t>18,7 / 17,2 / 1,5</t>
  </si>
  <si>
    <t>Подставка для телефона Genshin Impact Нахида Nahida Genius Invokation TCG Tournament 6942421108931</t>
  </si>
  <si>
    <t>GEN1186</t>
  </si>
  <si>
    <t>6942421108931</t>
  </si>
  <si>
    <t>1,5 / 18 / 18,6</t>
  </si>
  <si>
    <t>Подставка для телефона Genshin Impact Райден Raiden Genius Invokation TCG Tournament 694</t>
  </si>
  <si>
    <t>GEN1189</t>
  </si>
  <si>
    <t>6942421109150</t>
  </si>
  <si>
    <t>Подставка для телефона Genshin Impact Сяо Xiao Genius Invokation TCG Tournament 6942421108993</t>
  </si>
  <si>
    <t>GEN1188</t>
  </si>
  <si>
    <t>6942421108993</t>
  </si>
  <si>
    <t>18,7 / 17,5 / 1,5</t>
  </si>
  <si>
    <t>Подставка для телефона Genshin Impact Тарталья Childe Tartaglia Genius Invokation TCG Tournament 694</t>
  </si>
  <si>
    <t>GEN1190</t>
  </si>
  <si>
    <t>6942421109181</t>
  </si>
  <si>
    <t>18,6 / 17,5 / 1,3</t>
  </si>
  <si>
    <t>Подстаканник Genshin Impact Windblume's Breath Venti 6976068144755</t>
  </si>
  <si>
    <t>GEN1167</t>
  </si>
  <si>
    <t>6976068144755</t>
  </si>
  <si>
    <t>10,6 / 10,6 / 1,6</t>
  </si>
  <si>
    <t>Подстаканник акриловый Genshin Impact Birthday Greetings Dehya 6942421104650</t>
  </si>
  <si>
    <t>GEN1128</t>
  </si>
  <si>
    <t>6942421104650</t>
  </si>
  <si>
    <t>Подстаканник акриловый Genshin Impact Birthday Greetings Yelan 6942421104674</t>
  </si>
  <si>
    <t>GEN1130</t>
  </si>
  <si>
    <t>6942421104674</t>
  </si>
  <si>
    <t>10,7 / 9 / 0,5</t>
  </si>
  <si>
    <t>Подушка Genshin Impact Чжун Ли Zhongli Impression Chibi Shaped Pillow 6942421150787</t>
  </si>
  <si>
    <t>GEN1430</t>
  </si>
  <si>
    <t>6942421150787</t>
  </si>
  <si>
    <t>24 / 55 / 47</t>
  </si>
  <si>
    <t>Подушка Geo Archon Round Cushion 6974096535538</t>
  </si>
  <si>
    <t>GEN582</t>
  </si>
  <si>
    <t>6974096535538</t>
  </si>
  <si>
    <t>50 / 48 / 2</t>
  </si>
  <si>
    <t>Подушка Tartaglia Round Cushion 6974096535545</t>
  </si>
  <si>
    <t>GEN581</t>
  </si>
  <si>
    <t>6974096535545</t>
  </si>
  <si>
    <t>Подушка для сиденья Azdaha  6974096536399</t>
  </si>
  <si>
    <t>GEN586</t>
  </si>
  <si>
    <t>6974096536399</t>
  </si>
  <si>
    <t>40 / 43 / 5</t>
  </si>
  <si>
    <t>Постер Genshin Fes 6974096534883</t>
  </si>
  <si>
    <t>GEN649</t>
  </si>
  <si>
    <t>6974096534883</t>
  </si>
  <si>
    <t>33 / 5 / 5</t>
  </si>
  <si>
    <t>Поясная сумка Vigilant Yaksha (Xiao) - Waist Pouch 6974696610956</t>
  </si>
  <si>
    <t>GEN29</t>
  </si>
  <si>
    <t>6974696610956</t>
  </si>
  <si>
    <t>38,5 / 27,5 / 12</t>
  </si>
  <si>
    <t>Пушистый коврик Medium Boo Tao! Theme Medium 60x60см 6974696615371</t>
  </si>
  <si>
    <t>GEN812</t>
  </si>
  <si>
    <t>6974696615371</t>
  </si>
  <si>
    <t>9 / 56 / 9</t>
  </si>
  <si>
    <t>Рубашка серая XL Light Grey Diluc XL 6975628244232</t>
  </si>
  <si>
    <t>GEN862</t>
  </si>
  <si>
    <t>6975628244232</t>
  </si>
  <si>
    <t>1 / 32 / 42</t>
  </si>
  <si>
    <t>Ручка Slime Series Cyro Slime 6975213682678</t>
  </si>
  <si>
    <t>GEN843</t>
  </si>
  <si>
    <t>6975213682678</t>
  </si>
  <si>
    <t>22 / 7 / 2,5</t>
  </si>
  <si>
    <t>Ручка Slime Series Dendro Slime 6975213682692</t>
  </si>
  <si>
    <t>GEN845</t>
  </si>
  <si>
    <t>6975213682692</t>
  </si>
  <si>
    <t>22 / 7 / 0,5</t>
  </si>
  <si>
    <t>Ручка Slime Series Electro Slime 6975213682685</t>
  </si>
  <si>
    <t>GEN844</t>
  </si>
  <si>
    <t>6975213682685</t>
  </si>
  <si>
    <t>Ручка Slime Series Geo Slime 6975213682708</t>
  </si>
  <si>
    <t>GEN846</t>
  </si>
  <si>
    <t>6975213682708</t>
  </si>
  <si>
    <t>Ручка Slime Series Hydro Slime 6975213682654</t>
  </si>
  <si>
    <t>GEN842</t>
  </si>
  <si>
    <t>6975213682654</t>
  </si>
  <si>
    <t>Ручка Slime Series Pyro Slime 6975213682647</t>
  </si>
  <si>
    <t>GEN841</t>
  </si>
  <si>
    <t>6975213682647</t>
  </si>
  <si>
    <t>Ручка гелевая Genshin Impact Teyvat Zoo Дилюк Diluc 2 шт 6942421122999</t>
  </si>
  <si>
    <t>GEN1279</t>
  </si>
  <si>
    <t>6942421122999</t>
  </si>
  <si>
    <t>1,5 / 10,5 / 22</t>
  </si>
  <si>
    <t>Ручка гелевая Genshin Impact Teyvat Zoo Ризли 2 шт 6942421123064</t>
  </si>
  <si>
    <t>GEN1283</t>
  </si>
  <si>
    <t>6942421123064</t>
  </si>
  <si>
    <t>1 / 10,7 / 22,3</t>
  </si>
  <si>
    <t>Ручка гелевая Genshin Impact Teyvat Zoo Сяо Xiao 2 шт 6942421123019</t>
  </si>
  <si>
    <t>GEN1280</t>
  </si>
  <si>
    <t>6942421123019</t>
  </si>
  <si>
    <t>22 / 10,5 / 2,5</t>
  </si>
  <si>
    <t>Ручка гелевая Genshin Impact Teyvat Zoo Тарталья Tartaglia 2 шт 6942421123026</t>
  </si>
  <si>
    <t>GEN1281</t>
  </si>
  <si>
    <t>6942421123026</t>
  </si>
  <si>
    <t>Ручка гелевая Genshin Impact Teyvat Zoo Яэ Мико Yae Miko 2 шт 6942421123033</t>
  </si>
  <si>
    <t>GEN1282</t>
  </si>
  <si>
    <t>6942421123033</t>
  </si>
  <si>
    <t>Складной веер Hutao 6976068140627</t>
  </si>
  <si>
    <t>GEN874</t>
  </si>
  <si>
    <t>6976068140627</t>
  </si>
  <si>
    <t>28,5 / 4 / 3</t>
  </si>
  <si>
    <t>Стикеры для заметок  A Sweet Summer Series Raiden Shogun 6975213686539</t>
  </si>
  <si>
    <t>GEN729</t>
  </si>
  <si>
    <t>6975213686539</t>
  </si>
  <si>
    <t>1 / 11,1 / 11,8</t>
  </si>
  <si>
    <t>Стикеры для заметок  Chibi Expression Candace 6975628248957</t>
  </si>
  <si>
    <t>GEN796</t>
  </si>
  <si>
    <t>6975628248957</t>
  </si>
  <si>
    <t>12,3 / 8,7 / 0,5</t>
  </si>
  <si>
    <t>Стикеры для заметок  Chibi Expression Collei 6975628248919</t>
  </si>
  <si>
    <t>GEN792</t>
  </si>
  <si>
    <t>6975628248919</t>
  </si>
  <si>
    <t>Стикеры для заметок  Chibi Expression Cyno 6975628248940</t>
  </si>
  <si>
    <t>GEN795</t>
  </si>
  <si>
    <t>6975628248940</t>
  </si>
  <si>
    <t>Стикеры для заметок  Chibi Expression Dehya 6976068141907</t>
  </si>
  <si>
    <t>GEN802</t>
  </si>
  <si>
    <t>6976068141907</t>
  </si>
  <si>
    <t>Стикеры для заметок  Chibi Expression Dori 6975628248933</t>
  </si>
  <si>
    <t>GEN794</t>
  </si>
  <si>
    <t>6975628248933</t>
  </si>
  <si>
    <t>Стикеры для заметок  Chibi Expression Faruzan 6975628248995</t>
  </si>
  <si>
    <t>GEN800</t>
  </si>
  <si>
    <t>6975628248995</t>
  </si>
  <si>
    <t>Стикеры для заметок  Chibi Expression Layla 6975628248971</t>
  </si>
  <si>
    <t>GEN798</t>
  </si>
  <si>
    <t>6975628248971</t>
  </si>
  <si>
    <t>Стикеры для заметок  Chibi Expression Nahida 6975628248964</t>
  </si>
  <si>
    <t>GEN797</t>
  </si>
  <si>
    <t>6975628248964</t>
  </si>
  <si>
    <t>12 / 8 / 1</t>
  </si>
  <si>
    <t>Стикеры для заметок  Chibi Expression Nilou 6975628248926</t>
  </si>
  <si>
    <t>GEN793</t>
  </si>
  <si>
    <t>6975628248926</t>
  </si>
  <si>
    <t>Стикеры для заметок  Set A（Diluc, Venti, Fischl, Klee, Lumine) 6972957485855</t>
  </si>
  <si>
    <t>GEN790</t>
  </si>
  <si>
    <t>6972957485855</t>
  </si>
  <si>
    <t>14 / 9 / 1,5</t>
  </si>
  <si>
    <t>Стикеры для заметок Genshin Impact 6975213681749</t>
  </si>
  <si>
    <t>GEN1168</t>
  </si>
  <si>
    <t>6975213681749</t>
  </si>
  <si>
    <t>0,8 / 26,2 / 14,5</t>
  </si>
  <si>
    <t>Стикеры для заметок Post It Pad Set 2023 Fontaine Art Exhibit Paimon 6976068149651</t>
  </si>
  <si>
    <t>GEN963</t>
  </si>
  <si>
    <t>6976068149651</t>
  </si>
  <si>
    <t>Сумка Genshin Impact Teyvat Journey Liyue Impression 6942421137313</t>
  </si>
  <si>
    <t>GEN1360</t>
  </si>
  <si>
    <t>6942421137313</t>
  </si>
  <si>
    <t>34,6 / 24,6 / 10,5</t>
  </si>
  <si>
    <t>Сумка Genshin Impact Teyvat Journey Liyue Impression 6942421137320</t>
  </si>
  <si>
    <t>GEN1361</t>
  </si>
  <si>
    <t>6942421137320</t>
  </si>
  <si>
    <t>34,3 / 24,7 / 10,5</t>
  </si>
  <si>
    <t>Сумка Genshin Impact Teyvat Journey Mondstadt Impression 6942421137290</t>
  </si>
  <si>
    <t>GEN1358</t>
  </si>
  <si>
    <t>6942421137290</t>
  </si>
  <si>
    <t>25 / 35 / 10,5</t>
  </si>
  <si>
    <t>Сумка Genshin Impact Teyvat Journey Mondstadt Impression 6942421137306</t>
  </si>
  <si>
    <t>GEN1359</t>
  </si>
  <si>
    <t>6942421137306</t>
  </si>
  <si>
    <t>Сумка кросс-боди Genshin Impact 2024 Carnival Gathering Teucer Penguin 6942421146285</t>
  </si>
  <si>
    <t>GEN1369</t>
  </si>
  <si>
    <t>6942421146285</t>
  </si>
  <si>
    <t>24,3 / 22 / 7,5</t>
  </si>
  <si>
    <t>Сумка кросс-боди Genshin Impact 2024 Carnival Gathering Сиджвин 6942421146278</t>
  </si>
  <si>
    <t>GEN1368</t>
  </si>
  <si>
    <t>6942421146278</t>
  </si>
  <si>
    <t>24,5 / 21,1 / 7,4</t>
  </si>
  <si>
    <t>Фигурка Genshin Impact Prince Thelxie 6942421120940</t>
  </si>
  <si>
    <t>GEN1315</t>
  </si>
  <si>
    <t>6942421120940</t>
  </si>
  <si>
    <t>15,5 / 23,5 / 18</t>
  </si>
  <si>
    <t>Фигурка Genshin Impact Q-version Rocker Ху Тао Hu Tao 6976068146155</t>
  </si>
  <si>
    <t>GEN1311</t>
  </si>
  <si>
    <t>6976068146155</t>
  </si>
  <si>
    <t>8,7 / 10,5 / 14,2</t>
  </si>
  <si>
    <t>Фигурка Genshin Impact Нин Гуан Ningguang Ver.1/7 6974096536023</t>
  </si>
  <si>
    <t>GEN438</t>
  </si>
  <si>
    <t>6974096536023</t>
  </si>
  <si>
    <t>40,5 / 46 / 40,5</t>
  </si>
  <si>
    <t>Фигурка слайм в ассортименте Genshin Impact 5 шт 6972826761844</t>
  </si>
  <si>
    <t>GEN1313</t>
  </si>
  <si>
    <t>6972826761844</t>
  </si>
  <si>
    <t>16,7 / 13 / 2,5</t>
  </si>
  <si>
    <t>Фигурка со звуком Genshin Impact Teyvat Paradise Кли Klee 6942421135876</t>
  </si>
  <si>
    <t>GEN1317</t>
  </si>
  <si>
    <t>6942421135876</t>
  </si>
  <si>
    <t>17,6 / 16 / 15</t>
  </si>
  <si>
    <t>Фигурка со звуком Genshin Impact Teyvat Paradise Ризли 6942421135913</t>
  </si>
  <si>
    <t>GEN1319</t>
  </si>
  <si>
    <t>6942421135913</t>
  </si>
  <si>
    <t>14,5 / 16,5 / 13</t>
  </si>
  <si>
    <t>Фигурка со звуком Genshin Impact Teyvat Paradise Сайно Cyno 6942421135906</t>
  </si>
  <si>
    <t>GEN1320</t>
  </si>
  <si>
    <t>6942421135906</t>
  </si>
  <si>
    <t>17,5 / 19,5 / 17,5</t>
  </si>
  <si>
    <t>Фигурка со звуком Genshin Impact Teyvat Paradise Сяо Xiao 6942421135883</t>
  </si>
  <si>
    <t>GEN1316</t>
  </si>
  <si>
    <t>6942421135883</t>
  </si>
  <si>
    <t>14 / 16,3 / 18,7</t>
  </si>
  <si>
    <t>Фигурка со звуком Genshin Impact Teyvat Paradise Яэ Мико Yae Miko 6942421135890</t>
  </si>
  <si>
    <t>GEN1318</t>
  </si>
  <si>
    <t>6942421135890</t>
  </si>
  <si>
    <t>14 / 18,5 / 16</t>
  </si>
  <si>
    <t>Фотоальбом Genshin Impact 6942421102106</t>
  </si>
  <si>
    <t>GEN1165</t>
  </si>
  <si>
    <t>6942421102106</t>
  </si>
  <si>
    <t>30 / 23,3 / 5</t>
  </si>
  <si>
    <t>Чайный набор (чашка, блюдце, ложка) Genshin Impact Fontaine Lynette 6976525006008</t>
  </si>
  <si>
    <t>GEN1169</t>
  </si>
  <si>
    <t>6976525006008</t>
  </si>
  <si>
    <t>19,5 / 19,5 / 20</t>
  </si>
  <si>
    <t>Чехол для значков Genshin Impact Avatar Hu Tao 6976525004158</t>
  </si>
  <si>
    <t>GEN1059</t>
  </si>
  <si>
    <t>6976525004158</t>
  </si>
  <si>
    <t>10 / 9,7 / 1,5</t>
  </si>
  <si>
    <t>Чехол для значков Genshin Impact Avatar Tartaglia 6976525004165</t>
  </si>
  <si>
    <t>GEN1058</t>
  </si>
  <si>
    <t>6976525004165</t>
  </si>
  <si>
    <t>1,5 / 9,6 / 10</t>
  </si>
  <si>
    <t>Шарф Diluc 6975628244119</t>
  </si>
  <si>
    <t>GEN855</t>
  </si>
  <si>
    <t>6975628244119</t>
  </si>
  <si>
    <t>43 / 31,5 / 2</t>
  </si>
  <si>
    <t>Good Smile Company</t>
  </si>
  <si>
    <t>Набор Фигурка Аниме Токийские мстител Такемичи Ханагаки, Манджиро Сано (Майки), Кен Рюгуджи Bkub Ver</t>
  </si>
  <si>
    <t>GDS1009</t>
  </si>
  <si>
    <t>4580416927734</t>
  </si>
  <si>
    <t>20 / 9 / 7</t>
  </si>
  <si>
    <t>Набор Фигурка Аниме Токийские мстители Кейске Баджи, Чифую Мацуно Bkub Ver. Chibi 6 см 4580416927727</t>
  </si>
  <si>
    <t>GDS1010</t>
  </si>
  <si>
    <t>4580416927727</t>
  </si>
  <si>
    <t>9 / 13,5 / 7</t>
  </si>
  <si>
    <t>Плюш NESOBERI (Lay-Down) Клинок рассекающий демонов Kimetsu no Yaiba в ассортименте 4580779504153</t>
  </si>
  <si>
    <t>GDS921</t>
  </si>
  <si>
    <t>4580779504153</t>
  </si>
  <si>
    <t>9 / 10,5 / 17,5</t>
  </si>
  <si>
    <t>Плюш SEGA Человек-бензопила Sangatsu Youka Denji &amp; Power 1шт 4580779515692</t>
  </si>
  <si>
    <t>GDS679</t>
  </si>
  <si>
    <t>4580779515692</t>
  </si>
  <si>
    <t>28 / 15 / 15</t>
  </si>
  <si>
    <t>Плюш Tinytan Dreamy Mej Doll Dy J-Hope 4570001965319</t>
  </si>
  <si>
    <t>GDS729</t>
  </si>
  <si>
    <t>4570001965319</t>
  </si>
  <si>
    <t>41 / 21 / 13,5</t>
  </si>
  <si>
    <t>Плюш Tinytan Dreamy Mej Doll Dy Jimin 4570001965326</t>
  </si>
  <si>
    <t>GDS730</t>
  </si>
  <si>
    <t>4570001965326</t>
  </si>
  <si>
    <t>Плюш Tinytan Dreamy Mej Doll Dy Jin 4570001965296</t>
  </si>
  <si>
    <t>GDS727</t>
  </si>
  <si>
    <t>4570001965296</t>
  </si>
  <si>
    <t>Плюш Tinytan Dreamy Mej Doll Dy Rm 4570001965289</t>
  </si>
  <si>
    <t>GDS726</t>
  </si>
  <si>
    <t>4570001965289</t>
  </si>
  <si>
    <t>Фигурка  Аниме Chozokado Super Figure Action JoJo`s Bizarre Adventure Part 6 [Ws] 16см 4582638233587</t>
  </si>
  <si>
    <t>GDS1047</t>
  </si>
  <si>
    <t>4582638233587</t>
  </si>
  <si>
    <t>23 / 12 / 9</t>
  </si>
  <si>
    <t>Фигурка ANIPLEX Mashle Magic and Muscles Mash Burnedead 1:12  4534530766083</t>
  </si>
  <si>
    <t>GDS883</t>
  </si>
  <si>
    <t>4534530766083</t>
  </si>
  <si>
    <t>24 / 24 / 8,5</t>
  </si>
  <si>
    <t>Фигурка APEX Genshin Impact Kamisato Аяка Ayaka Ver.1/7 6976068146599</t>
  </si>
  <si>
    <t>GDS1158</t>
  </si>
  <si>
    <t>6976068146599</t>
  </si>
  <si>
    <t>21,2 / 24 / 36</t>
  </si>
  <si>
    <t>Фигурка APEX Genshin Impact Return to the Soul Ци Ци Qiqi Ци Ци Ver. 1/8 6971995421269</t>
  </si>
  <si>
    <t>GDS1160</t>
  </si>
  <si>
    <t>6971995421269</t>
  </si>
  <si>
    <t>12,5 / 20,5 / 27</t>
  </si>
  <si>
    <t>Фигурка APEX Genshin Impact Thunderbolt Rain Ке Цин Ке Цин Keqing Ver.1/7 6971995420804</t>
  </si>
  <si>
    <t>GDS1159</t>
  </si>
  <si>
    <t>6971995420804</t>
  </si>
  <si>
    <t>26,5 / 30,5 / 35</t>
  </si>
  <si>
    <t>Фигурка APEX Genshin Impact Гань Юй Гань Юй Ganyu Ver.1/7 6971995420859</t>
  </si>
  <si>
    <t>GDS1161</t>
  </si>
  <si>
    <t>6971995420859</t>
  </si>
  <si>
    <t>32 / 17 / 15,5</t>
  </si>
  <si>
    <t>Фигурка APEX Genshin Impact Сяо Xiao Guardian Яша Yasha Ver.1/7 6971995421191</t>
  </si>
  <si>
    <t>GDS1157</t>
  </si>
  <si>
    <t>6971995421191</t>
  </si>
  <si>
    <t>22 / 33 / 35</t>
  </si>
  <si>
    <t>Фигурка Chozokado Will A Zeppeli 4570017771157</t>
  </si>
  <si>
    <t>GDS714</t>
  </si>
  <si>
    <t>4570017771157</t>
  </si>
  <si>
    <t>23 / 14,5 / 10</t>
  </si>
  <si>
    <t>Фигурка Figma Genshin Impact Underwater Wish Мона Mona 4545784067956</t>
  </si>
  <si>
    <t>GDS1162</t>
  </si>
  <si>
    <t>4545784067956</t>
  </si>
  <si>
    <t>7,3 / 21,3 / 22</t>
  </si>
  <si>
    <t>Фигурка Figma Jujutsu Kaisen Megumi Fushiguro 4580590128521</t>
  </si>
  <si>
    <t>GDS821</t>
  </si>
  <si>
    <t>4580590128521</t>
  </si>
  <si>
    <t>22 / 21 / 7,5</t>
  </si>
  <si>
    <t>Фигурка Figma Клинок рассекающий демонов Shinobu Kocho 4545784068342</t>
  </si>
  <si>
    <t>GDS900</t>
  </si>
  <si>
    <t>4545784068342</t>
  </si>
  <si>
    <t>22,5 / 21,5 / 8</t>
  </si>
  <si>
    <t>Фигурка figma Человек-бензопила Denji 4545784068618</t>
  </si>
  <si>
    <t>GDS749</t>
  </si>
  <si>
    <t>4545784068618</t>
  </si>
  <si>
    <t>Фигурка FURYU Jujutsu Kaisen Puchi Nue 4580736400184</t>
  </si>
  <si>
    <t>GDS917</t>
  </si>
  <si>
    <t>4580736400184</t>
  </si>
  <si>
    <t>9 / 12 / 9</t>
  </si>
  <si>
    <t>Фигурка Huggy Good Smile Anya Forger 4580590177444</t>
  </si>
  <si>
    <t>GDS879</t>
  </si>
  <si>
    <t>4580590177444</t>
  </si>
  <si>
    <t>18 / 13,5 / 5,5</t>
  </si>
  <si>
    <t>Фигурка Huggy Good Smile Loid Forger 4580590177468</t>
  </si>
  <si>
    <t>GDS878</t>
  </si>
  <si>
    <t>4580590177468</t>
  </si>
  <si>
    <t>Фигурка Jujutsu Kaisen Noodle Stopper Figure Puchi-Divine Dog Total 4580736400177</t>
  </si>
  <si>
    <t>GDS547</t>
  </si>
  <si>
    <t>4580736400177</t>
  </si>
  <si>
    <t>Фигурка Nendoroid Anya Forger 4580590129511</t>
  </si>
  <si>
    <t>GDS684</t>
  </si>
  <si>
    <t>4580590129511</t>
  </si>
  <si>
    <t>Фигурка Nendoroid Arataka Reigen 4580590170438</t>
  </si>
  <si>
    <t>GDS686</t>
  </si>
  <si>
    <t>4580590170438</t>
  </si>
  <si>
    <t>Фигурка Nendoroid Attack on Titan Annie Leonhart 4580590172760</t>
  </si>
  <si>
    <t>GDS798</t>
  </si>
  <si>
    <t>4580590172760</t>
  </si>
  <si>
    <t>Фигурка Nendoroid Attack On Titan Reiner Braun 4580590129894</t>
  </si>
  <si>
    <t>GDS585</t>
  </si>
  <si>
    <t>4580590129894</t>
  </si>
  <si>
    <t>Фигурка Nendoroid Blue Exorcist Rin Okumura 179097</t>
  </si>
  <si>
    <t>GDS941</t>
  </si>
  <si>
    <t>4580590179097</t>
  </si>
  <si>
    <t>Фигурка Nendoroid Blue Exorcist Yukio Okumura 179103</t>
  </si>
  <si>
    <t>GDS942</t>
  </si>
  <si>
    <t>4580590179103</t>
  </si>
  <si>
    <t>Фигурка Nendoroid Genshin Impact Mondstadt Венти Venti 4580590127852</t>
  </si>
  <si>
    <t>GDS1163</t>
  </si>
  <si>
    <t>4580590127852</t>
  </si>
  <si>
    <t>17,5 / 13,5 / 9</t>
  </si>
  <si>
    <t>Фигурка Nendoroid Genshin Impact Traveler GSC Итэр Aether 4580590126268</t>
  </si>
  <si>
    <t>GDS1164</t>
  </si>
  <si>
    <t>4580590126268</t>
  </si>
  <si>
    <t>Фигурка Nendoroid Haikyu! Hajime Iwaizumi 4580590129696</t>
  </si>
  <si>
    <t>GDS582</t>
  </si>
  <si>
    <t>4580590129696</t>
  </si>
  <si>
    <t>21 / 17,5 / 8</t>
  </si>
  <si>
    <t>Фигурка Nendoroid Haikyu! Ryunosuke Tanaka 4580590129702</t>
  </si>
  <si>
    <t>GDS583</t>
  </si>
  <si>
    <t>4580590129702</t>
  </si>
  <si>
    <t>Фигурка Nendoroid Haikyu!! Daichi Sawamura 4580590128880</t>
  </si>
  <si>
    <t>GDS763</t>
  </si>
  <si>
    <t>4580590128880</t>
  </si>
  <si>
    <t>Фигурка Nendoroid Hololive Ookami Mio 4580590128569</t>
  </si>
  <si>
    <t>GDS898</t>
  </si>
  <si>
    <t>4580590128569</t>
  </si>
  <si>
    <t>Фигурка Nendoroid Jojo's Bizarre Adventure Jolyne Cujoh 4580749617333</t>
  </si>
  <si>
    <t>GDS623</t>
  </si>
  <si>
    <t>4580749617333</t>
  </si>
  <si>
    <t>Фигурка Nendoroid Jojo's Bizarre Adventure Kars 4580749611881</t>
  </si>
  <si>
    <t>GDS535</t>
  </si>
  <si>
    <t>4580749611881</t>
  </si>
  <si>
    <t>Фигурка Nendoroid Jojo's Bizarre Adventure Pannacotta Fugo 4580749604708</t>
  </si>
  <si>
    <t>GDS534</t>
  </si>
  <si>
    <t>4580749604708</t>
  </si>
  <si>
    <t>Фигурка Nendoroid Jotaro Kujo Stone Ocean Version 4582638213428</t>
  </si>
  <si>
    <t>GDS698</t>
  </si>
  <si>
    <t>4582638213428</t>
  </si>
  <si>
    <t>Фигурка Nendoroid Jujutsu Kaisen 0 Yuta Okkotsu 10 см 4580590127074</t>
  </si>
  <si>
    <t>GDS511</t>
  </si>
  <si>
    <t>4580590127074</t>
  </si>
  <si>
    <t>19,2 / 13,5 / 9</t>
  </si>
  <si>
    <t>Фигурка Nendoroid Jujutsu Kaisen Panda 4580590128408</t>
  </si>
  <si>
    <t>GDS899</t>
  </si>
  <si>
    <t>4580590128408</t>
  </si>
  <si>
    <t>17,6 / 20 / 9</t>
  </si>
  <si>
    <t>Фигурка Nendoroid Jujutsu Kaisen Zenin Maki 10 см 4580590126947</t>
  </si>
  <si>
    <t>GDS509</t>
  </si>
  <si>
    <t>4580590126947</t>
  </si>
  <si>
    <t>9,1 / 13,7 / 17,6</t>
  </si>
  <si>
    <t>Фигурка Nendoroid Marvel Loki TVA &amp; President 4580590127111</t>
  </si>
  <si>
    <t>GDS928</t>
  </si>
  <si>
    <t>4580590125834</t>
  </si>
  <si>
    <t>Фигурка Nendoroid Marvel X-men Wolverine 949668</t>
  </si>
  <si>
    <t>GDS929</t>
  </si>
  <si>
    <t>4580590127111</t>
  </si>
  <si>
    <t>Фигурка Nendoroid Naruto Hinata Hyuga 4580590129238</t>
  </si>
  <si>
    <t>GDS576</t>
  </si>
  <si>
    <t>4580590129238</t>
  </si>
  <si>
    <t>Фигурка Nendoroid Naruto Kakashi Hatake 4580590129115</t>
  </si>
  <si>
    <t>GDS573</t>
  </si>
  <si>
    <t>4580590129115</t>
  </si>
  <si>
    <t>Фигурка Nendoroid Naruto Uzumaki 4580590129641</t>
  </si>
  <si>
    <t>GDS579</t>
  </si>
  <si>
    <t>4580590129641</t>
  </si>
  <si>
    <t>21,7 / 18 / 8</t>
  </si>
  <si>
    <t>Фигурка Nendoroid Nijinsanji Sasaki Saku 4580590128316</t>
  </si>
  <si>
    <t>GDS904</t>
  </si>
  <si>
    <t>4580590128316</t>
  </si>
  <si>
    <t>Фигурка Nendoroid Shadow House Emilico 4580590126350</t>
  </si>
  <si>
    <t>GDS932</t>
  </si>
  <si>
    <t>4580590128507</t>
  </si>
  <si>
    <t>Фигурка Nendoroid Shadow House Kate 4580590128507</t>
  </si>
  <si>
    <t>GDS931</t>
  </si>
  <si>
    <t>4580590128484</t>
  </si>
  <si>
    <t>Фигурка Nendoroid Shigeo Kageyama 4580590170292</t>
  </si>
  <si>
    <t>GDS685</t>
  </si>
  <si>
    <t>4580590170292</t>
  </si>
  <si>
    <t>8,9 / 13,4 / 17,7</t>
  </si>
  <si>
    <t>Фигурка Nendoroid Tokyo Revengers Draken (Ken Ryuguji) 4580590171299</t>
  </si>
  <si>
    <t>GDS912</t>
  </si>
  <si>
    <t>4580590171299</t>
  </si>
  <si>
    <t>9 / 13,6 / 17,8</t>
  </si>
  <si>
    <t>Фигурка Nendoroid Tokyo Revengers Draken Ken Ryuguji 4580590127845</t>
  </si>
  <si>
    <t>GDS560</t>
  </si>
  <si>
    <t>4580590127845</t>
  </si>
  <si>
    <t>Фигурка Nendoroid Атака титанов Colossal Titan Renewal Set 4580590170568</t>
  </si>
  <si>
    <t>GDS740</t>
  </si>
  <si>
    <t>4580590170568</t>
  </si>
  <si>
    <t>Фигурка Nendoroid Атака титанов Eren Yeager The Final Season Ver. 4580590170377</t>
  </si>
  <si>
    <t>GDS739</t>
  </si>
  <si>
    <t>4580590170377</t>
  </si>
  <si>
    <t>Фигурка Nendoroid Губка Боб квадратные штаны Squarepants Patrick Star Патрик 10см 4580590178045</t>
  </si>
  <si>
    <t>GDS1089</t>
  </si>
  <si>
    <t>4580590178045</t>
  </si>
  <si>
    <t>20 / 17,5 / 9</t>
  </si>
  <si>
    <t>Фигурка NENDOROID Дань Хэн Honkai: Star Rail</t>
  </si>
  <si>
    <t>GDS987</t>
  </si>
  <si>
    <t>4580590177130</t>
  </si>
  <si>
    <t>Honkai: Star Rail</t>
  </si>
  <si>
    <t>Фигурка NENDOROID Джейс Белерен Magic The Gathering Jace Beleren 4560308575823</t>
  </si>
  <si>
    <t>GDS975</t>
  </si>
  <si>
    <t>4560308575823</t>
  </si>
  <si>
    <t>Magic The Gathering</t>
  </si>
  <si>
    <t>Фигурка Nendoroid Клинок рассекающий демонов Nezuko Kamado Demonization Ver. 4580590170704</t>
  </si>
  <si>
    <t>GDS765</t>
  </si>
  <si>
    <t>4580590170704</t>
  </si>
  <si>
    <t>Фигурка Nendoroid Клинок рассекающий демонов Tengen Uzui 4580590128064</t>
  </si>
  <si>
    <t>GDS764</t>
  </si>
  <si>
    <t>4580590128064</t>
  </si>
  <si>
    <t>Фигурка NENDOROID Леон Скотт Кеннеди Resident Evil 4 Leon. S. Kennedy 10см  4580590178465</t>
  </si>
  <si>
    <t>GDS1025</t>
  </si>
  <si>
    <t>4580590178465</t>
  </si>
  <si>
    <t>Resident Evil</t>
  </si>
  <si>
    <t>Фигурка Nendoroid ФНАФ Five Nights at Freddy's Freddy Fazbear 10см 4580590179745</t>
  </si>
  <si>
    <t>GDS1147</t>
  </si>
  <si>
    <t>4580590179745</t>
  </si>
  <si>
    <t>Фигурка NENDOROID Чандра Налаар Magic The Gathering Chandra Nalaar 575830</t>
  </si>
  <si>
    <t>GDS943</t>
  </si>
  <si>
    <t>4560308575830</t>
  </si>
  <si>
    <t>Фигурка ORANGE ROUGE Nendoroid Mashle Lance Crown 4580590176850</t>
  </si>
  <si>
    <t>GDS875</t>
  </si>
  <si>
    <t>4580590176850</t>
  </si>
  <si>
    <t>Фигурка POP UP PARADE Cobra The Space Pirate Cobra 4580416946292</t>
  </si>
  <si>
    <t>GDS889</t>
  </si>
  <si>
    <t>4580416946292</t>
  </si>
  <si>
    <t>23 / 14 / 14</t>
  </si>
  <si>
    <t>Фигурка POP UP PARADE Hunter X Hunter Meruem 4580416948715</t>
  </si>
  <si>
    <t>GDS867</t>
  </si>
  <si>
    <t>4580416948715</t>
  </si>
  <si>
    <t>Фигурка POP UP PARADE Mashle Lance Crown 4580416948678</t>
  </si>
  <si>
    <t>GDS876</t>
  </si>
  <si>
    <t>4580416948678</t>
  </si>
  <si>
    <t>Фигурка POP UP PARADE Naruto Uzumaki 4580416945424</t>
  </si>
  <si>
    <t>GDS606</t>
  </si>
  <si>
    <t>4580416945424</t>
  </si>
  <si>
    <t>23 / 20 / 15</t>
  </si>
  <si>
    <t>Фигурка POP UP PARADE RE:Zero Emilia Memory  4580416945356</t>
  </si>
  <si>
    <t>GDS602</t>
  </si>
  <si>
    <t>4580416945356</t>
  </si>
  <si>
    <t>Фигурка Pop Up Parade Seven Deadly Sins Elizabeth 128484</t>
  </si>
  <si>
    <t>GDS930</t>
  </si>
  <si>
    <t>4580416949668</t>
  </si>
  <si>
    <t>Фигурка POP UP PARADE Shigeo Kageyama 4580416946254</t>
  </si>
  <si>
    <t>GDS693</t>
  </si>
  <si>
    <t>4580416946254</t>
  </si>
  <si>
    <t>14,1 / 14,1 / 22,9</t>
  </si>
  <si>
    <t>Фигурка SEGA Chokonose NieR:Automata Ver1.1a 15см 4580779542834</t>
  </si>
  <si>
    <t>GDS1152</t>
  </si>
  <si>
    <t>4580779542834</t>
  </si>
  <si>
    <t>NieR:Automata</t>
  </si>
  <si>
    <t>Фигурка SEGA Luminasta Mashle Magic and Muscles Lance Crown 4580779544807</t>
  </si>
  <si>
    <t>GDS873</t>
  </si>
  <si>
    <t>4580779544807</t>
  </si>
  <si>
    <t>19 / 15 / 10,2</t>
  </si>
  <si>
    <t>Фигурка SEGA Luminasta Spy x Family Fiona Frost Nightfall 4580779530442</t>
  </si>
  <si>
    <t>GDS915</t>
  </si>
  <si>
    <t>4580779530442</t>
  </si>
  <si>
    <t>7 / 9,6 / 20</t>
  </si>
  <si>
    <t>Фигурка SEGA Mashle Magic And Muscles Rayne Ames 423982</t>
  </si>
  <si>
    <t>GDS936</t>
  </si>
  <si>
    <t>4580779544784</t>
  </si>
  <si>
    <t>Фигурка SEGA NieR:Automata 9S 15см 4580779542827</t>
  </si>
  <si>
    <t>GDS1142</t>
  </si>
  <si>
    <t>4580779542827</t>
  </si>
  <si>
    <t>Фигурка SEGA Клинок рассекающий демонов Kimetsu No Yaiba Pm Perching Figure Gyomei Himejima (Re-Run)</t>
  </si>
  <si>
    <t>GDS860</t>
  </si>
  <si>
    <t>4580779528272</t>
  </si>
  <si>
    <t>15 / 18 / 13</t>
  </si>
  <si>
    <t>Фигурка Аниме Chozokado Super Figure Action JoJo`s Bizarre Adventure Part 2 [Lisa Lisa] 15см 4580749</t>
  </si>
  <si>
    <t>GDS1052</t>
  </si>
  <si>
    <t>4580749604197</t>
  </si>
  <si>
    <t>23 / 11,7 / 8,4</t>
  </si>
  <si>
    <t>Фигурка Аниме Chozokado Super Figure Action JoJo`s Bizarre Adventure Part 5 [Bruno Bucciarati Ver. B</t>
  </si>
  <si>
    <t>GDS1053</t>
  </si>
  <si>
    <t>4580749604203</t>
  </si>
  <si>
    <t>Фигурка Аниме Chozokado Super Figure Action JoJo`s Bizarre Adventure Part 6 [D.D] 16,5см 45826382279</t>
  </si>
  <si>
    <t>GDS704</t>
  </si>
  <si>
    <t>4582638227913</t>
  </si>
  <si>
    <t>Фигурка Аниме Chozokado Super Figure Action JoJo`s Bizarre Adventure Part 6 [Enrico.P]  16см 4582638</t>
  </si>
  <si>
    <t>GDS1046</t>
  </si>
  <si>
    <t>4582638233570</t>
  </si>
  <si>
    <t>Фигурка Аниме Chozokado Super Figure Action JoJo`s Bizarre Adventure Part 6 [Foo.F]  14см 4582638227</t>
  </si>
  <si>
    <t>GDS1039</t>
  </si>
  <si>
    <t>4582638227791</t>
  </si>
  <si>
    <t>23 / 12 / 8,5</t>
  </si>
  <si>
    <t>Фигурка Аниме Chozokado Super Figure Action JoJo`s Bizarre Adventure Part 6 [Jotaro Kujo] 17см 45826</t>
  </si>
  <si>
    <t>GDS1054</t>
  </si>
  <si>
    <t>4582638237097</t>
  </si>
  <si>
    <t>26 / 17 / 9</t>
  </si>
  <si>
    <t>Фигурка Аниме Chozokado Super Figure Action JoJo`s Bizarre Adventure Part 6 [Narciso.A] 15,5см  4582</t>
  </si>
  <si>
    <t>GDS705</t>
  </si>
  <si>
    <t>4582638227920</t>
  </si>
  <si>
    <t>Фигурка Аниме Chozokado Super Figure Action JoJo`s Bizarre Adventure Part 6 [Weather.R] 16,5см 45826</t>
  </si>
  <si>
    <t>GDS708</t>
  </si>
  <si>
    <t>4582638231675</t>
  </si>
  <si>
    <t>8,6 / 11,6 / 22,8</t>
  </si>
  <si>
    <t>Фигурка Аниме FuRyu Noodle Stopper Hunter X Hunter Gon 13см 4582655074514</t>
  </si>
  <si>
    <t>GDS1110</t>
  </si>
  <si>
    <t>4582655074514</t>
  </si>
  <si>
    <t>Hunter X Hunter</t>
  </si>
  <si>
    <t>20 / 13 / 11</t>
  </si>
  <si>
    <t>Фигурка Аниме FuRyu Noodle Stopper Клинок рассекающий демонов Kocho Shinobu 11см 4582655075573</t>
  </si>
  <si>
    <t>GDS1133</t>
  </si>
  <si>
    <t>4582655075573</t>
  </si>
  <si>
    <t>20 / 13 / 10,5</t>
  </si>
  <si>
    <t>Фигурка Аниме FuRyu Noodle Stopper Этот глупый свин Bunny senpai Маи Сакурадзима 15см 75542</t>
  </si>
  <si>
    <t>GDS1131</t>
  </si>
  <si>
    <t>4582655075542</t>
  </si>
  <si>
    <t>Этот глупый свин не понимает мечту девочки-зайки</t>
  </si>
  <si>
    <t>Фигурка Аниме FuRyu Re:Zero Жизнь с нуля в другом мире Рам Triotryit Ram 21см 4580736405479</t>
  </si>
  <si>
    <t>GDS1045</t>
  </si>
  <si>
    <t>4580736405479</t>
  </si>
  <si>
    <t>23 / 13 / 11</t>
  </si>
  <si>
    <t>Фигурка Аниме FuRyu Жизнь с нуля в другом мире Re:Zero Рам Ram Sleeping Beauty 21см 4582655075566</t>
  </si>
  <si>
    <t>GDS1132</t>
  </si>
  <si>
    <t>4582655075566</t>
  </si>
  <si>
    <t>11 / 13 / 26,5</t>
  </si>
  <si>
    <t>Фигурка аниме FuRyu Рам  Re:Zero Жизнь с нуля Arabian Nights Rem 0736402782</t>
  </si>
  <si>
    <t>GDS950</t>
  </si>
  <si>
    <t>4580736402782</t>
  </si>
  <si>
    <t>23 / 24 / 12</t>
  </si>
  <si>
    <t>Фигурка аниме FuRyu Рам Re:Zero Жизнь с нуля  Twinkle Party Ram 4580736402508</t>
  </si>
  <si>
    <t>GDS965</t>
  </si>
  <si>
    <t>4580736402508</t>
  </si>
  <si>
    <t>20 / 12 / 12</t>
  </si>
  <si>
    <t>Фигурка аниме FuRyu Рем Re:Zero Жизнь с нуля Re:Zero Starting Life in Another World Rem 458073640316</t>
  </si>
  <si>
    <t>GDS960</t>
  </si>
  <si>
    <t>4580736403161</t>
  </si>
  <si>
    <t>15,1 / 15,1 / 20</t>
  </si>
  <si>
    <t>Фигурка аниме FuRyu Эрика Амано A Couple of Cuckoos Erika Amano 4580736402263</t>
  </si>
  <si>
    <t>GDS961</t>
  </si>
  <si>
    <t>4580736402263</t>
  </si>
  <si>
    <t>A Couple of Cuckoos</t>
  </si>
  <si>
    <t>Фигурка Аниме Hello! Good Smile Kill la Kill Рюко Матой Ryuko Matoi 10см 4580416944120</t>
  </si>
  <si>
    <t>GDS1062</t>
  </si>
  <si>
    <t>4580416944120</t>
  </si>
  <si>
    <t>Kill la Kill</t>
  </si>
  <si>
    <t>13 / 8 / 10</t>
  </si>
  <si>
    <t>Фигурка Аниме Hello! Good Smile Девочка волшебница Мадока Магика Хомура Акеми 10см 4580590192881</t>
  </si>
  <si>
    <t>GDS1059</t>
  </si>
  <si>
    <t>4580590192881</t>
  </si>
  <si>
    <t>Madoka Magica</t>
  </si>
  <si>
    <t>8 / 10 / 13</t>
  </si>
  <si>
    <t>Фигурка Аниме Hello! Good Smile Евангелион Shinji Ikari Синдзи Икари 10см 4580590198036</t>
  </si>
  <si>
    <t>GDS1074</t>
  </si>
  <si>
    <t>4580590198036</t>
  </si>
  <si>
    <t>Евангелион</t>
  </si>
  <si>
    <t>13 / 10,5 / 8</t>
  </si>
  <si>
    <t>Фигурка Аниме Hello! Good Smile Стальной алхимик Fullmetal Alchemist Alphonse Elric 10см 45805901980</t>
  </si>
  <si>
    <t>GDS1033</t>
  </si>
  <si>
    <t>4580590198067</t>
  </si>
  <si>
    <t>Фигурка Аниме Hello! Good Smile Стальной алхимик Fullmetal Alchemist Edward Elric 10см  458059019805</t>
  </si>
  <si>
    <t>GDS1034</t>
  </si>
  <si>
    <t>4580590198050</t>
  </si>
  <si>
    <t>Фигурка аниме Killer Queen Second JoJo's Bizarre Adventure Medicos Super Action Statue 4582638224226</t>
  </si>
  <si>
    <t>GDS701</t>
  </si>
  <si>
    <t>4582638224226</t>
  </si>
  <si>
    <t>23 / 11,5 / 8,5</t>
  </si>
  <si>
    <t>Фигурка аниме KISS JoJo's Bizarre Adventure Medicos Super Action Statue Ki 4582638210458</t>
  </si>
  <si>
    <t>GDS958</t>
  </si>
  <si>
    <t>4582638210458</t>
  </si>
  <si>
    <t>8,6 / 11,8 / 23</t>
  </si>
  <si>
    <t>Фигурка Аниме Nendoroid Delicious in Dungeon Chilchuck 10см 4580590179608</t>
  </si>
  <si>
    <t>GDS1137</t>
  </si>
  <si>
    <t>4580590179608</t>
  </si>
  <si>
    <t>Подземелье вкусностей</t>
  </si>
  <si>
    <t>Фигурка Аниме Nendoroid Doll Клинок рассекающий демонов Tanjiro Kamado: Final Selection Ver. 10см 45</t>
  </si>
  <si>
    <t>GDS1084</t>
  </si>
  <si>
    <t>4580590175730</t>
  </si>
  <si>
    <t>17,7 / 13,5 / 9</t>
  </si>
  <si>
    <t>Фигурка Аниме Nendoroid Doll Человек-бензопила Denji 14см 4580590173026</t>
  </si>
  <si>
    <t>GDS752</t>
  </si>
  <si>
    <t>4580590173026</t>
  </si>
  <si>
    <t>Фигурка Аниме Nendoroid Hatsune Miku Мику Хацунэ Cinnamoroll 10см 4580590177635</t>
  </si>
  <si>
    <t>GDS1022</t>
  </si>
  <si>
    <t>4580590177635</t>
  </si>
  <si>
    <t>Hatsune Miku</t>
  </si>
  <si>
    <t>17,7 / 20 / 8,8</t>
  </si>
  <si>
    <t>Фигурка Аниме Nendoroid Honkai: Star Rail March 7th 10см 4580590192973</t>
  </si>
  <si>
    <t>GDS1068</t>
  </si>
  <si>
    <t>4580590192973</t>
  </si>
  <si>
    <t>18 / 20 / 9</t>
  </si>
  <si>
    <t>Фигурка Аниме Nendoroid Jojo`s Bizarre Adventure Joseph Joestar 10см 4570188459090</t>
  </si>
  <si>
    <t>GDS939</t>
  </si>
  <si>
    <t>4570188459090</t>
  </si>
  <si>
    <t>Фигурка Аниме Nendoroid Jojo`s Bizarre Adventure Weather R 10см 4582638235833</t>
  </si>
  <si>
    <t>GDS709</t>
  </si>
  <si>
    <t>4582638235833</t>
  </si>
  <si>
    <t>16,9 / 13,5 / 8,9</t>
  </si>
  <si>
    <t>Фигурка Аниме Nendoroid JoJo's Bizarre Adventure Enrico Pucci 10см 4582638238230</t>
  </si>
  <si>
    <t>GDS1049</t>
  </si>
  <si>
    <t>4582638238230</t>
  </si>
  <si>
    <t>Фигурка Аниме Nendoroid Surprise Магическая битва  Jujutsu Kaisen 7см 1 шт. в ассортименте 458059017</t>
  </si>
  <si>
    <t>GDS1023</t>
  </si>
  <si>
    <t>4580590178397</t>
  </si>
  <si>
    <t>24,8 / 12,5 / 8,2</t>
  </si>
  <si>
    <t>Фигурка Аниме Nendoroid Vocaloid Megurine Luka 10см 4580590179301</t>
  </si>
  <si>
    <t>GDS1148</t>
  </si>
  <si>
    <t>4580590179301</t>
  </si>
  <si>
    <t>Фигурка аниме Nendoroid Бруно Буччеллати JoJo's Bizarre Adventure  Bruno Bucciarati 4580590170506</t>
  </si>
  <si>
    <t>GDS696</t>
  </si>
  <si>
    <t>4580590170506</t>
  </si>
  <si>
    <t>Фигурка Аниме Nendoroid Волейбол!! Haikyuu!! Shoyo Hinata Шое Хината 10см 4580590192447</t>
  </si>
  <si>
    <t>GDS1065</t>
  </si>
  <si>
    <t>4580590192447</t>
  </si>
  <si>
    <t>Волейбол!!</t>
  </si>
  <si>
    <t>Фигурка Аниме Nendoroid Волейбол!! Haikyuu!! Tobio Kageyama Тобио Кагеяма 10см 4580590192430</t>
  </si>
  <si>
    <t>GDS1064</t>
  </si>
  <si>
    <t>4580590192430</t>
  </si>
  <si>
    <t>Фигурка Аниме Nendoroid Волейбол!! Haikyuu!! Tsukishima Kei Кей Цукишима 10см 4580590192539</t>
  </si>
  <si>
    <t>GDS1066</t>
  </si>
  <si>
    <t>4580590192539</t>
  </si>
  <si>
    <t>Фигурка аниме Nendoroid Вэй Усянь Wei Wuxian: Yi Ling Lao Zu 4580590129450</t>
  </si>
  <si>
    <t>GDS966</t>
  </si>
  <si>
    <t>4580590129450</t>
  </si>
  <si>
    <t>The Master of Diabolism</t>
  </si>
  <si>
    <t>Фигурка Аниме Nendoroid Дарованный Movie Given Hiiragi mix Akihiko Kaji 10см 4580590178267</t>
  </si>
  <si>
    <t>GDS1106</t>
  </si>
  <si>
    <t>4580590178267</t>
  </si>
  <si>
    <t>Дарованный</t>
  </si>
  <si>
    <t>Фигурка Аниме Nendoroid Дарованный Movie Given Hiiragi mix Haruki Nakayama 10см 4580590178274</t>
  </si>
  <si>
    <t>GDS1107</t>
  </si>
  <si>
    <t>4580590178274</t>
  </si>
  <si>
    <t>Фигурка аниме NENDOROID Джирайя и Гамабунта Naruto Jiraiya &amp; Gamabunta 2шт 4580590179271</t>
  </si>
  <si>
    <t>GDS996</t>
  </si>
  <si>
    <t>4580590179271</t>
  </si>
  <si>
    <t>Фигурка Аниме Nendoroid Класс превосходства Classroom of the Elite Kei Karuizawa 10см 4935228498017</t>
  </si>
  <si>
    <t>GDS1030</t>
  </si>
  <si>
    <t>4935228498017</t>
  </si>
  <si>
    <t>Класс превосходства</t>
  </si>
  <si>
    <t>Фигурка Аниме Nendoroid Магическая битва Jujutsu Kaisen: Satoru Gojo Сатору Годжо 10см 4580590191570</t>
  </si>
  <si>
    <t>GDS1057</t>
  </si>
  <si>
    <t>4580590191570</t>
  </si>
  <si>
    <t>13 / 14,5 / 8</t>
  </si>
  <si>
    <t>Фигурка аниме NENDOROID Рэй Аянами Евангелион Rei Ayanami (Tentative Name) Neon Genesis Evangelion 4</t>
  </si>
  <si>
    <t>GDS993</t>
  </si>
  <si>
    <t>4580590179417</t>
  </si>
  <si>
    <t>17,9 / 13,5 / 9</t>
  </si>
  <si>
    <t>Фигурка Аниме POP UP PARADE  Класс превосходства Kei Karuizawa 16см 4580416949583</t>
  </si>
  <si>
    <t>GDS1136</t>
  </si>
  <si>
    <t>4580416949583</t>
  </si>
  <si>
    <t>23 / 12 / 12</t>
  </si>
  <si>
    <t>Фигурка Аниме POP UP PARADE Может, я встречу тебя в подземелье? IV Ais Wallenstein 17см 458041694876</t>
  </si>
  <si>
    <t>GDS1083</t>
  </si>
  <si>
    <t>4580416948760</t>
  </si>
  <si>
    <t>14 / 17 / 23</t>
  </si>
  <si>
    <t>Фигурка Аниме POP UP PARADE Раб спецотряда демонического города Kyouka Uzen 20см 4580590194427</t>
  </si>
  <si>
    <t>GDS1155</t>
  </si>
  <si>
    <t>4580590194427</t>
  </si>
  <si>
    <t>Раб спецотряда демонического города</t>
  </si>
  <si>
    <t>26 / 14 / 14,5</t>
  </si>
  <si>
    <t>Фигурка Аниме SEGA Figurizm Hatsune Miku Project Diva X Hatsune Miku Demonstar T.R. 22см 45827334226</t>
  </si>
  <si>
    <t>GDS1153</t>
  </si>
  <si>
    <t>4582733422688</t>
  </si>
  <si>
    <t>Фигурка Аниме SEGA Luminasta Re:Zero Жизнь с нуля в другом мире Рэм Rem 18см 4580779542766</t>
  </si>
  <si>
    <t>GDS1080</t>
  </si>
  <si>
    <t>4580779542766</t>
  </si>
  <si>
    <t>19,1 / 15 / 10</t>
  </si>
  <si>
    <t>Фигурка Аниме SEGA Luminasta Shangrila Frontier Рубеж Шангри-Ла Emul 19см 4580779545071</t>
  </si>
  <si>
    <t>GDS1102</t>
  </si>
  <si>
    <t>4580779545071</t>
  </si>
  <si>
    <t>Рубеж Шангри-Ла</t>
  </si>
  <si>
    <t>10 / 15 / 19</t>
  </si>
  <si>
    <t>Фигурка аниме SEGA Вайсс Шни RWBY Ice Queendom Nightmare Side Weiss Schnee 4580779522942</t>
  </si>
  <si>
    <t>GDS986</t>
  </si>
  <si>
    <t>4580779522942</t>
  </si>
  <si>
    <t>18,1 / 14 / 8,5</t>
  </si>
  <si>
    <t>Фигурка Аниме SEGA Как воспитать героиню из обычной девушки Мегуми Като 20см 4580779548430</t>
  </si>
  <si>
    <t>GDS1122</t>
  </si>
  <si>
    <t>4580779548430</t>
  </si>
  <si>
    <t>Как воспитать героиню из обычной девушки</t>
  </si>
  <si>
    <t>23 / 15 / 10</t>
  </si>
  <si>
    <t>Фигурка Аниме SEGA Клинок рассекающий демонов  Sanemi Shinazugawa  15см 4580779528289</t>
  </si>
  <si>
    <t>GDS858</t>
  </si>
  <si>
    <t>4580779528289</t>
  </si>
  <si>
    <t>18 / 12 / 11</t>
  </si>
  <si>
    <t>Фигурка Аниме SEGA Клинок рассекающий демонов Genya Shinazugawa 15,5см 4582733421902</t>
  </si>
  <si>
    <t>GDS1146</t>
  </si>
  <si>
    <t>4582733421902</t>
  </si>
  <si>
    <t>Фигурка Аниме SEGA Клинок рассекающий демонов Gyomei Himejima Hashira 15см 4580779513841</t>
  </si>
  <si>
    <t>GDS847</t>
  </si>
  <si>
    <t>4580779513841</t>
  </si>
  <si>
    <t>14,5 / 18 / 10,5</t>
  </si>
  <si>
    <t>Фигурка Аниме SEGA Клинок рассекающий демонов Tanjiro Kamado 12см  45827334218</t>
  </si>
  <si>
    <t>GDS1145</t>
  </si>
  <si>
    <t>4582733421896</t>
  </si>
  <si>
    <t>Фигурка Аниме SEGA Пять невест The Quintessential Quintuplets Itsuki Nakano 4580779530176</t>
  </si>
  <si>
    <t>GDS1048</t>
  </si>
  <si>
    <t>4580779530176</t>
  </si>
  <si>
    <t>Пять невест</t>
  </si>
  <si>
    <t>8,5 / 13 / 19</t>
  </si>
  <si>
    <t>Фигурка Аниме SEGA Пять невест The Quintessential Quintuplets Miku Nakano 14см 4582733423753</t>
  </si>
  <si>
    <t>GDS1135</t>
  </si>
  <si>
    <t>4582733423753</t>
  </si>
  <si>
    <t>Фигурка Аниме SEGA Пять невест The Quintessential Quintuplets Miku Nakano 19см 4580779526063</t>
  </si>
  <si>
    <t>GDS1043</t>
  </si>
  <si>
    <t>4580779526063</t>
  </si>
  <si>
    <t>Фигурка Аниме SEGA Пять невест The Quintessential Quintuplets Pm Perching Nino Nakano 14см 458077952</t>
  </si>
  <si>
    <t>GDS1035</t>
  </si>
  <si>
    <t>4580779524069</t>
  </si>
  <si>
    <t>18,8 / 13 / 8,5</t>
  </si>
  <si>
    <t>Фигурка Аниме SEGA Семья шпиона Spy x Family Fiona Frost 14см 4580779529712</t>
  </si>
  <si>
    <t>GDS916</t>
  </si>
  <si>
    <t>4580779529712</t>
  </si>
  <si>
    <t>17,7 / 9,5 / 8,5</t>
  </si>
  <si>
    <t>Фигурка Аниме SEGA Семья шпиона Spy x Family PM Figure Loid Forger 19см 4580779511830</t>
  </si>
  <si>
    <t>GDS721</t>
  </si>
  <si>
    <t>4580779511830</t>
  </si>
  <si>
    <t>21 / 12 / 8</t>
  </si>
  <si>
    <t>Фигурка аниме SEGA Тенген Узуй Клинок рассекающий демонов Kimetsu no Yaiba PM Perching Figure Tengen</t>
  </si>
  <si>
    <t>GDS642</t>
  </si>
  <si>
    <t>4570001967504</t>
  </si>
  <si>
    <t>12,1 / 18,1 / 11,1</t>
  </si>
  <si>
    <t>Фигурка Аниме Sega Фрирен  Desktop X Decorate Collections  Fern Ферн 16см 4580779541066</t>
  </si>
  <si>
    <t>GDS1091</t>
  </si>
  <si>
    <t>4580779541066</t>
  </si>
  <si>
    <t>Фрирен</t>
  </si>
  <si>
    <t>Фигурка Аниме SEGA Этот замечательный мир Konosuba Мегумин Megumin 22см 4580779526179</t>
  </si>
  <si>
    <t>GDS1036</t>
  </si>
  <si>
    <t>4580779526179</t>
  </si>
  <si>
    <t>23,8 / 12 / 8</t>
  </si>
  <si>
    <t>Фигурка аниме Silver Chariot JoJo's Bizarre Adventure Medicos Super Action Statue 4582638215293</t>
  </si>
  <si>
    <t>GDS976</t>
  </si>
  <si>
    <t>4582638215293</t>
  </si>
  <si>
    <t>Фигурка аниме Star Platinum Jojo's Bizarre Adventure Statue Legend Star Platinum 4582638220396</t>
  </si>
  <si>
    <t>GDS700</t>
  </si>
  <si>
    <t>4582638220396</t>
  </si>
  <si>
    <t>28 / 13 / 15</t>
  </si>
  <si>
    <t>Фигурка аниме THE WORLD Jojo's Bizarre Adventure Medicos Super Action Statue 25 см 4582638226862</t>
  </si>
  <si>
    <t>GDS982</t>
  </si>
  <si>
    <t>4582638226862</t>
  </si>
  <si>
    <t>29 / 20,2 / 10</t>
  </si>
  <si>
    <t>Фигурка аниме Аинз Оал Гоун Повелитель POP UP PARADE OVERLORD Sp Ainz Ooal Gown 4580416949309</t>
  </si>
  <si>
    <t>GDS991</t>
  </si>
  <si>
    <t>4580416949309</t>
  </si>
  <si>
    <t>Overlord</t>
  </si>
  <si>
    <t>29,4 / 29,4 / 31</t>
  </si>
  <si>
    <t>Фигурка аниме Алисализ Лу Небулис IX War Ends World Raises Aliceliese Lou Nebulis 24 см 458958495239</t>
  </si>
  <si>
    <t>GDS984</t>
  </si>
  <si>
    <t>4589584952395</t>
  </si>
  <si>
    <t>Our Last Crusade or the Rise of a New World</t>
  </si>
  <si>
    <t>32 / 27 / 23,3</t>
  </si>
  <si>
    <t>Фигурка аниме Джотаро Куджо Jojo's Bizarre Adventure Medicos Super Action Statue Jotaro Kujo BIG 458</t>
  </si>
  <si>
    <t>GDS954</t>
  </si>
  <si>
    <t>4580122814915</t>
  </si>
  <si>
    <t>Фигурка аниме Джотаро Куджо Jojo's Bizarre Adventure Statue Legend Jotaro Kujo 4582638220389</t>
  </si>
  <si>
    <t>GDS699</t>
  </si>
  <si>
    <t>4582638220389</t>
  </si>
  <si>
    <t>13,3 / 13,3 / 23,4</t>
  </si>
  <si>
    <t>Фигурка аниме Джотаро Куджо POP UP PARADE  JoJo's Bizarre Adventure Jotaro Kujo 4580416949279</t>
  </si>
  <si>
    <t>GDS994</t>
  </si>
  <si>
    <t>4580416949279</t>
  </si>
  <si>
    <t>26 / 20,3 / 16,5</t>
  </si>
  <si>
    <t>Фигурка аниме Дио Брандо Jojo's Bizarre Adventure Medicos Super Action Statue Big Dio 25 см 45826382</t>
  </si>
  <si>
    <t>GDS703</t>
  </si>
  <si>
    <t>4582638226855</t>
  </si>
  <si>
    <t>Фигурка аниме Дио Брандо POP UP PARADE  JoJo's Bizarre Adventure Dio 4580416949637</t>
  </si>
  <si>
    <t>GDS995</t>
  </si>
  <si>
    <t>4580416949637</t>
  </si>
  <si>
    <t>26 / 14 / 14</t>
  </si>
  <si>
    <t>Фигурка аниме Ёцуба Накано Пять Невест The Quintessential Quintuplets Yotsuba Nakano 4580416946322</t>
  </si>
  <si>
    <t>GDS998</t>
  </si>
  <si>
    <t>4580416946322</t>
  </si>
  <si>
    <t>The Quintessential Quintuplets</t>
  </si>
  <si>
    <t>33 / 18 / 18</t>
  </si>
  <si>
    <t>Фигурка аниме Жан Пьер Польнареф JoJo's Bizarre Adventure Medicos Super Action Statue  Jean Pierre P</t>
  </si>
  <si>
    <t>GDS967</t>
  </si>
  <si>
    <t>4582638215286</t>
  </si>
  <si>
    <t>13,6 / 27,2 / 23,6</t>
  </si>
  <si>
    <t>Фигурка аниме Итика Накано Пять Невест The Quintessential Quintuplets Ichika Nakano Date Style 45804</t>
  </si>
  <si>
    <t>GDS999</t>
  </si>
  <si>
    <t>4580416946230</t>
  </si>
  <si>
    <t>Фигурка аниме Каору Нагиса Евангелион Parfom R! Rebuild of Evangelion Kaworu Nagisa 4560308575649</t>
  </si>
  <si>
    <t>GDS979</t>
  </si>
  <si>
    <t>4560308575649</t>
  </si>
  <si>
    <t>21,9 / 15 / 7,5</t>
  </si>
  <si>
    <t>Фигурка аниме Кинг Казма Летние Войны POP UP PARADE King Kazma Summer Wars 4580416945905</t>
  </si>
  <si>
    <t>GDS974</t>
  </si>
  <si>
    <t>4580416945905</t>
  </si>
  <si>
    <t>Summer Wars</t>
  </si>
  <si>
    <t>30 / 20,4 / 14,5</t>
  </si>
  <si>
    <t>Фигурка Аниме Магическая битва figma Jujutsu Kaisen Satoru Gojo Сатору Годжо 16,5см 4580590127531</t>
  </si>
  <si>
    <t>GDS1016</t>
  </si>
  <si>
    <t>4580590127531</t>
  </si>
  <si>
    <t>19,1 / 14 / 7,5</t>
  </si>
  <si>
    <t>Фигурка аниме Милим Нава О моём перерождении в Слизь That Time I Got Reincarnated as a Slime Milim N</t>
  </si>
  <si>
    <t>GDS972</t>
  </si>
  <si>
    <t>4560308575700</t>
  </si>
  <si>
    <t>24,5 / 19,5 / 18,5</t>
  </si>
  <si>
    <t>Фигурка аниме Мэри Саотомэ Безумный Азарт POP UP PARADE Kakegurui Mary Saotome 4580416949170</t>
  </si>
  <si>
    <t>GDS990</t>
  </si>
  <si>
    <t>4580416949170</t>
  </si>
  <si>
    <t>Kakegurui</t>
  </si>
  <si>
    <t>14 / 14,2 / 23,2</t>
  </si>
  <si>
    <t>Фигурка аниме Официантка Tomari Malinoa Trules 4562177700559</t>
  </si>
  <si>
    <t>GDS953</t>
  </si>
  <si>
    <t>4562177700559</t>
  </si>
  <si>
    <t>30 / 23 / 20</t>
  </si>
  <si>
    <t>Фигурка аниме Рам Re:Zero Жизнь с нуля Свадебная Версия Re:ZERO Starting Life in Another World Ram W</t>
  </si>
  <si>
    <t>GDS1001</t>
  </si>
  <si>
    <t>4580678969787</t>
  </si>
  <si>
    <t>15 / 16,5 / 29,5</t>
  </si>
  <si>
    <t>Фигурка аниме Рейна Ахарэн Непостижимая Ахарэн POP UP PARADE Reina Aharen 4580416946773</t>
  </si>
  <si>
    <t>GDS985</t>
  </si>
  <si>
    <t>4580416946773</t>
  </si>
  <si>
    <t>Aharen-san wa Hakarenai</t>
  </si>
  <si>
    <t>14 / 20,1 / 23,2</t>
  </si>
  <si>
    <t>Фигурка аниме Рем Re:Zero Жизнь с нуля Свадебная Версия Re:ZERO Starting Life in Another World Rem W</t>
  </si>
  <si>
    <t>GDS1002</t>
  </si>
  <si>
    <t>4580678969794</t>
  </si>
  <si>
    <t>Фигурка аниме Рохан Кишибе и Heaven's Door JoJo's Bizarre Adventure Medicos Super Action Statue Roha</t>
  </si>
  <si>
    <t>GDS963</t>
  </si>
  <si>
    <t>4582638217549</t>
  </si>
  <si>
    <t>23 / 16 / 8,5</t>
  </si>
  <si>
    <t>Фигурка аниме Сидзуэ О моём перерождении в Слизь That Time I Got Reincarnated as a Slime Shizu 45603</t>
  </si>
  <si>
    <t>GDS968</t>
  </si>
  <si>
    <t>4560308575625</t>
  </si>
  <si>
    <t>29 / 18 / 13</t>
  </si>
  <si>
    <t>Фигурка аниме Фен Бао Бао Один из отвергнутых: изгой POP UP PARADE Feng Baobao 4580416945981</t>
  </si>
  <si>
    <t>GDS980</t>
  </si>
  <si>
    <t>4580416945981</t>
  </si>
  <si>
    <t>Under One Person</t>
  </si>
  <si>
    <t>Фигурка аниме Фуюко Маюдзуми Идолмастер Neon Light Romancer Fuyuko Mayuzumi IDOLMASTER 4560308575786</t>
  </si>
  <si>
    <t>GDS983</t>
  </si>
  <si>
    <t>4560308575786</t>
  </si>
  <si>
    <t>The Idolm@ster</t>
  </si>
  <si>
    <t>31 / 17 / 17</t>
  </si>
  <si>
    <t>Фигурка Аниме Шпионский класс Spy Room Lily 1/7  20см 4582705280698</t>
  </si>
  <si>
    <t>GDS1099</t>
  </si>
  <si>
    <t>4582705280698</t>
  </si>
  <si>
    <t>24,7 / 15 / 12</t>
  </si>
  <si>
    <t>Фигурка аниме Эрмес Костелло Jojo's Bizarre Adventure Medicos Super Action Statue Costello 458263821</t>
  </si>
  <si>
    <t>GDS957</t>
  </si>
  <si>
    <t>4582638210441</t>
  </si>
  <si>
    <t>Фигурка аниме Юмеко Джабами Безумный Азарт POP UP PARADE Kakegurui Yumeko Jabami 4580416949163</t>
  </si>
  <si>
    <t>GDS989</t>
  </si>
  <si>
    <t>4580416949163</t>
  </si>
  <si>
    <t>14,3 / 14,2 / 23,2</t>
  </si>
  <si>
    <t>Фигурка Аниме Nendoroid Blue Archive Plana 10см  4580416927680</t>
  </si>
  <si>
    <t>GDS1015</t>
  </si>
  <si>
    <t>4580416927680</t>
  </si>
  <si>
    <t>Blue Archive</t>
  </si>
  <si>
    <t>Фигурка Аниме Nendoroid Буттигири?! Bucchigiri?! Matakara Asamine 10см 4580416927840</t>
  </si>
  <si>
    <t>GDS1004</t>
  </si>
  <si>
    <t>4580416927840</t>
  </si>
  <si>
    <t>Буттигири?!</t>
  </si>
  <si>
    <t>Фигурка Аниме Nendoroid Почему все забыли мой мир? Rinne  10см 4580416927796</t>
  </si>
  <si>
    <t>GDS1013</t>
  </si>
  <si>
    <t>4580416927796</t>
  </si>
  <si>
    <t>Почему все забыли мой мир?</t>
  </si>
  <si>
    <t>Фигурка Genshin Impact Astral Reflection Мона Mona 1/7 4580522750134</t>
  </si>
  <si>
    <t>GDS956</t>
  </si>
  <si>
    <t>4580522750134</t>
  </si>
  <si>
    <t>19,4 / 22,4 / 31,5</t>
  </si>
  <si>
    <t>Фигурка Nendoroid Silent Hill 2 Red Pyramid Thing  10cm 4580416927802</t>
  </si>
  <si>
    <t>GDS1011</t>
  </si>
  <si>
    <t>4580416927802</t>
  </si>
  <si>
    <t>Silent Hill</t>
  </si>
  <si>
    <t>Фигурка Аниме Hello! Good Smile Hatsune Miku Snow Miku 10см 4580416928588</t>
  </si>
  <si>
    <t>GDS1008</t>
  </si>
  <si>
    <t>4580416928588</t>
  </si>
  <si>
    <t>Фигурка Аниме JoJo's Bizarre Adventure Part.V B.S 18см 4582777540515</t>
  </si>
  <si>
    <t>GDS1006</t>
  </si>
  <si>
    <t>4582777540515</t>
  </si>
  <si>
    <t>JoJo's Bizarre Adventure</t>
  </si>
  <si>
    <t>12 / 13 / 23</t>
  </si>
  <si>
    <t>Фигурка Аниме Nendoroid Bucchigiri?! Arajin Tomoshibi 10см 4580416927833</t>
  </si>
  <si>
    <t>GDS1003</t>
  </si>
  <si>
    <t>4580416927833</t>
  </si>
  <si>
    <t>Фигурка аниме Nendoroid Princess Syalis 4560308575892</t>
  </si>
  <si>
    <t>GDS946</t>
  </si>
  <si>
    <t>4560308575892</t>
  </si>
  <si>
    <t>Sleepy Princess in the Demon Castle</t>
  </si>
  <si>
    <t>Фигурка Аниме Nendoroid Связь Принцесс Princess Connect! Yuni 10см 4580590199552</t>
  </si>
  <si>
    <t>GDS1005</t>
  </si>
  <si>
    <t>4580590199552</t>
  </si>
  <si>
    <t>Фигурка аниме Хацунэ Мику Figma Racing Hatsune Miku 2022 Ver. 4580590129634</t>
  </si>
  <si>
    <t>GDS948</t>
  </si>
  <si>
    <t>4580590129634</t>
  </si>
  <si>
    <t>Hatsune Miku</t>
  </si>
  <si>
    <t>E60175L0</t>
  </si>
  <si>
    <t>Игровой набор фигурок Transformers Collaborative Ghostbusters x Transformers Ectotron E60175L0</t>
  </si>
  <si>
    <t>HSB312</t>
  </si>
  <si>
    <t>5010996260185</t>
  </si>
  <si>
    <t>8,7 / 25,3 / 22,8</t>
  </si>
  <si>
    <t>F96545L0</t>
  </si>
  <si>
    <t>Игровой набор фигурок Transformers Studio Series Voyager Autobot Blaster и Eject F96545L0</t>
  </si>
  <si>
    <t>HSB295</t>
  </si>
  <si>
    <t>5010996211859</t>
  </si>
  <si>
    <t>23 / 16 / 8</t>
  </si>
  <si>
    <t>F91785L0</t>
  </si>
  <si>
    <t>Реплика Световой меч Star Wars The Black Series Ahsoka Tano Replica Force FX Elite F91785L0</t>
  </si>
  <si>
    <t>HSB271</t>
  </si>
  <si>
    <t>5010996225740</t>
  </si>
  <si>
    <t>101 / 19,3 / 9</t>
  </si>
  <si>
    <t>F86835L0</t>
  </si>
  <si>
    <t>Реплика Световой меч Star Wars The Black Series FORCE FX ELITE YODA F86835L0</t>
  </si>
  <si>
    <t>HSB191</t>
  </si>
  <si>
    <t>5010996197276</t>
  </si>
  <si>
    <t>9,5 / 79 / 19,4</t>
  </si>
  <si>
    <t>F91805L0</t>
  </si>
  <si>
    <t>Реплика Шлем Star Wars The Black Series  Electronic Helmet Carson Teva F91805L0</t>
  </si>
  <si>
    <t>HSB209</t>
  </si>
  <si>
    <t>5010996196286</t>
  </si>
  <si>
    <t>30,5 / 34 / 27</t>
  </si>
  <si>
    <t>F76865L0</t>
  </si>
  <si>
    <t>Реплика Шлем Star Wars The Black Series Electronic Helmet Axe Wolves F76865L0</t>
  </si>
  <si>
    <t>HSB182</t>
  </si>
  <si>
    <t>5010996126955</t>
  </si>
  <si>
    <t>F64845L0</t>
  </si>
  <si>
    <t>Реплика Щит Marvel Legends Captain Carter F64845L0</t>
  </si>
  <si>
    <t>HSB168</t>
  </si>
  <si>
    <t>5010996142696</t>
  </si>
  <si>
    <t>65,5 / 67 / 13,5</t>
  </si>
  <si>
    <t>Фигурка Ghostbusters Green Ghost Kenner 690565</t>
  </si>
  <si>
    <t>HSB203</t>
  </si>
  <si>
    <t>5010993690565</t>
  </si>
  <si>
    <t>30,5 / 22,2 / 7,5</t>
  </si>
  <si>
    <t>Фигурка Hasbro Marvel Legends Series, Hallows' Eve 5010996197078</t>
  </si>
  <si>
    <t>HSB229</t>
  </si>
  <si>
    <t>5010996197078</t>
  </si>
  <si>
    <t>21 / 28 / 4</t>
  </si>
  <si>
    <t>Фигурка Hasbro Marvel Legends Series, Last Stand Spider-Man 5010996197030</t>
  </si>
  <si>
    <t>HSB226</t>
  </si>
  <si>
    <t>5010996197030</t>
  </si>
  <si>
    <t>Фигурка Hasbro Marvel Legends Series, Spider-Shot 5010996197023</t>
  </si>
  <si>
    <t>HSB228</t>
  </si>
  <si>
    <t>5010996197023</t>
  </si>
  <si>
    <t>Фигурка Hasbro Marvel Legends Series, Wolverine e Lilandra Neramani 5010996202109</t>
  </si>
  <si>
    <t>HSB230</t>
  </si>
  <si>
    <t>5010996202109</t>
  </si>
  <si>
    <t>23 / 25,5 / 5</t>
  </si>
  <si>
    <t>Фигурка Hasbro Star Wars The Black Series R2-D2  5010996213563</t>
  </si>
  <si>
    <t>HSB215</t>
  </si>
  <si>
    <t>5010996213563</t>
  </si>
  <si>
    <t>23 / 12,7 / 5</t>
  </si>
  <si>
    <t>Фигурка Hasbro Star Wars The Black Series, Paz Vizsla (The Mandalorian) 5010996204004</t>
  </si>
  <si>
    <t>HSB232</t>
  </si>
  <si>
    <t>5010996204004</t>
  </si>
  <si>
    <t>22,6 / 16,5 / 5</t>
  </si>
  <si>
    <t>Фигурка Marvel Legends Iron Man (Heroes Return) 15 см F3686</t>
  </si>
  <si>
    <t>HSB147</t>
  </si>
  <si>
    <t>5010993978243</t>
  </si>
  <si>
    <t>25,5 / 14 / 6</t>
  </si>
  <si>
    <t>G00665L0</t>
  </si>
  <si>
    <t>Фигурка Marvel Legends Series Moon Knight Comics Retro G00665L0</t>
  </si>
  <si>
    <t>HSB269</t>
  </si>
  <si>
    <t>5010996204899</t>
  </si>
  <si>
    <t>Marvel Legends</t>
  </si>
  <si>
    <t>28 / 20,9 / 4</t>
  </si>
  <si>
    <t>F91145L0</t>
  </si>
  <si>
    <t>Фигурка Marvel Legends Series Superior Spider-Man (85° Anniversario Marvel) F91145L0</t>
  </si>
  <si>
    <t>HSB268</t>
  </si>
  <si>
    <t>5010996246332</t>
  </si>
  <si>
    <t>22 / 12,7 / 5</t>
  </si>
  <si>
    <t>E92995L0</t>
  </si>
  <si>
    <t>Фигурка Marvel Legends Series The Eternals Sprite F0551</t>
  </si>
  <si>
    <t>HSB90</t>
  </si>
  <si>
    <t>5010993742158</t>
  </si>
  <si>
    <t>26,5 / 15 / 5,8</t>
  </si>
  <si>
    <t>F90095L0</t>
  </si>
  <si>
    <t>Фигурка Marvel Legends Series Venom Marvel's Carnage F90095L0</t>
  </si>
  <si>
    <t>HSB267</t>
  </si>
  <si>
    <t>5010996244369</t>
  </si>
  <si>
    <t>25,2 / 17,8 / 6,3</t>
  </si>
  <si>
    <t>Фигурка Marvel Legends Thor Love and Thunder Thor 3964383</t>
  </si>
  <si>
    <t>HSB201</t>
  </si>
  <si>
    <t>5010993964383</t>
  </si>
  <si>
    <t>26,6 / 15 / 6</t>
  </si>
  <si>
    <t>F69525L0</t>
  </si>
  <si>
    <t>Фигурка Retro "The Transformers: The Movie" Skywarp F69525L0</t>
  </si>
  <si>
    <t>HSB255</t>
  </si>
  <si>
    <t>5010996152978</t>
  </si>
  <si>
    <t>5 / 25,4 / 24,3</t>
  </si>
  <si>
    <t>Фигурка Star Wars Black Series Ahsoka Marrok 213556</t>
  </si>
  <si>
    <t>HSB195</t>
  </si>
  <si>
    <t>5010996213556</t>
  </si>
  <si>
    <t>25,1 / 16 / 5</t>
  </si>
  <si>
    <t>F68645L0</t>
  </si>
  <si>
    <t>Фигурка Star Wars Mixin' Moods Grogu F68645L0</t>
  </si>
  <si>
    <t>HSB265</t>
  </si>
  <si>
    <t>5010994199487</t>
  </si>
  <si>
    <t>17,7 / 18,3 / 8</t>
  </si>
  <si>
    <t>F56065L0</t>
  </si>
  <si>
    <t>Фигурка Star Wars The Black Series 1 Jac F56065L0</t>
  </si>
  <si>
    <t>HSB154</t>
  </si>
  <si>
    <t>5010993970285</t>
  </si>
  <si>
    <t>F70325X21</t>
  </si>
  <si>
    <t>Фигурка Star Wars The Black Series Ahsoka HK-87 Assassin Droid 212092</t>
  </si>
  <si>
    <t>HSB180</t>
  </si>
  <si>
    <t>5010996212092</t>
  </si>
  <si>
    <t>G03645L0</t>
  </si>
  <si>
    <t>Фигурка Star Wars The Black Series Darth Vader G03645L0</t>
  </si>
  <si>
    <t>HSB272</t>
  </si>
  <si>
    <t>5010996243768</t>
  </si>
  <si>
    <t>5 / 12,8 / 23</t>
  </si>
  <si>
    <t>F56095L0</t>
  </si>
  <si>
    <t>Фигурка Star Wars The Black Series Halloween Wookiee F56095L0</t>
  </si>
  <si>
    <t>HSB156</t>
  </si>
  <si>
    <t>5010994167028</t>
  </si>
  <si>
    <t>Фигурка Star Wars The Black Series Morgan Elsbeth HSB244</t>
  </si>
  <si>
    <t>HSB244</t>
  </si>
  <si>
    <t>5010996212108</t>
  </si>
  <si>
    <t>F71085X2</t>
  </si>
  <si>
    <t>Фигурка Star Wars The Black Series Pre Vizsla F71085X2</t>
  </si>
  <si>
    <t>HSB274</t>
  </si>
  <si>
    <t>5010996213525</t>
  </si>
  <si>
    <t>22,8 / 12,5 / 5</t>
  </si>
  <si>
    <t>Фигурка Star Wars The Black Series Snowtrooper 214331</t>
  </si>
  <si>
    <t>HSB186</t>
  </si>
  <si>
    <t>5010996214331</t>
  </si>
  <si>
    <t>Фигурка Star Wars The Book of Boba Fett Krrsantan 4194130</t>
  </si>
  <si>
    <t>HSB171</t>
  </si>
  <si>
    <t>5010994194130</t>
  </si>
  <si>
    <t>F96565L0</t>
  </si>
  <si>
    <t>Фигурка Transformers Collaborative Teenage Mutant NinjaTurtles Party Wallop F96565L0</t>
  </si>
  <si>
    <t>HSB275</t>
  </si>
  <si>
    <t>5010996248091</t>
  </si>
  <si>
    <t>27,7 / 10 / 10</t>
  </si>
  <si>
    <t>F85445X0</t>
  </si>
  <si>
    <t>Фигурка Transformers Legacy United класс Вояджер Silverbolt F85445X0</t>
  </si>
  <si>
    <t>HSB289</t>
  </si>
  <si>
    <t>5010996192158</t>
  </si>
  <si>
    <t>F85415X0</t>
  </si>
  <si>
    <t>Фигурка Transformers Legacy United класс Вояджер Thundertron F85415X0</t>
  </si>
  <si>
    <t>HSB284</t>
  </si>
  <si>
    <t>5010996192172</t>
  </si>
  <si>
    <t>8 / 16 / 22,8</t>
  </si>
  <si>
    <t>F96885L0</t>
  </si>
  <si>
    <t>Фигурка Transformers Legacy United класс Вояджер Wheeljack F96885L0</t>
  </si>
  <si>
    <t>HSB286</t>
  </si>
  <si>
    <t>5010996209214</t>
  </si>
  <si>
    <t>F85385X0</t>
  </si>
  <si>
    <t>Фигурка Transformers Legacy United класс Делюкс Autobot Side Burn F85385X0</t>
  </si>
  <si>
    <t>HSB310</t>
  </si>
  <si>
    <t>5010996246691</t>
  </si>
  <si>
    <t>18,7 / 14 / 6</t>
  </si>
  <si>
    <t>F85335X0</t>
  </si>
  <si>
    <t>Фигурка Transformers Legacy United класс Делюкс Nucleous F85335X0</t>
  </si>
  <si>
    <t>HSB308</t>
  </si>
  <si>
    <t>5010996238894</t>
  </si>
  <si>
    <t>F7233ES0</t>
  </si>
  <si>
    <t>Фигурка Transformers Legacy United класс Делюкс Wheeljack F7233ES0</t>
  </si>
  <si>
    <t>HSB294</t>
  </si>
  <si>
    <t>5010996165763</t>
  </si>
  <si>
    <t>19,1 / 14 / 6,5</t>
  </si>
  <si>
    <t>F91845X2</t>
  </si>
  <si>
    <t>Фигурка Transformers Legacy United класс Лидер Optimus Prime F91845X2</t>
  </si>
  <si>
    <t>HSB277</t>
  </si>
  <si>
    <t>5010996231802</t>
  </si>
  <si>
    <t>26,3 / 22 / 10</t>
  </si>
  <si>
    <t>F85515X2</t>
  </si>
  <si>
    <t>Фигурка Transformers Legacy United класс Лидер Sandstorm F85515X2</t>
  </si>
  <si>
    <t>HSB287</t>
  </si>
  <si>
    <t>5010996231796</t>
  </si>
  <si>
    <t>26,4 / 10 / 10</t>
  </si>
  <si>
    <t>F85505X2</t>
  </si>
  <si>
    <t>Фигурка Transformers Legacy United класс Лидер Tigerhawk F85505X2</t>
  </si>
  <si>
    <t>HSB288</t>
  </si>
  <si>
    <t>5010996231789</t>
  </si>
  <si>
    <t>10,1 / 22,5 / 26,7</t>
  </si>
  <si>
    <t>F85125L0</t>
  </si>
  <si>
    <t>Фигурка Transformers Legacy United класс Титан Tidal Wave F85125L0</t>
  </si>
  <si>
    <t>HSB306</t>
  </si>
  <si>
    <t>5010996192943</t>
  </si>
  <si>
    <t>60,8 / 36,5 / 15</t>
  </si>
  <si>
    <t>F69485L0</t>
  </si>
  <si>
    <t>Фигурка Transformers Retro The Transformers The Movie Shrapnel F69485L0</t>
  </si>
  <si>
    <t>HSB330</t>
  </si>
  <si>
    <t>5010996152879</t>
  </si>
  <si>
    <t>18,4 / 21,5 / 6</t>
  </si>
  <si>
    <t>F8765ES0</t>
  </si>
  <si>
    <t>Фигурка Transformers Studio Series класс Вояджер Starscream (Gamer Edition) F8765ES0</t>
  </si>
  <si>
    <t>HSB302</t>
  </si>
  <si>
    <t>5010996240019</t>
  </si>
  <si>
    <t>G02205X0</t>
  </si>
  <si>
    <t>Фигурка Transformers Studio Series класс Делюкс Bumblebee G02205X0</t>
  </si>
  <si>
    <t>HSB297</t>
  </si>
  <si>
    <t>5010996232335</t>
  </si>
  <si>
    <t>18,9 / 14 / 6,5</t>
  </si>
  <si>
    <t>F8758ES0</t>
  </si>
  <si>
    <t>Фигурка Transformers Studio Series класс Делюкс Sideswipe (Gamer Edition) F8758ES0</t>
  </si>
  <si>
    <t>HSB301</t>
  </si>
  <si>
    <t>5010996241337</t>
  </si>
  <si>
    <t>6,4 / 14 / 18,8</t>
  </si>
  <si>
    <t>F8772EZ2</t>
  </si>
  <si>
    <t>Фигурка Transformers Studio Series класс Лидер  Megatron Concept Art F8772EZ2</t>
  </si>
  <si>
    <t>HSB299</t>
  </si>
  <si>
    <t>5010996262646</t>
  </si>
  <si>
    <t>10,4 / 22,4 / 27</t>
  </si>
  <si>
    <t>Фигурка Подземелья и Драконы Dungeons &amp; Dragons Displacer Beast 15 cm Excl F5216</t>
  </si>
  <si>
    <t>HSB336</t>
  </si>
  <si>
    <t>5010994202453</t>
  </si>
  <si>
    <t>19,1 / 16,5 / 6,5</t>
  </si>
  <si>
    <t>Фигурка Подземелья и Драконы Dungeons &amp; Dragons Gelatinous Cube 20cm F6370</t>
  </si>
  <si>
    <t>HSB331</t>
  </si>
  <si>
    <t>5010994192754</t>
  </si>
  <si>
    <t>21,5 / 30,5 / 8</t>
  </si>
  <si>
    <t>Фигурка Подземелья и Драконы Dungeons &amp; Dragons Owlbear 21cm F6640</t>
  </si>
  <si>
    <t>HSB332</t>
  </si>
  <si>
    <t>5010996102867</t>
  </si>
  <si>
    <t>21,5 / 25,5 / 8</t>
  </si>
  <si>
    <t>Фигурка Подземелья и Драконы Dungeons &amp; Dragons: Beholder 15 cm Excl F5215</t>
  </si>
  <si>
    <t>HSB338</t>
  </si>
  <si>
    <t>5010994202422</t>
  </si>
  <si>
    <t>Фигурка Трансформеры Transformers Deluxe Class Magnificus 14cm F6939</t>
  </si>
  <si>
    <t>HSB335</t>
  </si>
  <si>
    <t>5010994184148</t>
  </si>
  <si>
    <t>22,5 / 15,5 / 7</t>
  </si>
  <si>
    <t>F39095L0</t>
  </si>
  <si>
    <t>Шлем (реплика) Star Wars The Black Series Bo Katan F39095L0</t>
  </si>
  <si>
    <t>HSB117</t>
  </si>
  <si>
    <t>5010993959754</t>
  </si>
  <si>
    <t>28,5 / 32 / 27,5</t>
  </si>
  <si>
    <t>F04935L0</t>
  </si>
  <si>
    <t>Шлем (реплика) Star Wars The Black Series The Mandalorian Helmet Шлем Мандалорца F0493</t>
  </si>
  <si>
    <t>HSB91</t>
  </si>
  <si>
    <t>5010993800933</t>
  </si>
  <si>
    <t>27,5 / 30 / 27,5</t>
  </si>
  <si>
    <t>Hiya Toys</t>
  </si>
  <si>
    <t>Фигурка Judge Dredd Judge Mortis 11см 4201707</t>
  </si>
  <si>
    <t>HT2</t>
  </si>
  <si>
    <t>6957534201707</t>
  </si>
  <si>
    <t>15,5 / 16,7 / 4,5</t>
  </si>
  <si>
    <t>Акриловая фигурка Character Portrait Series The Hunt Feixiao 6942421145813</t>
  </si>
  <si>
    <t>HSR258</t>
  </si>
  <si>
    <t>6942421145813</t>
  </si>
  <si>
    <t>22 / 23 / 1</t>
  </si>
  <si>
    <t>Акриловая фигурка Character Portrait Series The Hunt Feixiao 6942421145844</t>
  </si>
  <si>
    <t>HSR259</t>
  </si>
  <si>
    <t>6942421145844</t>
  </si>
  <si>
    <t>11 / 6,5 / 0,5</t>
  </si>
  <si>
    <t>Акриловая фигурка Character Standee Abundance Bailu 6975628249879</t>
  </si>
  <si>
    <t>HSR49</t>
  </si>
  <si>
    <t>6975628249879</t>
  </si>
  <si>
    <t>23 / 22 / 0,3</t>
  </si>
  <si>
    <t>Акриловая фигурка Character Standee Abundance Luocha 6975628249886</t>
  </si>
  <si>
    <t>HSR50</t>
  </si>
  <si>
    <t>6975628249886</t>
  </si>
  <si>
    <t>Акриловая фигурка Character Standee Abundance Natasha 6976068142591</t>
  </si>
  <si>
    <t>HSR48</t>
  </si>
  <si>
    <t>6976068142591</t>
  </si>
  <si>
    <t>22 / 19 / 0,3</t>
  </si>
  <si>
    <t>Акриловая фигурка Character Standee Destruction 6975628249732</t>
  </si>
  <si>
    <t>HSR28</t>
  </si>
  <si>
    <t>6975628249732</t>
  </si>
  <si>
    <t>Акриловая фигурка Character Standee Destruction 6975628249756</t>
  </si>
  <si>
    <t>HSR26</t>
  </si>
  <si>
    <t>6975628249756</t>
  </si>
  <si>
    <t>Акриловая фигурка Character Standee Destruction 6976068142577</t>
  </si>
  <si>
    <t>HSR29</t>
  </si>
  <si>
    <t>6976068142577</t>
  </si>
  <si>
    <t>Акриловая фигурка Character Standee Destruction 6976068142621</t>
  </si>
  <si>
    <t>HSR30</t>
  </si>
  <si>
    <t>6976068142621</t>
  </si>
  <si>
    <t>Акриловая фигурка Character Standee Erudition Herta 6975628249725</t>
  </si>
  <si>
    <t>HSR36</t>
  </si>
  <si>
    <t>6975628249725</t>
  </si>
  <si>
    <t>0,5 / 24,6 / 22,2</t>
  </si>
  <si>
    <t>Акриловая фигурка Character Standee Erudition Jing Yuan 6976068142546</t>
  </si>
  <si>
    <t>HSR37</t>
  </si>
  <si>
    <t>6976068142546</t>
  </si>
  <si>
    <t>Акриловая фигурка Character Standee Erudition Qingque 6976068142843</t>
  </si>
  <si>
    <t>HSR39</t>
  </si>
  <si>
    <t>6976068142843</t>
  </si>
  <si>
    <t>Акриловая фигурка Character Standee Erudition Serval 6976068142584</t>
  </si>
  <si>
    <t>HSR38</t>
  </si>
  <si>
    <t>6976068142584</t>
  </si>
  <si>
    <t>Акриловая фигурка Character Standee Harmony Asta 6975628249749</t>
  </si>
  <si>
    <t>HSR44</t>
  </si>
  <si>
    <t>6975628249749</t>
  </si>
  <si>
    <t>Акриловая фигурка Character Standee Harmony Bronya 6976068142553</t>
  </si>
  <si>
    <t>HSR45</t>
  </si>
  <si>
    <t>6976068142553</t>
  </si>
  <si>
    <t>Акриловая фигурка Character Standee Harmony Tingyun 6976068142836</t>
  </si>
  <si>
    <t>HSR46</t>
  </si>
  <si>
    <t>6976068142836</t>
  </si>
  <si>
    <t>Акриловая фигурка Character Standee Harmony Yukong 6976068142829</t>
  </si>
  <si>
    <t>HSR47</t>
  </si>
  <si>
    <t>6976068142829</t>
  </si>
  <si>
    <t>Акриловая фигурка Character Standee Nihility Pela 6976068142607</t>
  </si>
  <si>
    <t>HSR41</t>
  </si>
  <si>
    <t>6976068142607</t>
  </si>
  <si>
    <t>Акриловая фигурка Character Standee Nihility Silver Wolf 6975628249893</t>
  </si>
  <si>
    <t>HSR43</t>
  </si>
  <si>
    <t>6975628249893</t>
  </si>
  <si>
    <t>Акриловая фигурка Character Standee Preservation Gepard 6976068142560</t>
  </si>
  <si>
    <t>HSR35</t>
  </si>
  <si>
    <t>6976068142560</t>
  </si>
  <si>
    <t>Акриловая фигурка Character Standee The Hunt Seele 6975628249671</t>
  </si>
  <si>
    <t>HSR32</t>
  </si>
  <si>
    <t>6975628249671</t>
  </si>
  <si>
    <t>Акриловая фигурка Character Standee The Hunt Sushang 6976068142812</t>
  </si>
  <si>
    <t>HSR34</t>
  </si>
  <si>
    <t>6976068142812</t>
  </si>
  <si>
    <t>Акриловая фигурка Character Standee The Hunt Yanqing 6976068142805</t>
  </si>
  <si>
    <t>HSR33</t>
  </si>
  <si>
    <t>6976068142805</t>
  </si>
  <si>
    <t>Акриловая фигурка Honkai Impact RPG Argenti 6976525003540</t>
  </si>
  <si>
    <t>HSR124</t>
  </si>
  <si>
    <t>6976525003540</t>
  </si>
  <si>
    <t>0,8 / 23 / 22,5</t>
  </si>
  <si>
    <t>Акриловая фигурка Honkai Impact RPG Blade 6976068148395</t>
  </si>
  <si>
    <t>HSR126</t>
  </si>
  <si>
    <t>6976068148395</t>
  </si>
  <si>
    <t>22 / 19,1 / 0,5</t>
  </si>
  <si>
    <t>Акриловая фигурка Honkai Impact RPG Fu Xuan 6976068148425</t>
  </si>
  <si>
    <t>HSR125</t>
  </si>
  <si>
    <t>6976068148425</t>
  </si>
  <si>
    <t>23,1 / 23 / 0,5</t>
  </si>
  <si>
    <t>Акриловая фигурка Honkai Impact RPG Topaz 6976525003502</t>
  </si>
  <si>
    <t>HSR127</t>
  </si>
  <si>
    <t>6976525003502</t>
  </si>
  <si>
    <t>0,8 / 19 / 22</t>
  </si>
  <si>
    <t>Акриловая фигурка Honkai RPG Acheron 6942421116691</t>
  </si>
  <si>
    <t>HSR134</t>
  </si>
  <si>
    <t>6942421116691</t>
  </si>
  <si>
    <t>22 / 19 / 0,5</t>
  </si>
  <si>
    <t>Акриловая фигурка Honkai RPG Aventurine 6942421116714</t>
  </si>
  <si>
    <t>HSR226</t>
  </si>
  <si>
    <t>6942421116714</t>
  </si>
  <si>
    <t>Акриловая фигурка Honkai RPG Aventurine Fate has never been fair 6942421116424</t>
  </si>
  <si>
    <t>HSR123</t>
  </si>
  <si>
    <t>6942421116424</t>
  </si>
  <si>
    <t>Акриловая фигурка Honkai RPG Blade The Unreachable Other Side 6976068148630</t>
  </si>
  <si>
    <t>HSR121</t>
  </si>
  <si>
    <t>6976068148630</t>
  </si>
  <si>
    <t>Акриловая фигурка Honkai RPG Huo Huo 6976525003533</t>
  </si>
  <si>
    <t>HSR132</t>
  </si>
  <si>
    <t>6976525003533</t>
  </si>
  <si>
    <t>Акриловая фигурка Honkai RPG Jingliu 6976525003519</t>
  </si>
  <si>
    <t>HSR130</t>
  </si>
  <si>
    <t>6976525003519</t>
  </si>
  <si>
    <t>21,8 / 19 / 1</t>
  </si>
  <si>
    <t>Акриловая фигурка Honkai RPG Kafka 6976068148388</t>
  </si>
  <si>
    <t>HSR131</t>
  </si>
  <si>
    <t>6976068148388</t>
  </si>
  <si>
    <t>Акриловая фигурка Honkai RPG March 7th 6975628249701</t>
  </si>
  <si>
    <t>HSR129</t>
  </si>
  <si>
    <t>6975628249701</t>
  </si>
  <si>
    <t>Акриловая фигурка Honkai RPG Robin 6942421122586</t>
  </si>
  <si>
    <t>HSR225</t>
  </si>
  <si>
    <t>6942421122586</t>
  </si>
  <si>
    <t>Акриловая фигурка Honkai RPG Ruan Mei 6976525009702</t>
  </si>
  <si>
    <t>HSR128</t>
  </si>
  <si>
    <t>6976525009702</t>
  </si>
  <si>
    <t>Акриловая фигурка Honkai RPG Sparkle 6942421109747</t>
  </si>
  <si>
    <t>HSR133</t>
  </si>
  <si>
    <t>6942421109747</t>
  </si>
  <si>
    <t>Акриловая фигурка Honkai RPG Sparkle Game of Dust 6942421109877</t>
  </si>
  <si>
    <t>HSR122</t>
  </si>
  <si>
    <t>6942421109877</t>
  </si>
  <si>
    <t>Акриловая фигурка Honkai RPG The Unstoppable 6976525009634</t>
  </si>
  <si>
    <t>HSR120</t>
  </si>
  <si>
    <t>6976525009634</t>
  </si>
  <si>
    <t>15,5 / 7,7 / 2</t>
  </si>
  <si>
    <t>Акриловая фигурка Interstellar Travel Series Acheron 6942421130857</t>
  </si>
  <si>
    <t>HSR286</t>
  </si>
  <si>
    <t>6942421130857</t>
  </si>
  <si>
    <t>11,5 / 9,5 / 1</t>
  </si>
  <si>
    <t>Акриловая фигурка Interstellar Travel Series Aventurine 6942421130864</t>
  </si>
  <si>
    <t>HSR280</t>
  </si>
  <si>
    <t>6942421130864</t>
  </si>
  <si>
    <t>11,5 / 9,5 / 0,7</t>
  </si>
  <si>
    <t>Акриловая фигурка Interstellar Travel Series Black Swan 6942421130833</t>
  </si>
  <si>
    <t>HSR285</t>
  </si>
  <si>
    <t>6942421130833</t>
  </si>
  <si>
    <t>0,8 / 10 / 11,5</t>
  </si>
  <si>
    <t>Акриловая фигурка Interstellar Travel Series Firefly 6942421148579</t>
  </si>
  <si>
    <t>HSR284</t>
  </si>
  <si>
    <t>6942421148579</t>
  </si>
  <si>
    <t>0,8 / 9,5 / 11,5</t>
  </si>
  <si>
    <t>Акриловая фигурка Interstellar Travel Series Jade 6942421148586</t>
  </si>
  <si>
    <t>HSR287</t>
  </si>
  <si>
    <t>6942421148586</t>
  </si>
  <si>
    <t>Акриловая фигурка Interstellar Travel Series Robin 6942421130871</t>
  </si>
  <si>
    <t>HSR282</t>
  </si>
  <si>
    <t>6942421130871</t>
  </si>
  <si>
    <t>Акриловая фигурка Interstellar Travel Series Sparkle 6942421130840</t>
  </si>
  <si>
    <t>HSR281</t>
  </si>
  <si>
    <t>6942421130840</t>
  </si>
  <si>
    <t>Акриловая фигурка Light Cone Before Dawn Jing Yuan 6976068142713</t>
  </si>
  <si>
    <t>HSR93</t>
  </si>
  <si>
    <t>6976068142713</t>
  </si>
  <si>
    <t>Акриловая фигурка Light Cone In the Night Seele 6975628249923</t>
  </si>
  <si>
    <t>HSR92</t>
  </si>
  <si>
    <t>6975628249923</t>
  </si>
  <si>
    <t>Акриловая фигурка Light Cone Moment of Victory Gepard 6976068148791</t>
  </si>
  <si>
    <t>HSR94</t>
  </si>
  <si>
    <t>6976068148791</t>
  </si>
  <si>
    <t>Акриловая фигурка Light Cone River Flows in Spring Yanqing 6976068148579</t>
  </si>
  <si>
    <t>HSR98</t>
  </si>
  <si>
    <t>6976068148579</t>
  </si>
  <si>
    <t>8,7 / 5,7 / 1,2</t>
  </si>
  <si>
    <t>Акриловая фигурка Light Cone Series I will patrol and hunt 6942421144649</t>
  </si>
  <si>
    <t>HSR254</t>
  </si>
  <si>
    <t>6942421144649</t>
  </si>
  <si>
    <t>Акриловая фигурка Light Cone Series I will patrol and hunt 6942421144670</t>
  </si>
  <si>
    <t>HSR255</t>
  </si>
  <si>
    <t>6942421144670</t>
  </si>
  <si>
    <t>Акриловая фигурка Light Cone Series The night follows you like a shadow 6942421144694</t>
  </si>
  <si>
    <t>HSR256</t>
  </si>
  <si>
    <t>6942421144694</t>
  </si>
  <si>
    <t>Акриловая фигурка Star Iron Live Series Argenti 6942421119791</t>
  </si>
  <si>
    <t>HSR272</t>
  </si>
  <si>
    <t>6942421119791</t>
  </si>
  <si>
    <t>10 / 6,5 / 1</t>
  </si>
  <si>
    <t>Акриловая фигурка Star Iron Live Series Aventurine 6942421119777</t>
  </si>
  <si>
    <t>HSR268</t>
  </si>
  <si>
    <t>6942421119777</t>
  </si>
  <si>
    <t>Акриловая фигурка Star Iron Live Series JingLiu 6942421119753</t>
  </si>
  <si>
    <t>HSR270</t>
  </si>
  <si>
    <t>6942421119753</t>
  </si>
  <si>
    <t>Акриловая фигурка Star Iron Live Series kafka 6942421119760</t>
  </si>
  <si>
    <t>HSR269</t>
  </si>
  <si>
    <t>6942421119760</t>
  </si>
  <si>
    <t>Акриловая фигурка Star Iron Live Series Robin 6942421119807</t>
  </si>
  <si>
    <t>HSR271</t>
  </si>
  <si>
    <t>6942421119807</t>
  </si>
  <si>
    <t>1 / 6,6 / 10,3</t>
  </si>
  <si>
    <t>Акриловая фигурка This body is a sword Jingliu 6976525003038</t>
  </si>
  <si>
    <t>HSR222</t>
  </si>
  <si>
    <t>6976525003038</t>
  </si>
  <si>
    <t>15,8 / 7,5 / 2</t>
  </si>
  <si>
    <t>Акриловая фигурка Tiny Cat Jing Yuan 6942421129004</t>
  </si>
  <si>
    <t>HSR233</t>
  </si>
  <si>
    <t>6942421129004</t>
  </si>
  <si>
    <t>18,5 / 18,3 / 0,5</t>
  </si>
  <si>
    <t>Акриловая фигурка Tiny Cat Kafka 6942421129042</t>
  </si>
  <si>
    <t>HSR232</t>
  </si>
  <si>
    <t>6942421129042</t>
  </si>
  <si>
    <t>Акриловый блок Honkai RPG Dan Heng 6942421103127</t>
  </si>
  <si>
    <t>HSR186</t>
  </si>
  <si>
    <t>6942421103127</t>
  </si>
  <si>
    <t>10,5 / 10 / 1,3</t>
  </si>
  <si>
    <t>Акриловый блок Honkai RPG Dan Heng Imbibitor Lunae Brighter than the Sun 6976525003021</t>
  </si>
  <si>
    <t>HSR119</t>
  </si>
  <si>
    <t>6976525003021</t>
  </si>
  <si>
    <t>Акриловый блок Honkai RPG Jing Yuan 6942421103134</t>
  </si>
  <si>
    <t>HSR185</t>
  </si>
  <si>
    <t>6942421103134</t>
  </si>
  <si>
    <t>10,1 / 10,1 / 1,2</t>
  </si>
  <si>
    <t>Блок акриловый Honkai Дань Хэн Danheng Light cone series brighter than the sun 46469</t>
  </si>
  <si>
    <t>HSR310</t>
  </si>
  <si>
    <t>6942421146469</t>
  </si>
  <si>
    <t>15,5 / 7,8 / 1,8</t>
  </si>
  <si>
    <t>Блок акриловый Honkai Дань Хэн Danheng Light cone series Only Silence Remains 46452</t>
  </si>
  <si>
    <t>HSR311</t>
  </si>
  <si>
    <t>6942421146452</t>
  </si>
  <si>
    <t>Блок акриловый Honkai Жуань Мэй Ruan Mei Light cone series Past Self in Mirror 46476</t>
  </si>
  <si>
    <t>HSR312</t>
  </si>
  <si>
    <t>6942421146476</t>
  </si>
  <si>
    <t>15,7 / 8 / 2</t>
  </si>
  <si>
    <t>Брелок Honkai Impact RPG Blade 6976525005759</t>
  </si>
  <si>
    <t>HSR139</t>
  </si>
  <si>
    <t>6976525005759</t>
  </si>
  <si>
    <t>12 / 9 / 0,5</t>
  </si>
  <si>
    <t>Брелок Honkai Impact RPG Jing Yuan 6976525005728</t>
  </si>
  <si>
    <t>HSR137</t>
  </si>
  <si>
    <t>6976525005728</t>
  </si>
  <si>
    <t>0,8 / 9 / 12</t>
  </si>
  <si>
    <t>Брелок Honkai Impact RPG Silver Wolf 6976525005698</t>
  </si>
  <si>
    <t>HSR140</t>
  </si>
  <si>
    <t>6976525005698</t>
  </si>
  <si>
    <t>Брелок Honkai RPG Acheron 6942421116721</t>
  </si>
  <si>
    <t>HSR152</t>
  </si>
  <si>
    <t>6942421116721</t>
  </si>
  <si>
    <t>11 / 6,4 / 0,5</t>
  </si>
  <si>
    <t>Брелок Honkai RPG Argenti 6942421113522</t>
  </si>
  <si>
    <t>HSR159</t>
  </si>
  <si>
    <t>6942421113522</t>
  </si>
  <si>
    <t>11 / 7 / 0,8</t>
  </si>
  <si>
    <t>Брелок Honkai RPG Blade 6942421100218</t>
  </si>
  <si>
    <t>HSR146</t>
  </si>
  <si>
    <t>6942421100218</t>
  </si>
  <si>
    <t>16,5 / 8 / 0,5</t>
  </si>
  <si>
    <t>Брелок Honkai RPG Blade 6976068148456</t>
  </si>
  <si>
    <t>HSR155</t>
  </si>
  <si>
    <t>6976068148456</t>
  </si>
  <si>
    <t>Брелок Honkai RPG Dan Heng 6976068148692</t>
  </si>
  <si>
    <t>HSR135</t>
  </si>
  <si>
    <t>6976068148692</t>
  </si>
  <si>
    <t>0,8 / 7,2 / 12</t>
  </si>
  <si>
    <t>Брелок Honkai RPG Dan Heng Imbibitor Lunae 6942421100225</t>
  </si>
  <si>
    <t>HSR144</t>
  </si>
  <si>
    <t>6942421100225</t>
  </si>
  <si>
    <t>Брелок Honkai RPG Dan Heng Imbibitor Lunae 6942421113539</t>
  </si>
  <si>
    <t>HSR160</t>
  </si>
  <si>
    <t>6942421113539</t>
  </si>
  <si>
    <t>11 / 7 / 0,5</t>
  </si>
  <si>
    <t>Брелок Honkai RPG Dan Heng Imbibitor Lunae 6976525005773</t>
  </si>
  <si>
    <t>HSR136</t>
  </si>
  <si>
    <t>6976525005773</t>
  </si>
  <si>
    <t>Брелок Honkai RPG Jing Yuan 6942421113645</t>
  </si>
  <si>
    <t>HSR157</t>
  </si>
  <si>
    <t>6942421113645</t>
  </si>
  <si>
    <t>Брелок Honkai RPG Kafka 6942421100157</t>
  </si>
  <si>
    <t>HSR145</t>
  </si>
  <si>
    <t>6942421100157</t>
  </si>
  <si>
    <t>16,5 / 8 / 1</t>
  </si>
  <si>
    <t>Брелок Honkai RPG Kafka 6942421113546</t>
  </si>
  <si>
    <t>HSR158</t>
  </si>
  <si>
    <t>6942421113546</t>
  </si>
  <si>
    <t>Брелок Honkai RPG Kafka 6976068148449</t>
  </si>
  <si>
    <t>HSR154</t>
  </si>
  <si>
    <t>6976068148449</t>
  </si>
  <si>
    <t>Брелок Honkai RPG Ruan Mei 6942421100409</t>
  </si>
  <si>
    <t>HSR153</t>
  </si>
  <si>
    <t>6942421100409</t>
  </si>
  <si>
    <t>0,8 / 6,4 / 11</t>
  </si>
  <si>
    <t>Брелок Honkai RPG Ruan Mei Reflecting the me within the mirror 6976525009658</t>
  </si>
  <si>
    <t>HSR143</t>
  </si>
  <si>
    <t>6976525009658</t>
  </si>
  <si>
    <t>Брелок Honkai RPG Sparkle 6942421109716</t>
  </si>
  <si>
    <t>HSR156</t>
  </si>
  <si>
    <t>6942421109716</t>
  </si>
  <si>
    <t>Брелок Honkai RPG Sparkle Game of Dust 6942421109891</t>
  </si>
  <si>
    <t>HSR151</t>
  </si>
  <si>
    <t>6942421109891</t>
  </si>
  <si>
    <t>14,4 / 9 / 0,5</t>
  </si>
  <si>
    <t>Брелок Honkai RPG Topaz &amp; Numby 6942421110224</t>
  </si>
  <si>
    <t>HSR162</t>
  </si>
  <si>
    <t>6942421110224</t>
  </si>
  <si>
    <t>12,1 / 7,9 / 0,5</t>
  </si>
  <si>
    <t>Брелок Honkai Дань Хэн Dan Heng Tiny cat series 42218</t>
  </si>
  <si>
    <t>HSR330</t>
  </si>
  <si>
    <t>6942421142218</t>
  </si>
  <si>
    <t>14,5 / 9 / 0,3</t>
  </si>
  <si>
    <t>Брелок Honkai Дань Хэн Danheng Light cone series Only Silence Remains 46438</t>
  </si>
  <si>
    <t>HSR307</t>
  </si>
  <si>
    <t>6942421146438</t>
  </si>
  <si>
    <t>Брелок Honkai Дань Хэн Danheng Train Travel Series 03410</t>
  </si>
  <si>
    <t>HSR336</t>
  </si>
  <si>
    <t>6976525003410</t>
  </si>
  <si>
    <t>13,6 / 8,5 / 1</t>
  </si>
  <si>
    <t>Брелок Honkai Доктор Рацио Dr. Ratio Light Cone Series Baptism of Pure Thought 46421</t>
  </si>
  <si>
    <t>HSR308</t>
  </si>
  <si>
    <t>6942421146421</t>
  </si>
  <si>
    <t>Брелок Honkai Жуань Мэй Ruan Mei Light cone series Past Self in Mirror 46414</t>
  </si>
  <si>
    <t>HSR309</t>
  </si>
  <si>
    <t>6942421146414</t>
  </si>
  <si>
    <t>Брелок Honkai Кафка Kafka Light cone series Patience Is All You Need 46391</t>
  </si>
  <si>
    <t>HSR306</t>
  </si>
  <si>
    <t>6942421146391</t>
  </si>
  <si>
    <t>13 / 8,5 / 0,5</t>
  </si>
  <si>
    <t>Брелок Honkai Топаз Topaz Tiny cat series 42249</t>
  </si>
  <si>
    <t>HSR329</t>
  </si>
  <si>
    <t>6942421142249</t>
  </si>
  <si>
    <t>Брелок Honkai Цзин Юань Jingyuan Train Travel Series 46902</t>
  </si>
  <si>
    <t>HSR334</t>
  </si>
  <si>
    <t>6942421146902</t>
  </si>
  <si>
    <t>Брелок Honkai Цзинлю Jingliu Little Cat Series 42232</t>
  </si>
  <si>
    <t>HSR328</t>
  </si>
  <si>
    <t>6942421142232</t>
  </si>
  <si>
    <t>Брелок акриловый  Light Cone Sleep like the Dead Yanqing 6976068148548</t>
  </si>
  <si>
    <t>HSR99</t>
  </si>
  <si>
    <t>6976068148548</t>
  </si>
  <si>
    <t>8,3 / 4,7 / 1</t>
  </si>
  <si>
    <t>Брелок акриловый Abundance Bailu 6976068142751</t>
  </si>
  <si>
    <t>HSR72</t>
  </si>
  <si>
    <t>6976068142751</t>
  </si>
  <si>
    <t>Брелок акриловый Abundance Natasha 6976068142508</t>
  </si>
  <si>
    <t>HSR71</t>
  </si>
  <si>
    <t>6976068142508</t>
  </si>
  <si>
    <t>Брелок акриловый Destruction Arlan 6976068142416</t>
  </si>
  <si>
    <t>HSR53</t>
  </si>
  <si>
    <t>6976068142416</t>
  </si>
  <si>
    <t>Брелок акриловый Destruction Clara 6976068142485</t>
  </si>
  <si>
    <t>HSR54</t>
  </si>
  <si>
    <t>6976068142485</t>
  </si>
  <si>
    <t>Брелок акриловый Destruction Hook 6976068142539</t>
  </si>
  <si>
    <t>HSR55</t>
  </si>
  <si>
    <t>6976068142539</t>
  </si>
  <si>
    <t>Брелок акриловый Erudition Herta 6976068142409</t>
  </si>
  <si>
    <t>HSR60</t>
  </si>
  <si>
    <t>6976068142409</t>
  </si>
  <si>
    <t>Брелок акриловый Erudition Jing Yuan 6976068142454</t>
  </si>
  <si>
    <t>HSR61</t>
  </si>
  <si>
    <t>6976068142454</t>
  </si>
  <si>
    <t>Брелок акриловый Erudition Qingque 6976068142799</t>
  </si>
  <si>
    <t>HSR62</t>
  </si>
  <si>
    <t>6976068142799</t>
  </si>
  <si>
    <t>Брелок акриловый Firefly 6942421112761</t>
  </si>
  <si>
    <t>HSR221</t>
  </si>
  <si>
    <t>6942421112761</t>
  </si>
  <si>
    <t>14,5 / 8,5 / 0,5</t>
  </si>
  <si>
    <t>Брелок акриловый Harmony Asta 6976068142423</t>
  </si>
  <si>
    <t>HSR67</t>
  </si>
  <si>
    <t>6976068142423</t>
  </si>
  <si>
    <t>Брелок акриловый Harmony Bronya 6976068142461</t>
  </si>
  <si>
    <t>HSR68</t>
  </si>
  <si>
    <t>6976068142461</t>
  </si>
  <si>
    <t>Брелок акриловый Harmony Yukong 6976068142775</t>
  </si>
  <si>
    <t>HSR70</t>
  </si>
  <si>
    <t>6976068142775</t>
  </si>
  <si>
    <t>Брелок акриловый Honkai RPG Aventurine 6942421116745</t>
  </si>
  <si>
    <t>HSR215</t>
  </si>
  <si>
    <t>6942421116745</t>
  </si>
  <si>
    <t>11 / 6,5 / 1</t>
  </si>
  <si>
    <t>Брелок акриловый Honkai RPG Kafka 6942421118220</t>
  </si>
  <si>
    <t>HSR219</t>
  </si>
  <si>
    <t>6942421118220</t>
  </si>
  <si>
    <t>12 / 7 / 0,5</t>
  </si>
  <si>
    <t>Брелок акриловый Honkai RPG Robin 6942421118275</t>
  </si>
  <si>
    <t>HSR220</t>
  </si>
  <si>
    <t>6942421118275</t>
  </si>
  <si>
    <t>Брелок акриловый Honkai RPG Robin 6942421122760</t>
  </si>
  <si>
    <t>HSR214</t>
  </si>
  <si>
    <t>6942421122760</t>
  </si>
  <si>
    <t>Брелок акриловый Honkai RPG The Harmony Path Robin 6942421122661</t>
  </si>
  <si>
    <t>HSR216</t>
  </si>
  <si>
    <t>6942421122661</t>
  </si>
  <si>
    <t>Брелок акриловый Honkai Фуга Fugue Character portrait series acrylic 55539</t>
  </si>
  <si>
    <t>HSR318</t>
  </si>
  <si>
    <t>6942421155539</t>
  </si>
  <si>
    <t>11 / 7,1 / 0,3</t>
  </si>
  <si>
    <t>Брелок акриловый Nihility Pela 6976068142515</t>
  </si>
  <si>
    <t>HSR64</t>
  </si>
  <si>
    <t>6976068142515</t>
  </si>
  <si>
    <t>Брелок акриловый Preservation Gepard 6976068142478</t>
  </si>
  <si>
    <t>HSR59</t>
  </si>
  <si>
    <t>6976068142478</t>
  </si>
  <si>
    <t>Брелок акриловый The Destruction Firefly 6942421128809</t>
  </si>
  <si>
    <t>HSR217</t>
  </si>
  <si>
    <t>6942421128809</t>
  </si>
  <si>
    <t>Брелок акриловый The Hunt Dan Heng 6976068142393</t>
  </si>
  <si>
    <t>HSR56</t>
  </si>
  <si>
    <t>6976068142393</t>
  </si>
  <si>
    <t>Брелок акриловый The Hunt Sushang 6976068142768</t>
  </si>
  <si>
    <t>HSR58</t>
  </si>
  <si>
    <t>6976068142768</t>
  </si>
  <si>
    <t>Брелок акриловый The Hunt Yanqing 6976068142744</t>
  </si>
  <si>
    <t>HSR57</t>
  </si>
  <si>
    <t>6976068142744</t>
  </si>
  <si>
    <t>Брелок акриловый Tiny Cat Jing Yuan 6942421128946</t>
  </si>
  <si>
    <t>HSR235</t>
  </si>
  <si>
    <t>6942421128946</t>
  </si>
  <si>
    <t>Брелок акриловый Tiny Cat Kafka 6942421128984</t>
  </si>
  <si>
    <t>HSR234</t>
  </si>
  <si>
    <t>6942421128984</t>
  </si>
  <si>
    <t>Брошь Honkai RPG Wuwu Angry 6942421101635</t>
  </si>
  <si>
    <t>HSR164</t>
  </si>
  <si>
    <t>6942421101635</t>
  </si>
  <si>
    <t>Брошь Honkai RPG Wuwu Heart 6942421101642</t>
  </si>
  <si>
    <t>HSR163</t>
  </si>
  <si>
    <t>6942421101642</t>
  </si>
  <si>
    <t>Брошь Honkai RPG Wuwu Hopeful 6942421101628</t>
  </si>
  <si>
    <t>HSR165</t>
  </si>
  <si>
    <t>6942421101628</t>
  </si>
  <si>
    <t>Доска Шикиши  Light Cone Perfect Timing Luocha 6976068148524</t>
  </si>
  <si>
    <t>HSR89</t>
  </si>
  <si>
    <t>6976068148524</t>
  </si>
  <si>
    <t>0,3 / 16,4 / 24</t>
  </si>
  <si>
    <t>Доска Шикиши Honkai RPG This Body is a Sword Jingliu 6976525001324</t>
  </si>
  <si>
    <t>HSR227</t>
  </si>
  <si>
    <t>6976525001324</t>
  </si>
  <si>
    <t>Доска Шикиши Interstellar Travel Series Goodbye Pinocchio 6942421143314</t>
  </si>
  <si>
    <t>HSR289</t>
  </si>
  <si>
    <t>6942421143314</t>
  </si>
  <si>
    <t>23,3 / 16,3 / 0,5</t>
  </si>
  <si>
    <t>Доска Шикиши Interstellar Travel Series Running towards the abyss 6942421143307</t>
  </si>
  <si>
    <t>HSR288</t>
  </si>
  <si>
    <t>6942421143307</t>
  </si>
  <si>
    <t>Доска Шикиши Light Cone Day One of My New Life March 7 6976068140955</t>
  </si>
  <si>
    <t>HSR85</t>
  </si>
  <si>
    <t>6976068140955</t>
  </si>
  <si>
    <t>Доска Шикиши Light Cone Echoes of the Coffin Luocha 6976068148500</t>
  </si>
  <si>
    <t>HSR87</t>
  </si>
  <si>
    <t>6976068148500</t>
  </si>
  <si>
    <t>Доска Шикиши Light Cone Moment of Victory Gepard 6976068148517</t>
  </si>
  <si>
    <t>HSR88</t>
  </si>
  <si>
    <t>6976068148517</t>
  </si>
  <si>
    <t>Доска Шикиши Light Cone River Flows in Spring Yanqing 6976068148531</t>
  </si>
  <si>
    <t>HSR90</t>
  </si>
  <si>
    <t>6976068148531</t>
  </si>
  <si>
    <t>Доска Шикиши Light Cone The Unreachable Side Aventurine 6942421128717</t>
  </si>
  <si>
    <t>HSR230</t>
  </si>
  <si>
    <t>6942421128717</t>
  </si>
  <si>
    <t>23,5 / 16,3 / 0,5</t>
  </si>
  <si>
    <t>Доска Шикиши Light Cone Time Waits for No One Bailu 6976068140962</t>
  </si>
  <si>
    <t>HSR86</t>
  </si>
  <si>
    <t>6976068140962</t>
  </si>
  <si>
    <t>Доска Шикиши Light Cone Where the Dream Ends Firefly 6942421128694</t>
  </si>
  <si>
    <t>HSR229</t>
  </si>
  <si>
    <t>6942421128694</t>
  </si>
  <si>
    <t>Доска Шикиши Peripherals Honkai RPG Robin 6942421122784</t>
  </si>
  <si>
    <t>HSR228</t>
  </si>
  <si>
    <t>6942421122784</t>
  </si>
  <si>
    <t>Зажим акриловый Honkai Авантюрин Aventurine Nameless Guest's Medal Series 45677</t>
  </si>
  <si>
    <t>HSR366</t>
  </si>
  <si>
    <t>6942421145677</t>
  </si>
  <si>
    <t>7,5 / 6,3 / 2,3</t>
  </si>
  <si>
    <t>Зажим акриловый Honkai Ахерон Acheron Nameless Guest's medal series 45707</t>
  </si>
  <si>
    <t>HSR363</t>
  </si>
  <si>
    <t>6942421145707</t>
  </si>
  <si>
    <t>7,4 / 6,6 / 2,5</t>
  </si>
  <si>
    <t>Зажим акриловый Honkai Блэйд Blade Nameless Guest's Medal Series 45561</t>
  </si>
  <si>
    <t>HSR359</t>
  </si>
  <si>
    <t>6942421145561</t>
  </si>
  <si>
    <t>Зажим акриловый Honkai Бутхилл Boothill Nameless Guest's medal series 45691</t>
  </si>
  <si>
    <t>HSR356</t>
  </si>
  <si>
    <t>6942421145691</t>
  </si>
  <si>
    <t>Зажим акриловый Honkai Вельт Welt Nameless Guest's medal series 45547</t>
  </si>
  <si>
    <t>HSR365</t>
  </si>
  <si>
    <t>6942421145547</t>
  </si>
  <si>
    <t>8 / 6,5 / 2,5</t>
  </si>
  <si>
    <t>Зажим акриловый Honkai Дань Хэн Danheng Nameless Guest's medal series 45493</t>
  </si>
  <si>
    <t>HSR353</t>
  </si>
  <si>
    <t>6942421145493</t>
  </si>
  <si>
    <t>Зажим акриловый Honkai Искорка Sparkle Nameless Guest's medal series 45653</t>
  </si>
  <si>
    <t>HSR361</t>
  </si>
  <si>
    <t>6942421145653</t>
  </si>
  <si>
    <t>9,3 / 6,2 / 2</t>
  </si>
  <si>
    <t>Зажим акриловый Honkai Кафка Kafka Nameless Guest's medal series 45554</t>
  </si>
  <si>
    <t>HSR354</t>
  </si>
  <si>
    <t>6942421145554</t>
  </si>
  <si>
    <t>Зажим акриловый Honkai Март 7 March 7th Nameless Guest's medal series 45530</t>
  </si>
  <si>
    <t>HSR358</t>
  </si>
  <si>
    <t>6942421145530</t>
  </si>
  <si>
    <t>Зажим акриловый Honkai Светлячок Firefly Nameless Guest's medal series 45714</t>
  </si>
  <si>
    <t>HSR357</t>
  </si>
  <si>
    <t>6942421145714</t>
  </si>
  <si>
    <t>Зажим акриловый Honkai Топаз Topaz Nameless Guest's medal series 45684</t>
  </si>
  <si>
    <t>HSR362</t>
  </si>
  <si>
    <t>6942421145684</t>
  </si>
  <si>
    <t>Зажим акриловый Honkai Цзин Юань Jingyuan Nameless Guest's medal series 45585</t>
  </si>
  <si>
    <t>HSR355</t>
  </si>
  <si>
    <t>6942421145585</t>
  </si>
  <si>
    <t>Зажим акриловый Honkai Цзинлю Jingliu Nameless Guest's Medal Series 45615</t>
  </si>
  <si>
    <t>HSR364</t>
  </si>
  <si>
    <t>6942421145615</t>
  </si>
  <si>
    <t>Значок Abundance Bailu 6976068142867</t>
  </si>
  <si>
    <t>HSR24</t>
  </si>
  <si>
    <t>6976068142867</t>
  </si>
  <si>
    <t>Значок Abundance Luocha 6975628249992</t>
  </si>
  <si>
    <t>HSR25</t>
  </si>
  <si>
    <t>6975628249992</t>
  </si>
  <si>
    <t>Значок Abundance Natasha 6976068142676</t>
  </si>
  <si>
    <t>HSR23</t>
  </si>
  <si>
    <t>6976068142676</t>
  </si>
  <si>
    <t>Значок Character painting series The Hunt Feixiao 6942421145783</t>
  </si>
  <si>
    <t>HSR257</t>
  </si>
  <si>
    <t>6942421145783</t>
  </si>
  <si>
    <t>1 / 9,5 / 9,5</t>
  </si>
  <si>
    <t>Значок Destruction Arlan 6975628249831</t>
  </si>
  <si>
    <t>HSR3</t>
  </si>
  <si>
    <t>6975628249831</t>
  </si>
  <si>
    <t>Значок Destruction Clara 6976068142652</t>
  </si>
  <si>
    <t>HSR4</t>
  </si>
  <si>
    <t>6976068142652</t>
  </si>
  <si>
    <t>Значок Destruction Hook 6976068142706</t>
  </si>
  <si>
    <t>HSR5</t>
  </si>
  <si>
    <t>6976068142706</t>
  </si>
  <si>
    <t>Значок Destruction Trailblazer Female 6975628249862</t>
  </si>
  <si>
    <t>HSR2</t>
  </si>
  <si>
    <t>6975628249862</t>
  </si>
  <si>
    <t>Значок Destruction Trailblazer Male 6975628249855</t>
  </si>
  <si>
    <t>HSR1</t>
  </si>
  <si>
    <t>6975628249855</t>
  </si>
  <si>
    <t>Значок Erudition Herta 6975628249824</t>
  </si>
  <si>
    <t>HSR11</t>
  </si>
  <si>
    <t>6975628249824</t>
  </si>
  <si>
    <t>Значок Erudition Himeko 6975628249787</t>
  </si>
  <si>
    <t>HSR10</t>
  </si>
  <si>
    <t>6975628249787</t>
  </si>
  <si>
    <t>Значок Erudition Qingque 6976068142904</t>
  </si>
  <si>
    <t>HSR14</t>
  </si>
  <si>
    <t>6976068142904</t>
  </si>
  <si>
    <t>Значок Erudition Serval 6976068142669</t>
  </si>
  <si>
    <t>HSR13</t>
  </si>
  <si>
    <t>6976068142669</t>
  </si>
  <si>
    <t>10,5 / 9,5 / 1</t>
  </si>
  <si>
    <t>Значок Harmony Asta 6975628249848</t>
  </si>
  <si>
    <t>HSR19</t>
  </si>
  <si>
    <t>6975628249848</t>
  </si>
  <si>
    <t>Значок Harmony Bronya 6976068142638</t>
  </si>
  <si>
    <t>HSR20</t>
  </si>
  <si>
    <t>6976068142638</t>
  </si>
  <si>
    <t>Значок Harmony Tingyun 6976068142898</t>
  </si>
  <si>
    <t>HSR21</t>
  </si>
  <si>
    <t>6976068142898</t>
  </si>
  <si>
    <t>Значок Harmony Yukong 6976068142881</t>
  </si>
  <si>
    <t>HSR22</t>
  </si>
  <si>
    <t>6976068142881</t>
  </si>
  <si>
    <t>Значок Honkai Impact RPG Acheron 6942421116660</t>
  </si>
  <si>
    <t>HSR110</t>
  </si>
  <si>
    <t>6942421116660</t>
  </si>
  <si>
    <t>0,8 / 9,5 / 10,5</t>
  </si>
  <si>
    <t>Значок Honkai Impact RPG Argenti 6976525003489</t>
  </si>
  <si>
    <t>HSR107</t>
  </si>
  <si>
    <t>6976525003489</t>
  </si>
  <si>
    <t>Значок Honkai Impact RPG Argenti The Unstoppable 6976525009559</t>
  </si>
  <si>
    <t>HSR169</t>
  </si>
  <si>
    <t>6976525009559</t>
  </si>
  <si>
    <t>Значок Honkai Impact RPG Blade 6976068148333</t>
  </si>
  <si>
    <t>HSR104</t>
  </si>
  <si>
    <t>6976068148333</t>
  </si>
  <si>
    <t>Значок Honkai Impact RPG Blade The Unreachable Other Side 6976068147299</t>
  </si>
  <si>
    <t>HSR167</t>
  </si>
  <si>
    <t>6976068147299</t>
  </si>
  <si>
    <t>Значок Honkai Impact RPG Boothill 6942421122630</t>
  </si>
  <si>
    <t>HSR109</t>
  </si>
  <si>
    <t>6942421122630</t>
  </si>
  <si>
    <t>Значок Honkai Impact RPG Dan Heng 6975628249817</t>
  </si>
  <si>
    <t>HSR105</t>
  </si>
  <si>
    <t>6975628249817</t>
  </si>
  <si>
    <t>Значок Honkai Impact RPG Dan Heng Badges Dan Heng 6976068148760</t>
  </si>
  <si>
    <t>HSR173</t>
  </si>
  <si>
    <t>6976068148760</t>
  </si>
  <si>
    <t>Значок Honkai Impact RPG Dan Heng Brighter than the Sun 6976525001171</t>
  </si>
  <si>
    <t>HSR166</t>
  </si>
  <si>
    <t>6976525001171</t>
  </si>
  <si>
    <t>9 / 9 / 1</t>
  </si>
  <si>
    <t>Значок Honkai Impact RPG Dan Heng Imbibitor Lunae 6976525005667</t>
  </si>
  <si>
    <t>HSR142</t>
  </si>
  <si>
    <t>6976525005667</t>
  </si>
  <si>
    <t>Значок Honkai Impact RPG Jing Yuan 6976068148739</t>
  </si>
  <si>
    <t>HSR175</t>
  </si>
  <si>
    <t>6976068148739</t>
  </si>
  <si>
    <t>Значок Honkai Impact RPG Jingliu 6976525003458</t>
  </si>
  <si>
    <t>HSR102</t>
  </si>
  <si>
    <t>6976525003458</t>
  </si>
  <si>
    <t>Значок Honkai Impact RPG Kafka 6976068148326</t>
  </si>
  <si>
    <t>HSR106</t>
  </si>
  <si>
    <t>6976068148326</t>
  </si>
  <si>
    <t>Значок Honkai Impact RPG Kafka 6976068148715</t>
  </si>
  <si>
    <t>HSR174</t>
  </si>
  <si>
    <t>6976068148715</t>
  </si>
  <si>
    <t>Значок Honkai Impact RPG Ruan Mei 6976525009672</t>
  </si>
  <si>
    <t>HSR108</t>
  </si>
  <si>
    <t>6976525009672</t>
  </si>
  <si>
    <t>Значок Honkai Impact RPG Silver Wolf 6976525005582</t>
  </si>
  <si>
    <t>HSR141</t>
  </si>
  <si>
    <t>6976525005582</t>
  </si>
  <si>
    <t>0,8 / 8 / 8,6</t>
  </si>
  <si>
    <t>Значок Honkai Impact RPG Sparkle Game of Dust 6942421109839</t>
  </si>
  <si>
    <t>HSR170</t>
  </si>
  <si>
    <t>6942421109839</t>
  </si>
  <si>
    <t>Значок Honkai Impact RPG Topaz &amp; Numby 6976525003441</t>
  </si>
  <si>
    <t>HSR103</t>
  </si>
  <si>
    <t>6976525003441</t>
  </si>
  <si>
    <t>Значок Honkai Impact RPG Topaz &amp; Numby Worries, Happiness 6976525001188</t>
  </si>
  <si>
    <t>HSR168</t>
  </si>
  <si>
    <t>6976525001188</t>
  </si>
  <si>
    <t>Значок Honkai Impact RPG Trailblazer 6976525003625</t>
  </si>
  <si>
    <t>HSR112</t>
  </si>
  <si>
    <t>6976525003625</t>
  </si>
  <si>
    <t>11 / 9,5 / 0,3</t>
  </si>
  <si>
    <t>Значок Honkai Impact RPG Trailblazer 6976525003632</t>
  </si>
  <si>
    <t>HSR113</t>
  </si>
  <si>
    <t>6976525003632</t>
  </si>
  <si>
    <t>Значок Honkai RPG Argenti 6942421114482</t>
  </si>
  <si>
    <t>HSR176</t>
  </si>
  <si>
    <t>6942421114482</t>
  </si>
  <si>
    <t>8,5 / 8 / 1</t>
  </si>
  <si>
    <t>Значок Honkai RPG Blade 6976525009887</t>
  </si>
  <si>
    <t>HSR181</t>
  </si>
  <si>
    <t>6976525009887</t>
  </si>
  <si>
    <t>Значок Honkai RPG Dan Heng 6942421103066</t>
  </si>
  <si>
    <t>HSR184</t>
  </si>
  <si>
    <t>6942421103066</t>
  </si>
  <si>
    <t>Значок Honkai RPG Dan Heng Imbibitor Lunae 6976525009894</t>
  </si>
  <si>
    <t>HSR179</t>
  </si>
  <si>
    <t>6976525009894</t>
  </si>
  <si>
    <t>Значок Honkai RPG Fu Xuan Pendant 6976068148364</t>
  </si>
  <si>
    <t>HSR111</t>
  </si>
  <si>
    <t>6976068148364</t>
  </si>
  <si>
    <t>Значок Honkai RPG Jing Yuan 6976525009863</t>
  </si>
  <si>
    <t>HSR183</t>
  </si>
  <si>
    <t>6976525009863</t>
  </si>
  <si>
    <t>Значок Honkai RPG Kafka 6976525009825</t>
  </si>
  <si>
    <t>HSR180</t>
  </si>
  <si>
    <t>6976525009825</t>
  </si>
  <si>
    <t>Значок Honkai RPG Ruan Mei 6942421114499</t>
  </si>
  <si>
    <t>HSR177</t>
  </si>
  <si>
    <t>6942421114499</t>
  </si>
  <si>
    <t>Значок Honkai RPG Silver Wolf 6976525009870</t>
  </si>
  <si>
    <t>HSR182</t>
  </si>
  <si>
    <t>6976525009870</t>
  </si>
  <si>
    <t>Значок Honkai Авантюрин Aventurine Nameless Guest's Medal Series 45431</t>
  </si>
  <si>
    <t>HSR352</t>
  </si>
  <si>
    <t>6942421145431</t>
  </si>
  <si>
    <t>0,5 / 8 / 8,5</t>
  </si>
  <si>
    <t>Значок Honkai Ахерон Acheron Nameless Guest's Medal Series 45462</t>
  </si>
  <si>
    <t>HSR349</t>
  </si>
  <si>
    <t>6942421145462</t>
  </si>
  <si>
    <t>Значок Honkai Байлу Bai Lu Train Travel Series 46858</t>
  </si>
  <si>
    <t>HSR332</t>
  </si>
  <si>
    <t>6942421146858</t>
  </si>
  <si>
    <t>Значок Honkai Блэйд Blade Nameless Guest's Medal Series 45325</t>
  </si>
  <si>
    <t>HSR341</t>
  </si>
  <si>
    <t>6942421145325</t>
  </si>
  <si>
    <t>Значок Honkai Блэйд и Дань Хэн Light Cone Series Tinplate Badges Nowhere to Run 46384</t>
  </si>
  <si>
    <t>HSR303</t>
  </si>
  <si>
    <t>6942421146384</t>
  </si>
  <si>
    <t>Значок Honkai Бутхилл Boothill Nameless Guest's medal series 45455</t>
  </si>
  <si>
    <t>HSR342</t>
  </si>
  <si>
    <t>6942421145455</t>
  </si>
  <si>
    <t>Значок Honkai Вельт Welt Nameless guest's medal series 45301</t>
  </si>
  <si>
    <t>HSR350</t>
  </si>
  <si>
    <t>6942421145301</t>
  </si>
  <si>
    <t>Значок Honkai Воскресенье Sunday Character portrait series 55508</t>
  </si>
  <si>
    <t>HSR314</t>
  </si>
  <si>
    <t>6942421155508</t>
  </si>
  <si>
    <t>Значок Honkai Дань Хэн Danheng Nameless Guest's medal series 45257</t>
  </si>
  <si>
    <t>HSR337</t>
  </si>
  <si>
    <t>6942421145257</t>
  </si>
  <si>
    <t>Значок Honkai Дань Хэн Danheng Tiny cat series Imbibitor Lunae 42157</t>
  </si>
  <si>
    <t>HSR319</t>
  </si>
  <si>
    <t>6942421142157</t>
  </si>
  <si>
    <t>Значок Honkai Дань Хэн Danheng Train Travel Series 03403</t>
  </si>
  <si>
    <t>HSR333</t>
  </si>
  <si>
    <t>6976525003403</t>
  </si>
  <si>
    <t>Значок Honkai Доктор Рацио Dr. Ratio Nameless Guest's Medal Series 45400</t>
  </si>
  <si>
    <t>HSR346</t>
  </si>
  <si>
    <t>6942421145400</t>
  </si>
  <si>
    <t>Значок Honkai Жуань Мэй Ruan Mei Nameless Guest's Medal Series 45394</t>
  </si>
  <si>
    <t>HSR345</t>
  </si>
  <si>
    <t>6942421145394</t>
  </si>
  <si>
    <t>8,3 / 7,8 / 1</t>
  </si>
  <si>
    <t>Значок Honkai Искорка Sparkle Nameless Guest's Medal Series 45417</t>
  </si>
  <si>
    <t>HSR347</t>
  </si>
  <si>
    <t>6942421145417</t>
  </si>
  <si>
    <t>Значок Honkai Кафка Kafka Nameless Guest's Medal Series 45318</t>
  </si>
  <si>
    <t>HSR338</t>
  </si>
  <si>
    <t>6942421145318</t>
  </si>
  <si>
    <t>Значок Honkai Март 7 March 7th Nameless guest's medal series 45295</t>
  </si>
  <si>
    <t>HSR343</t>
  </si>
  <si>
    <t>6942421145295</t>
  </si>
  <si>
    <t>Значок Honkai Сампо Sampo Nameless Guest's Medal Series 45424</t>
  </si>
  <si>
    <t>HSR351</t>
  </si>
  <si>
    <t>6942421145424</t>
  </si>
  <si>
    <t>Значок Honkai Светлячок Firefly Nameless Guest's medal series 45479</t>
  </si>
  <si>
    <t>HSR340</t>
  </si>
  <si>
    <t>6942421145479</t>
  </si>
  <si>
    <t>Значок Honkai Тинъюнь Tingyun Light Cone Series Long Road Leads Home 58974</t>
  </si>
  <si>
    <t>HSR302</t>
  </si>
  <si>
    <t>6942421158974</t>
  </si>
  <si>
    <t>Значок Honkai Топаз Topaz Light Cone Series Trend of the Universal Market 46360</t>
  </si>
  <si>
    <t>HSR301</t>
  </si>
  <si>
    <t>6942421146360</t>
  </si>
  <si>
    <t>9,5 / 9 / 0,5</t>
  </si>
  <si>
    <t>Значок Honkai Топаз Topaz Nameless Guest's medal series 45448</t>
  </si>
  <si>
    <t>HSR348</t>
  </si>
  <si>
    <t>6942421145448</t>
  </si>
  <si>
    <t>Значок Honkai Топаз Topaz Tiny cat series 42188</t>
  </si>
  <si>
    <t>HSR320</t>
  </si>
  <si>
    <t>6942421142188</t>
  </si>
  <si>
    <t>Значок Honkai Фуга Fugue Character portrait series 55515</t>
  </si>
  <si>
    <t>HSR313</t>
  </si>
  <si>
    <t>6942421155515</t>
  </si>
  <si>
    <t>Значок Honkai Цзин Юань Jingyuan Nameless Guest's medal series 45349</t>
  </si>
  <si>
    <t>HSR339</t>
  </si>
  <si>
    <t>6942421145349</t>
  </si>
  <si>
    <t>Значок Honkai Цзин Юань Jingyuan Train Travel Series 46865</t>
  </si>
  <si>
    <t>HSR331</t>
  </si>
  <si>
    <t>6942421146865</t>
  </si>
  <si>
    <t>Значок Honkai Цзинлю Jingliu Nameless Guest's Medal Series 45370</t>
  </si>
  <si>
    <t>HSR344</t>
  </si>
  <si>
    <t>6942421145370</t>
  </si>
  <si>
    <t>Значок Honkai Цзинлю Jingliu Tiny Cat Series 42171</t>
  </si>
  <si>
    <t>HSR321</t>
  </si>
  <si>
    <t>6942421142171</t>
  </si>
  <si>
    <t>Значок Interstellar Travel Series (Part 2) Acheron 6942421137795</t>
  </si>
  <si>
    <t>HSR279</t>
  </si>
  <si>
    <t>6942421137795</t>
  </si>
  <si>
    <t>Значок Interstellar Travel Series (Part 2) Aventurine 6942421137801</t>
  </si>
  <si>
    <t>HSR273</t>
  </si>
  <si>
    <t>6942421137801</t>
  </si>
  <si>
    <t>Значок Interstellar Travel Series (Part 2) Black Swan 6942421137771</t>
  </si>
  <si>
    <t>HSR278</t>
  </si>
  <si>
    <t>6942421137771</t>
  </si>
  <si>
    <t>Значок Interstellar Travel Series (Part 2) Boothill 6942421137825</t>
  </si>
  <si>
    <t>HSR276</t>
  </si>
  <si>
    <t>6942421137825</t>
  </si>
  <si>
    <t>Значок Interstellar Travel Series (Part 2) Firefly 6942421137832</t>
  </si>
  <si>
    <t>HSR277</t>
  </si>
  <si>
    <t>6942421137832</t>
  </si>
  <si>
    <t>Значок Interstellar Travel Series (Part 2) Robin 6942421137818</t>
  </si>
  <si>
    <t>HSR275</t>
  </si>
  <si>
    <t>6942421137818</t>
  </si>
  <si>
    <t>Значок Interstellar Travel Series (Part 2) Sparkle 6942421137788</t>
  </si>
  <si>
    <t>HSR274</t>
  </si>
  <si>
    <t>6942421137788</t>
  </si>
  <si>
    <t>Значок Light Cone Before Dawn Jing Yuan 6975628249954</t>
  </si>
  <si>
    <t>HSR76</t>
  </si>
  <si>
    <t>6975628249954</t>
  </si>
  <si>
    <t>9 / 9 / 0,7</t>
  </si>
  <si>
    <t>Значок Light Cone Incessant Rain Silver Wolf 6976068147251</t>
  </si>
  <si>
    <t>HSR78</t>
  </si>
  <si>
    <t>6976068147251</t>
  </si>
  <si>
    <t>Значок Light Cone Series I will patrol and hunt 6942421144618</t>
  </si>
  <si>
    <t>HSR251</t>
  </si>
  <si>
    <t>6942421144618</t>
  </si>
  <si>
    <t>Значок Light Cone Series Only the fragrance remains Линша 6942421144625</t>
  </si>
  <si>
    <t>HSR252</t>
  </si>
  <si>
    <t>6942421144625</t>
  </si>
  <si>
    <t>Значок Light Cone Series The night follows you like a shadow 6942421144632</t>
  </si>
  <si>
    <t>HSR253</t>
  </si>
  <si>
    <t>6942421144632</t>
  </si>
  <si>
    <t>Значок Nihility Pela 6976068142683</t>
  </si>
  <si>
    <t>HSR16</t>
  </si>
  <si>
    <t>6976068142683</t>
  </si>
  <si>
    <t>Значок Nihility Silver Wolf 6975628249909</t>
  </si>
  <si>
    <t>HSR18</t>
  </si>
  <si>
    <t>6975628249909</t>
  </si>
  <si>
    <t>Значок Nihility Welt 6975628249794</t>
  </si>
  <si>
    <t>HSR15</t>
  </si>
  <si>
    <t>6975628249794</t>
  </si>
  <si>
    <t>0,5 / 9,6 / 12</t>
  </si>
  <si>
    <t>Значок Pam Exhibition Hall Series Acheron 6942421133636</t>
  </si>
  <si>
    <t>HSR264</t>
  </si>
  <si>
    <t>6942421133636</t>
  </si>
  <si>
    <t>Значок Pam Exhibition Hall Series Aventurine 6942421133643</t>
  </si>
  <si>
    <t>HSR265</t>
  </si>
  <si>
    <t>6942421133643</t>
  </si>
  <si>
    <t>0,8 / 9 / 8,5</t>
  </si>
  <si>
    <t>Значок Pam Exhibition Hall Series Black Swan 6942421133612</t>
  </si>
  <si>
    <t>HSR262</t>
  </si>
  <si>
    <t>6942421133612</t>
  </si>
  <si>
    <t>9 / 8,5 / 1,5</t>
  </si>
  <si>
    <t>Значок Pam Exhibition Hall Series Display Acrylic Storage Case Black Swan 6942421146957</t>
  </si>
  <si>
    <t>HSR261</t>
  </si>
  <si>
    <t>6942421146957</t>
  </si>
  <si>
    <t>9,5 / 9,5 / 1,5</t>
  </si>
  <si>
    <t>Значок Pam Exhibition Hall Series Display Acrylic Storage Case Sparkle 6942421146940</t>
  </si>
  <si>
    <t>HSR260</t>
  </si>
  <si>
    <t>6942421146940</t>
  </si>
  <si>
    <t>1,5 / 9,1 / 10</t>
  </si>
  <si>
    <t>Значок Pam Exhibition Hall Series Firefly 6942421133667</t>
  </si>
  <si>
    <t>HSR266</t>
  </si>
  <si>
    <t>6942421133667</t>
  </si>
  <si>
    <t>Значок Pam Exhibition Hall Series Sam 6942421133674</t>
  </si>
  <si>
    <t>HSR267</t>
  </si>
  <si>
    <t>6942421133674</t>
  </si>
  <si>
    <t>9,3 / 8,5 / 1,5</t>
  </si>
  <si>
    <t>Значок Pam Exhibition Hall Series Sparkle 6942421133629</t>
  </si>
  <si>
    <t>HSR263</t>
  </si>
  <si>
    <t>6942421133629</t>
  </si>
  <si>
    <t>Значок Preservation Gepard 6976068142645</t>
  </si>
  <si>
    <t>HSR9</t>
  </si>
  <si>
    <t>6976068142645</t>
  </si>
  <si>
    <t>Значок The Hunt Seele 6975628249770</t>
  </si>
  <si>
    <t>HSR6</t>
  </si>
  <si>
    <t>6975628249770</t>
  </si>
  <si>
    <t>Значок The Hunt Sushang 6976068142874</t>
  </si>
  <si>
    <t>HSR8</t>
  </si>
  <si>
    <t>6976068142874</t>
  </si>
  <si>
    <t>Значок The Hunt Yanqing 6976068142850</t>
  </si>
  <si>
    <t>HSR7</t>
  </si>
  <si>
    <t>6976068142850</t>
  </si>
  <si>
    <t>Значок Tiny Cat Jing Yuan 6942421128885</t>
  </si>
  <si>
    <t>HSR231</t>
  </si>
  <si>
    <t>6942421128885</t>
  </si>
  <si>
    <t>Значок металлический Firefly 6942421128830</t>
  </si>
  <si>
    <t>HSR209</t>
  </si>
  <si>
    <t>6942421128830</t>
  </si>
  <si>
    <t>Значок металлический Honkai RPG Interstellar Travel Series Kafka 6976525005636</t>
  </si>
  <si>
    <t>HSR211</t>
  </si>
  <si>
    <t>6976525005636</t>
  </si>
  <si>
    <t>Значок металлический The Harmony Path Sparkle 6942421110200</t>
  </si>
  <si>
    <t>HSR208</t>
  </si>
  <si>
    <t>6942421110200</t>
  </si>
  <si>
    <t>0,8 / 10 / 10,5</t>
  </si>
  <si>
    <t>Значок металлический Where the Dream Ends Firefly 6942421128656</t>
  </si>
  <si>
    <t>HSR212</t>
  </si>
  <si>
    <t>6942421128656</t>
  </si>
  <si>
    <t>Карточка коллекционная Honkai RPG Blade 6942421102830</t>
  </si>
  <si>
    <t>HSR147</t>
  </si>
  <si>
    <t>6942421102830</t>
  </si>
  <si>
    <t>9 / 6 / 0,2</t>
  </si>
  <si>
    <t>Карточка коллекционная Honkai RPG Kafka 6976525009818</t>
  </si>
  <si>
    <t>HSR150</t>
  </si>
  <si>
    <t>6976525009818</t>
  </si>
  <si>
    <t>9 / 5,4 / 0,2</t>
  </si>
  <si>
    <t>Карточка коллекционная Honkai RPG Serval 6942421102878</t>
  </si>
  <si>
    <t>HSR148</t>
  </si>
  <si>
    <t>6942421102878</t>
  </si>
  <si>
    <t>9 / 5,5 / 0,2</t>
  </si>
  <si>
    <t>Карточка коллекционная Honkai Дань Хэн Danheng Little cat series Imbibitor Lunae 42331</t>
  </si>
  <si>
    <t>HSR325</t>
  </si>
  <si>
    <t>6942421142331</t>
  </si>
  <si>
    <t>Карточка коллекционная Honkai Цзинлю Jingliu Little Cat Series 42355</t>
  </si>
  <si>
    <t>HSR326</t>
  </si>
  <si>
    <t>6942421142355</t>
  </si>
  <si>
    <t>Карточка коллекционная Tiny Cat Series Card/Jing Yuan 6942421129066</t>
  </si>
  <si>
    <t>HSR236</t>
  </si>
  <si>
    <t>6942421129066</t>
  </si>
  <si>
    <t>13,2 / 9 / 0,3</t>
  </si>
  <si>
    <t>Карточка коллекционная Топаз Topaz Honkai Tiny cat series 42362</t>
  </si>
  <si>
    <t>HSR327</t>
  </si>
  <si>
    <t>6942421142362</t>
  </si>
  <si>
    <t>0,3 / 8,3 / 13</t>
  </si>
  <si>
    <t>Картхолдер Honkai RPG Jingliu 6942421118695</t>
  </si>
  <si>
    <t>HSR224</t>
  </si>
  <si>
    <t>6942421118695</t>
  </si>
  <si>
    <t>21,3 / 16,5 / 1,5</t>
  </si>
  <si>
    <t>Кейкап для клавиатуры The first installment of the Honkai: Star Rail Fingertip Keycap Series 44506</t>
  </si>
  <si>
    <t>HSR377</t>
  </si>
  <si>
    <t>6911400444506</t>
  </si>
  <si>
    <t>8 / 8 / 6</t>
  </si>
  <si>
    <t>Коврик для мыши Desk Mat A Moment Among the Stars 6976068140993</t>
  </si>
  <si>
    <t>HSR101</t>
  </si>
  <si>
    <t>6976068140993</t>
  </si>
  <si>
    <t>60 / 40 / 1,5</t>
  </si>
  <si>
    <t>Коврик для мыши Desk Mat Your Choice 6976068141044</t>
  </si>
  <si>
    <t>HSR100</t>
  </si>
  <si>
    <t>6976068141044</t>
  </si>
  <si>
    <t>Коробка для салфеток Rice Dumpling 6942421139188</t>
  </si>
  <si>
    <t>HSR249</t>
  </si>
  <si>
    <t>6942421139188</t>
  </si>
  <si>
    <t>20 / 20 / 14,5</t>
  </si>
  <si>
    <t>Коробка для салфеток Trash Cake 6942421139195</t>
  </si>
  <si>
    <t>HSR248</t>
  </si>
  <si>
    <t>6942421139195</t>
  </si>
  <si>
    <t>Магнит Honkai Impact RPG Blade 6942421107088</t>
  </si>
  <si>
    <t>HSR116</t>
  </si>
  <si>
    <t>6942421107088</t>
  </si>
  <si>
    <t>7,5 / 6,3 / 1,2</t>
  </si>
  <si>
    <t>Магнит Honkai Impact RPG Jing Yuan 6942421107057</t>
  </si>
  <si>
    <t>HSR115</t>
  </si>
  <si>
    <t>6942421107057</t>
  </si>
  <si>
    <t>Магнит Honkai Impact RPG Kafka 6942421107071</t>
  </si>
  <si>
    <t>HSR117</t>
  </si>
  <si>
    <t>6942421107071</t>
  </si>
  <si>
    <t>Магнит Honkai Impact RPG Lunae 6942421107040</t>
  </si>
  <si>
    <t>HSR118</t>
  </si>
  <si>
    <t>6942421107040</t>
  </si>
  <si>
    <t>Монетница Honkai RPG Blade 6942421118671</t>
  </si>
  <si>
    <t>HSR196</t>
  </si>
  <si>
    <t>6942421118671</t>
  </si>
  <si>
    <t>21,3 / 16,7 / 1,5</t>
  </si>
  <si>
    <t>Монетница Honkai RPG Dan Heng 6942421118640</t>
  </si>
  <si>
    <t>HSR193</t>
  </si>
  <si>
    <t>6942421118640</t>
  </si>
  <si>
    <t>Монетница Honkai RPG Dan Heng Imbibitor Lunae 6942421118657</t>
  </si>
  <si>
    <t>HSR194</t>
  </si>
  <si>
    <t>6942421118657</t>
  </si>
  <si>
    <t>Монетница Honkai RPG Jing Yuan 6942421118664</t>
  </si>
  <si>
    <t>HSR195</t>
  </si>
  <si>
    <t>6942421118664</t>
  </si>
  <si>
    <t>22 / 17 / 1,5</t>
  </si>
  <si>
    <t>Набор коллекционных карточек Honkai RPG Fables of the Stars (Topaz &amp; Numby, Ruan Mei, Argenti, Jingl</t>
  </si>
  <si>
    <t>HSR223</t>
  </si>
  <si>
    <t>6942421136293</t>
  </si>
  <si>
    <t>3,9 / 8,5 / 18,6</t>
  </si>
  <si>
    <t>Набор наклеек Honkai RPG March 7th Pom Pom Museum 6976525004974</t>
  </si>
  <si>
    <t>HSR201</t>
  </si>
  <si>
    <t>6976525004974</t>
  </si>
  <si>
    <t>11,3 / 7,5 / 0,2</t>
  </si>
  <si>
    <t>Набор наклеек Honkai RPG Pom Pom Museum 6976525003328</t>
  </si>
  <si>
    <t>HSR205</t>
  </si>
  <si>
    <t>6976525003328</t>
  </si>
  <si>
    <t>11,3 / 7,5 / 0,1</t>
  </si>
  <si>
    <t>Набор наклеек Honkai RPG Pom Pom Museum End of the Sojourn 6976525005025</t>
  </si>
  <si>
    <t>HSR204</t>
  </si>
  <si>
    <t>6976525005025</t>
  </si>
  <si>
    <t>Набор наклеек Honkai RPG Pom Pom Museum Galactic Roaming 6976525005018</t>
  </si>
  <si>
    <t>HSR206</t>
  </si>
  <si>
    <t>6976525005018</t>
  </si>
  <si>
    <t>Набор наклеек Honkai RPG Pom Pom Museum Warp Test 6976525005001</t>
  </si>
  <si>
    <t>HSR203</t>
  </si>
  <si>
    <t>6976525005001</t>
  </si>
  <si>
    <t>Набор наклеек Honkai RPG YuYu Otter Pom Pom Museum 6976525004981</t>
  </si>
  <si>
    <t>HSR202</t>
  </si>
  <si>
    <t>6976525004981</t>
  </si>
  <si>
    <t>Памятный билет Star Rail Acheron 6942421104797</t>
  </si>
  <si>
    <t>HSR242</t>
  </si>
  <si>
    <t>6942421104797</t>
  </si>
  <si>
    <t>8,9 / 5,3 / 0,1</t>
  </si>
  <si>
    <t>Памятный билет Star Rail Aventurine 6942421104759</t>
  </si>
  <si>
    <t>HSR243</t>
  </si>
  <si>
    <t>6942421104759</t>
  </si>
  <si>
    <t>Памятный билет Star Rail Firefly 6942421140061</t>
  </si>
  <si>
    <t>HSR245</t>
  </si>
  <si>
    <t>6942421140061</t>
  </si>
  <si>
    <t>9,5 / 5,5 / 0,3</t>
  </si>
  <si>
    <t>Памятный билет Star Rail Jingliu 6942421119272</t>
  </si>
  <si>
    <t>HSR239</t>
  </si>
  <si>
    <t>6942421119272</t>
  </si>
  <si>
    <t>8,5 / 21,5 / 0,3</t>
  </si>
  <si>
    <t>Памятный билет Star Rail Kafka 6942421119289</t>
  </si>
  <si>
    <t>HSR240</t>
  </si>
  <si>
    <t>6942421119289</t>
  </si>
  <si>
    <t>Памятный билет Star Rail Robin 6942421104803</t>
  </si>
  <si>
    <t>HSR244</t>
  </si>
  <si>
    <t>6942421104803</t>
  </si>
  <si>
    <t>Памятный билет Star Rail Robin 6942421119326</t>
  </si>
  <si>
    <t>HSR237</t>
  </si>
  <si>
    <t>6942421119326</t>
  </si>
  <si>
    <t>8,5 / 21,7 / 0,3</t>
  </si>
  <si>
    <t>Памятный билет Star Rail Sparkle 6942421104780</t>
  </si>
  <si>
    <t>HSR241</t>
  </si>
  <si>
    <t>6942421104780</t>
  </si>
  <si>
    <t>Плюшевый брелок Honkai RPG YuYu Otter Heart 6942421105633</t>
  </si>
  <si>
    <t>HSR199</t>
  </si>
  <si>
    <t>6942421105633</t>
  </si>
  <si>
    <t>11 / 10 / 10</t>
  </si>
  <si>
    <t>Плюшевый брелок Honkai RPG YuYu Otter Star 6942421105626</t>
  </si>
  <si>
    <t>HSR200</t>
  </si>
  <si>
    <t>6942421105626</t>
  </si>
  <si>
    <t>Светильник Honkai RPG Wubbaboo 6976525009962</t>
  </si>
  <si>
    <t>HSR246</t>
  </si>
  <si>
    <t>6976525009962</t>
  </si>
  <si>
    <t>14,5 / 13,3 / 15</t>
  </si>
  <si>
    <t>Стенд акриловый Honkai Воскресенье Sunday Character portrait series 55546</t>
  </si>
  <si>
    <t>HSR315</t>
  </si>
  <si>
    <t>6942421155546</t>
  </si>
  <si>
    <t>Стенд акриловый Honkai Топаз Topazz Tiny cat series 42300</t>
  </si>
  <si>
    <t>HSR324</t>
  </si>
  <si>
    <t>6942421142300</t>
  </si>
  <si>
    <t>18,4 / 18,6 / 0,5</t>
  </si>
  <si>
    <t>Стенд акриловый Honkai Фуга Fugue Character portrait series 55553</t>
  </si>
  <si>
    <t>HSR316</t>
  </si>
  <si>
    <t>6942421155553</t>
  </si>
  <si>
    <t>Стенд акриловый Honkai Цзинлю Jingliu Tiny cat series 42294</t>
  </si>
  <si>
    <t>HSR323</t>
  </si>
  <si>
    <t>6942421142294</t>
  </si>
  <si>
    <t>Стенд акриловый Дань Хэн Dan Heng Honkai Little cat series Imbibitor Lunae 42270</t>
  </si>
  <si>
    <t>HSR322</t>
  </si>
  <si>
    <t>6942421142270</t>
  </si>
  <si>
    <t>Фигурка Honkai RPG Chibi Jenga 6911400439687</t>
  </si>
  <si>
    <t>HSR299</t>
  </si>
  <si>
    <t>6911400439687</t>
  </si>
  <si>
    <t>16 / 11 / 3,5</t>
  </si>
  <si>
    <t>Фигурка Honkai: Star Rail Herta 1/8 6976068141556</t>
  </si>
  <si>
    <t>HSR290</t>
  </si>
  <si>
    <t>6976068141556</t>
  </si>
  <si>
    <t>6,5 / 22 / 22</t>
  </si>
  <si>
    <t>Фигурка Honkai: Star Rail King's Next Barrel Series 5 шт 6942421110682</t>
  </si>
  <si>
    <t>HSR295</t>
  </si>
  <si>
    <t>6942421110682</t>
  </si>
  <si>
    <t>17,5 / 8,5 / 11,6</t>
  </si>
  <si>
    <t>Фигурка Q-version The time of departure Jing Yuan 6976068147442</t>
  </si>
  <si>
    <t>HSR292</t>
  </si>
  <si>
    <t>6976068147442</t>
  </si>
  <si>
    <t>9 / 11 / 14</t>
  </si>
  <si>
    <t>Фигурка Q-version Train welcome tea party Danheng 6976068142201</t>
  </si>
  <si>
    <t>HSR293</t>
  </si>
  <si>
    <t>6976068142201</t>
  </si>
  <si>
    <t>12 / 7,5 / 5</t>
  </si>
  <si>
    <t>Фигурка Q-version Train welcome tea party March 7th 6976068142195</t>
  </si>
  <si>
    <t>HSR294</t>
  </si>
  <si>
    <t>6976068142195</t>
  </si>
  <si>
    <t>Фигурка Star Rail Departure Theme Seele 6976068147428</t>
  </si>
  <si>
    <t>HSR250</t>
  </si>
  <si>
    <t>6976068147428</t>
  </si>
  <si>
    <t>14 / 10,9 / 8,7</t>
  </si>
  <si>
    <t>Фигурка The second installment of the Honkai: Star Rail Stacking Game 47200</t>
  </si>
  <si>
    <t>HSR376</t>
  </si>
  <si>
    <t>6911400447200</t>
  </si>
  <si>
    <t>11,5 / 16,5 / 4</t>
  </si>
  <si>
    <t>Фигурка с заводным механизмом Clockwork 6942421116653</t>
  </si>
  <si>
    <t>HSR247</t>
  </si>
  <si>
    <t>6942421116653</t>
  </si>
  <si>
    <t>20,5 / 15 / 12</t>
  </si>
  <si>
    <t>Шикиши Honkai Impact RPG Kafka Patience Is All You Need 6976068148593</t>
  </si>
  <si>
    <t>HSR190</t>
  </si>
  <si>
    <t>6976068148593</t>
  </si>
  <si>
    <t>Шикиши Honkai RPG Argenti The Unstoppable 6976525009597</t>
  </si>
  <si>
    <t>HSR191</t>
  </si>
  <si>
    <t>6976525009597</t>
  </si>
  <si>
    <t>23,8 / 17,4 / 0,3</t>
  </si>
  <si>
    <t>Шикиши Honkai RPG Black Swan Walking Along the Fading Shores 6942421116325</t>
  </si>
  <si>
    <t>HSR198</t>
  </si>
  <si>
    <t>6942421116325</t>
  </si>
  <si>
    <t>Шикиши Honkai RPG Dan Heng 6942421103189</t>
  </si>
  <si>
    <t>HSR187</t>
  </si>
  <si>
    <t>6942421103189</t>
  </si>
  <si>
    <t>Шикиши Honkai RPG Dan Heng
Imbibitor Lunae Brighter than the Sun 6976525001331</t>
  </si>
  <si>
    <t>HSR189</t>
  </si>
  <si>
    <t>6976525001331</t>
  </si>
  <si>
    <t>Шикиши Honkai RPG Jing Yuan 6942421103196</t>
  </si>
  <si>
    <t>HSR188</t>
  </si>
  <si>
    <t>6942421103196</t>
  </si>
  <si>
    <t>Шикиши Honkai RPG Jing Yuan Before Dawn 6976068140979</t>
  </si>
  <si>
    <t>HSR192</t>
  </si>
  <si>
    <t>6976068140979</t>
  </si>
  <si>
    <t>0,8 / 16,3 / 23,5</t>
  </si>
  <si>
    <t>Шикиши Honkai RPG Sparkle Only Silence 6942421109853</t>
  </si>
  <si>
    <t>HSR197</t>
  </si>
  <si>
    <t>6942421109853</t>
  </si>
  <si>
    <t>Шикиши Honkai Воскресенье Sunday Light cone series A Grounded Ascent 58943</t>
  </si>
  <si>
    <t>HSR305</t>
  </si>
  <si>
    <t>6942421158943</t>
  </si>
  <si>
    <t>Шикиши Honkai Тинъюнь Tingyun Light Cone Series Long Road Leads Home 58950</t>
  </si>
  <si>
    <t>HSR304</t>
  </si>
  <si>
    <t>6942421158950</t>
  </si>
  <si>
    <t>IQHK</t>
  </si>
  <si>
    <t>Набор гелевых ручек LEGO 12 цв. 16 см 4895028516390</t>
  </si>
  <si>
    <t>IQ9</t>
  </si>
  <si>
    <t>4895028516390</t>
  </si>
  <si>
    <t>Lego</t>
  </si>
  <si>
    <t>18,1 / 19,6 / 2</t>
  </si>
  <si>
    <t>Набор цветных маркеров LEGO 12 шт 4895028516444</t>
  </si>
  <si>
    <t>IQ14</t>
  </si>
  <si>
    <t>4895028516444</t>
  </si>
  <si>
    <t>18,2 / 9,6 / 2,3</t>
  </si>
  <si>
    <t>Jada Toys</t>
  </si>
  <si>
    <t>Jada Toys Р/У модель Fast &amp; Furious 1:10 Drift R/C: MAZDA RX-7 99700</t>
  </si>
  <si>
    <t>ТоуR2</t>
  </si>
  <si>
    <t>0801310997000</t>
  </si>
  <si>
    <t>Форсаж</t>
  </si>
  <si>
    <t>22 / 52 / 21</t>
  </si>
  <si>
    <t>Jada Toys Р/У модель Fast &amp; Furious 1:10 Drift R/C: Nissan R34 99701</t>
  </si>
  <si>
    <t>ТоуR1</t>
  </si>
  <si>
    <t>0801310997017</t>
  </si>
  <si>
    <t>52 / 21,4 / 20,3</t>
  </si>
  <si>
    <t>Jada Toys Р/У Модель Машинки 1:16 JDM Tuners R/C 2015 Nissan 370Z Nismo 31822</t>
  </si>
  <si>
    <t>ТоуR198</t>
  </si>
  <si>
    <t>0801310318225</t>
  </si>
  <si>
    <t>Nissan</t>
  </si>
  <si>
    <t>Jada</t>
  </si>
  <si>
    <t>15,5 / 39 / 16,5</t>
  </si>
  <si>
    <t>Jada Toys Р/У Модель Машинки Форсаж 1:10 2018 Ford Mustang GT-Wide Body 0801310321409</t>
  </si>
  <si>
    <t>ТоуR241</t>
  </si>
  <si>
    <t>0801310321409</t>
  </si>
  <si>
    <t>22 / 51,5 / 21</t>
  </si>
  <si>
    <t>Jada Toys Р/У Модель Машинки Форсаж 1:12 Elite Off-Road 1969 Dodge Charger Daytona   0801310321393</t>
  </si>
  <si>
    <t>ТоуR242</t>
  </si>
  <si>
    <t>0801310321393</t>
  </si>
  <si>
    <t>29,5 / 58,5 / 28</t>
  </si>
  <si>
    <t>Jada Toys Р/У Модель Машинки Форсаж 1:16 Fast &amp; Furious R/C FF10 1967 Chevrolet EL Camino 34418</t>
  </si>
  <si>
    <t>ТоуR192</t>
  </si>
  <si>
    <t>0801310344187</t>
  </si>
  <si>
    <t>Jada Toys Р/У Модель Машинки Форсаж 1:24 Fast &amp; Furious R/C Lykan Hypersport 98552</t>
  </si>
  <si>
    <t>ТоуR190</t>
  </si>
  <si>
    <t>0801310985526</t>
  </si>
  <si>
    <t>12 / 25 / 12</t>
  </si>
  <si>
    <t>Jada Toys Р/У модель/робот 13.25" Transformers Optimus Transforming RC 33521</t>
  </si>
  <si>
    <t>ТоуR152</t>
  </si>
  <si>
    <t>0801310335215</t>
  </si>
  <si>
    <t>37 / 29 / 21</t>
  </si>
  <si>
    <t>Машинка с фигуркой Hollywood Rides Harry Potter 1:24 Harry Potter &amp; 1959 Ford Anglia 31127</t>
  </si>
  <si>
    <t>ТоуR7</t>
  </si>
  <si>
    <t xml:space="preserve">801310311271 </t>
  </si>
  <si>
    <t>31 / 15 / 11,3</t>
  </si>
  <si>
    <t>Машинка с фигуркой Hollywood Rides Tokyo Revengers 1:24 1971 Nissan Skyline GTR W/Mikey 801310346983</t>
  </si>
  <si>
    <t>ТоуR248</t>
  </si>
  <si>
    <t>0801310346983</t>
  </si>
  <si>
    <t>35 / 15 / 11,5</t>
  </si>
  <si>
    <t>Модель Машинки 1:24 JDM Tuners 1972 Datsun 620 35953</t>
  </si>
  <si>
    <t>ТоуR375</t>
  </si>
  <si>
    <t>0801310359532</t>
  </si>
  <si>
    <t>разные модели машинок</t>
  </si>
  <si>
    <t>25 / 12 / 11,6</t>
  </si>
  <si>
    <t>Модель Машинки 1:24 JDM Tuners 1986 Toyota Trueno AE86 35956</t>
  </si>
  <si>
    <t>ТоуR372</t>
  </si>
  <si>
    <t>0801310359563</t>
  </si>
  <si>
    <t>Модель Машинки 1:24 JDM Tuners 1993 Mazda RX-7 35957</t>
  </si>
  <si>
    <t>ТоуR373</t>
  </si>
  <si>
    <t>0801310359570</t>
  </si>
  <si>
    <t>25 / 12 / 11,7</t>
  </si>
  <si>
    <t>Модель Машинки 1:24 Pink Slips 1895 Mazda RX-7 Widebody 35194</t>
  </si>
  <si>
    <t>ТоуR370</t>
  </si>
  <si>
    <t>0801310351949</t>
  </si>
  <si>
    <t>Модель Машинки 1:24 Pink Slips 1967 Shelby GT500 35983</t>
  </si>
  <si>
    <t>ТоуR369</t>
  </si>
  <si>
    <t>0801310359839</t>
  </si>
  <si>
    <t>Модель Машинки 1:24 Pink Slips 1968 Dodge Charger Widebody 36009</t>
  </si>
  <si>
    <t>ТоуR367</t>
  </si>
  <si>
    <t>0801310360095</t>
  </si>
  <si>
    <t>Модель Машинки 1:24 Pink Slips 2005 Porsche Carrera GT 35066</t>
  </si>
  <si>
    <t>ТоуR371</t>
  </si>
  <si>
    <t>0801310350669</t>
  </si>
  <si>
    <t>Porsche</t>
  </si>
  <si>
    <t>Модель Машинки 1:24 Pink Slips Lamborghini Aventador SV 35536</t>
  </si>
  <si>
    <t>ТоуR344</t>
  </si>
  <si>
    <t>0801310355367</t>
  </si>
  <si>
    <t>Модель Машинки 1:24 Pink Slips Lamborghini Huracan Performante 36008</t>
  </si>
  <si>
    <t>ТоуR345</t>
  </si>
  <si>
    <t>0801310360088</t>
  </si>
  <si>
    <t>Модель Машинки 1:24 Pink Slips McLaren Senna New 35900</t>
  </si>
  <si>
    <t>ТоуR368</t>
  </si>
  <si>
    <t>0801310359006</t>
  </si>
  <si>
    <t>Модель Машинки 1:24 Time Machine (Back To The Future-3B) 0801310349960</t>
  </si>
  <si>
    <t>ТоуR249</t>
  </si>
  <si>
    <t>0801310349960</t>
  </si>
  <si>
    <t>15,5 / 31 / 11,5</t>
  </si>
  <si>
    <t>Модель Машинки 1:24 Transformers W/Collectible 2006 Chevrolet Camaro Concept-Bumblebee  080131098497</t>
  </si>
  <si>
    <t>ТоуR251</t>
  </si>
  <si>
    <t>0801310984970</t>
  </si>
  <si>
    <t>30,5 / 15 / 11,2</t>
  </si>
  <si>
    <t>Модель машинки 1:32 2020 Toyota GR Supra 34664</t>
  </si>
  <si>
    <t>ТоуR175</t>
  </si>
  <si>
    <t>2000860038197</t>
  </si>
  <si>
    <t>Toyota</t>
  </si>
  <si>
    <t>7,5 / 15 / 7,5</t>
  </si>
  <si>
    <t>Модель машинки 1:32 Hollywood Rides TMNT Party Wagon 34723</t>
  </si>
  <si>
    <t>ТоуR244</t>
  </si>
  <si>
    <t>0801310347232</t>
  </si>
  <si>
    <t>15,5 / 7,6 / 7,5</t>
  </si>
  <si>
    <t>Модель Машинки 1:32 Pink SIips 1970 Ford Mustang Boss 428 36201</t>
  </si>
  <si>
    <t>ТоуR357</t>
  </si>
  <si>
    <t>0801310362013</t>
  </si>
  <si>
    <t>Модель Машинки 1:32 Pink SIips 2021 Ford Bronco 36133</t>
  </si>
  <si>
    <t>ТоуR338</t>
  </si>
  <si>
    <t>0801310361337</t>
  </si>
  <si>
    <t>Модель Машинки 1:32 Pink SIips 2024 Ford Mustang Dark Horse 36104</t>
  </si>
  <si>
    <t>ТоуR337</t>
  </si>
  <si>
    <t>0801310361047</t>
  </si>
  <si>
    <t>15,4 / 7,5 / 7,5</t>
  </si>
  <si>
    <t>Модель Машинки 1:32 Pink Slips 1968 Dodge Charger 35996</t>
  </si>
  <si>
    <t>ТоуR362</t>
  </si>
  <si>
    <t>0801310359969</t>
  </si>
  <si>
    <t>Модель Машинки 1:32 Pink Slips 1968 Dodge Charger 36134</t>
  </si>
  <si>
    <t>ТоуR339</t>
  </si>
  <si>
    <t>0801310361344</t>
  </si>
  <si>
    <t>Модель Машинки 1:32 Pink Slips 1969 Ford Mustang 34853</t>
  </si>
  <si>
    <t>ТоуR343</t>
  </si>
  <si>
    <t>0801310348536</t>
  </si>
  <si>
    <t>Модель Машинки 1:32 Pink Slips 1973 Plymouth Barracuda 35997</t>
  </si>
  <si>
    <t>ТоуR363</t>
  </si>
  <si>
    <t>0801310359976</t>
  </si>
  <si>
    <t>Модель Машинки 1:32 Pink Slips 1995 Mazda RX-7 35998</t>
  </si>
  <si>
    <t>ТоуR382</t>
  </si>
  <si>
    <t>801310359983</t>
  </si>
  <si>
    <t>Модель Машинки 1:32 Pink Slips 2002 Honda NSX-R 36246</t>
  </si>
  <si>
    <t>ТоуR361</t>
  </si>
  <si>
    <t>0801310362464</t>
  </si>
  <si>
    <t>Модель Машинки 1:32 Pink Slips 2002 Nissan Skyline GT-R R34 BNR34 36135</t>
  </si>
  <si>
    <t>ТоуR340</t>
  </si>
  <si>
    <t>0801310361351</t>
  </si>
  <si>
    <t>Модель Машинки 1:32 Pink Slips 2017 Lamborghini Aventador SV 35362</t>
  </si>
  <si>
    <t>ТоуR365</t>
  </si>
  <si>
    <t>0801310353622</t>
  </si>
  <si>
    <t>7,5 / 15,5 / 7,5</t>
  </si>
  <si>
    <t>Модель Машинки 1:32 Pink Slips 2021 Dodge Charger 35686</t>
  </si>
  <si>
    <t>ТоуR342</t>
  </si>
  <si>
    <t>0801310356869</t>
  </si>
  <si>
    <t>Модель Машинки 1:32 Pink Slips 2024 Ford Mustang Dark Horse 35681</t>
  </si>
  <si>
    <t>ТоуR341</t>
  </si>
  <si>
    <t>0801310356814</t>
  </si>
  <si>
    <t>Модель Машинки 1:32 Pink Slips Lamborghini Centenario 36202</t>
  </si>
  <si>
    <t>ТоуR358</t>
  </si>
  <si>
    <t>0801310362020</t>
  </si>
  <si>
    <t>Модель Машинки 1:32 Pink Slips Lamborghini Huracan Performante 36244</t>
  </si>
  <si>
    <t>ТоуR360</t>
  </si>
  <si>
    <t>0801310362440</t>
  </si>
  <si>
    <t>Модель Машинки 1:32 Pink Slips McLaren 7205 36001</t>
  </si>
  <si>
    <t>ТоуR364</t>
  </si>
  <si>
    <t>0801310360019</t>
  </si>
  <si>
    <t>Модель Машинки 1:32 Pink Slips Mercedes-Benz G-Class 4x4 36237</t>
  </si>
  <si>
    <t>ТоуR359</t>
  </si>
  <si>
    <t>0801310362372</t>
  </si>
  <si>
    <t>Модель Машинки 1:32 Pink Slips Porsche 911 GT3 RS 34663</t>
  </si>
  <si>
    <t>ТоуR366</t>
  </si>
  <si>
    <t>0801310346631</t>
  </si>
  <si>
    <t>Модель Машинки 1:32 Time Machine (Back To The Future-1) 32185</t>
  </si>
  <si>
    <t>ТоуR245</t>
  </si>
  <si>
    <t>0801310321850</t>
  </si>
  <si>
    <t>Модель Машинки c Фигуркой Hollywood Rides 1:24 2009 Nissan GTR with Naruto figure 33691</t>
  </si>
  <si>
    <t>ТоуR265</t>
  </si>
  <si>
    <t>0801310336915</t>
  </si>
  <si>
    <t>15,4 / 31 / 11,5</t>
  </si>
  <si>
    <t xml:space="preserve">Модель Машинки c Фигуркой Hollywood Rides 1:24 Kakashi with new vehicle version 2 (1993 Mazda RX-7) </t>
  </si>
  <si>
    <t>ТоуR263</t>
  </si>
  <si>
    <t>0801310353493</t>
  </si>
  <si>
    <t>Модель Машинки c Фигуркой Hollywood Rides 1:24 Street Fighter II 35114</t>
  </si>
  <si>
    <t>ТоуR267</t>
  </si>
  <si>
    <t>0801310351147</t>
  </si>
  <si>
    <t>Street Fighter</t>
  </si>
  <si>
    <t>Capcom</t>
  </si>
  <si>
    <t>15,3 / 30,5 / 11,6</t>
  </si>
  <si>
    <t>Модель Машинки c Фигуркой Hollywood Rides 1:24 Wednesday 35131</t>
  </si>
  <si>
    <t>ТоуR264</t>
  </si>
  <si>
    <t>0801310351314</t>
  </si>
  <si>
    <t>5,5 / 30,5 / 11,5</t>
  </si>
  <si>
    <t>Модель Машинки Hollywood Rides 1:24 Hollywood Rides Ghostbusters Ecto-1  99731</t>
  </si>
  <si>
    <t>ТоуR143</t>
  </si>
  <si>
    <t>0801310997314</t>
  </si>
  <si>
    <t>31 / 15,1 / 11,3</t>
  </si>
  <si>
    <t>Модель Машинки Hollywood Rides 1:24 Time Machine (Back To The Future 1) 32911</t>
  </si>
  <si>
    <t>ТоуR50</t>
  </si>
  <si>
    <t>0801310329115</t>
  </si>
  <si>
    <t>Модель Машинки Hollywood Rides 1:32 1982 Pontiac Trans AM 31116</t>
  </si>
  <si>
    <t>ТоуR336</t>
  </si>
  <si>
    <t>0801310311165</t>
  </si>
  <si>
    <t>Модель Машинки Hollywood Rides 1:32 G1 Jazz 1976 Porsche 935 34793</t>
  </si>
  <si>
    <t>ТоуR330</t>
  </si>
  <si>
    <t>0801310347935</t>
  </si>
  <si>
    <t>Модель Машинки Hollywood Rides 1:32 GhostBusters Ecto-1 99748</t>
  </si>
  <si>
    <t>ТоуR135</t>
  </si>
  <si>
    <t>0801310997482</t>
  </si>
  <si>
    <t>Модель Машинки Hollywood Rides 1:32 Hollywood Rides 1982 Pontiac Firebird Knight Rider 99799</t>
  </si>
  <si>
    <t>ТоуR185</t>
  </si>
  <si>
    <t>0801310997994</t>
  </si>
  <si>
    <t>Модель Машинки Hollywood Rides 1:32 Sonic the Hedgehog 1997 Honda Civic Type-R 354B2</t>
  </si>
  <si>
    <t>ТоуR378</t>
  </si>
  <si>
    <t>801310354827</t>
  </si>
  <si>
    <t>Модель Машинки Hollywood Rides 1:32 Tansformers Optimus Prime truck (T7)  34257</t>
  </si>
  <si>
    <t>ТоуR134</t>
  </si>
  <si>
    <t>0801310342572</t>
  </si>
  <si>
    <t>Модель Машинки Hollywood Rides 1:32 Time Machine (Back To The Future-2) 30541</t>
  </si>
  <si>
    <t>ТоуR136</t>
  </si>
  <si>
    <t>0801310305416</t>
  </si>
  <si>
    <t>Модель Машинки Hollywood Rides 1:32 Time Machine (Back To The Future-3) 32290</t>
  </si>
  <si>
    <t>ТоуR137</t>
  </si>
  <si>
    <t>0801310322901</t>
  </si>
  <si>
    <t>Модель Машинки Hollywood Rides 1:32 Черепашки-ниндзя 1961 VW Bus 35666</t>
  </si>
  <si>
    <t>ТоуR335</t>
  </si>
  <si>
    <t>0801310356661</t>
  </si>
  <si>
    <t>Модель Машинки Hollywood Rides Back to the Future 2 1:24 Time Machine Primer Brushed Raw Metal 314</t>
  </si>
  <si>
    <t>ТоуR20</t>
  </si>
  <si>
    <t>0801310314685</t>
  </si>
  <si>
    <t>Модель Машинки Hollywood Rides Back to the Future 3 1:24 Time Machine Primer Brushed Raw Metal 321</t>
  </si>
  <si>
    <t>ТоуR21</t>
  </si>
  <si>
    <t>0801310321669</t>
  </si>
  <si>
    <t>Модель Машинки Р/У Hollywood Rides 1:12 Jurassic World 4X4 Jeep Gladiator 0801310337165</t>
  </si>
  <si>
    <t>ТоуR250</t>
  </si>
  <si>
    <t>0801310337165</t>
  </si>
  <si>
    <t>28 / 56,5 / 27,5</t>
  </si>
  <si>
    <t>Модель Машинки Форсаж 1:24 1970 Dodge Charger 35421</t>
  </si>
  <si>
    <t>ТоуR350</t>
  </si>
  <si>
    <t>0801310354216</t>
  </si>
  <si>
    <t>Модель Машинки Форсаж 1:24 1995 Honda Integra Type-Ft 30739</t>
  </si>
  <si>
    <t>ТоуR351</t>
  </si>
  <si>
    <t>0801310307397</t>
  </si>
  <si>
    <t>Модель Машинки Форсаж 1:24 1995 Toyota Supra, Fast 5 33380</t>
  </si>
  <si>
    <t>ТоуR234</t>
  </si>
  <si>
    <t>0801310333808</t>
  </si>
  <si>
    <t>12 / 25,3 / 12</t>
  </si>
  <si>
    <t>Модель Машинки Форсаж 1:24 1995 Toyota Supra-White 97375</t>
  </si>
  <si>
    <t>ТоуR238</t>
  </si>
  <si>
    <t>0801310973752</t>
  </si>
  <si>
    <t>Модель Машинки Форсаж 1:24 2012 Subaru Impreza WRX STI 99514</t>
  </si>
  <si>
    <t>ТоуR235</t>
  </si>
  <si>
    <t>0801310995143</t>
  </si>
  <si>
    <t>25 / 11,2 / 11,2</t>
  </si>
  <si>
    <t>Модель Машинки Форсаж 1:24 F10 McLaren Senna 35485</t>
  </si>
  <si>
    <t>ТоуR355</t>
  </si>
  <si>
    <t>0801310354858</t>
  </si>
  <si>
    <t>Модель Машинки Форсаж 1:24 FF 1995 Mitsubishi Eclipse 97603</t>
  </si>
  <si>
    <t>ТоуR126</t>
  </si>
  <si>
    <t>0801310976036</t>
  </si>
  <si>
    <t>Модель Машинки Форсаж 1:24 FF 1995 Toyota Supra-Orange 97168</t>
  </si>
  <si>
    <t>ТоуR123</t>
  </si>
  <si>
    <t>0801310971680</t>
  </si>
  <si>
    <t>Модель Машинки Форсаж 1:24 FF 2002 Mitsubishi Lancer EVO VII 99788</t>
  </si>
  <si>
    <t>ТоуR130</t>
  </si>
  <si>
    <t>0801310997888</t>
  </si>
  <si>
    <t>Модель Машинки Форсаж 1:24 FF FF9 2020 Toyota GR Supra 32097</t>
  </si>
  <si>
    <t>ТоуR122</t>
  </si>
  <si>
    <t>0801310320976</t>
  </si>
  <si>
    <t>Модель Машинки Форсаж 1:24 Han's Mazda RX-7 30732</t>
  </si>
  <si>
    <t>ТоуR239</t>
  </si>
  <si>
    <t>0801310307328</t>
  </si>
  <si>
    <t>Модель Машинки Форсаж 1:32 1970 Dodge Charger-Street 97042</t>
  </si>
  <si>
    <t>ТоуR326</t>
  </si>
  <si>
    <t>0801310240373</t>
  </si>
  <si>
    <t>Модель Машинки Форсаж 1:32 1973 Plymouth Barracuda 97206</t>
  </si>
  <si>
    <t>ТоуR354</t>
  </si>
  <si>
    <t>0801310972069</t>
  </si>
  <si>
    <t>Модель Машинки Форсаж 1:32 1974 Ford Escort 97188</t>
  </si>
  <si>
    <t>ТоуR327</t>
  </si>
  <si>
    <t>0801310971888</t>
  </si>
  <si>
    <t>Модель Машинки Форсаж 1:32 1993 Honda Civic Coupe(F1) 34419</t>
  </si>
  <si>
    <t>ТоуR353</t>
  </si>
  <si>
    <t>0801310344194</t>
  </si>
  <si>
    <t>Модель Машинки Форсаж 1:32 1995 Toyota Supra-White 97346</t>
  </si>
  <si>
    <t>ТоуR225</t>
  </si>
  <si>
    <t>0801310973462</t>
  </si>
  <si>
    <t>7,7 / 15,4 / 7,7</t>
  </si>
  <si>
    <t>Модель Машинки Форсаж 1:32 1995 Volkswagen Jetta 99592</t>
  </si>
  <si>
    <t>ТоуR228</t>
  </si>
  <si>
    <t>0801310995921</t>
  </si>
  <si>
    <t>Модель Машинки Форсаж 1:32 2006 Dodge Charger, Fast 5, Police Car  0801310336663</t>
  </si>
  <si>
    <t>ТоуR222</t>
  </si>
  <si>
    <t>0801310336663</t>
  </si>
  <si>
    <t>Модель Машинки Форсаж 1:32 2012 Dodge Challenger SRT8-Wide Body 97384</t>
  </si>
  <si>
    <t>ТоуR328</t>
  </si>
  <si>
    <t>0801310973844</t>
  </si>
  <si>
    <t>Модель Машинки Форсаж 1:32 Agency SUV 0801310344491</t>
  </si>
  <si>
    <t>ТоуR221</t>
  </si>
  <si>
    <t>0801310344491</t>
  </si>
  <si>
    <t>Модель Машинки Форсаж 1:32 Dodge Challenger SRT8-Off Road 97140</t>
  </si>
  <si>
    <t>ТоуR329</t>
  </si>
  <si>
    <t>0801310971406</t>
  </si>
  <si>
    <t>Модель Машинки Форсаж 1:32 FF  2002 Nissan Skyline GTR R34 97184</t>
  </si>
  <si>
    <t>ТоуR109</t>
  </si>
  <si>
    <t>0801310971840</t>
  </si>
  <si>
    <t>Модель Машинки Форсаж 1:32 FF (Twin Pack) 34249</t>
  </si>
  <si>
    <t>ТоуR348</t>
  </si>
  <si>
    <t>0801310342497</t>
  </si>
  <si>
    <t>7,5 / 15,5 / 16,5</t>
  </si>
  <si>
    <t>Модель Машинки Форсаж 1:32 FF 1961 Chevrolet Impala 98304</t>
  </si>
  <si>
    <t>ТоуR179</t>
  </si>
  <si>
    <t>0801310983041</t>
  </si>
  <si>
    <t>Модель Машинки Форсаж 1:32 FF 1967 Ford Mustang 99519</t>
  </si>
  <si>
    <t>ТоуR113</t>
  </si>
  <si>
    <t>0801310995198</t>
  </si>
  <si>
    <t>Модель Машинки Форсаж 1:32 FF 1970 Dodge Charger (Street) 97214</t>
  </si>
  <si>
    <t>ТоуR112</t>
  </si>
  <si>
    <t>0801310972144</t>
  </si>
  <si>
    <t>Модель Машинки Форсаж 1:32 FF 1972 Plymouth GTX 98300</t>
  </si>
  <si>
    <t>ТоуR180</t>
  </si>
  <si>
    <t>0801310983003</t>
  </si>
  <si>
    <t>Модель Машинки Форсаж 1:32 FF 1977 Pontiac Firebird 30763</t>
  </si>
  <si>
    <t>ТоуR107</t>
  </si>
  <si>
    <t>0801310307632</t>
  </si>
  <si>
    <t>Модель Машинки Форсаж 1:32 FF 1993 Mazda RX-7 31442</t>
  </si>
  <si>
    <t>ТоуR106</t>
  </si>
  <si>
    <t>0801310314425</t>
  </si>
  <si>
    <t>Модель Машинки Форсаж 1:32 FF 1993 Mazda RX-7 FD3S-Wide Body 98377</t>
  </si>
  <si>
    <t>ТоуR118</t>
  </si>
  <si>
    <t>0801310983775</t>
  </si>
  <si>
    <t>Модель Машинки Форсаж 1:32 FF 1995 Honda Integra Type-R 31029</t>
  </si>
  <si>
    <t>ТоуR182</t>
  </si>
  <si>
    <t>0801310310298</t>
  </si>
  <si>
    <t>Модель Машинки Форсаж 1:32 FF 1995 Mitsubishi Eclipse 97609</t>
  </si>
  <si>
    <t>ТоуR181</t>
  </si>
  <si>
    <t>0801310976098</t>
  </si>
  <si>
    <t>Модель Машинки Форсаж 1:32 FF 1995 Nissan Skyline GTR (R33) 99515</t>
  </si>
  <si>
    <t>ТоуR108</t>
  </si>
  <si>
    <t>0801310995150</t>
  </si>
  <si>
    <t>Модель Машинки Форсаж 1:32 FF 1995 Toyota Supra - Gold 99542</t>
  </si>
  <si>
    <t>ТоуR116</t>
  </si>
  <si>
    <t>0801310995426</t>
  </si>
  <si>
    <t>Модель Машинки Форсаж 1:32 FF 1995 Toyota Supra - Orange 97345</t>
  </si>
  <si>
    <t>ТоуR115</t>
  </si>
  <si>
    <t>0801310973455</t>
  </si>
  <si>
    <t>Модель Машинки Форсаж 1:32 FF 2002 Mitsubishi Lancer EVO VII 99789</t>
  </si>
  <si>
    <t>ТоуR183</t>
  </si>
  <si>
    <t>0801310997895</t>
  </si>
  <si>
    <t>Модель Машинки Форсаж 1:32 FF 2009 Nissan 370Z 31852</t>
  </si>
  <si>
    <t>ТоуR178</t>
  </si>
  <si>
    <t>0801310318522</t>
  </si>
  <si>
    <t>Модель Машинки Форсаж 1:32 FF 2009 Nissan Ben Sopra GT-R R35 98270</t>
  </si>
  <si>
    <t>ТоуR110</t>
  </si>
  <si>
    <t>0801310982709</t>
  </si>
  <si>
    <t>Модель Машинки Форсаж 1:32 FF 2020 Toyota GR Supra 32016</t>
  </si>
  <si>
    <t>ТоуR103</t>
  </si>
  <si>
    <t>0801310320167</t>
  </si>
  <si>
    <t>Модель Машинки Форсаж 1:32 FF Brian's Subaru WRX Hattchback 98507</t>
  </si>
  <si>
    <t>ТоуR117</t>
  </si>
  <si>
    <t>0801310985076</t>
  </si>
  <si>
    <t>Модель Машинки Форсаж 1:32 FF Dom’s 1970 Dodge Charger 32215</t>
  </si>
  <si>
    <t>ТоуR104</t>
  </si>
  <si>
    <t>0801310322154</t>
  </si>
  <si>
    <t>Модель Машинки Форсаж 1:32 FF Han's Mazda RX-7 30736</t>
  </si>
  <si>
    <t>ТоуR105</t>
  </si>
  <si>
    <t>0801310307366</t>
  </si>
  <si>
    <t>Модель Машинки Форсаж 1:32 FF Legacy Collection Twin pack wave 8 pack 1 35690</t>
  </si>
  <si>
    <t>ТоуR349</t>
  </si>
  <si>
    <t>0801310356906</t>
  </si>
  <si>
    <t>16,5 / 15,2 / 7,5</t>
  </si>
  <si>
    <t>Модель Машинки Форсаж 1:32 HKS 1993 Mazda RX7 32588</t>
  </si>
  <si>
    <t>ТоуR346</t>
  </si>
  <si>
    <t>0801310325889</t>
  </si>
  <si>
    <t>Модель Машинки Форсаж 1:32 Honda S2000 97610</t>
  </si>
  <si>
    <t>ТоуR226</t>
  </si>
  <si>
    <t>0801310976104</t>
  </si>
  <si>
    <t>Модель Машинки Форсаж 1:32 Legacy Collection 2 Pack Pack 1 Wave 5 35389</t>
  </si>
  <si>
    <t>ТоуR332</t>
  </si>
  <si>
    <t>0801310353899</t>
  </si>
  <si>
    <t>Модель Машинки Форсаж 1:32 Legacy Collection 2 Pack Pack 2 Wave S 35395</t>
  </si>
  <si>
    <t>ТоуR333</t>
  </si>
  <si>
    <t>0801310353950</t>
  </si>
  <si>
    <t>Модель Машинки Форсаж 1:32 Legacy Collection Twin pack wave 7 pack 2 35696</t>
  </si>
  <si>
    <t>ТоуR334</t>
  </si>
  <si>
    <t>0801310356968</t>
  </si>
  <si>
    <t>Модель Машинки Форсаж 1:32 Letty's Dodge Viper SRT 32612</t>
  </si>
  <si>
    <t>ТоуR331</t>
  </si>
  <si>
    <t>0801310326121</t>
  </si>
  <si>
    <t>Модель Машинки Форсаж 1:32 Mazda RX-7+Toyota GR Supra 32910</t>
  </si>
  <si>
    <t>ТоуR347</t>
  </si>
  <si>
    <t>0801310329108</t>
  </si>
  <si>
    <t>30 / 7,5 / 7,5</t>
  </si>
  <si>
    <t>Модель Машинки Форсаж 1:32 Mitsubishi Lancer Evolution IX (9) 34448</t>
  </si>
  <si>
    <t>ТоуR376</t>
  </si>
  <si>
    <t>801310344484</t>
  </si>
  <si>
    <t>Модель Машинки Форсаж 2009 Brian's Nissan GT-R (R35) 1:32 97037</t>
  </si>
  <si>
    <t>ТоуR114</t>
  </si>
  <si>
    <t>0801310970379</t>
  </si>
  <si>
    <t>Модель Машинки Форсаж Brian's Nissan GTR Skyline R34 Blue 1:24 97173</t>
  </si>
  <si>
    <t>ТоуR125</t>
  </si>
  <si>
    <t>0801310971734</t>
  </si>
  <si>
    <t>Модель Машинки Форсаж Brian's Nissan Skyline GT-R (R34) 2003 1:24 97158</t>
  </si>
  <si>
    <t>ТоуR124</t>
  </si>
  <si>
    <t>0801310971581</t>
  </si>
  <si>
    <t>Модель Машинки Форсаж Dom's Mazda RX-7 1:24 Scale Die-Cast Vehicle 98338</t>
  </si>
  <si>
    <t>ТоуR127</t>
  </si>
  <si>
    <t>0801310983386</t>
  </si>
  <si>
    <t>Модель Машинки Форсаж Orange Julius' Mazda RX-7 1995 1:24 30747</t>
  </si>
  <si>
    <t>ТоуR129</t>
  </si>
  <si>
    <t>0801310307472</t>
  </si>
  <si>
    <t>Модель Машинки Форсаж в ассортименте 1.65" Nano Blind Bags PDQ  4006333089770</t>
  </si>
  <si>
    <t>ТоуR219</t>
  </si>
  <si>
    <t>4006333089770</t>
  </si>
  <si>
    <t>Модель Машинок Р/У 1:16 Ford GT 2015 Dodge Charger SRT Hellcat 0801310311226</t>
  </si>
  <si>
    <t>ТоуR255</t>
  </si>
  <si>
    <t>0801310311226</t>
  </si>
  <si>
    <t>Ford</t>
  </si>
  <si>
    <t>50,5 / 29 / 15</t>
  </si>
  <si>
    <t>Набор Hollywood Rides Машинка с Фигуркой 2.75"+1:24 Черепашки-ниндзя HWR Party Wagon 34529</t>
  </si>
  <si>
    <t>ТоуR139</t>
  </si>
  <si>
    <t>0801310345290</t>
  </si>
  <si>
    <t>18 / 30,5 / 12,5</t>
  </si>
  <si>
    <t>Набор Jada Toys Модель Машинки Batmobile 1:32 1989 Batmobile W/Batman Figure 31704</t>
  </si>
  <si>
    <t>ТоуR48</t>
  </si>
  <si>
    <t>0801310317044</t>
  </si>
  <si>
    <t>9,2 / 20,7 / 7,7</t>
  </si>
  <si>
    <t>Набор Jada Toys модель машинок Fast &amp; Furious 1:32 97042 1970 Dodge Charger 31981 1995 T</t>
  </si>
  <si>
    <t>ТоуR11</t>
  </si>
  <si>
    <t>0801310319819</t>
  </si>
  <si>
    <t>29,8 / 7,5 / 7,6</t>
  </si>
  <si>
    <t>Набор Машинка с Фигуркой Бэтмен 2.75"+1:24 2021 Batmobile W/Batman 32731</t>
  </si>
  <si>
    <t>ТоуR64</t>
  </si>
  <si>
    <t>0801310327319</t>
  </si>
  <si>
    <t>11,5 / 30,5 / 15,5</t>
  </si>
  <si>
    <t>Набор Машинок Jada Toys Р/У Battle Machines Trucks 1:16 R/C</t>
  </si>
  <si>
    <t>ТоуR49</t>
  </si>
  <si>
    <t>4006333068928</t>
  </si>
  <si>
    <t>Lazer Combat</t>
  </si>
  <si>
    <t>Battle Machines</t>
  </si>
  <si>
    <t>51 / 37 / 20,5</t>
  </si>
  <si>
    <t>Набор Машинок Форсаж 1.65" 2020 Jeep Gladiator, 2019 Dodge Charger SRT Hellcat Widebody, 2020 Toyota</t>
  </si>
  <si>
    <t>ТоуR54</t>
  </si>
  <si>
    <t>0801310324813</t>
  </si>
  <si>
    <t>17 / 14 / 3</t>
  </si>
  <si>
    <t>Набор Машинок Форсаж 1.65" Lykan Hypersport, Dodge Ice Charger,Toyota Supra 32482</t>
  </si>
  <si>
    <t>ТоуR55</t>
  </si>
  <si>
    <t>0801310324820</t>
  </si>
  <si>
    <t>Набор машинок Форсаж 1:32 Legacy Series Nissan Silvia S15 &amp; Toyota Supra 34254</t>
  </si>
  <si>
    <t>ТоуR232</t>
  </si>
  <si>
    <t>0801310342541</t>
  </si>
  <si>
    <t>17,7 / 15,5 / 7,5</t>
  </si>
  <si>
    <t>Набор машинок Форсаж 1:32 модели Nissan Skyline GTR R34-Silver/ Nissan Skyline GTR R34-Blue 31980</t>
  </si>
  <si>
    <t>ТоуR230</t>
  </si>
  <si>
    <t>0801310319802</t>
  </si>
  <si>
    <t>Набор машинок Форсаж Legacy Series Mitsubishi Lancer Evolution IX/Nissan 1:32 34256</t>
  </si>
  <si>
    <t>ТоуR231</t>
  </si>
  <si>
    <t>0801310342565</t>
  </si>
  <si>
    <t>7,5 / 15,3 / 16,6</t>
  </si>
  <si>
    <t>Набор машинок Черепашки-ниндзя Nano Hollywood Rides Turtles Blimp/Party Van/Tech 1:65 3шт 31790</t>
  </si>
  <si>
    <t>ТоуR99</t>
  </si>
  <si>
    <t>0801310317907</t>
  </si>
  <si>
    <t>Набор Фигурок 1.65" Nano Майнкрафт 18шт 35847</t>
  </si>
  <si>
    <t>ТоуR356</t>
  </si>
  <si>
    <t>0801310358474</t>
  </si>
  <si>
    <t>Майнкрафт</t>
  </si>
  <si>
    <t>29,2 / 20 / 5</t>
  </si>
  <si>
    <t>Набор фигурок 1.65" Nano-Harry Potter Collectors Enviroment Harry Potter Value Box 10 фигурок 080131</t>
  </si>
  <si>
    <t>ТоуR252</t>
  </si>
  <si>
    <t>0801310319918</t>
  </si>
  <si>
    <t>58,3 / 30 / 12</t>
  </si>
  <si>
    <t>Набор Фигурок 2.5" Майнкрафт 4шт 36692</t>
  </si>
  <si>
    <t>ТоуR374</t>
  </si>
  <si>
    <t>0801310366929</t>
  </si>
  <si>
    <t>16,6 / 15,2 / 4,7</t>
  </si>
  <si>
    <t>Набор фигурок Nano Черепашки-ниндзя 18 pack 34460</t>
  </si>
  <si>
    <t>ТоуR170</t>
  </si>
  <si>
    <t>0801310344606</t>
  </si>
  <si>
    <t>33 / 20,4 / 3,7</t>
  </si>
  <si>
    <t>Фигурка 2.5" DC Catwoman 2000901230825</t>
  </si>
  <si>
    <t>ТоуR324</t>
  </si>
  <si>
    <t>2000901230825</t>
  </si>
  <si>
    <t>4,7 / 8,2 / 8,2</t>
  </si>
  <si>
    <t>Фигурка Hunter x Hunter Kurapika 2.5" 2000901230702</t>
  </si>
  <si>
    <t>ТоуR312</t>
  </si>
  <si>
    <t>2000901230702</t>
  </si>
  <si>
    <t>Фигурка Hunter x Hunter Leorio 2.5" 2000901230689</t>
  </si>
  <si>
    <t>ТоуR310</t>
  </si>
  <si>
    <t>2000901230689</t>
  </si>
  <si>
    <t>Фигурка Metalfig Godzilla x Kong The New Empire Godzilla 2.5" 2000901229584</t>
  </si>
  <si>
    <t>ТоуR298</t>
  </si>
  <si>
    <t>2000901229584</t>
  </si>
  <si>
    <t>Фигурка Metalfig Godzilla x Kong The New Empire Kong 2.5" 2000901229591</t>
  </si>
  <si>
    <t>ТоуR299</t>
  </si>
  <si>
    <t>2000901229591</t>
  </si>
  <si>
    <t>Фигурка Metalfig Godzilla x Kong The New Empire Shimo 2.5" 2000901229560</t>
  </si>
  <si>
    <t>ТоуR296</t>
  </si>
  <si>
    <t>2000901229560</t>
  </si>
  <si>
    <t>Фигурка Metalfig Godzilla x Kong The New Empire Skar King 2.5" 2000901229577</t>
  </si>
  <si>
    <t>ТоуR297</t>
  </si>
  <si>
    <t>2000901229577</t>
  </si>
  <si>
    <t>Фигурка Metalfigs DC The Flash 2.5" 2000901229607</t>
  </si>
  <si>
    <t>ТоуR300</t>
  </si>
  <si>
    <t>2000901229607</t>
  </si>
  <si>
    <t>Фигурка Metalfigs Looney Tunes Sylvester 2.5" 2000901229478</t>
  </si>
  <si>
    <t>ТоуR287</t>
  </si>
  <si>
    <t>2000901229478</t>
  </si>
  <si>
    <t>85138-W5</t>
  </si>
  <si>
    <t>Фигурка Metalfigs Minecraft Movie Creeper 2.5" 2100901232734</t>
  </si>
  <si>
    <t>ТоуR386</t>
  </si>
  <si>
    <t>2100901232734</t>
  </si>
  <si>
    <t>8 / 8,2 / 4,7</t>
  </si>
  <si>
    <t>Фигурка Metalfigs Minecraft Movie Dennis 2.5" 2100901232727</t>
  </si>
  <si>
    <t>ТоуR385</t>
  </si>
  <si>
    <t>2100901232727</t>
  </si>
  <si>
    <t>Фигурка Metalfigs Minecraft Movie Malgosha 2.5" 2100901232741</t>
  </si>
  <si>
    <t>ТоуR387</t>
  </si>
  <si>
    <t>2100901232741</t>
  </si>
  <si>
    <t>Фигурка Metalfigs Minecraft Movie Steve 2.5" 2100901232710</t>
  </si>
  <si>
    <t>ТоуR384</t>
  </si>
  <si>
    <t>2100901232710</t>
  </si>
  <si>
    <t>Фигурка Nano Nickelodeon figure Blister pack 84483</t>
  </si>
  <si>
    <t>ТоуR168</t>
  </si>
  <si>
    <t>0801310844830</t>
  </si>
  <si>
    <t>Nickelodeon</t>
  </si>
  <si>
    <t>15,1 / 9,5 / 3</t>
  </si>
  <si>
    <t>Фигурка Черепашки ниндзя 4" Donatello 31849</t>
  </si>
  <si>
    <t>ТоуR69</t>
  </si>
  <si>
    <t>0801310318492</t>
  </si>
  <si>
    <t>18 / 16 / 7,5</t>
  </si>
  <si>
    <t>Фигурка Черепашки ниндзя 4" Leonardo 31850</t>
  </si>
  <si>
    <t>ТоуR70</t>
  </si>
  <si>
    <t>0801310318508</t>
  </si>
  <si>
    <t>7,6 / 17,9 / 15,9</t>
  </si>
  <si>
    <t>Фигурка Черепашки ниндзя 4" Michelangelo 31848</t>
  </si>
  <si>
    <t>ТоуR68</t>
  </si>
  <si>
    <t>0801310318485</t>
  </si>
  <si>
    <t>Фигурка Черепашки ниндзя 4" Raphael 31794</t>
  </si>
  <si>
    <t>ТоуR67</t>
  </si>
  <si>
    <t>0801310317945</t>
  </si>
  <si>
    <t>JOYTOY</t>
  </si>
  <si>
    <t>JT7912</t>
  </si>
  <si>
    <t>Фигурка Warhammer 40K Astra Militarum Cadian Command Squad Veteran with Master Vox 1:18</t>
  </si>
  <si>
    <t>6973130377912</t>
  </si>
  <si>
    <t>Warhammer 40K</t>
  </si>
  <si>
    <t>19,1 / 14 / 6</t>
  </si>
  <si>
    <t>JT5130</t>
  </si>
  <si>
    <t>Фигурка Warhammer 40K Astra Militarum Tempestus Scions Command Squad 55th Kappic Eagles Banner Beare</t>
  </si>
  <si>
    <t>6973130375130</t>
  </si>
  <si>
    <t>5,6 / 14,1 / 19,1</t>
  </si>
  <si>
    <t>JT5161</t>
  </si>
  <si>
    <t>Фигурка Warhammer 40K Astra Militarum Tempestus Scions Command Squad 55th Kappic Eagles Grenadier 1:</t>
  </si>
  <si>
    <t>6973130375161</t>
  </si>
  <si>
    <t>4,3 / 14,1 / 19,2</t>
  </si>
  <si>
    <t>JT5154</t>
  </si>
  <si>
    <t>Фигурка Warhammer 40K Astra Militarum Tempestus Scions Command Squad 55th Kappic Eagles Medic 1:18</t>
  </si>
  <si>
    <t>6973130375154</t>
  </si>
  <si>
    <t>JT5123</t>
  </si>
  <si>
    <t>Фигурка Warhammer 40K Astra Militarum Tempestus Scions Command Squad 55th Kappic Eagles Tempestor Pr</t>
  </si>
  <si>
    <t>6973130375123</t>
  </si>
  <si>
    <t>JT5147</t>
  </si>
  <si>
    <t>Фигурка Warhammer 40K Astra Militarum Tempestus Scions Command Squad 55th Kappic Eagles Vox Operator</t>
  </si>
  <si>
    <t>6973130375147</t>
  </si>
  <si>
    <t>JT9183</t>
  </si>
  <si>
    <t>Фигурка Warhammer 40K Dark Angels Deathwing Champion 1:18</t>
  </si>
  <si>
    <t>6973130379183</t>
  </si>
  <si>
    <t>20 / 18 / 6,5</t>
  </si>
  <si>
    <t>KA BAO</t>
  </si>
  <si>
    <t>Коллекционные аниме карточки Attack on Titan 2nd Series Offline Edition 12 блистеров 697541063036</t>
  </si>
  <si>
    <t>BOWA9</t>
  </si>
  <si>
    <t>6975410630366</t>
  </si>
  <si>
    <t>0,5 / 7 / 13</t>
  </si>
  <si>
    <t>Коллекционные аниме карточки Cardcaptor Sakura 20 блистеров 6975410630472</t>
  </si>
  <si>
    <t>BOWA10</t>
  </si>
  <si>
    <t>6975410630472</t>
  </si>
  <si>
    <t>Cardcaptor Sakura</t>
  </si>
  <si>
    <t>Коллекционные аниме карточки Sanrio Polaroid Party card Colorful Life 2 Hello Kitty &amp; Friends 22 бли</t>
  </si>
  <si>
    <t>BOWA6</t>
  </si>
  <si>
    <t>6975410631882</t>
  </si>
  <si>
    <t>Коллекционные аниме карточки Sanrio Polaroid Party card Hello Kitty &amp; Friends 22 блистера 6975410631</t>
  </si>
  <si>
    <t>BOWA7</t>
  </si>
  <si>
    <t>6975410631011</t>
  </si>
  <si>
    <t>Коллекционный аниме значок и карточка Sanrio Hello Kitty &amp; Friends 10 блистеров 6975410631257</t>
  </si>
  <si>
    <t>BOWA8</t>
  </si>
  <si>
    <t>6975410631257</t>
  </si>
  <si>
    <t>Kotobukiya</t>
  </si>
  <si>
    <t>Фигурка Genshin Impact Genshin Impact Traveler Люмин Lumine Ver.1/7 4934054035397</t>
  </si>
  <si>
    <t>KT44</t>
  </si>
  <si>
    <t>4934054035397</t>
  </si>
  <si>
    <t>18 / 22,5 / 31</t>
  </si>
  <si>
    <t>Фигурка Genshin Impact Traveler Итэр Итэр Aether Ver.1/7 4934054036110</t>
  </si>
  <si>
    <t>KT43</t>
  </si>
  <si>
    <t>4934054036110</t>
  </si>
  <si>
    <t>20,5 / 24 / 31</t>
  </si>
  <si>
    <t>Фигурка Клинок рассекающий демонов Kimetsu No Yaiba Artfx J Shinobu Kocho Ani 4034833</t>
  </si>
  <si>
    <t>KT4</t>
  </si>
  <si>
    <t>4934054034833</t>
  </si>
  <si>
    <t>22 / 22 / 27</t>
  </si>
  <si>
    <t>L.O.L.</t>
  </si>
  <si>
    <t>Кукла L.O.L. Surprise Lil Sisters 3] 1A 0035051550693</t>
  </si>
  <si>
    <t>L.O.L.32</t>
  </si>
  <si>
    <t>0035051550693</t>
  </si>
  <si>
    <t>8,1 / 8 / 8</t>
  </si>
  <si>
    <t>McFarlane Toys</t>
  </si>
  <si>
    <t>McFarlane Реплика 1:1 маски Бэтмена 1989 (SDCC) 62 см 787926179194</t>
  </si>
  <si>
    <t>MFT115</t>
  </si>
  <si>
    <t>0787926179194</t>
  </si>
  <si>
    <t>41 / 56,5 / 58,5</t>
  </si>
  <si>
    <t>Машина DC Tumbler Camouflage (The Dark Knight Rises)(Gold Label) 45 см 787926172966</t>
  </si>
  <si>
    <t>MFT99</t>
  </si>
  <si>
    <t>0787926172966</t>
  </si>
  <si>
    <t>18 / 48,5 / 28</t>
  </si>
  <si>
    <t>Машина DC Бэтмен Бэтмобиль 61см 0787926176261</t>
  </si>
  <si>
    <t>MFT104</t>
  </si>
  <si>
    <t>0787926176261</t>
  </si>
  <si>
    <t>72,3 / 25,3 / 20</t>
  </si>
  <si>
    <t>Набор фигурок Fallout Lucy Maximus The Ghoul And Vault Boy 4PK 15см 140972</t>
  </si>
  <si>
    <t>MFT144</t>
  </si>
  <si>
    <t>0787926140972</t>
  </si>
  <si>
    <t>Fallout</t>
  </si>
  <si>
    <t>14 / 59 / 23</t>
  </si>
  <si>
    <t>Реплика Маска Бэтмена 1:3 DC (1St Apperance) Batman Cowl 18см 179163</t>
  </si>
  <si>
    <t>MFT168</t>
  </si>
  <si>
    <t>0787926179163</t>
  </si>
  <si>
    <t>22,9 / 17,8 / 13,3</t>
  </si>
  <si>
    <t>Реплика Маска Бэтмена 1:3 DC (Batman 1966) Batman Cowl 18см 179088</t>
  </si>
  <si>
    <t>MFT136</t>
  </si>
  <si>
    <t>0787926179088</t>
  </si>
  <si>
    <t>Реплика Маска Бэтмена 1:3 DC (Batman Begins) Batman Cowl 18см 179187</t>
  </si>
  <si>
    <t>MFT170</t>
  </si>
  <si>
    <t>0787926179187</t>
  </si>
  <si>
    <t>Реплика Маска Бэтмена 1:3 DC (Batman Hush) Batman Cowl 18см 179170</t>
  </si>
  <si>
    <t>MFT169</t>
  </si>
  <si>
    <t>0787926179170</t>
  </si>
  <si>
    <t>Реплика Маска Бэтмена 1:3 DC (Batman: Knightfall) Batman Cowl 19см 179095</t>
  </si>
  <si>
    <t>MFT137</t>
  </si>
  <si>
    <t>0787926179095</t>
  </si>
  <si>
    <t>Реплика Маска Бэтмена 1:3 DC (The Animated Series 1992) Batman Cowl Gold Label 18см 179071</t>
  </si>
  <si>
    <t>MFT135</t>
  </si>
  <si>
    <t>0787926179071</t>
  </si>
  <si>
    <t>Реплика Фигурка Бэтвинг Бэтмен DC (Batman: The Animated Series) Batwing 94см 173666</t>
  </si>
  <si>
    <t>MFT181</t>
  </si>
  <si>
    <t>0787926173666</t>
  </si>
  <si>
    <t>47 / 26 / 99,6</t>
  </si>
  <si>
    <t>Фигурка Call Of Duty Spawn 18см 902266</t>
  </si>
  <si>
    <t>MFT147</t>
  </si>
  <si>
    <t>0787926902266</t>
  </si>
  <si>
    <t>Call of Duty</t>
  </si>
  <si>
    <t>Activision</t>
  </si>
  <si>
    <t>29,7 / 20,5 / 7,5</t>
  </si>
  <si>
    <t>Фигурка Call Of Duty Tactical Spawn 18см 902273</t>
  </si>
  <si>
    <t>MFT148</t>
  </si>
  <si>
    <t>0787926902273</t>
  </si>
  <si>
    <t>Фигурка DC Batman Beyond Animated 25th Anniversary Batman Beyond (SDCc)(Gold Label) 15 см 173185</t>
  </si>
  <si>
    <t>MFT105</t>
  </si>
  <si>
    <t>0787926173185</t>
  </si>
  <si>
    <t>28 / 15,5 / 7</t>
  </si>
  <si>
    <t>Фигурка DC Batman Forever The Riddler Wv13 18 см 787926156683</t>
  </si>
  <si>
    <t>MFT101</t>
  </si>
  <si>
    <t>0787926156683</t>
  </si>
  <si>
    <t>7 / 19,2 / 28</t>
  </si>
  <si>
    <t>Фигурка DC Comics Bane Wv1 11см 172973</t>
  </si>
  <si>
    <t>MFT164</t>
  </si>
  <si>
    <t>0787926172973</t>
  </si>
  <si>
    <t>Фигурка DC Comics Batman Wv1 11см 172997</t>
  </si>
  <si>
    <t>MFT165</t>
  </si>
  <si>
    <t>0787926172997</t>
  </si>
  <si>
    <t>Фигурка DC Comics Болотная тварь Swamp Thing 11см 172980</t>
  </si>
  <si>
    <t>MFT166</t>
  </si>
  <si>
    <t>0787926172980</t>
  </si>
  <si>
    <t>Фигурка DC Multiverse Aquaman and the Lost Kingdom Aquaman 155464</t>
  </si>
  <si>
    <t>MFT69</t>
  </si>
  <si>
    <t>0787926155464</t>
  </si>
  <si>
    <t>15,5 / 23 / 30,5</t>
  </si>
  <si>
    <t>Фигурка DC Multiverse Aquaman and the Lost Kingdom Aquaman with Stealth Suit 155419</t>
  </si>
  <si>
    <t>MFT68</t>
  </si>
  <si>
    <t>0787926155419</t>
  </si>
  <si>
    <t>28 / 15,3 / 7</t>
  </si>
  <si>
    <t>Фигурка DC Multiverse Batman (The Flash Movie) Blue/Grey (Chase) 18 см 787926172928</t>
  </si>
  <si>
    <t>MFT96</t>
  </si>
  <si>
    <t>0787926172928</t>
  </si>
  <si>
    <t>Фигурка DC Multiverse Rookie (Batman End Game) And Mr. Bloom (Gold Label)(SDCc) 18 см 174984</t>
  </si>
  <si>
    <t>MFT106</t>
  </si>
  <si>
    <t>0787926174984</t>
  </si>
  <si>
    <t>10,3 / 30,8 / 28,1</t>
  </si>
  <si>
    <t>Фигурка DC Multiverse The Flash Dark Flash 18 см 6155266</t>
  </si>
  <si>
    <t>MFT56</t>
  </si>
  <si>
    <t>0787926155266</t>
  </si>
  <si>
    <t>27,8 / 15,4 / 7</t>
  </si>
  <si>
    <t>Фигурка DC Red Hood (Detective Comics) 18 см 787926172690</t>
  </si>
  <si>
    <t>MFT98</t>
  </si>
  <si>
    <t>0787926172690</t>
  </si>
  <si>
    <t>28 / 19 / 7</t>
  </si>
  <si>
    <t>Фигурка DC Wonder Woman By Jim Lee 30 см 0787926171389</t>
  </si>
  <si>
    <t>MFT102</t>
  </si>
  <si>
    <t>0787926171389</t>
  </si>
  <si>
    <t>15,4 / 23,3 / 31</t>
  </si>
  <si>
    <t>Фигурка DC Бэтмен против Конга Batman Vs Kong 2PK 138627</t>
  </si>
  <si>
    <t>MFT172</t>
  </si>
  <si>
    <t>0787926138627</t>
  </si>
  <si>
    <t>33 / 39,4 / 13</t>
  </si>
  <si>
    <t>Фигурка DC Супермен Superman (Superman Movie 1978) 18см 172935</t>
  </si>
  <si>
    <t>MFT97</t>
  </si>
  <si>
    <t>0787926172935</t>
  </si>
  <si>
    <t>Фигурка Demon Slayer Kimetsu no Yaiba Rui 137392</t>
  </si>
  <si>
    <t>MFT65</t>
  </si>
  <si>
    <t>0787926137392</t>
  </si>
  <si>
    <t>28 / 13 / 5,5</t>
  </si>
  <si>
    <t>Фигурка Demon Slayer Shinobu Kocho 137361</t>
  </si>
  <si>
    <t>MFT66</t>
  </si>
  <si>
    <t>0787926137361</t>
  </si>
  <si>
    <t>Фигурка Diablo IV Hydra Lightning Sorceress 167238</t>
  </si>
  <si>
    <t>MFT77</t>
  </si>
  <si>
    <t>0787926167238</t>
  </si>
  <si>
    <t>22,5 / 19 / 13,5</t>
  </si>
  <si>
    <t>Фигурка Game Of Thrones Gold Label Viserion Frostbite Edition 15 см 0787926106633</t>
  </si>
  <si>
    <t>MFT107</t>
  </si>
  <si>
    <t>0787926106633</t>
  </si>
  <si>
    <t>23 / 19 / 10</t>
  </si>
  <si>
    <t>Фигурка Marvel McFarlane MARVEL Удивительный Человек-Паук 30 см 787926147711</t>
  </si>
  <si>
    <t>MFT128</t>
  </si>
  <si>
    <t>0787926147711</t>
  </si>
  <si>
    <t>30,5 / 22,8 / 15,2</t>
  </si>
  <si>
    <t>Фигурка Marvel Марвел Зеленый Гоблин 1:10 Серия Обложки Комиксов (The Amazing Spiderman #68)(Gold La</t>
  </si>
  <si>
    <t>MFT182</t>
  </si>
  <si>
    <t>0787926147636</t>
  </si>
  <si>
    <t>22 / 19,2 / 14,3</t>
  </si>
  <si>
    <t>Фигурка Marvel Марвел Капитан Америка 1:10 Серия Обложки Комиксов (Captain America #100) 12см 147773</t>
  </si>
  <si>
    <t>MFT139</t>
  </si>
  <si>
    <t>0787926147773</t>
  </si>
  <si>
    <t>Фигурка Marvel Марвел Магнето 1:10 Серия Обложки Комиксов (X-Men #1) 17см 147797</t>
  </si>
  <si>
    <t>MFT141</t>
  </si>
  <si>
    <t>0787926147797</t>
  </si>
  <si>
    <t>Фигурка Marvel Марвел Человек-Паук Серия Обложки Комиксов (The Amazing Spiderman #68)(Gold Label) 15</t>
  </si>
  <si>
    <t>MFT143</t>
  </si>
  <si>
    <t>0787926147612</t>
  </si>
  <si>
    <t>Фигурка McFarlane BLEACH Яхве 18см 787926135329</t>
  </si>
  <si>
    <t>MFT121</t>
  </si>
  <si>
    <t>0787926135329</t>
  </si>
  <si>
    <t>27,8 / 12,8 / 5,3</t>
  </si>
  <si>
    <t>Фигурка McFarlane DC Collection Бэтмен и Соломон Гранди Arkham City (Gold Label) 2PK 18см 7879261599</t>
  </si>
  <si>
    <t>MFT122</t>
  </si>
  <si>
    <t>0787926159943</t>
  </si>
  <si>
    <t>27,8 / 30,5 / 10,3</t>
  </si>
  <si>
    <t>Фигурка McFarlane DC Comics Бэтмен Возвращение Тёмного Рыцаря 18см</t>
  </si>
  <si>
    <t>MFT114</t>
  </si>
  <si>
    <t>0787926172461</t>
  </si>
  <si>
    <t>27,8 / 19,2 / 6,8</t>
  </si>
  <si>
    <t>Фигурка McFarlane DC Multiverse Бэтмен/Супермен 18 см 787926172133</t>
  </si>
  <si>
    <t>MFT119</t>
  </si>
  <si>
    <t>0787926172133</t>
  </si>
  <si>
    <t>Фигурка McFarlane Marvel Удивительный Человек-Паук №38 18 см 787926147629</t>
  </si>
  <si>
    <t>MFT131</t>
  </si>
  <si>
    <t>0787926147629</t>
  </si>
  <si>
    <t>22,2 / 19 / 14,3</t>
  </si>
  <si>
    <t>Фигурка McFarlane Слэш Guns&amp;Roses Rock&amp;Roll Music Maniacs 15 см 787926142068</t>
  </si>
  <si>
    <t>MFT117</t>
  </si>
  <si>
    <t>0787926142082</t>
  </si>
  <si>
    <t>25,3 / 18,8 / 5,2</t>
  </si>
  <si>
    <t>Фигурка McFarlane Фредди Меркьюри QUEEN Rock&amp;Roll Music Maniacs 15 см 787926142068</t>
  </si>
  <si>
    <t>MFT116</t>
  </si>
  <si>
    <t>0787926142068</t>
  </si>
  <si>
    <t>25,4 / 18,7 / 5,3</t>
  </si>
  <si>
    <t>Фигурка McFarlane World Of Warcraft Posed Dwarf Hunter Beast Master/Marksman 15см 787926166767</t>
  </si>
  <si>
    <t>MFT126</t>
  </si>
  <si>
    <t>0787926166767</t>
  </si>
  <si>
    <t>Фигурка McFarlane World Of Warcraft Posed Pandaren Monk/Rogue 15см 787926166774</t>
  </si>
  <si>
    <t>MFT127</t>
  </si>
  <si>
    <t>0787926166774</t>
  </si>
  <si>
    <t>Фигурка Movie Maniacs Beetlejuice Beetlejuice in Red Suite (Chase) 15см 140736</t>
  </si>
  <si>
    <t>MFT183</t>
  </si>
  <si>
    <t>0787926140736</t>
  </si>
  <si>
    <t>21,5 / 19 / 13,5</t>
  </si>
  <si>
    <t>Фигурка Movie Maniacs Битлджус Битлджус Beetlejuice 15см 140712</t>
  </si>
  <si>
    <t>MFT174</t>
  </si>
  <si>
    <t>0787926140712</t>
  </si>
  <si>
    <t>Фигурка Movie Maniacs Битлджус Битлджус Beetlejuice 2 15см 140729</t>
  </si>
  <si>
    <t>MFT175</t>
  </si>
  <si>
    <t>0787926140729</t>
  </si>
  <si>
    <t>Фигурка The Matrix Movie Maniacs Neo 15см 140088</t>
  </si>
  <si>
    <t>MFT132</t>
  </si>
  <si>
    <t>0787926140088</t>
  </si>
  <si>
    <t>22,2 / 19,2 / 13,3</t>
  </si>
  <si>
    <t>Фигурка UFC Конор Макгрегор Conor Mcgregor 18см 104318</t>
  </si>
  <si>
    <t>MFT176</t>
  </si>
  <si>
    <t>0787926104318</t>
  </si>
  <si>
    <t>UFC</t>
  </si>
  <si>
    <t>16,6 / 17 / 23</t>
  </si>
  <si>
    <t>Фигурка Warhammer 40000 Astra Militarum Commissar Wv10 18см 109016</t>
  </si>
  <si>
    <t>MFT153</t>
  </si>
  <si>
    <t>0787926109016</t>
  </si>
  <si>
    <t>Фигурка Warhammer 40000 Lieutenant Titus (Space Marine II) Wv10 18см 109030</t>
  </si>
  <si>
    <t>MFT154</t>
  </si>
  <si>
    <t>0787926109030</t>
  </si>
  <si>
    <t>Фигурка Warhammer 40000 Space Marine Eliminator Wv9 18 см 787926109634</t>
  </si>
  <si>
    <t>MFT103</t>
  </si>
  <si>
    <t>0787926109634</t>
  </si>
  <si>
    <t>7 / 19,2 / 28,1</t>
  </si>
  <si>
    <t>Фигурка Warhammer 40k Space Wolves Wolf Guard 18см 787926109320</t>
  </si>
  <si>
    <t>MFT90</t>
  </si>
  <si>
    <t>0787926109320</t>
  </si>
  <si>
    <t>27,9 / 19 / 7</t>
  </si>
  <si>
    <t>Фигурка Warhammer 40k Space Wolves Wolf Guard Artist Proof 18см 109344</t>
  </si>
  <si>
    <t>MFT86</t>
  </si>
  <si>
    <t>0787926109344</t>
  </si>
  <si>
    <t>Фигурка World of Warcraft Elf Druid &amp; Rogue 166729</t>
  </si>
  <si>
    <t>MFT82</t>
  </si>
  <si>
    <t>0787926166729</t>
  </si>
  <si>
    <t>Фигурка World of Warcraft Undead Priest &amp; Warlock 166743</t>
  </si>
  <si>
    <t>MFT78</t>
  </si>
  <si>
    <t>0787926166743</t>
  </si>
  <si>
    <t>Фигурка аниме BLEACH Блич Ичиго Куросаки 18см 135312</t>
  </si>
  <si>
    <t>MFT120</t>
  </si>
  <si>
    <t>0787926135312</t>
  </si>
  <si>
    <t>Фигурка аниме BLEACH Блич Тоширо Хицугая 18см 135336</t>
  </si>
  <si>
    <t>MFT157</t>
  </si>
  <si>
    <t>0787926135336</t>
  </si>
  <si>
    <t>Фигурка аниме BLEACH Блич Урю Исида 18см 135343</t>
  </si>
  <si>
    <t>MFT158</t>
  </si>
  <si>
    <t>0787926135343</t>
  </si>
  <si>
    <t>Фигурка Бэтмобиля DC Universe McFarlane Бэтмен Навсегда 79 см 787926150193</t>
  </si>
  <si>
    <t>MFT113</t>
  </si>
  <si>
    <t>0787926155969</t>
  </si>
  <si>
    <t>23 / 61,5 / 17</t>
  </si>
  <si>
    <t>Фигурка Клинок рассекающий демонов Танджиро Камадо Wv5 18см (Daki Battle) 137521</t>
  </si>
  <si>
    <t>MFT149</t>
  </si>
  <si>
    <t>0787926137521</t>
  </si>
  <si>
    <t>27,8 / 12,6 / 5,7</t>
  </si>
  <si>
    <t>Фигурка Шрек 30см (DreamWorks 30th Anniversary) 145687</t>
  </si>
  <si>
    <t>MFT145</t>
  </si>
  <si>
    <t>0787926145687</t>
  </si>
  <si>
    <t>30,5 / 23 / 15,3</t>
  </si>
  <si>
    <t>Фигурка Шрек Dragon Дракониха (DreamWorks 30th Anniversary) 30см 138818</t>
  </si>
  <si>
    <t>MFT146</t>
  </si>
  <si>
    <t>0787926138818</t>
  </si>
  <si>
    <t>15,6 / 23 / 30,8</t>
  </si>
  <si>
    <t>Фигурка McFarlane DC Multiverse Хаш Jokerized (Gold Label)(SDCC) 18см 787926172171</t>
  </si>
  <si>
    <t>MFT124</t>
  </si>
  <si>
    <t>0787926172171</t>
  </si>
  <si>
    <t>7,4 / 19,4 / 28,1</t>
  </si>
  <si>
    <t>Фигурки McFarlane коллекционные World Of Warcraft Multipack Pandaren &amp; Dwarf (Epic)(Gold Label) 15см</t>
  </si>
  <si>
    <t>MFT123</t>
  </si>
  <si>
    <t>0787926167078</t>
  </si>
  <si>
    <t>13,7 / 28,1 / 22,5</t>
  </si>
  <si>
    <t>Фигурки Stranger Things Action Figures Eleven and Mike Wheeler 8 см 161724</t>
  </si>
  <si>
    <t>MFT59</t>
  </si>
  <si>
    <t>0787926161724</t>
  </si>
  <si>
    <t>31,7 / 19 / 3</t>
  </si>
  <si>
    <t>Фигурки Бэтмобиль и Альфред Пенниуорт DC Universe McFarlane Бэтмен Навсегда 79см 787926150193</t>
  </si>
  <si>
    <t>MFT112</t>
  </si>
  <si>
    <t>0787926150193</t>
  </si>
  <si>
    <t>60,8 / 22,8 / 16,5</t>
  </si>
  <si>
    <t>Monogram</t>
  </si>
  <si>
    <t>Копилка Звездные Войны Малыш Йода 20 см 77764289224</t>
  </si>
  <si>
    <t>MNG18</t>
  </si>
  <si>
    <t>0077764289224</t>
  </si>
  <si>
    <t>31 / 10 / 19</t>
  </si>
  <si>
    <t>Копилка Пятница 13 Jason 472619</t>
  </si>
  <si>
    <t>MNG25</t>
  </si>
  <si>
    <t>0077764472619</t>
  </si>
  <si>
    <t>22 / 13 / 15</t>
  </si>
  <si>
    <t>Neca</t>
  </si>
  <si>
    <t>Набор фигурок 4шт Черепашки-ниндзя Baby Turtles 10см 2540640</t>
  </si>
  <si>
    <t>NC175</t>
  </si>
  <si>
    <t>0634482540640</t>
  </si>
  <si>
    <t>24 / 24,5 / 10,5</t>
  </si>
  <si>
    <t>Реплика пояс Бэтмен Movie 1989 634482616666</t>
  </si>
  <si>
    <t>NC178</t>
  </si>
  <si>
    <t>0634482616666</t>
  </si>
  <si>
    <t>30,3 / 33,6 / 10,3</t>
  </si>
  <si>
    <t>Фигурка Assassin's Creed Revelations Ezio Auditore 18см 608630</t>
  </si>
  <si>
    <t>NC176</t>
  </si>
  <si>
    <t>0634482608630</t>
  </si>
  <si>
    <t>Assassins Creed</t>
  </si>
  <si>
    <t>24,5 / 15 / 7</t>
  </si>
  <si>
    <t>Фигурка Creepshow The Creep</t>
  </si>
  <si>
    <t>NC86</t>
  </si>
  <si>
    <t>0634482607978</t>
  </si>
  <si>
    <t>23,5 / 16 / 6,5</t>
  </si>
  <si>
    <t>Фигурка NECA Монстры Универсал Черепашки-ниндзя Ultimate Donatello as The Invisible Man 542590</t>
  </si>
  <si>
    <t>NC151</t>
  </si>
  <si>
    <t>0634482542590</t>
  </si>
  <si>
    <t>27,5 / 16 / 8,5</t>
  </si>
  <si>
    <t>Фигурка Queen Freddie Mercury Yellow Jacket 18см 420669</t>
  </si>
  <si>
    <t>NC164</t>
  </si>
  <si>
    <t>0634482420669</t>
  </si>
  <si>
    <t>25 / 14 / 5,5</t>
  </si>
  <si>
    <t>Фигурка Динозавры Baby Sinclair 10см 634482435212</t>
  </si>
  <si>
    <t>NC179</t>
  </si>
  <si>
    <t>0634482435212</t>
  </si>
  <si>
    <t>Dinosaurs</t>
  </si>
  <si>
    <t>27,5 / 16 / 7,5</t>
  </si>
  <si>
    <t>Фигурка Динозавры Earl Sinclair 18см 634482435205</t>
  </si>
  <si>
    <t>NC181</t>
  </si>
  <si>
    <t>0634482435205</t>
  </si>
  <si>
    <t>23,5 / 16 / 10,7</t>
  </si>
  <si>
    <t>Фигурка Монстры Универсал x Черепашки-ниндзя Casey Jones 18см 2542941</t>
  </si>
  <si>
    <t>NC173</t>
  </si>
  <si>
    <t>0634482542941</t>
  </si>
  <si>
    <t>27,5 / 16 / 6,7</t>
  </si>
  <si>
    <t>Фигурка Монстры Универсал X Черепашки-ниндзя Leonardo as The Creature 18см 2543016</t>
  </si>
  <si>
    <t>NC177</t>
  </si>
  <si>
    <t>0634482543016</t>
  </si>
  <si>
    <t>Фигурка Монстры Универсал x Черепашки-ниндзя Raphael as The Wolfman 18см 634482543009</t>
  </si>
  <si>
    <t>NC180</t>
  </si>
  <si>
    <t>0634482543009</t>
  </si>
  <si>
    <t>27,4 / 16 / 8,5</t>
  </si>
  <si>
    <t>Фигурка Назад в будущее Ultimate Doc Brown 0634482536209</t>
  </si>
  <si>
    <t>NC89</t>
  </si>
  <si>
    <t>0634482536209</t>
  </si>
  <si>
    <t>24 / 16 / 6,5</t>
  </si>
  <si>
    <t>Фигурка Хищник 18см Ultimate Shaman 634482514252</t>
  </si>
  <si>
    <t>NC143</t>
  </si>
  <si>
    <t>0634482514252</t>
  </si>
  <si>
    <t>27,4 / 16 / 6,5</t>
  </si>
  <si>
    <t>Фигурка Хищник 2 Ultimate Warrior Хищник 30th Anniversary 18см 634482515860</t>
  </si>
  <si>
    <t>NC87</t>
  </si>
  <si>
    <t>0634482515860</t>
  </si>
  <si>
    <t>6,5 / 16,1 / 27,5</t>
  </si>
  <si>
    <t>Фигурка Хищник Boar Хищник 18см</t>
  </si>
  <si>
    <t>NC85</t>
  </si>
  <si>
    <t>0634482514276</t>
  </si>
  <si>
    <t>Фигурка Хищник Concrete Jungle 18см Stone Heart Хищник 634482515</t>
  </si>
  <si>
    <t>NC149</t>
  </si>
  <si>
    <t>0634482515891</t>
  </si>
  <si>
    <t>34,5 / 19 / 11</t>
  </si>
  <si>
    <t>Фигурка Черепашки-ниндзя 18см Scale Action Fig Ultimate Leonardo Hunchback 634482541869</t>
  </si>
  <si>
    <t>NC109</t>
  </si>
  <si>
    <t>0634482541869</t>
  </si>
  <si>
    <t>Фигурка Черепашки-ниндзя 1990 Movie Donatello 42см 634482540398</t>
  </si>
  <si>
    <t>NC190</t>
  </si>
  <si>
    <t>0634482540398</t>
  </si>
  <si>
    <t>27,5 / 16 / 6,5</t>
  </si>
  <si>
    <t>Фигурка Черепашки-ниндзя 1990 Movie Leonardo 42см 634482540480</t>
  </si>
  <si>
    <t>NC189</t>
  </si>
  <si>
    <t>0634482540480</t>
  </si>
  <si>
    <t>19,5 / 28 / 46</t>
  </si>
  <si>
    <t>Фигурка Черепашки-ниндзя 1990 Movie Michelangelo 42см 634482540541</t>
  </si>
  <si>
    <t>NC187</t>
  </si>
  <si>
    <t>0634482540541</t>
  </si>
  <si>
    <t>Фигурка Черепашки-ниндзя 1990 Movie Raphael 42см 634482540534</t>
  </si>
  <si>
    <t>NC188</t>
  </si>
  <si>
    <t>0634482540534</t>
  </si>
  <si>
    <t>Фигурка Черепашки-ниндзя Eastman Laird's Foot Enforcer 18см 2543573</t>
  </si>
  <si>
    <t>NC167</t>
  </si>
  <si>
    <t>0634482543573</t>
  </si>
  <si>
    <t>23 / 15,5 / 8,7</t>
  </si>
  <si>
    <t>Фигурка Черепашки-ниндзя Eastman Laird's Splinter 18см 2543092</t>
  </si>
  <si>
    <t>NC168</t>
  </si>
  <si>
    <t>0634482543092</t>
  </si>
  <si>
    <t>33,5 / 18 / 8</t>
  </si>
  <si>
    <t>Фигурка Черепашки-ниндзя Mirage Comics Battle Damaged Shredder 18см 2542897</t>
  </si>
  <si>
    <t>NC169</t>
  </si>
  <si>
    <t>0634482542897</t>
  </si>
  <si>
    <t>19,5 / 15,5 / 9</t>
  </si>
  <si>
    <t>Фигурка Черепашки-ниндзя The Last Ronin 18см 543177</t>
  </si>
  <si>
    <t>NC174</t>
  </si>
  <si>
    <t>0634482543177</t>
  </si>
  <si>
    <t>Фигурка Черепашки-ниндзя The Last Ronin Actionfigur Casey Jones 18см 634482543481</t>
  </si>
  <si>
    <t>NC186</t>
  </si>
  <si>
    <t>0634482543481</t>
  </si>
  <si>
    <t>Фигурка Черепашки-ниндзя The Last Ronin First to Fall Raphael 18см 634482543474</t>
  </si>
  <si>
    <t>NC183</t>
  </si>
  <si>
    <t>0634482543474</t>
  </si>
  <si>
    <t>Фигурка Черепашки-ниндзя The Last Ronin Splinter 18см 634482543511</t>
  </si>
  <si>
    <t>NC184</t>
  </si>
  <si>
    <t>0634482543511</t>
  </si>
  <si>
    <t>Фигурка Черепашки-ниндзя Монстры Универсал Raphael As Frankenstein's Monster 541883</t>
  </si>
  <si>
    <t>NC153</t>
  </si>
  <si>
    <t>0634482541883</t>
  </si>
  <si>
    <t>24 / 16 / 8,5</t>
  </si>
  <si>
    <t>Nullset</t>
  </si>
  <si>
    <t>Фигурка плюшевая Alien Stage Hyuna 20см</t>
  </si>
  <si>
    <t>NLS11</t>
  </si>
  <si>
    <t>6977299623910</t>
  </si>
  <si>
    <t>Alien Stage</t>
  </si>
  <si>
    <t>16 / 11 / 20</t>
  </si>
  <si>
    <t>Фигурка плюшевая Alien Stage Luka 20см</t>
  </si>
  <si>
    <t>NLS10</t>
  </si>
  <si>
    <t>6977299623903</t>
  </si>
  <si>
    <t>18 / 11 / 20</t>
  </si>
  <si>
    <t>Чехол для значков Alien Stage Ivan</t>
  </si>
  <si>
    <t>NLS3</t>
  </si>
  <si>
    <t>6977299623941</t>
  </si>
  <si>
    <t>14 / 13 / 4</t>
  </si>
  <si>
    <t>Чехол для значков Alien Stage Luka</t>
  </si>
  <si>
    <t>NLS5</t>
  </si>
  <si>
    <t>6977299623972</t>
  </si>
  <si>
    <t>Чехол для значков Alien Stage Till</t>
  </si>
  <si>
    <t>NLS4</t>
  </si>
  <si>
    <t>6977299623958</t>
  </si>
  <si>
    <t>Numskull</t>
  </si>
  <si>
    <t>Фигурка Advent Calendar Grinch Countdown 434450</t>
  </si>
  <si>
    <t>NM3</t>
  </si>
  <si>
    <t>5056280434450</t>
  </si>
  <si>
    <t>20 / 21,5 / 24,5</t>
  </si>
  <si>
    <t>Фигурка Advent Calendar Sonic The Hedgehock 0434429</t>
  </si>
  <si>
    <t>NM1</t>
  </si>
  <si>
    <t>5056280449553</t>
  </si>
  <si>
    <t>21 / 18 / 19,3</t>
  </si>
  <si>
    <t>Фигурка Advent Calendar Star Wars Stormtrooper Countdown Character 452218</t>
  </si>
  <si>
    <t>NM2</t>
  </si>
  <si>
    <t>5056280452218</t>
  </si>
  <si>
    <t>23,8 / 27,2 / 20,4</t>
  </si>
  <si>
    <t>Paladone</t>
  </si>
  <si>
    <t>PP7930PS</t>
  </si>
  <si>
    <t>Карты игральные Playstation Playing Cards PS5 PP7930PS</t>
  </si>
  <si>
    <t>PLD327</t>
  </si>
  <si>
    <t>5055964766597</t>
  </si>
  <si>
    <t>11,1 / 8 / 3,4</t>
  </si>
  <si>
    <t>PP10190DE</t>
  </si>
  <si>
    <t>Подставка-светильник для наушников Demon Slayer Head Light PP10190DE</t>
  </si>
  <si>
    <t>PLD409</t>
  </si>
  <si>
    <t>5055964793777</t>
  </si>
  <si>
    <t>19,5 / 12 / 23,5</t>
  </si>
  <si>
    <t>PP4140PSV2</t>
  </si>
  <si>
    <t>Светильник Playstation Icons Light V2 BDP PP4140PSV2</t>
  </si>
  <si>
    <t>PLD275</t>
  </si>
  <si>
    <t>5055964715151</t>
  </si>
  <si>
    <t>31 / 15,1 / 6,3</t>
  </si>
  <si>
    <t>PlasToy</t>
  </si>
  <si>
    <t>Копилка Chi's Sweet Home Chi 15 см 3521320800714</t>
  </si>
  <si>
    <t>PToy26</t>
  </si>
  <si>
    <t>3521320800714</t>
  </si>
  <si>
    <t>12,5 / 14,5 / 16</t>
  </si>
  <si>
    <t>Play by Play</t>
  </si>
  <si>
    <t>Плюш Harry Potter Luna Lovegood 29 см 1339080</t>
  </si>
  <si>
    <t>PBP13</t>
  </si>
  <si>
    <t>8425611339080</t>
  </si>
  <si>
    <t>8 / 14 / 37</t>
  </si>
  <si>
    <t>Плюш Horror Warner Brothers Anabelle 27 см 1342905</t>
  </si>
  <si>
    <t>PBP15</t>
  </si>
  <si>
    <t>8425611342905</t>
  </si>
  <si>
    <t>33 / 14 / 10</t>
  </si>
  <si>
    <t>Плюш Horror Warner Brothers IT Pennywise 27 см 1342912</t>
  </si>
  <si>
    <t>PBP12</t>
  </si>
  <si>
    <t>8425611342912</t>
  </si>
  <si>
    <t>33,5 / 13 / 10</t>
  </si>
  <si>
    <t>Плюш Horror Warner Brothers Regan (The exorcist) 27 см 342929</t>
  </si>
  <si>
    <t>PBP16</t>
  </si>
  <si>
    <t>8425611342929</t>
  </si>
  <si>
    <t>Плюш Horror Warner Brothers The Nun 27 см 1342936</t>
  </si>
  <si>
    <t>PBP14</t>
  </si>
  <si>
    <t>8425611342936</t>
  </si>
  <si>
    <t>10,5 / 11,1 / 34</t>
  </si>
  <si>
    <t>Плюш One Punch Man Genos 27 см 1321993</t>
  </si>
  <si>
    <t>PBP6</t>
  </si>
  <si>
    <t>8425611321993</t>
  </si>
  <si>
    <t>13,8 / 15,6 / 32</t>
  </si>
  <si>
    <t>Плюш Sega Sonic The Hedgehog 70 см 1644702</t>
  </si>
  <si>
    <t>PBP7</t>
  </si>
  <si>
    <t>8425611644702</t>
  </si>
  <si>
    <t>4 / 32 / 63,5</t>
  </si>
  <si>
    <t>Pop Mart</t>
  </si>
  <si>
    <t>Фигурка Pop Mart Labubu Лабубу ONE PIECE PVC (The Monsters) шт 06698</t>
  </si>
  <si>
    <t>PM13</t>
  </si>
  <si>
    <t>6931571066987</t>
  </si>
  <si>
    <t>The Monsters</t>
  </si>
  <si>
    <t>11,1 / 7 / 7</t>
  </si>
  <si>
    <t>Pyramid International</t>
  </si>
  <si>
    <t>GP85041</t>
  </si>
  <si>
    <t>Банка для печенья Друзья Central Perk GP85041</t>
  </si>
  <si>
    <t>Pyr470</t>
  </si>
  <si>
    <t>5050293850412</t>
  </si>
  <si>
    <t>21,1 / 15,9 / 15,9</t>
  </si>
  <si>
    <t>GP85347</t>
  </si>
  <si>
    <t>Банка для печенья Кошмар перед Рождеством Jack Head GP85347</t>
  </si>
  <si>
    <t>Pyr856</t>
  </si>
  <si>
    <t>5050293853475</t>
  </si>
  <si>
    <t>23,5 / 23,7 / 24,7</t>
  </si>
  <si>
    <t>RKR39153</t>
  </si>
  <si>
    <t>Брелок 3D Звездные войны Darth Vader RKR39153</t>
  </si>
  <si>
    <t>Pyr898</t>
  </si>
  <si>
    <t>5050293391533</t>
  </si>
  <si>
    <t>4 / 17,5 / 8</t>
  </si>
  <si>
    <t>RK39390C</t>
  </si>
  <si>
    <t>Брелок Атака Титанов (S3) RK39390C</t>
  </si>
  <si>
    <t>Pyr808</t>
  </si>
  <si>
    <t>5050293393902</t>
  </si>
  <si>
    <t>13 / 6,5 / 0,3</t>
  </si>
  <si>
    <t>RK39456C</t>
  </si>
  <si>
    <t>Брелок Гандам (Model Rx 78 2) RK39456C</t>
  </si>
  <si>
    <t>Pyr827</t>
  </si>
  <si>
    <t>5050293394565</t>
  </si>
  <si>
    <t>RK39427C</t>
  </si>
  <si>
    <t>Брелок Гарри Поттер Checkmate Harry Broom RK39427C</t>
  </si>
  <si>
    <t>Pyr842</t>
  </si>
  <si>
    <t>5050293394275</t>
  </si>
  <si>
    <t>RK39433C</t>
  </si>
  <si>
    <t>Брелок Звездные войны Darth Vader &amp; Storm Trooper RK39433C</t>
  </si>
  <si>
    <t>Pyr897</t>
  </si>
  <si>
    <t>5050293394336</t>
  </si>
  <si>
    <t>PDB27418</t>
  </si>
  <si>
    <t>Бутылка пластиковая Атака Титанов S3 Scout Eren Jaeger PDB27418</t>
  </si>
  <si>
    <t>Pyr806</t>
  </si>
  <si>
    <t>5050574274180</t>
  </si>
  <si>
    <t>7 / 7 / 24</t>
  </si>
  <si>
    <t>PDB27680</t>
  </si>
  <si>
    <t>Бутылка пластиковая Атака Титанов S4 Strike Team PDB27680</t>
  </si>
  <si>
    <t>Pyr807</t>
  </si>
  <si>
    <t>5050574276801</t>
  </si>
  <si>
    <t>7 / 7,5 / 24</t>
  </si>
  <si>
    <t>PDB27736</t>
  </si>
  <si>
    <t>Бутылка пластиковая Гандам Warring Factions PDB27736</t>
  </si>
  <si>
    <t>Pyr826</t>
  </si>
  <si>
    <t>5050574277365</t>
  </si>
  <si>
    <t>PDB26453</t>
  </si>
  <si>
    <t>Бутылка пластиковая Гарри Поттер (Crest)540 мл. PDB26453</t>
  </si>
  <si>
    <t>Pyr778</t>
  </si>
  <si>
    <t>5050574264532</t>
  </si>
  <si>
    <t>7 / 7 / 23</t>
  </si>
  <si>
    <t>PDB27666</t>
  </si>
  <si>
    <t>Бутылка пластиковая Соник Gotta To Go Fast PDB27666</t>
  </si>
  <si>
    <t>Pyr886</t>
  </si>
  <si>
    <t>5050574276665</t>
  </si>
  <si>
    <t>MS65193</t>
  </si>
  <si>
    <t>Закладка книжная 3D Игра престолов Lannister Insignia MS65193</t>
  </si>
  <si>
    <t>Pyr819</t>
  </si>
  <si>
    <t>5050293651934</t>
  </si>
  <si>
    <t>15,7 / 6 / 0,3</t>
  </si>
  <si>
    <t>SR73279</t>
  </si>
  <si>
    <t>Записная книжка Звездные войны Мандалорец I'm All Ears C SR73279</t>
  </si>
  <si>
    <t>Pyr915</t>
  </si>
  <si>
    <t>5051265732798</t>
  </si>
  <si>
    <t>21,5 / 14,5 / 2</t>
  </si>
  <si>
    <t>SR73280</t>
  </si>
  <si>
    <t>Записная книжка Звездные войны Мандалорец I'm All Ears G SR73280</t>
  </si>
  <si>
    <t>Pyr916</t>
  </si>
  <si>
    <t>5051265732804</t>
  </si>
  <si>
    <t>21,6 / 14,5 / 1,6</t>
  </si>
  <si>
    <t>SR73071</t>
  </si>
  <si>
    <t>Записная книжка Мулан (Strength &amp; Spirit) PVC A5 SR73071</t>
  </si>
  <si>
    <t>Pyr609</t>
  </si>
  <si>
    <t>5051265730718</t>
  </si>
  <si>
    <t>21,3 / 14,7 / 2</t>
  </si>
  <si>
    <t>PBE5916</t>
  </si>
  <si>
    <t>Значок Атака Титанов (S3) PBE5916</t>
  </si>
  <si>
    <t>Pyr804</t>
  </si>
  <si>
    <t>5050293759166</t>
  </si>
  <si>
    <t>10,5 / 6,7 / 1,5</t>
  </si>
  <si>
    <t>PBE5917</t>
  </si>
  <si>
    <t>Значок Атака Титанов (S4) PBE5917</t>
  </si>
  <si>
    <t>Pyr805</t>
  </si>
  <si>
    <t>5050293759173</t>
  </si>
  <si>
    <t>SR74432</t>
  </si>
  <si>
    <t>Канцелярский набор One Piece Вано (ручка, карандаш, линейка, точилка, ластик) SR74432</t>
  </si>
  <si>
    <t>Pyr932</t>
  </si>
  <si>
    <t>5056480392949</t>
  </si>
  <si>
    <t>1 / 8,6 / 20,4</t>
  </si>
  <si>
    <t>SR74431</t>
  </si>
  <si>
    <t>Канцелярский набор One Piece Пираты Соломенной Шляпы (пенал, постеры 2шт, карандаши) SR74431</t>
  </si>
  <si>
    <t>Pyr931</t>
  </si>
  <si>
    <t>5056480392932</t>
  </si>
  <si>
    <t>3 / 3 / 19,5</t>
  </si>
  <si>
    <t>SR74230</t>
  </si>
  <si>
    <t>Канцелярский набор Атака Титанов (ручка, карандаш, ластик, линейка, точилка) SR74230</t>
  </si>
  <si>
    <t>Pyr954</t>
  </si>
  <si>
    <t>5056480391188</t>
  </si>
  <si>
    <t>1 / 8,5 / 18,5</t>
  </si>
  <si>
    <t>SR74461</t>
  </si>
  <si>
    <t>Канцелярский набор Гандам Space Scouting (ручка, карандаш, линейка, точилка, ластик) SR74461</t>
  </si>
  <si>
    <t>Pyr963</t>
  </si>
  <si>
    <t>5056480393236</t>
  </si>
  <si>
    <t>SR73929</t>
  </si>
  <si>
    <t>Канцелярский набор Друзья (ручка, карандаш, ластик, линейка, точилка) SR73929</t>
  </si>
  <si>
    <t>Pyr817</t>
  </si>
  <si>
    <t>5051265739292</t>
  </si>
  <si>
    <t>1 / 20 / 8</t>
  </si>
  <si>
    <t>SR73888</t>
  </si>
  <si>
    <t>Канцелярский набор Звездные Войны Мандалорец Expressions Of The Child (пенал, блокнот, ручка, каранд</t>
  </si>
  <si>
    <t>Pyr918</t>
  </si>
  <si>
    <t>5051265738882</t>
  </si>
  <si>
    <t>23,5 / 22,5 / 2,5</t>
  </si>
  <si>
    <t>SR74419</t>
  </si>
  <si>
    <t>Канцелярский набор Звездные Войны Мандалорец Where I Go (пенал, блокнот, ручка, карандаши 5шт, линей</t>
  </si>
  <si>
    <t>Pyr921</t>
  </si>
  <si>
    <t>5050574036061</t>
  </si>
  <si>
    <t>2 / 24,5 / 34</t>
  </si>
  <si>
    <t>SR74464</t>
  </si>
  <si>
    <t>Канцелярский набор Кошмар перед Рождеством Спуки (ручка, карандаш, линейка, ластик, точилка) SR74464</t>
  </si>
  <si>
    <t>Pyr865</t>
  </si>
  <si>
    <t>5056480393267</t>
  </si>
  <si>
    <t>1 / 8,6 / 20,6</t>
  </si>
  <si>
    <t>SR74400</t>
  </si>
  <si>
    <t>Канцелярский набор Лило и Стич Acid Pops (пенал, блокнот А4, ручка, карандаши 7шт, линейка, точилка,</t>
  </si>
  <si>
    <t>Pyr854</t>
  </si>
  <si>
    <t>5050574035873</t>
  </si>
  <si>
    <t>30 / 23 / 2</t>
  </si>
  <si>
    <t>SR73863</t>
  </si>
  <si>
    <t>Канцелярский набор Пушин Botanical (блокнот, ручка, карандаш, ластик, точилка) SR73863</t>
  </si>
  <si>
    <t>Pyr961</t>
  </si>
  <si>
    <t>5051265738639</t>
  </si>
  <si>
    <t>Pusheen</t>
  </si>
  <si>
    <t>1,5 / 16 / 23,5</t>
  </si>
  <si>
    <t>SR73430</t>
  </si>
  <si>
    <t>Канцелярский набор Супер Марио (ручка, карандаш, линейка, точилка, ластик) SR73430</t>
  </si>
  <si>
    <t>Pyr900</t>
  </si>
  <si>
    <t>5051265734303</t>
  </si>
  <si>
    <t>Super Mario</t>
  </si>
  <si>
    <t>19 / 1,5 / 8</t>
  </si>
  <si>
    <t>SR74596</t>
  </si>
  <si>
    <t>Канцелярский набор Супер Марио Принцесса Пич (ручка, карандаш, линейка, точилка, ластик) SR74596</t>
  </si>
  <si>
    <t>Pyr901</t>
  </si>
  <si>
    <t>5056480398545</t>
  </si>
  <si>
    <t>1 / 8,3 / 20,6</t>
  </si>
  <si>
    <t>SR72736</t>
  </si>
  <si>
    <t>Канцелярский набор Человек-паук (ручка, карандаш, линейка, точилка, ластик) SR72736</t>
  </si>
  <si>
    <t>Pyr891</t>
  </si>
  <si>
    <t>5051265727367</t>
  </si>
  <si>
    <t>1 / 12,5 / 22,5</t>
  </si>
  <si>
    <t>GP85140</t>
  </si>
  <si>
    <t>Коврик придверный DC Originals Бэтмен Лого GP85140</t>
  </si>
  <si>
    <t>Pyr589</t>
  </si>
  <si>
    <t>5050293851402</t>
  </si>
  <si>
    <t>61,5 / 40,6 / 2</t>
  </si>
  <si>
    <t>GP86447</t>
  </si>
  <si>
    <t>Коврик придверный Алиса в Стране чудес We're All Mad Here! GP86447</t>
  </si>
  <si>
    <t>Pyr801</t>
  </si>
  <si>
    <t>5050293864471</t>
  </si>
  <si>
    <t>60,5 / 40 / 1,4</t>
  </si>
  <si>
    <t>GP86456</t>
  </si>
  <si>
    <t>Коврик придверный Годзилла King Of The Monsters GP86456</t>
  </si>
  <si>
    <t>Pyr820</t>
  </si>
  <si>
    <t>5050293864563</t>
  </si>
  <si>
    <t>60,5 / 40,1 / 1,5</t>
  </si>
  <si>
    <t>GP85024</t>
  </si>
  <si>
    <t>Коврик придверный Роллинг стоунз GP85024</t>
  </si>
  <si>
    <t>Pyr729</t>
  </si>
  <si>
    <t>5050293850245</t>
  </si>
  <si>
    <t>GP85411</t>
  </si>
  <si>
    <t>Коврик придверный Слипкнот GP85411</t>
  </si>
  <si>
    <t>Pyr731</t>
  </si>
  <si>
    <t>5050293854113</t>
  </si>
  <si>
    <t>GP86529</t>
  </si>
  <si>
    <t>Коврик придверный Соник The Hedgehog Knock And Run GP86529</t>
  </si>
  <si>
    <t>Pyr882</t>
  </si>
  <si>
    <t>5050293865294</t>
  </si>
  <si>
    <t>SCMG28019</t>
  </si>
  <si>
    <t>Кружка 3D керамическая Lilo &amp; Stitch 350мл SCMG28019</t>
  </si>
  <si>
    <t>Pyr960</t>
  </si>
  <si>
    <t>5050574280198</t>
  </si>
  <si>
    <t>14,3 / 18,1 / 12,6</t>
  </si>
  <si>
    <t>SCMG25438</t>
  </si>
  <si>
    <t>Кружка 3D Стражи Галактики (Baby Groot) 450мл SCMG25438</t>
  </si>
  <si>
    <t>Pyr522</t>
  </si>
  <si>
    <t>5050574254380</t>
  </si>
  <si>
    <t>19,5 / 16,5 / 14,5</t>
  </si>
  <si>
    <t>MGO25611</t>
  </si>
  <si>
    <t>Кружка Pink Floyd (Dark Side Of The Moon) 425мл MGO25611</t>
  </si>
  <si>
    <t>Pyr569</t>
  </si>
  <si>
    <t>5050574256117</t>
  </si>
  <si>
    <t>14 / 10 / 12</t>
  </si>
  <si>
    <t>MGO25713</t>
  </si>
  <si>
    <t>Кружка Гарри Поттер (Gryffindor Uniform) 425мл MGO25713</t>
  </si>
  <si>
    <t>Pyr571</t>
  </si>
  <si>
    <t>5050574257138</t>
  </si>
  <si>
    <t>13,5 / 11,5 / 10,5</t>
  </si>
  <si>
    <t>MGPR25727</t>
  </si>
  <si>
    <t>Кружка Гарри Поттер (Hogwarts Houses) 350мл MGPR25727</t>
  </si>
  <si>
    <t>Pyr620</t>
  </si>
  <si>
    <t>5050574257275</t>
  </si>
  <si>
    <t>16 / 16 / 15,5</t>
  </si>
  <si>
    <t>MGB27487</t>
  </si>
  <si>
    <t>Кружка керамическая Godzilla 315мл MGB27487</t>
  </si>
  <si>
    <t>Pyr821</t>
  </si>
  <si>
    <t>5050574274876</t>
  </si>
  <si>
    <t>12 / 8,5 / 10,5</t>
  </si>
  <si>
    <t>MGC27411C</t>
  </si>
  <si>
    <t>Кружка керамическая Атака Титанов 315мл MGC27411C</t>
  </si>
  <si>
    <t>Pyr951</t>
  </si>
  <si>
    <t>5050574274111</t>
  </si>
  <si>
    <t>MGB27734</t>
  </si>
  <si>
    <t>Кружка керамическая Гандам 315мл MGB27734</t>
  </si>
  <si>
    <t>Pyr825</t>
  </si>
  <si>
    <t>5050574277341</t>
  </si>
  <si>
    <t>SCMG26663</t>
  </si>
  <si>
    <t>Кружка керамическая Гарри Поттер Always Themed 630мл SCMG26663</t>
  </si>
  <si>
    <t>Pyr844</t>
  </si>
  <si>
    <t>5050574266635</t>
  </si>
  <si>
    <t>13,6 / 15,5 / 10,4</t>
  </si>
  <si>
    <t>SCMG27621</t>
  </si>
  <si>
    <t>Кружка керамическая Звездные войны Darth Vader 400мл SCMG27621</t>
  </si>
  <si>
    <t>Pyr899</t>
  </si>
  <si>
    <t>5050574276214</t>
  </si>
  <si>
    <t>16,6 / 16,6 / 14</t>
  </si>
  <si>
    <t>MG27635</t>
  </si>
  <si>
    <t>Кружка керамическая Соник Classic Gaming Icon 315мл MG27635</t>
  </si>
  <si>
    <t>Pyr885</t>
  </si>
  <si>
    <t>5050574276351</t>
  </si>
  <si>
    <t>MG25228</t>
  </si>
  <si>
    <t>Кружка Фантастические твари и где они обитают The Crimes of Grindelwald 315мл MG25228</t>
  </si>
  <si>
    <t>Pyr746</t>
  </si>
  <si>
    <t>5050574252287</t>
  </si>
  <si>
    <t>Фантастические твари</t>
  </si>
  <si>
    <t>13,5 / 8,7 / 9</t>
  </si>
  <si>
    <t>SCMG25429</t>
  </si>
  <si>
    <t>Кружка хамелеон Marvel (Человек-паук Iconic Issue) 315мл SCMG25429</t>
  </si>
  <si>
    <t>Pyr736</t>
  </si>
  <si>
    <t>5050574254298</t>
  </si>
  <si>
    <t>9 / 11 / 10,5</t>
  </si>
  <si>
    <t>SCMG25012</t>
  </si>
  <si>
    <t>Кружка хамелеон Гарри Поттер (Wanted Sirius Black) 315мл SCMG25012</t>
  </si>
  <si>
    <t>Pyr158</t>
  </si>
  <si>
    <t>5050574250122</t>
  </si>
  <si>
    <t>SCMG27668</t>
  </si>
  <si>
    <t>Кружка хамелеон Подземелья и драконы (Thieves In The Temple) 315мл SCMG27668</t>
  </si>
  <si>
    <t>Pyr952</t>
  </si>
  <si>
    <t>5050574276689</t>
  </si>
  <si>
    <t>GP85950</t>
  </si>
  <si>
    <t>Набор для роллов и суши The Original Ramen Company Happy Panda GP85950</t>
  </si>
  <si>
    <t>Pyr866</t>
  </si>
  <si>
    <t>5050293859507</t>
  </si>
  <si>
    <t>3,2 / 24,8 / 27</t>
  </si>
  <si>
    <t>GP85783</t>
  </si>
  <si>
    <t>Набор для роллов и суши Vincent Trinidad Neko Ramen Ukiyo GP85783</t>
  </si>
  <si>
    <t>Pyr923</t>
  </si>
  <si>
    <t>5050293857831</t>
  </si>
  <si>
    <t>24,5 / 26,5 / 3</t>
  </si>
  <si>
    <t>BP80615</t>
  </si>
  <si>
    <t>Набор значков 5шт Pyramid Рик и Морти (Heads) BP80615</t>
  </si>
  <si>
    <t>Pyr711</t>
  </si>
  <si>
    <t>5050293806150</t>
  </si>
  <si>
    <t>BP80657</t>
  </si>
  <si>
    <t>Набор значков 5шт Звездные войны Dark Side BP80657</t>
  </si>
  <si>
    <t>Pyr893</t>
  </si>
  <si>
    <t>5050293806570</t>
  </si>
  <si>
    <t>10,5 / 10 / 1</t>
  </si>
  <si>
    <t>BP80585</t>
  </si>
  <si>
    <t>Набор значков 5шт Кошмар перед Рождеством BP80585</t>
  </si>
  <si>
    <t>Pyr855</t>
  </si>
  <si>
    <t>5050293805856</t>
  </si>
  <si>
    <t>BP80452</t>
  </si>
  <si>
    <t>Набор значков Marvel Comics Человек-паук BP80452</t>
  </si>
  <si>
    <t>Pyr889</t>
  </si>
  <si>
    <t>5050293804521</t>
  </si>
  <si>
    <t>13 / 10,1 / 0,4</t>
  </si>
  <si>
    <t>BP80620</t>
  </si>
  <si>
    <t>Набор значков Nirvana (Iconic) 5шт BP80620</t>
  </si>
  <si>
    <t>Pyr588</t>
  </si>
  <si>
    <t>5050293806204</t>
  </si>
  <si>
    <t>15,2 / 7,5 / 0,3</t>
  </si>
  <si>
    <t>BP80489</t>
  </si>
  <si>
    <t>Набор значков Pink Floyd 5шт BP80489</t>
  </si>
  <si>
    <t>Pyr868</t>
  </si>
  <si>
    <t>5050293804897</t>
  </si>
  <si>
    <t>10,2 / 10,2 / 0,5</t>
  </si>
  <si>
    <t>BP80671</t>
  </si>
  <si>
    <t>Набор значков Queen (Classic) 5шт BP80671</t>
  </si>
  <si>
    <t>Pyr537</t>
  </si>
  <si>
    <t>5050293806716</t>
  </si>
  <si>
    <t>BP80777</t>
  </si>
  <si>
    <t>Набор значков Zombie Makeout Club BP80777</t>
  </si>
  <si>
    <t>Pyr924</t>
  </si>
  <si>
    <t>5050293807775</t>
  </si>
  <si>
    <t>11,5 / 10,2 / 1</t>
  </si>
  <si>
    <t>BP80439</t>
  </si>
  <si>
    <t>Набор значков Бэтмен 5шт BP80439</t>
  </si>
  <si>
    <t>Pyr71</t>
  </si>
  <si>
    <t>5050293804392</t>
  </si>
  <si>
    <t>BP80806</t>
  </si>
  <si>
    <t>Набор значков Гандам Intergalactic 5шт BP80806</t>
  </si>
  <si>
    <t>Pyr823</t>
  </si>
  <si>
    <t>5050293808062</t>
  </si>
  <si>
    <t>BP80694</t>
  </si>
  <si>
    <t>Набор значков Звездные войны Мандалорец This Is The Way BP80694</t>
  </si>
  <si>
    <t>Pyr902</t>
  </si>
  <si>
    <t>5050293806945</t>
  </si>
  <si>
    <t>BP80623</t>
  </si>
  <si>
    <t>Набор значков Пушин (Fancy) 5шт BP80623</t>
  </si>
  <si>
    <t>Pyr80</t>
  </si>
  <si>
    <t>5050293806235</t>
  </si>
  <si>
    <t>BP80692</t>
  </si>
  <si>
    <t>Набор значков Пушин (Nah) 5шт BP80692</t>
  </si>
  <si>
    <t>Pyr615</t>
  </si>
  <si>
    <t>5050293806921</t>
  </si>
  <si>
    <t>12,3 / 10,1 / 0,3</t>
  </si>
  <si>
    <t>BP80624</t>
  </si>
  <si>
    <t>Набор значков Пушин (Пушин Says Hi) 5шт BP80624</t>
  </si>
  <si>
    <t>Pyr81</t>
  </si>
  <si>
    <t>5050293806242</t>
  </si>
  <si>
    <t>10,5 / 10,3 / 0,5</t>
  </si>
  <si>
    <t>BP80804</t>
  </si>
  <si>
    <t>Набор значков Соник Speed Team BP80804</t>
  </si>
  <si>
    <t>Pyr881</t>
  </si>
  <si>
    <t>5050293808048</t>
  </si>
  <si>
    <t>GP85863</t>
  </si>
  <si>
    <t>Набор из двух кружек Гарри Поттер Квиддич Catch &amp; Keeper GP85863</t>
  </si>
  <si>
    <t>Pyr833</t>
  </si>
  <si>
    <t>5050293858630</t>
  </si>
  <si>
    <t>11,5 / 15,5 / 8,5</t>
  </si>
  <si>
    <t>SR74434</t>
  </si>
  <si>
    <t>Набор карандашей с ластиками 2шт One Piece Wano SR74434</t>
  </si>
  <si>
    <t>Pyr934</t>
  </si>
  <si>
    <t>5056480392963</t>
  </si>
  <si>
    <t>22,5 / 10,5 / 1,5</t>
  </si>
  <si>
    <t>MS65085</t>
  </si>
  <si>
    <t>Набор магнитов Звездные войны 19шт MS65085</t>
  </si>
  <si>
    <t>Pyr896</t>
  </si>
  <si>
    <t>5050293650852</t>
  </si>
  <si>
    <t>24 / 17,5 / 0,3</t>
  </si>
  <si>
    <t>MS65086</t>
  </si>
  <si>
    <t>Набор магнитов Рик и Морти Weaponize The Pickle 20шт MS65086</t>
  </si>
  <si>
    <t>Pyr771</t>
  </si>
  <si>
    <t>5050293650869</t>
  </si>
  <si>
    <t>24 / 17,5 / 0,2</t>
  </si>
  <si>
    <t>GP86787</t>
  </si>
  <si>
    <t>Набор подарочный Lord Of The Rings (кружка 315мл, подстаканник, брелок) GP86787</t>
  </si>
  <si>
    <t>Pyr959</t>
  </si>
  <si>
    <t>5050293867878</t>
  </si>
  <si>
    <t>17 / 12 / 8,5</t>
  </si>
  <si>
    <t>GP86462</t>
  </si>
  <si>
    <t>Набор подарочный The Мандалорец (кружка 315мл, подстаканник, брелок) GP86462</t>
  </si>
  <si>
    <t>Pyr947</t>
  </si>
  <si>
    <t>5050293864624</t>
  </si>
  <si>
    <t>17,1 / 11,7 / 8,5</t>
  </si>
  <si>
    <t>GP86099</t>
  </si>
  <si>
    <t>Набор подарочный Алиса в Стране чудес (Vintage) (кружка 315мл, подстаканник, брелок) GP86099</t>
  </si>
  <si>
    <t>Pyr944</t>
  </si>
  <si>
    <t>5050293860992</t>
  </si>
  <si>
    <t>GP86398</t>
  </si>
  <si>
    <t>Набор подарочный Атака Титанов (кружка 315мл, подстаканник, брелок) GP86398</t>
  </si>
  <si>
    <t>Pyr958</t>
  </si>
  <si>
    <t>5050293863986</t>
  </si>
  <si>
    <t>GP85211</t>
  </si>
  <si>
    <t>Набор подарочный Гарри Поттер (Trouble Finds Me) (бутылка, записная книжка, кейс-чемодан) GP85536</t>
  </si>
  <si>
    <t>Pyr700</t>
  </si>
  <si>
    <t>5050293855363</t>
  </si>
  <si>
    <t>28 / 19 / 13,5</t>
  </si>
  <si>
    <t>GP86318</t>
  </si>
  <si>
    <t>Набор подарочный Гарри Поттер Always (кружка 325мл, тарелка, миска) GP86318</t>
  </si>
  <si>
    <t>Pyr836</t>
  </si>
  <si>
    <t>5050293863184</t>
  </si>
  <si>
    <t>11 / 23,5 / 23,5</t>
  </si>
  <si>
    <t>GP86003</t>
  </si>
  <si>
    <t>Набор подарочный Гарри Поттер Quidditch Trunk (блокнот А5, металлическая бутылка 0,5мл, карандаш, ру</t>
  </si>
  <si>
    <t>Pyr834</t>
  </si>
  <si>
    <t>5050293860039</t>
  </si>
  <si>
    <t>18 / 31,5 / 14,5</t>
  </si>
  <si>
    <t>GP86498</t>
  </si>
  <si>
    <t>Набор подарочный Звездные войны Мандалорец (блокнот, кружка 325мл, подстаканник, брелок) GP86498</t>
  </si>
  <si>
    <t>Pyr910</t>
  </si>
  <si>
    <t>5050293864983</t>
  </si>
  <si>
    <t>16,5 / 16,5 / 21,5</t>
  </si>
  <si>
    <t>GP85477</t>
  </si>
  <si>
    <t>Набор подарочный Звездные Войны Мандалорец Cutest In The Galaxy (подстаканник, банка) GP85477</t>
  </si>
  <si>
    <t>Pyr908</t>
  </si>
  <si>
    <t>5050293854779</t>
  </si>
  <si>
    <t>13,5 / 13,5 / 10,7</t>
  </si>
  <si>
    <t>GP85437</t>
  </si>
  <si>
    <t>Набор подарочный Звездные войны Мандалорец I'm All Ears (блокнот А5, кружка 325мл, подстаканник, бре</t>
  </si>
  <si>
    <t>Pyr906</t>
  </si>
  <si>
    <t>5050293854373</t>
  </si>
  <si>
    <t>GP85463</t>
  </si>
  <si>
    <t>Набор подарочный Звездные войны Мандалорец The Child (кружка 325мл, подстаканник, брелок) GP85463</t>
  </si>
  <si>
    <t>Pyr907</t>
  </si>
  <si>
    <t>5050293854632</t>
  </si>
  <si>
    <t>GP86038</t>
  </si>
  <si>
    <t>Набор подарочный Кошмар перед Рождеством Coffin (карандаши 4шт, бутылка металлическая 350мл, блок</t>
  </si>
  <si>
    <t>Pyr858</t>
  </si>
  <si>
    <t>5050293860381</t>
  </si>
  <si>
    <t>20,5 / 30 / 13,7</t>
  </si>
  <si>
    <t>GP85551</t>
  </si>
  <si>
    <t>Набор подарочный Пушин Marshmallow (банка, кружка 315мл, подстаканник) GP85551</t>
  </si>
  <si>
    <t>Pyr877</t>
  </si>
  <si>
    <t>5050293855516</t>
  </si>
  <si>
    <t>GP86530</t>
  </si>
  <si>
    <t>Набор подарочный Соник Speed Freaks (кружка 315мл, брелок, подстаканник) GP86530</t>
  </si>
  <si>
    <t>Pyr883</t>
  </si>
  <si>
    <t>5050293865300</t>
  </si>
  <si>
    <t>GP86037</t>
  </si>
  <si>
    <t>Набор подарочный Стражи Галактики Starlords Boom Box (блокнот, ручка, брелок, короб для хране</t>
  </si>
  <si>
    <t>Pyr822</t>
  </si>
  <si>
    <t>5050293860374</t>
  </si>
  <si>
    <t>14 / 30 / 20,3</t>
  </si>
  <si>
    <t>PS7489</t>
  </si>
  <si>
    <t>Наклейки Disney Classics 200шт PS7489</t>
  </si>
  <si>
    <t>Pyr811</t>
  </si>
  <si>
    <t>5050293474892</t>
  </si>
  <si>
    <t>24 / 14,5 / 0,3</t>
  </si>
  <si>
    <t>Наклейки Disney Happy Faces 32шт 5050293475349</t>
  </si>
  <si>
    <t>Pyr937</t>
  </si>
  <si>
    <t>5050293475349</t>
  </si>
  <si>
    <t>23,8 / 17,4 / 0,2</t>
  </si>
  <si>
    <t>PS7483</t>
  </si>
  <si>
    <t>Наклейки Disney Princess 200шт PS7483</t>
  </si>
  <si>
    <t>Pyr813</t>
  </si>
  <si>
    <t>5050293474830</t>
  </si>
  <si>
    <t>PS7544</t>
  </si>
  <si>
    <t>Наклейки One Piece Live Action Straw Hat Crew 5шт PS7544</t>
  </si>
  <si>
    <t>Pyr927</t>
  </si>
  <si>
    <t>5050293475448</t>
  </si>
  <si>
    <t>12,1 / 10,1 / 0,1</t>
  </si>
  <si>
    <t>PS7482</t>
  </si>
  <si>
    <t>Наклейки Pixar Character Collection 200шт PS7482</t>
  </si>
  <si>
    <t>Pyr812</t>
  </si>
  <si>
    <t>5050293474823</t>
  </si>
  <si>
    <t>TS7496</t>
  </si>
  <si>
    <t>Наклейки Playstation X-Ray Section 26шт TS7496</t>
  </si>
  <si>
    <t>Pyr876</t>
  </si>
  <si>
    <t>5050293474960</t>
  </si>
  <si>
    <t>0,3 / 17,4 / 24</t>
  </si>
  <si>
    <t>PS7495</t>
  </si>
  <si>
    <t>Наклейки Playstation X-Ray Section 5шт PS7495</t>
  </si>
  <si>
    <t>Pyr874</t>
  </si>
  <si>
    <t>5050293474953</t>
  </si>
  <si>
    <t>TS7508</t>
  </si>
  <si>
    <t>Наклейки Атака Титанов (S3) 35шт TS7508</t>
  </si>
  <si>
    <t>Pyr809</t>
  </si>
  <si>
    <t>5050293475080</t>
  </si>
  <si>
    <t>PS7469</t>
  </si>
  <si>
    <t>Наклейки Бэтмен (Vegence) Vinyl 5шт. PS7469</t>
  </si>
  <si>
    <t>Pyr785</t>
  </si>
  <si>
    <t>5050293474694</t>
  </si>
  <si>
    <t>0,1 / 10,5 / 12,8</t>
  </si>
  <si>
    <t>PS7401</t>
  </si>
  <si>
    <t>Наклейки Гарри Поттер 800шт PS7401</t>
  </si>
  <si>
    <t>Pyr475</t>
  </si>
  <si>
    <t>5050293474014</t>
  </si>
  <si>
    <t>24 / 17,4 / 0,2</t>
  </si>
  <si>
    <t>PS7530</t>
  </si>
  <si>
    <t>Наклейки Гарри Поттер Magical Moments 200шт PS7530</t>
  </si>
  <si>
    <t>Pyr841</t>
  </si>
  <si>
    <t>5050293475301</t>
  </si>
  <si>
    <t>3,2 / 9,7 / 13</t>
  </si>
  <si>
    <t>PS7490</t>
  </si>
  <si>
    <t>Наклейки Звездные войны Мандалорец The Child 200шт PS7490</t>
  </si>
  <si>
    <t>Pyr912</t>
  </si>
  <si>
    <t>5050293474908</t>
  </si>
  <si>
    <t>PS7336</t>
  </si>
  <si>
    <t>Наклейки Кошмар перед Рождеством 5шт PS7336</t>
  </si>
  <si>
    <t>Pyr860</t>
  </si>
  <si>
    <t>5050293473369</t>
  </si>
  <si>
    <t>PS7377</t>
  </si>
  <si>
    <t>Наклейки Пушин (Mythical) 5шт PS7377</t>
  </si>
  <si>
    <t>Pyr268</t>
  </si>
  <si>
    <t>5050293473772</t>
  </si>
  <si>
    <t>12,5 / 10,2 / 0,1</t>
  </si>
  <si>
    <t>PS7488</t>
  </si>
  <si>
    <t>Наклейки Человек-паук Spidey Spectacular 200шт PS7488</t>
  </si>
  <si>
    <t>Pyr890</t>
  </si>
  <si>
    <t>5050293474885</t>
  </si>
  <si>
    <t>ES00051</t>
  </si>
  <si>
    <t>Патч на одежду Атака Титанов (S4) ES00051</t>
  </si>
  <si>
    <t>Pyr803</t>
  </si>
  <si>
    <t>5056480359850</t>
  </si>
  <si>
    <t>15,5 / 6,7 / 0,3</t>
  </si>
  <si>
    <t>ES00055</t>
  </si>
  <si>
    <t>Патч на одежду Гарри Поттер Colourful Crest Hogwart ES00055</t>
  </si>
  <si>
    <t>Pyr832</t>
  </si>
  <si>
    <t>5050574054003</t>
  </si>
  <si>
    <t>15,5 / 8,5 / 0,3</t>
  </si>
  <si>
    <t>SR74513</t>
  </si>
  <si>
    <t>Пенал One Piece Live Action Going Merry SR74513</t>
  </si>
  <si>
    <t>Pyr928</t>
  </si>
  <si>
    <t>5056480393755</t>
  </si>
  <si>
    <t>21,4 / 8 / 8</t>
  </si>
  <si>
    <t>SR72357</t>
  </si>
  <si>
    <t>Пенал Гарри Поттер Crest SR72357</t>
  </si>
  <si>
    <t>Pyr845</t>
  </si>
  <si>
    <t>5051265723574</t>
  </si>
  <si>
    <t>8 / 21 / 8</t>
  </si>
  <si>
    <t>SR74359</t>
  </si>
  <si>
    <t>Пенал Гарри Поттер Platform 9 3/4 SR74359</t>
  </si>
  <si>
    <t>Pyr848</t>
  </si>
  <si>
    <t>5056480392451</t>
  </si>
  <si>
    <t>5,5 / 21,5 / 10</t>
  </si>
  <si>
    <t>SR72458</t>
  </si>
  <si>
    <t>Пенал Гарри Поттер Post Letter SR72458</t>
  </si>
  <si>
    <t>Pyr846</t>
  </si>
  <si>
    <t>5051265724588</t>
  </si>
  <si>
    <t>7,3 / 22 / 10</t>
  </si>
  <si>
    <t>SR73283</t>
  </si>
  <si>
    <t>Пенал Звездные войны Мандалорец Cutest In The Galaxy SR73283</t>
  </si>
  <si>
    <t>Pyr917</t>
  </si>
  <si>
    <t>5051265732835</t>
  </si>
  <si>
    <t>SR73904</t>
  </si>
  <si>
    <t>Пенал Звездные войны Мандалорец Expressions Of The Child SR73904</t>
  </si>
  <si>
    <t>Pyr919</t>
  </si>
  <si>
    <t>5051265739049</t>
  </si>
  <si>
    <t>SR74405</t>
  </si>
  <si>
    <t>Пенал Звездные войны Мандалорец Where I Go SR74405</t>
  </si>
  <si>
    <t>Pyr920</t>
  </si>
  <si>
    <t>5050574035927</t>
  </si>
  <si>
    <t>SR72647</t>
  </si>
  <si>
    <t>Пенал-футляр для канцелярских принадлежностей на молнии (мини-карандаш, мини-блокнот, два 3D-ластика</t>
  </si>
  <si>
    <t>Pyr864</t>
  </si>
  <si>
    <t>5051265726476</t>
  </si>
  <si>
    <t>5,8 / 7,5 / 14,3</t>
  </si>
  <si>
    <t>EPPL71374</t>
  </si>
  <si>
    <t>Постер 3D One Piece Пираты в соломенной шляпе Assault EPPL71374</t>
  </si>
  <si>
    <t>Pyr929</t>
  </si>
  <si>
    <t>5051265892942</t>
  </si>
  <si>
    <t>28,6 / 23,6 / 4</t>
  </si>
  <si>
    <t>EPPL71442</t>
  </si>
  <si>
    <t>Постер 3D Yu-Gi-Oh! (Black Skull Dragon) EPPL71442</t>
  </si>
  <si>
    <t>Pyr765</t>
  </si>
  <si>
    <t>5051265809889</t>
  </si>
  <si>
    <t>24,9 / 24,6 / 4,7</t>
  </si>
  <si>
    <t>EPPL71470</t>
  </si>
  <si>
    <t>Постер 3D Бэтмен (Vengence) EPPL71470</t>
  </si>
  <si>
    <t>Pyr782</t>
  </si>
  <si>
    <t>5056480332662</t>
  </si>
  <si>
    <t>EPPL71364</t>
  </si>
  <si>
    <t>Постер 3D Гарри Поттер Colourful Crest EPPL71364</t>
  </si>
  <si>
    <t>Pyr831</t>
  </si>
  <si>
    <t>5051265875693</t>
  </si>
  <si>
    <t>28,5 / 23,5 / 4</t>
  </si>
  <si>
    <t>EPPL71326</t>
  </si>
  <si>
    <t>Постер 3D Гарри Поттер Deathly Hallows Snape EPPL71326</t>
  </si>
  <si>
    <t>Pyr829</t>
  </si>
  <si>
    <t>5051265846242</t>
  </si>
  <si>
    <t>EPPL71320</t>
  </si>
  <si>
    <t>Постер 3D Гарри Поттер Honeydukes EPPL71320</t>
  </si>
  <si>
    <t>Pyr828</t>
  </si>
  <si>
    <t>5051265806703</t>
  </si>
  <si>
    <t>EPPL71137</t>
  </si>
  <si>
    <t>Постер 3D Легенда о Зельде (Link) EPPL71137</t>
  </si>
  <si>
    <t>Pyr6</t>
  </si>
  <si>
    <t>5050574861014</t>
  </si>
  <si>
    <t>Зельда</t>
  </si>
  <si>
    <t>29,3 / 24,5 / 4,7</t>
  </si>
  <si>
    <t>EPPL71540</t>
  </si>
  <si>
    <t>Постер 3D Соник Select Your Fighter EPPL71540</t>
  </si>
  <si>
    <t>Pyr925</t>
  </si>
  <si>
    <t>5050574017220</t>
  </si>
  <si>
    <t>SR74360</t>
  </si>
  <si>
    <t>Ручка 6 цветов Гарри Поттер Платформа 9 3/4 SR74360</t>
  </si>
  <si>
    <t>Pyr849</t>
  </si>
  <si>
    <t>5056480392468</t>
  </si>
  <si>
    <t>2 / 5 / 20,8</t>
  </si>
  <si>
    <t>SR74433</t>
  </si>
  <si>
    <t>Ручка многоцветная One Piece Wano SR74433</t>
  </si>
  <si>
    <t>Pyr933</t>
  </si>
  <si>
    <t>5056480392956</t>
  </si>
  <si>
    <t>20 / 5 / 2</t>
  </si>
  <si>
    <t>GP86036</t>
  </si>
  <si>
    <t>Слипмат AС/DС Back In Black GP86036 для винилового проигрывателя</t>
  </si>
  <si>
    <t>Pyr800</t>
  </si>
  <si>
    <t>5050293860367</t>
  </si>
  <si>
    <t>38 / 30,3 / 0,3</t>
  </si>
  <si>
    <t>GP85843</t>
  </si>
  <si>
    <t>Слипмат AС/DС GP85843 для винилового проигрывателя</t>
  </si>
  <si>
    <t>Pyr799</t>
  </si>
  <si>
    <t>5050293858432</t>
  </si>
  <si>
    <t>GP85851</t>
  </si>
  <si>
    <t>Слипмат David Bowie (Aladdin Sane) GP85851 для винилового проигрывателя</t>
  </si>
  <si>
    <t>Pyr810</t>
  </si>
  <si>
    <t>5050293858517</t>
  </si>
  <si>
    <t>GP85846</t>
  </si>
  <si>
    <t>Слипмат Pink Floyd Darkside GP85846 для винилового проигрывателя</t>
  </si>
  <si>
    <t>Pyr869</t>
  </si>
  <si>
    <t>5050293858463</t>
  </si>
  <si>
    <t>GP85853</t>
  </si>
  <si>
    <t>Слипмат Queen GP85853 для винилового проигрывателя</t>
  </si>
  <si>
    <t>Pyr879</t>
  </si>
  <si>
    <t>5050293858531</t>
  </si>
  <si>
    <t>GP85857</t>
  </si>
  <si>
    <t>Слипмат The Rolling Stones GP85857 для винилового проигрывателя</t>
  </si>
  <si>
    <t>Pyr922</t>
  </si>
  <si>
    <t>5050293858579</t>
  </si>
  <si>
    <t>GP85656</t>
  </si>
  <si>
    <t>Тарелка с палочками для рамен Ilustrata Black Coffee Attack GP85656</t>
  </si>
  <si>
    <t>Pyr851</t>
  </si>
  <si>
    <t>5050293856568</t>
  </si>
  <si>
    <t>16,2 / 21,2 / 14</t>
  </si>
  <si>
    <t>GP85954</t>
  </si>
  <si>
    <t>Тарелка с палочками для рамен The Original Ramen Company Ninja GP85954</t>
  </si>
  <si>
    <t>Pyr867</t>
  </si>
  <si>
    <t>5050293859545</t>
  </si>
  <si>
    <t>16,2 / 21,3 / 14</t>
  </si>
  <si>
    <t>MDB26370</t>
  </si>
  <si>
    <t>Термос Ведьмак MDB26370</t>
  </si>
  <si>
    <t>Pyr948</t>
  </si>
  <si>
    <t>5050574263702</t>
  </si>
  <si>
    <t>27,5 / 7 / 6</t>
  </si>
  <si>
    <t>MDB27665</t>
  </si>
  <si>
    <t>Термос Соник Speed Trio 540мл MDB27665</t>
  </si>
  <si>
    <t>Pyr884</t>
  </si>
  <si>
    <t>5050574276658</t>
  </si>
  <si>
    <t>6,5 / 6,5 / 28</t>
  </si>
  <si>
    <t>GP85450</t>
  </si>
  <si>
    <t>Часы Бэтмен (Logo) GP85450</t>
  </si>
  <si>
    <t>Pyr681</t>
  </si>
  <si>
    <t>5050293854502</t>
  </si>
  <si>
    <t>26,1 / 26,1 / 4,7</t>
  </si>
  <si>
    <t>GP85543</t>
  </si>
  <si>
    <t>Часы Гарри Поттер (Platform 9 3/4) GP85543</t>
  </si>
  <si>
    <t>Pyr678</t>
  </si>
  <si>
    <t>5050293855431</t>
  </si>
  <si>
    <t>GP86448</t>
  </si>
  <si>
    <t>Часы Гарри Поттер Classic Crest Hogwarts GP86448</t>
  </si>
  <si>
    <t>Pyr838</t>
  </si>
  <si>
    <t>5050293864488</t>
  </si>
  <si>
    <t>17,5 / 15,5 / 4,5</t>
  </si>
  <si>
    <t>GP85888</t>
  </si>
  <si>
    <t>Часы настольные Гарри Поттер (Gryffindor) GP85888</t>
  </si>
  <si>
    <t>Pyr783</t>
  </si>
  <si>
    <t>5050293858883</t>
  </si>
  <si>
    <t>16 / 14 / 5</t>
  </si>
  <si>
    <t>Q posket</t>
  </si>
  <si>
    <t>BP19875P</t>
  </si>
  <si>
    <t>Фигурка Disney Character Best Dressed: Daisy Duck (Ver A) 10cm BP19875P</t>
  </si>
  <si>
    <t>BDQ24</t>
  </si>
  <si>
    <t>4983164198751</t>
  </si>
  <si>
    <t>Donald Duck</t>
  </si>
  <si>
    <t>BP19912P</t>
  </si>
  <si>
    <t>Фигурка Disney Character Best Dressed: Minnie Mouse (ver B) 15cm BP19912P</t>
  </si>
  <si>
    <t>BDQ33</t>
  </si>
  <si>
    <t>4983164199123</t>
  </si>
  <si>
    <t>BP17624P</t>
  </si>
  <si>
    <t>Фигурка Q Posket Demon Slayer Kimetsu No Yaiba Shinobu Kocho (Ver.A) BP17624P</t>
  </si>
  <si>
    <t>BDQ140</t>
  </si>
  <si>
    <t>4983164176247</t>
  </si>
  <si>
    <t xml:space="preserve">Фигурка Q Posket Demon Slayer Zenitsu Agatsuma Ver. A 14 см 4983164183825 </t>
  </si>
  <si>
    <t>BDQ170</t>
  </si>
  <si>
    <t>4983164183825</t>
  </si>
  <si>
    <t>BP17520P</t>
  </si>
  <si>
    <t>Фигурка Q posket Disney Холодное Сердце Эльза Glitter line BP17520P</t>
  </si>
  <si>
    <t>BDQ124</t>
  </si>
  <si>
    <t>4983164175202</t>
  </si>
  <si>
    <t>9 / 12,3 / 18</t>
  </si>
  <si>
    <t>Фигурка Q Posket Jujutsu Kaisen Nobara Kugisaki 13 см 4983164183733</t>
  </si>
  <si>
    <t>BDQ169</t>
  </si>
  <si>
    <t>4983164183733</t>
  </si>
  <si>
    <t>Sakami</t>
  </si>
  <si>
    <t>Плюшевая игрушка One Piece Chopper x Ruffy 20см 6931080103937</t>
  </si>
  <si>
    <t>SAKM15</t>
  </si>
  <si>
    <t>6931080103937</t>
  </si>
  <si>
    <t>21 / 16 / 15</t>
  </si>
  <si>
    <t>Плюшевая игрушка One Piece Chopper x Sanji 20см 6931080108307</t>
  </si>
  <si>
    <t>SAKM14</t>
  </si>
  <si>
    <t>6931080108307</t>
  </si>
  <si>
    <t>Плюшевая игрушка One Piece Monkey D. Luffy New World 25см 6931080103876</t>
  </si>
  <si>
    <t>SAKM13</t>
  </si>
  <si>
    <t>6931080103876</t>
  </si>
  <si>
    <t>14,5 / 18 / 26</t>
  </si>
  <si>
    <t>Плюшевая игрушка One Piece Plush Brook 25см 6931080103913</t>
  </si>
  <si>
    <t>SAKM17</t>
  </si>
  <si>
    <t>6931080103913</t>
  </si>
  <si>
    <t>27,5 / 16 / 10,5</t>
  </si>
  <si>
    <t>Плюшевая игрушка One Piece Plush Chopper X Law New World Ver. 20см 6931080103944</t>
  </si>
  <si>
    <t>SAKM16</t>
  </si>
  <si>
    <t>6931080103944</t>
  </si>
  <si>
    <t>19 / 16 / 12</t>
  </si>
  <si>
    <t>Плюшевая игрушка One Piece Plush Figure Chopper x Buggy 20см 6931080108321</t>
  </si>
  <si>
    <t>SAKM12</t>
  </si>
  <si>
    <t>6931080108321</t>
  </si>
  <si>
    <t>17 / 25 / 8</t>
  </si>
  <si>
    <t>Плюшевая игрушка One Piece Tony Chopper New World Tony 20см 100905 6931080100905</t>
  </si>
  <si>
    <t>SAKM11</t>
  </si>
  <si>
    <t>6931080100905</t>
  </si>
  <si>
    <t>SK254171</t>
  </si>
  <si>
    <t>Фигурка плюшевая Sakami Plush Ace 25cm SK254171</t>
  </si>
  <si>
    <t>SAKM4</t>
  </si>
  <si>
    <t>8809592541715</t>
  </si>
  <si>
    <t>9 / 17,5 / 25</t>
  </si>
  <si>
    <t>SK010364</t>
  </si>
  <si>
    <t>Фигурка плюшевая Sakami Plush Chibi Chopper 25 cm SK010364</t>
  </si>
  <si>
    <t>SAKM1</t>
  </si>
  <si>
    <t>6931080103647</t>
  </si>
  <si>
    <t>27 / 23,8 / 14</t>
  </si>
  <si>
    <t>SK010363</t>
  </si>
  <si>
    <t>Фигурка плюшевая Sakami Plush Chibi Luffy 25 cm SK010363</t>
  </si>
  <si>
    <t>SAKM2</t>
  </si>
  <si>
    <t>6931080103630</t>
  </si>
  <si>
    <t>12,5 / 18 / 23</t>
  </si>
  <si>
    <t>SK254170</t>
  </si>
  <si>
    <t>Фигурка плюшевая Sakami Plush Luffy Child 25cm SK254170</t>
  </si>
  <si>
    <t>SAKM8</t>
  </si>
  <si>
    <t>8809592541708</t>
  </si>
  <si>
    <t>Semic</t>
  </si>
  <si>
    <t>Копилка Марвел Капитан Америка 25 см 377917</t>
  </si>
  <si>
    <t>SEM4</t>
  </si>
  <si>
    <t>3760226377917</t>
  </si>
  <si>
    <t>12 / 24,1 / 24</t>
  </si>
  <si>
    <t>Плюш TNBC Jack Skellington 0812095025512</t>
  </si>
  <si>
    <t>SEM13</t>
  </si>
  <si>
    <t>0812095025512</t>
  </si>
  <si>
    <t>22 / 14 / 12</t>
  </si>
  <si>
    <t>Sihir Dukkani</t>
  </si>
  <si>
    <t>TDE004</t>
  </si>
  <si>
    <t>Галстук Гарри Поттер Пуффендуй TDE004</t>
  </si>
  <si>
    <t>SDN119</t>
  </si>
  <si>
    <t>8683465504232</t>
  </si>
  <si>
    <t>0,5 / 9,1 / 42,2</t>
  </si>
  <si>
    <t>PIN009</t>
  </si>
  <si>
    <t>Значок Гарри Поттер Рон Уизли PIN009</t>
  </si>
  <si>
    <t>SDN57</t>
  </si>
  <si>
    <t>8683465502191</t>
  </si>
  <si>
    <t>8 / 8 / 0,1</t>
  </si>
  <si>
    <t>PIN003</t>
  </si>
  <si>
    <t>Значок Гарри Поттер Хагвартс Экспресс PIN003</t>
  </si>
  <si>
    <t>SDN55</t>
  </si>
  <si>
    <t>8683465502139</t>
  </si>
  <si>
    <t>PIN023</t>
  </si>
  <si>
    <t>Значок Фантастические твари Сносорог PIN023</t>
  </si>
  <si>
    <t>SDN166</t>
  </si>
  <si>
    <t>8683465505345</t>
  </si>
  <si>
    <t>9,5 / 8 / 0,1</t>
  </si>
  <si>
    <t>Penc005</t>
  </si>
  <si>
    <t>Набор карандашей Гарри Поттер (5 предметов) Penc005</t>
  </si>
  <si>
    <t>SDN5</t>
  </si>
  <si>
    <t>8683465501941</t>
  </si>
  <si>
    <t>1,1 / 8,4 / 22,7</t>
  </si>
  <si>
    <t>WH001</t>
  </si>
  <si>
    <t>Обложка на паспорт Гарри Поттер MOM WH001</t>
  </si>
  <si>
    <t>SDN1</t>
  </si>
  <si>
    <t>8683465504744</t>
  </si>
  <si>
    <t>23 / 11 / 1,5</t>
  </si>
  <si>
    <t>PAS003</t>
  </si>
  <si>
    <t>Обложка на паспорт Гарри Поттер Гриффиндор PAS003</t>
  </si>
  <si>
    <t>SDN40</t>
  </si>
  <si>
    <t>8683465500708</t>
  </si>
  <si>
    <t>18 / 10 / 15</t>
  </si>
  <si>
    <t>PAS006</t>
  </si>
  <si>
    <t>Обложка на паспорт Гарри Поттер Когтерван PAS006</t>
  </si>
  <si>
    <t>SDN44</t>
  </si>
  <si>
    <t>8683465500739</t>
  </si>
  <si>
    <t>WSD030</t>
  </si>
  <si>
    <t>Постер Гарри Поттер Команда Квиддич WSD030</t>
  </si>
  <si>
    <t>SDN136</t>
  </si>
  <si>
    <t>8683465504607</t>
  </si>
  <si>
    <t>30 / 30 / 5</t>
  </si>
  <si>
    <t>HATS003</t>
  </si>
  <si>
    <t>Шапка Гарри Поттер Когтерван HATS003</t>
  </si>
  <si>
    <t>SDN159</t>
  </si>
  <si>
    <t>8683465502436</t>
  </si>
  <si>
    <t>21 / 19 / 1,5</t>
  </si>
  <si>
    <t>SCARF003</t>
  </si>
  <si>
    <t>Шарф Гарри Поттер Когтерван SCARF003</t>
  </si>
  <si>
    <t>SDN163</t>
  </si>
  <si>
    <t>8683465500159</t>
  </si>
  <si>
    <t>25,7 / 18 / 3</t>
  </si>
  <si>
    <t>SCARF004</t>
  </si>
  <si>
    <t>Шарф Гарри Поттер Пуффендуй SCARF004</t>
  </si>
  <si>
    <t>SDN164</t>
  </si>
  <si>
    <t>8683465500173</t>
  </si>
  <si>
    <t>Super7</t>
  </si>
  <si>
    <t>RE-DISNW01-DYD-01</t>
  </si>
  <si>
    <t>Фигурка Disney Vintage Coll Don Duck RE-DISNW01-DYD-01</t>
  </si>
  <si>
    <t>SPR159</t>
  </si>
  <si>
    <t>0840049811508</t>
  </si>
  <si>
    <t>25,5 / 16 / 7</t>
  </si>
  <si>
    <t>RE-DISNW01-BLM-01</t>
  </si>
  <si>
    <t>Фигурка Disney Vintage Coll Mickey RE-DISNW01-BLM-01</t>
  </si>
  <si>
    <t>SPR157</t>
  </si>
  <si>
    <t>0840049811478</t>
  </si>
  <si>
    <t>23 / 22 / 7</t>
  </si>
  <si>
    <t>RE-DISNW01-TTG-01</t>
  </si>
  <si>
    <t>Фигурка Disney Vintage Collection Goofy RE-DISNW01-TTG-01</t>
  </si>
  <si>
    <t>SPR160</t>
  </si>
  <si>
    <t>0840049811492</t>
  </si>
  <si>
    <t>DUNEW01-PMB-01</t>
  </si>
  <si>
    <t>Фигурка Dune Paul Muad-Dib DUNEW01-PMB-01</t>
  </si>
  <si>
    <t>SPR134</t>
  </si>
  <si>
    <t>0840049814998</t>
  </si>
  <si>
    <t>22,7 / 15 / 2</t>
  </si>
  <si>
    <t>Tamashii Nations</t>
  </si>
  <si>
    <t>Набор из 3-х фигурок Figuarts Mini Клинок Рассекающий Демонов Сумико, Зенко и Иноко 2639677</t>
  </si>
  <si>
    <t>BTM438</t>
  </si>
  <si>
    <t>4573102639677</t>
  </si>
  <si>
    <t>30,3 / 12,2 / 6,5</t>
  </si>
  <si>
    <t>Фигурка Figuarts mini Lemon Irvine (Mashle) 4573102653758</t>
  </si>
  <si>
    <t>BTM437</t>
  </si>
  <si>
    <t>4573102653758</t>
  </si>
  <si>
    <t>Магия и Мускулы</t>
  </si>
  <si>
    <t>11,5 / 10 / 6</t>
  </si>
  <si>
    <t>Фигурка Figuarts Mini Spy X Family Becky Blackbell 649447</t>
  </si>
  <si>
    <t>BTM454</t>
  </si>
  <si>
    <t>4573102649447</t>
  </si>
  <si>
    <t>11,4 / 10 / 6</t>
  </si>
  <si>
    <t>Фигурка Figuarts Mini Spy X Family Damian Desmond 2649454</t>
  </si>
  <si>
    <t>BTM455</t>
  </si>
  <si>
    <t>4573102649454</t>
  </si>
  <si>
    <t>Фигурка Figuarts Mini Spy X Family Fiona Frost 2654670</t>
  </si>
  <si>
    <t>BTM461</t>
  </si>
  <si>
    <t>4573102654670</t>
  </si>
  <si>
    <t>11,5 / 10,2 / 6</t>
  </si>
  <si>
    <t>Фигурка Figuarts Mini Spy X Family Loid Forger Odekeke 653772</t>
  </si>
  <si>
    <t>BTM450</t>
  </si>
  <si>
    <t>4573102653772</t>
  </si>
  <si>
    <t>Фигурка Figuarts Mini Spy X Family Yor Forger Odekeke 653789</t>
  </si>
  <si>
    <t>BTM451</t>
  </si>
  <si>
    <t>4573102653789</t>
  </si>
  <si>
    <t>Фигурка Figuarts Mini Spy X Family Yuri Briar 654663</t>
  </si>
  <si>
    <t>BTM457</t>
  </si>
  <si>
    <t>4573102654663</t>
  </si>
  <si>
    <t>Фигурка Figuarts mini Yamada Asaemon Sagiri 4573102651716</t>
  </si>
  <si>
    <t>BTM414</t>
  </si>
  <si>
    <t>4573102651716</t>
  </si>
  <si>
    <t>Фигурка Figuarts mini Адский рай Gabimaru 4573102651709</t>
  </si>
  <si>
    <t>BTM413</t>
  </si>
  <si>
    <t>4573102651709</t>
  </si>
  <si>
    <t>Фигурка Figuarts Mini Клинок рассекающий демонов Kagaya Ubuyashiki 4573102639660</t>
  </si>
  <si>
    <t>BTM333</t>
  </si>
  <si>
    <t>4573102639660</t>
  </si>
  <si>
    <t>Фигурка Figuarts Mini Клинок рассекающий демонов Muzan Kibutsuji 4573102637253</t>
  </si>
  <si>
    <t>BTM332</t>
  </si>
  <si>
    <t>4573102637253</t>
  </si>
  <si>
    <t>6,1 / 10,2 / 11,1</t>
  </si>
  <si>
    <t>Фигурка Figuarts Zero Demon Slayer Kimetsu no Yaiba Muichiro Tokito 4573102650610</t>
  </si>
  <si>
    <t>BTM431</t>
  </si>
  <si>
    <t>4573102650610</t>
  </si>
  <si>
    <t>25 / 24,5 / 22,5</t>
  </si>
  <si>
    <t>Фигурка Figuarts Zero Naruto Itachi UchihaThe Light &amp; Dark Of The Mangekyo Sharingan 661135</t>
  </si>
  <si>
    <t>BTM445</t>
  </si>
  <si>
    <t>4573102661135</t>
  </si>
  <si>
    <t>29 / 23 / 22</t>
  </si>
  <si>
    <t>Фигурка Figuarts Zero Naruto Sasuke UchihaThe Light &amp; Dark Of The Mangekyo Sharingan 661128</t>
  </si>
  <si>
    <t>BTM447</t>
  </si>
  <si>
    <t>4573102661128</t>
  </si>
  <si>
    <t>25 / 23 / 21</t>
  </si>
  <si>
    <t>Фигурка S.H. Figuarts Naruto Shippuden Naruto Uzumaki (Best Selection) (New Package Ver.) 618771</t>
  </si>
  <si>
    <t>BTM229</t>
  </si>
  <si>
    <t>4573102618771</t>
  </si>
  <si>
    <t>18,1 / 10,5 / 4,5</t>
  </si>
  <si>
    <t>Фигурка S.H. Figuarts Renji Abarai 4573102651440</t>
  </si>
  <si>
    <t>BTM405</t>
  </si>
  <si>
    <t>4573102651440</t>
  </si>
  <si>
    <t>18 / 15 / 6</t>
  </si>
  <si>
    <t>Фигурка S.H. MonsterArts Gamera 2023 4573102651488</t>
  </si>
  <si>
    <t>BTM406</t>
  </si>
  <si>
    <t>4573102651488</t>
  </si>
  <si>
    <t>37 / 21 / 15</t>
  </si>
  <si>
    <t>Фигурка S.H.Figuarts Berserk Griffith Hawk Of Light 2650337</t>
  </si>
  <si>
    <t>BTM440</t>
  </si>
  <si>
    <t>4573102650337</t>
  </si>
  <si>
    <t>26 / 34 / 10,5</t>
  </si>
  <si>
    <t>Фигурка S.H.Figuarts Chainsaw Man Denji 656506</t>
  </si>
  <si>
    <t>BTM452</t>
  </si>
  <si>
    <t>4573102656506</t>
  </si>
  <si>
    <t>18 / 15 / 4</t>
  </si>
  <si>
    <t>Фигурка S.H.Figuarts Gabimaru 4573102651679</t>
  </si>
  <si>
    <t>BTM415</t>
  </si>
  <si>
    <t>4573102651679</t>
  </si>
  <si>
    <t>18,1 / 10,5 / 4</t>
  </si>
  <si>
    <t>Фигурка S.H.Figuarts Genshin Impact Паймон Paimon 4573102651327</t>
  </si>
  <si>
    <t>BTM479</t>
  </si>
  <si>
    <t>4573102651327</t>
  </si>
  <si>
    <t>18,5 / 13,5 / 4,5</t>
  </si>
  <si>
    <t>Фигурка S.H.Figuarts Hell's Paradise Yamada Asaemon Sagiri 2651686</t>
  </si>
  <si>
    <t>BTM425</t>
  </si>
  <si>
    <t>4573102651686</t>
  </si>
  <si>
    <t>18 / 10,5 / 5</t>
  </si>
  <si>
    <t>Фигурка S.H.Figuarts Jamiroquai 655370</t>
  </si>
  <si>
    <t>BTM449</t>
  </si>
  <si>
    <t>4573102655370</t>
  </si>
  <si>
    <t>5 / 18,5 / 11</t>
  </si>
  <si>
    <t>Фигурка S.H.Figuarts Mash Burnedead 4573102653703</t>
  </si>
  <si>
    <t>BTM429</t>
  </si>
  <si>
    <t>4573102653703</t>
  </si>
  <si>
    <t>17,9 / 15 / 5</t>
  </si>
  <si>
    <t>Фигурка S.H.Figuarts Mini Chainsaw Man Power 649324</t>
  </si>
  <si>
    <t>BTM395</t>
  </si>
  <si>
    <t>4573102649324</t>
  </si>
  <si>
    <t>Фигурка S.H.Figuarts Naruto Obito Uchiha Hollow Dreams Of Despair 2653642</t>
  </si>
  <si>
    <t>BTM443</t>
  </si>
  <si>
    <t>4573102653642</t>
  </si>
  <si>
    <t>5,5 / 15 / 18</t>
  </si>
  <si>
    <t>Фигурка S.H.Figuarts Naruto Uzumaki Courageous Strength That Binds 655608</t>
  </si>
  <si>
    <t>BTM444</t>
  </si>
  <si>
    <t>4573102655608</t>
  </si>
  <si>
    <t>Фигурка S.H.Figuarts One Piece Sanji The Raid on Onigashima 4573102649317</t>
  </si>
  <si>
    <t>BTM426</t>
  </si>
  <si>
    <t>4573102649317</t>
  </si>
  <si>
    <t>Фигурка S.H.Figuarts Shy 2661821</t>
  </si>
  <si>
    <t>BTM459</t>
  </si>
  <si>
    <t>4573102661821</t>
  </si>
  <si>
    <t>Фигурка S.H.Figuarts Shy Spirits 2661838</t>
  </si>
  <si>
    <t>BTM460</t>
  </si>
  <si>
    <t>4573102661838</t>
  </si>
  <si>
    <t>18 / 15 / 4,5</t>
  </si>
  <si>
    <t>Фигурка S.H.Figuarts Spy X Famil Bond Forger With Anya 653673</t>
  </si>
  <si>
    <t>BTM462</t>
  </si>
  <si>
    <t>4573102653673</t>
  </si>
  <si>
    <t>Фигурка S.H.Figuarts Spy X Family Anya Forger 4573102639073</t>
  </si>
  <si>
    <t>BTM340</t>
  </si>
  <si>
    <t>4573102639073</t>
  </si>
  <si>
    <t>4,1 / 10,6 / 18,1</t>
  </si>
  <si>
    <t>Фигурка S.H.Figuarts Spy x Family Anya Forger Uniform 2649393</t>
  </si>
  <si>
    <t>BTM382</t>
  </si>
  <si>
    <t>4573102649393</t>
  </si>
  <si>
    <t>Фигурка S.H.Figuarts Spy X Family Yor Forger Mother Of The Forger Family 653666</t>
  </si>
  <si>
    <t>BTM456</t>
  </si>
  <si>
    <t>4573102653666</t>
  </si>
  <si>
    <t>7 / 10,5 / 18,1</t>
  </si>
  <si>
    <t xml:space="preserve">Фигурка S.H.Figuarts Star Wars Visions Karre 4573102633101 </t>
  </si>
  <si>
    <t>BTM327</t>
  </si>
  <si>
    <t>4573102633101</t>
  </si>
  <si>
    <t>Фигурка Saint Cloth Legend Gemini Saga 4543112896476</t>
  </si>
  <si>
    <t>BTM379</t>
  </si>
  <si>
    <t>4543112896476</t>
  </si>
  <si>
    <t>25 / 18 / 7</t>
  </si>
  <si>
    <t>Фигурка аниме Adokenette Звездное дитя Oshi no Ko Аква Aqua 68295</t>
  </si>
  <si>
    <t>BTM471</t>
  </si>
  <si>
    <t>4573102668295</t>
  </si>
  <si>
    <t>7,5 / 10,5 / 17</t>
  </si>
  <si>
    <t>Фигурка аниме Adokenette Звездное дитя Oshi no Ko Арима Кана Arima Kana 68318</t>
  </si>
  <si>
    <t>BTM473</t>
  </si>
  <si>
    <t>4573102668318</t>
  </si>
  <si>
    <t>Фигурка аниме Adokenette Звездное дитя Oshi no Ko Руби Ruby 68301</t>
  </si>
  <si>
    <t>BTM472</t>
  </si>
  <si>
    <t>4573102668301</t>
  </si>
  <si>
    <t>Фигурка аниме Figuarts Mini Человек Бензопила Chainsaw Man Денжи 49461</t>
  </si>
  <si>
    <t>BTM369</t>
  </si>
  <si>
    <t>4573102649461</t>
  </si>
  <si>
    <t>Фигурка аниме Figuarts Zero Человек Бензопила Chainsaw Man Пауэр Power 56643</t>
  </si>
  <si>
    <t>BTM453</t>
  </si>
  <si>
    <t>4573102656643</t>
  </si>
  <si>
    <t>26 / 28 / 20</t>
  </si>
  <si>
    <t>Фигурка аниме S.H.Figuarts Berserk Берсерк Гатс Guts Berserker Armor 40291</t>
  </si>
  <si>
    <t>BTM411</t>
  </si>
  <si>
    <t>4573102640291</t>
  </si>
  <si>
    <t>26 / 14 / 6</t>
  </si>
  <si>
    <t>Фигурка аниме S.H.Figuarts БЛИЧ Bleach Тоширо Хицугая Toushiro Hitsugaya 61708</t>
  </si>
  <si>
    <t>BTM469</t>
  </si>
  <si>
    <t>4573102661708</t>
  </si>
  <si>
    <t>18 / 15 / 5</t>
  </si>
  <si>
    <t>Фигурка аниме S.H.Figuarts Кайдзю номер восемь Kaiju No 8 Kaiju No 9 66222</t>
  </si>
  <si>
    <t>BTM474</t>
  </si>
  <si>
    <t>4573102666222</t>
  </si>
  <si>
    <t>4,5 / 15 / 20,5</t>
  </si>
  <si>
    <t>Фигурка аниме S.H.Figuarts Кайдзю номер восемь Kaiju No 8 Рено Ичикава Reno Ichikawa 61777</t>
  </si>
  <si>
    <t>BTM467</t>
  </si>
  <si>
    <t>4573102661777</t>
  </si>
  <si>
    <t>Фигурка аниме S.H.Figuarts Кайдзю номер восемь Kaiju No. 8 61760</t>
  </si>
  <si>
    <t>BTM466</t>
  </si>
  <si>
    <t>4573102661760</t>
  </si>
  <si>
    <t>Фигурка аниме S.H.Figuarts Кайдзю номер восемь Kaiju No. 8 Мина Аширо Mina Ashiro 61784</t>
  </si>
  <si>
    <t>BTM468</t>
  </si>
  <si>
    <t>4573102661784</t>
  </si>
  <si>
    <t>Фигурка аниме S.H.Figuarts Несносные пришельцы Urusei Yatsura Ataru Moroboshi &amp; Ten 49430</t>
  </si>
  <si>
    <t>BTM465</t>
  </si>
  <si>
    <t>4573102649430</t>
  </si>
  <si>
    <t>Фигурка аниме S.H.Figuarts Несносные пришельцы Urusei Yatsura Лам Lum 49423</t>
  </si>
  <si>
    <t>BTM464</t>
  </si>
  <si>
    <t>4573102649423</t>
  </si>
  <si>
    <t>Фигурка аниме S.H.Figuarts Фронтир Шангри-Ла Shangri-La Frontier Sanraku 64716</t>
  </si>
  <si>
    <t>BTM477</t>
  </si>
  <si>
    <t>4573102664716</t>
  </si>
  <si>
    <t>The Loyal Subjects</t>
  </si>
  <si>
    <t>Фигурка AC/DC Angus Young BST AXN 5" 00896</t>
  </si>
  <si>
    <t>TLS9</t>
  </si>
  <si>
    <t>0850795008961</t>
  </si>
  <si>
    <t>24 / 15,5 / 5,5</t>
  </si>
  <si>
    <t>Фигурка Властелин колец Арагорн BST AXN 5" 00874</t>
  </si>
  <si>
    <t>TLS7</t>
  </si>
  <si>
    <t>0850795008749</t>
  </si>
  <si>
    <t>24,2 / 15,1 / 5,5</t>
  </si>
  <si>
    <t>Фигурка Властелин колец Леголас BST AXN 5" 00872</t>
  </si>
  <si>
    <t>TLS6</t>
  </si>
  <si>
    <t>0850795008725</t>
  </si>
  <si>
    <t>Фигурка Наруто Naruto Итачи Учиха Itachi Uchiha BST AXN 5" 55339</t>
  </si>
  <si>
    <t>TLS2</t>
  </si>
  <si>
    <t>0850018355339</t>
  </si>
  <si>
    <t>Фигурка Наруто Naruto Какаши Хатаке Kakashi Hatake BST AXN 5" 00870</t>
  </si>
  <si>
    <t>TLS4</t>
  </si>
  <si>
    <t>0850795008701</t>
  </si>
  <si>
    <t>Фигурка Наруто Naruto Саске Учиха Sasuke Uchiha BST AXN 5" 35535</t>
  </si>
  <si>
    <t>TLS3</t>
  </si>
  <si>
    <t>0850018355353</t>
  </si>
  <si>
    <t>Фигурка Черепашки-ниндзя Солдат клана Фут Foot Soldier BST AXN 13см 55599</t>
  </si>
  <si>
    <t>TLS27</t>
  </si>
  <si>
    <t>0850018355599</t>
  </si>
  <si>
    <t>Фигурки Черепашки-ниндзя Донателло, Леонардо, Рафаэль, Микеланджело IDW Comics (Ч/Б) BST AXN 30см</t>
  </si>
  <si>
    <t>TLS29</t>
  </si>
  <si>
    <t>0810122580379</t>
  </si>
  <si>
    <t>30,8 / 29,5 / 6,2</t>
  </si>
  <si>
    <t>Youtooz</t>
  </si>
  <si>
    <t>Фигурка Attack on Titan Attacking Mikasa Ackerman #6 11 см 5554608</t>
  </si>
  <si>
    <t>YTZ4</t>
  </si>
  <si>
    <t>0810085554608</t>
  </si>
  <si>
    <t>9,4 / 11,9 / 15,7</t>
  </si>
  <si>
    <t>Фигурка Attack on Titan Eren Yeager #0 11 см 551270</t>
  </si>
  <si>
    <t>YTZ25</t>
  </si>
  <si>
    <t>0810085551270</t>
  </si>
  <si>
    <t>Фигурка Attack on Titan Levi Ackerman #3 11 см 5551300</t>
  </si>
  <si>
    <t>YTZ28</t>
  </si>
  <si>
    <t>0810085551300</t>
  </si>
  <si>
    <t>Фигурка Borderlands Tina #2 11 см</t>
  </si>
  <si>
    <t>YTZ71</t>
  </si>
  <si>
    <t>0810122542926</t>
  </si>
  <si>
    <t>Borderlands</t>
  </si>
  <si>
    <t>9,4 / 12 / 15,7</t>
  </si>
  <si>
    <t>Фигурка BTTF Doc Brown #1 11 см 544869</t>
  </si>
  <si>
    <t>YTZ1</t>
  </si>
  <si>
    <t>0810122544869</t>
  </si>
  <si>
    <t>Фигурка BTTF Marty Mcfly #0 11 см 2541062</t>
  </si>
  <si>
    <t>YTZ2</t>
  </si>
  <si>
    <t>0242972541062</t>
  </si>
  <si>
    <t>Фигурка Chainsaw Man Chainsaw Man #0 11 см 558965</t>
  </si>
  <si>
    <t>YTZ16</t>
  </si>
  <si>
    <t>0810085558965</t>
  </si>
  <si>
    <t>Фигурка Chainsaw Man Pochita Happy #0 11 см 544531</t>
  </si>
  <si>
    <t>YTZ38</t>
  </si>
  <si>
    <t>0810122544531</t>
  </si>
  <si>
    <t>9,5 / 12 / 15,7</t>
  </si>
  <si>
    <t>Фигурка Marvel Comics Amazing Spider-Man #50 #1 11 см</t>
  </si>
  <si>
    <t>YTZ72</t>
  </si>
  <si>
    <t>0810122548539</t>
  </si>
  <si>
    <t>Фигурка My Hero Academia All Might #4 11 см 5559887</t>
  </si>
  <si>
    <t>YTZ39</t>
  </si>
  <si>
    <t>0810085559887</t>
  </si>
  <si>
    <t>Фигурка My Hero Academia Izuku Midoriya #0 11 см 559849</t>
  </si>
  <si>
    <t>YTZ42</t>
  </si>
  <si>
    <t>0810085559849</t>
  </si>
  <si>
    <t>Фигурка My Hero Academia Katsuki Bakugo #1 11 см 559856</t>
  </si>
  <si>
    <t>YTZ41</t>
  </si>
  <si>
    <t>0810085559856</t>
  </si>
  <si>
    <t>Фигурка My Hero Academia Ochaco Uraraka #3 11 см 5559870</t>
  </si>
  <si>
    <t>YTZ40</t>
  </si>
  <si>
    <t>0810085559870</t>
  </si>
  <si>
    <t>Фигурка My Hero Academia Shoto Todoroki #2 11 см 5559863</t>
  </si>
  <si>
    <t>YTZ43</t>
  </si>
  <si>
    <t>0810085559863</t>
  </si>
  <si>
    <t>Фигурка Naruto Shippuden Naruto Uzumaki #0 11 см 552888</t>
  </si>
  <si>
    <t>YTZ8</t>
  </si>
  <si>
    <t>0810085552888</t>
  </si>
  <si>
    <t>Фигурка Naruto Shippuden Sakura Haruno #1 11 см 5552772</t>
  </si>
  <si>
    <t>YTZ6</t>
  </si>
  <si>
    <t>0810085552772</t>
  </si>
  <si>
    <t>Фигурка Naruto Shippuden Sasuke Uchiha #2 11 см 5552789</t>
  </si>
  <si>
    <t>YTZ7</t>
  </si>
  <si>
    <t>0810085552789</t>
  </si>
  <si>
    <t>Фигурка One Punch Man Genos #1 11 см 5552406</t>
  </si>
  <si>
    <t>YTZ18</t>
  </si>
  <si>
    <t>0810085552406</t>
  </si>
  <si>
    <t>Фигурка Spy X Family Loid Forger #0 11 см 559085</t>
  </si>
  <si>
    <t>YTZ21</t>
  </si>
  <si>
    <t>0810085559085</t>
  </si>
  <si>
    <t>Фигурка Spy X Family Yor Forger #2 11 см 5559108</t>
  </si>
  <si>
    <t>YTZ19</t>
  </si>
  <si>
    <t>0810085559108</t>
  </si>
  <si>
    <t>Фигурка Stranger Things Eleven #0 11 см 555681</t>
  </si>
  <si>
    <t>YTZ53</t>
  </si>
  <si>
    <t>0810085555681</t>
  </si>
  <si>
    <t>16 / 12 / 9,5</t>
  </si>
  <si>
    <t>Фигурка Stranger Things Hopper #2 11 см 555704</t>
  </si>
  <si>
    <t>YTZ55</t>
  </si>
  <si>
    <t>0810085555704</t>
  </si>
  <si>
    <t>Фигурка Stranger Things Vecna #1 11 см 555698</t>
  </si>
  <si>
    <t>YTZ54</t>
  </si>
  <si>
    <t>0810085555698</t>
  </si>
  <si>
    <t>Фигурка The Boys Starlight #2 11 см 5559078</t>
  </si>
  <si>
    <t>YTZ23</t>
  </si>
  <si>
    <t>0810085559078</t>
  </si>
  <si>
    <t>Фигурка TMNT Donatello #1 11 см 553557</t>
  </si>
  <si>
    <t>YTZ24</t>
  </si>
  <si>
    <t>0810085553557</t>
  </si>
  <si>
    <t>Фигурка TMNT Michelangello #2 11 см 5553649</t>
  </si>
  <si>
    <t>YTZ11</t>
  </si>
  <si>
    <t>0810085553649</t>
  </si>
  <si>
    <t>Фигурка TMNT Raphael #3 11 см 5553571</t>
  </si>
  <si>
    <t>YTZ10</t>
  </si>
  <si>
    <t>0810085553571</t>
  </si>
  <si>
    <t>Фигурка TMNT Shredder #5 11 см 5554479</t>
  </si>
  <si>
    <t>YTZ14</t>
  </si>
  <si>
    <t>0810085554479</t>
  </si>
  <si>
    <t>Фигурка Witcher 3 Cirilla #3 11 см 5553861</t>
  </si>
  <si>
    <t>YTZ13</t>
  </si>
  <si>
    <t>0810085553861</t>
  </si>
  <si>
    <t>Фигурка Witcher 3 Geralt #1 11 см 553731</t>
  </si>
  <si>
    <t>YTZ20</t>
  </si>
  <si>
    <t>0810085553731</t>
  </si>
  <si>
    <t>КИНО</t>
  </si>
  <si>
    <t>ARTM542</t>
  </si>
  <si>
    <t>Тетради КИНО 48 л., 4 шт V1</t>
  </si>
  <si>
    <t>4609639571958</t>
  </si>
  <si>
    <t>20,5 / 17 / 1,7</t>
  </si>
  <si>
    <t>ARTM543</t>
  </si>
  <si>
    <t>Тетради КИНО 48 л., 4 шт V2</t>
  </si>
  <si>
    <t>4609639571965</t>
  </si>
  <si>
    <t>ARTM520</t>
  </si>
  <si>
    <t>Тетрадь КИНО 48 л. V1</t>
  </si>
  <si>
    <t>4609639570906</t>
  </si>
  <si>
    <t>ARTM528</t>
  </si>
  <si>
    <t>Тетрадь КИНО 48 л. V10</t>
  </si>
  <si>
    <t>ARTM529</t>
  </si>
  <si>
    <t>4609639571910</t>
  </si>
  <si>
    <t>ARTM540</t>
  </si>
  <si>
    <t>Тетрадь КИНО 48 л. V12</t>
  </si>
  <si>
    <t>4609639571934</t>
  </si>
  <si>
    <t>ARTM541</t>
  </si>
  <si>
    <t>Тетрадь КИНО 48 л. V13</t>
  </si>
  <si>
    <t>4609639571941</t>
  </si>
  <si>
    <t>ARTM521</t>
  </si>
  <si>
    <t>Тетрадь КИНО 48 л. V2</t>
  </si>
  <si>
    <t>4609639570913</t>
  </si>
  <si>
    <t>ARTM523</t>
  </si>
  <si>
    <t>Тетрадь КИНО 48 л. V4</t>
  </si>
  <si>
    <t>4609639570937</t>
  </si>
  <si>
    <t>ARTM524</t>
  </si>
  <si>
    <t>Тетрадь КИНО 48 л. V5</t>
  </si>
  <si>
    <t>4609639570944</t>
  </si>
  <si>
    <t>ARTM525</t>
  </si>
  <si>
    <t>Тетрадь КИНО 48 л. V6</t>
  </si>
  <si>
    <t>4609639570951</t>
  </si>
  <si>
    <t>ARTM526</t>
  </si>
  <si>
    <t>Тетрадь КИНО 48 л. V7</t>
  </si>
  <si>
    <t>4609639571880</t>
  </si>
  <si>
    <t>Тетрадь КИНО 48 л. V9</t>
  </si>
  <si>
    <t>4609639571903</t>
  </si>
  <si>
    <t>НАРУТО</t>
  </si>
  <si>
    <t>ARTM336</t>
  </si>
  <si>
    <t>Брелок Наруто V1</t>
  </si>
  <si>
    <t>4609639571378</t>
  </si>
  <si>
    <t>ARTM337</t>
  </si>
  <si>
    <t>Брелок Наруто V2</t>
  </si>
  <si>
    <t>4609639571385</t>
  </si>
  <si>
    <t>ARTM338</t>
  </si>
  <si>
    <t>Брелок Наруто V3</t>
  </si>
  <si>
    <t>4609639571392</t>
  </si>
  <si>
    <t>ARTM335</t>
  </si>
  <si>
    <t>Бутылка для холодных напитков с петлей Наруто 400 мл. V1 ARTM335</t>
  </si>
  <si>
    <t>4609639571361</t>
  </si>
  <si>
    <t>20,2 / 8 / 8</t>
  </si>
  <si>
    <t>ARTM332</t>
  </si>
  <si>
    <t>Значок Наруто Naruto Shippuden V1 4609639571286</t>
  </si>
  <si>
    <t>4609639571286</t>
  </si>
  <si>
    <t>10,1 / 7 / 0,5</t>
  </si>
  <si>
    <t>ARTM333</t>
  </si>
  <si>
    <t>Значок Наруто Naruto Shippuden V2 4609639571293</t>
  </si>
  <si>
    <t>4609639571293</t>
  </si>
  <si>
    <t>7,5 / 5,3 / 0,5</t>
  </si>
  <si>
    <t>ARTM334</t>
  </si>
  <si>
    <t>Значок Наруто Naruto Shippuden V3 4609639571309</t>
  </si>
  <si>
    <t>4609639571309</t>
  </si>
  <si>
    <t>ARTM324</t>
  </si>
  <si>
    <t>Контейнер для бутербродов Наруто 170х130х42мм ARTM324</t>
  </si>
  <si>
    <t>4609639571354</t>
  </si>
  <si>
    <t>18 / 12 / 4</t>
  </si>
  <si>
    <t>ARTM312</t>
  </si>
  <si>
    <t>Кружка Naruto Shippuden 315мл. V1</t>
  </si>
  <si>
    <t>4609639570630</t>
  </si>
  <si>
    <t>ARTM313</t>
  </si>
  <si>
    <t>Кружка Хамелеон Naruto Shippuden 315мл.</t>
  </si>
  <si>
    <t>4609639570647</t>
  </si>
  <si>
    <t>ARTM317</t>
  </si>
  <si>
    <t>Кружка Хамелеон Naruto Shippuden 315мл.V4</t>
  </si>
  <si>
    <t>4609639570685</t>
  </si>
  <si>
    <t>ARTM303</t>
  </si>
  <si>
    <t>Ланч бокс Наруто V1</t>
  </si>
  <si>
    <t>4609639570548</t>
  </si>
  <si>
    <t>5 / 17,5 / 12,5</t>
  </si>
  <si>
    <t>ARTM329</t>
  </si>
  <si>
    <t>Набор значков Наруто V1 8 шт</t>
  </si>
  <si>
    <t>4609639571255</t>
  </si>
  <si>
    <t>36,5 / 12,5 / 0,5</t>
  </si>
  <si>
    <t>ARTM330</t>
  </si>
  <si>
    <t>Набор значков Наруто V2 8 шт</t>
  </si>
  <si>
    <t>4609639571262</t>
  </si>
  <si>
    <t>ARTM331</t>
  </si>
  <si>
    <t>Набор значков Наруто V3 8 шт</t>
  </si>
  <si>
    <t>4609639571279</t>
  </si>
  <si>
    <t>ARTM327</t>
  </si>
  <si>
    <t>Наклейки Наруто 10шт. многоразовые V1</t>
  </si>
  <si>
    <t>4609639571231</t>
  </si>
  <si>
    <t>22,9 / 16 / 0,2</t>
  </si>
  <si>
    <t>ARTM328</t>
  </si>
  <si>
    <t>Наклейки Наруто 10шт. многоразовые V2</t>
  </si>
  <si>
    <t>4609639571248</t>
  </si>
  <si>
    <t>ARTM322</t>
  </si>
  <si>
    <t>Стакан для горячих напитков с клапаном Наруто 450мл.V1 ARTM322</t>
  </si>
  <si>
    <t>4609639571330</t>
  </si>
  <si>
    <t>17,4 / 9,5 / 9,5</t>
  </si>
  <si>
    <t>ARTM323</t>
  </si>
  <si>
    <t>Стакан для горячих напитков с клапаном Наруто 450мл.V2 ARTM323</t>
  </si>
  <si>
    <t>4609639571347</t>
  </si>
  <si>
    <t>ARTM305</t>
  </si>
  <si>
    <t>Стакан пластиковый Наруто 550 мл. V1</t>
  </si>
  <si>
    <t>4609639570562</t>
  </si>
  <si>
    <t>5,9 / 8,9 / 15</t>
  </si>
  <si>
    <t>ARTM306</t>
  </si>
  <si>
    <t>Стакан пластиковый Наруто 550 мл. V2</t>
  </si>
  <si>
    <t>4609639570579</t>
  </si>
  <si>
    <t>ARTM307</t>
  </si>
  <si>
    <t>Стакан пластиковый Наруто 550 мл. V3</t>
  </si>
  <si>
    <t>4609639570586</t>
  </si>
  <si>
    <t>9,5 / 9,5 / 16</t>
  </si>
  <si>
    <t>ARTM308</t>
  </si>
  <si>
    <t>Стакан пластиковый Наруто 550 мл. V4</t>
  </si>
  <si>
    <t>4609639570593</t>
  </si>
  <si>
    <t>ARTM309</t>
  </si>
  <si>
    <t>Стакан пластиковый Наруто 550 мл. V5</t>
  </si>
  <si>
    <t>4609639570609</t>
  </si>
  <si>
    <t>ARTM320</t>
  </si>
  <si>
    <t>Термостакан с клапаном Наруто 350мл. V1 ARTM320</t>
  </si>
  <si>
    <t>4609639571316</t>
  </si>
  <si>
    <t>Светильники</t>
  </si>
  <si>
    <t>ARTM156</t>
  </si>
  <si>
    <t>Светильник Единорог</t>
  </si>
  <si>
    <t>4609639569030</t>
  </si>
  <si>
    <t>14 / 10 / 8</t>
  </si>
  <si>
    <t>ARTM158</t>
  </si>
  <si>
    <t>Светильник Зайчик Голубой</t>
  </si>
  <si>
    <t>4609639569016</t>
  </si>
  <si>
    <t>17 / 19,8 / 32,7</t>
  </si>
  <si>
    <t>ARTM155</t>
  </si>
  <si>
    <t>Светильник Зайчик Розовый</t>
  </si>
  <si>
    <t>4609639569023</t>
  </si>
  <si>
    <t>33 / 20,5 / 16,5</t>
  </si>
  <si>
    <t>ARTM295</t>
  </si>
  <si>
    <t>Светильник Ленивая утка</t>
  </si>
  <si>
    <t>4609639570487</t>
  </si>
  <si>
    <t>10,5 / 17 / 6,5</t>
  </si>
  <si>
    <t>ARTM294</t>
  </si>
  <si>
    <t>Светильник Олененок голубой</t>
  </si>
  <si>
    <t>4609639570470</t>
  </si>
  <si>
    <t>28,5 / 17 / 17</t>
  </si>
  <si>
    <t>ARTM293</t>
  </si>
  <si>
    <t>Светильник Олененок желтый</t>
  </si>
  <si>
    <t>4609639570463</t>
  </si>
  <si>
    <t>ARTM292</t>
  </si>
  <si>
    <t>Светильник Олененок розовый</t>
  </si>
  <si>
    <t>4609639570456</t>
  </si>
  <si>
    <t>ARTM296</t>
  </si>
  <si>
    <t>Светильник Поп-ит Ежик</t>
  </si>
  <si>
    <t>4609639570494</t>
  </si>
  <si>
    <t>12,5 / 15,5 / 9</t>
  </si>
  <si>
    <t>Боевые искусства. Путь к вершине мастерства /Грядунов Константин Грядунов Игорь</t>
  </si>
  <si>
    <t>Без НДС</t>
  </si>
  <si>
    <t>9785906097460</t>
  </si>
  <si>
    <t>21,7 / 17,5 / 2,5</t>
  </si>
  <si>
    <t>Мастер боя - мастер жизни /Грядунов Константин Грядунов Игорь</t>
  </si>
  <si>
    <t>9785449108579</t>
  </si>
  <si>
    <t>21,7 / 15 / 3,5</t>
  </si>
  <si>
    <t>Товары поставщиков</t>
  </si>
  <si>
    <t>Бумага для акв.,А4,20л.ГОЗНАК 200гр</t>
  </si>
  <si>
    <t>24603721414134</t>
  </si>
  <si>
    <t>29,7 / 21 / 1</t>
  </si>
  <si>
    <t>Тетр48л.,"Странные голуби",скр</t>
  </si>
  <si>
    <t>4603721423941</t>
  </si>
  <si>
    <t>3101-48</t>
  </si>
  <si>
    <t>Тетр48л.,"Хищники",общ</t>
  </si>
  <si>
    <t>4603721420896</t>
  </si>
  <si>
    <t>3201-1</t>
  </si>
  <si>
    <t>Тетради 4 шт. 48л.,  "Beautiful Tulips", скрепка</t>
  </si>
  <si>
    <t>4609639571460</t>
  </si>
  <si>
    <t>20 / 16,5 / 2</t>
  </si>
  <si>
    <t>3217-1</t>
  </si>
  <si>
    <t>Тетради 4 шт. 48л.,"Странные голуби",скр</t>
  </si>
  <si>
    <t>4609639571446</t>
  </si>
  <si>
    <t>Тетрадь 48л,"Эмоц. совы"скр</t>
  </si>
  <si>
    <t>4603721423873</t>
  </si>
  <si>
    <t>Тетрадь общая 48л.,  "Beautiful Tulips", скрепка</t>
  </si>
  <si>
    <t>4603721423576</t>
  </si>
  <si>
    <t>Nintendo Switch</t>
  </si>
  <si>
    <t>GAME</t>
  </si>
  <si>
    <t>Advance Wars 1 &amp; 2: Reboot Camp /Switch (Английская версия)</t>
  </si>
  <si>
    <t>NS381</t>
  </si>
  <si>
    <t>0045496428563</t>
  </si>
  <si>
    <t>17,1 / 10,5 / 1</t>
  </si>
  <si>
    <t>Bravely Default II (2) (French Box - Multi Lang in Game) /Switch  (Английская версия)</t>
  </si>
  <si>
    <t>NS373</t>
  </si>
  <si>
    <t>0045496426101</t>
  </si>
  <si>
    <t>17 / 10,6 / 1,1</t>
  </si>
  <si>
    <t>Chocobo GP /Switch Английская версия</t>
  </si>
  <si>
    <t>NS281</t>
  </si>
  <si>
    <t>0045496429423</t>
  </si>
  <si>
    <t>Crash Bandicoot 4: It's About Time/ Switch (Русские субтитры)</t>
  </si>
  <si>
    <t>NS395</t>
  </si>
  <si>
    <t>5030917294211</t>
  </si>
  <si>
    <t>Crash Bandicoot N. Sane Trilogy /Switch (Английская версия)</t>
  </si>
  <si>
    <t>NS55</t>
  </si>
  <si>
    <t>5030917236730</t>
  </si>
  <si>
    <t>17 / 10,5 / 1</t>
  </si>
  <si>
    <t>Crash Team Racing: Nitro Fueled /Switch (Английская версия)</t>
  </si>
  <si>
    <t>NS349</t>
  </si>
  <si>
    <t>5030917269806</t>
  </si>
  <si>
    <t>17 / 10,5 / 1,2</t>
  </si>
  <si>
    <t>Dolphin Spirit /Switch (Русские субтитры)</t>
  </si>
  <si>
    <t>NS407</t>
  </si>
  <si>
    <t>3701529509568</t>
  </si>
  <si>
    <t>It Takes Two /Switch (Русские субтитры)</t>
  </si>
  <si>
    <t>NS354</t>
  </si>
  <si>
    <t>5030941124942</t>
  </si>
  <si>
    <t>Jumanji The Video Game /Switch Русские субтитры</t>
  </si>
  <si>
    <t>NS289</t>
  </si>
  <si>
    <t>5060528032223</t>
  </si>
  <si>
    <t>17 / 10,6 / 1,2</t>
  </si>
  <si>
    <t>Leisure Suit Larry: Wet Dreams Dry Twice /Switch</t>
  </si>
  <si>
    <t>NS350</t>
  </si>
  <si>
    <t>4020628703127</t>
  </si>
  <si>
    <t>Live A Live /Switch (Английская версия)</t>
  </si>
  <si>
    <t>NS339</t>
  </si>
  <si>
    <t>0045496429874</t>
  </si>
  <si>
    <t>Metal Gear Solid: Master Collection Vol. 1 /Switch (Английская версия)</t>
  </si>
  <si>
    <t>NS417</t>
  </si>
  <si>
    <t>4012927086063</t>
  </si>
  <si>
    <t>New Joe And Mac Caveman Ninja /Switch (Русские субтитры)</t>
  </si>
  <si>
    <t>NS405</t>
  </si>
  <si>
    <t>3701529501111</t>
  </si>
  <si>
    <t>Noob The Factionless /Switch (Английская версия)</t>
  </si>
  <si>
    <t>NS431</t>
  </si>
  <si>
    <t>3701529509650</t>
  </si>
  <si>
    <t>Operation Wolf Returns First Mission Limited /Switch (Английская версия)</t>
  </si>
  <si>
    <t>NS430</t>
  </si>
  <si>
    <t>3701529504495</t>
  </si>
  <si>
    <t>Paper Mario: The Origami King /Switch (Английская версия)</t>
  </si>
  <si>
    <t>NS380</t>
  </si>
  <si>
    <t>0045496426385</t>
  </si>
  <si>
    <t>Sonic Frontiers /Switch Русские субтитры</t>
  </si>
  <si>
    <t>NS374</t>
  </si>
  <si>
    <t>5055277048380</t>
  </si>
  <si>
    <t>Triangle Strategy / Switch (Английская версия)</t>
  </si>
  <si>
    <t>NS227</t>
  </si>
  <si>
    <t>0045496429355</t>
  </si>
  <si>
    <t>Vampire: The Masquerade: Coteries of New York + Shadows of New York /Switch (Русские субтитры)</t>
  </si>
  <si>
    <t>NS419</t>
  </si>
  <si>
    <t>8436566149839</t>
  </si>
  <si>
    <t>XIII Remake /Switch (Английская версия)</t>
  </si>
  <si>
    <t>NS345</t>
  </si>
  <si>
    <t>3760156483856</t>
  </si>
  <si>
    <t>16+</t>
  </si>
  <si>
    <t>Nintendo Switch 2</t>
  </si>
  <si>
    <t>Mario Kart World/Switch 2 (Русская версия)</t>
  </si>
  <si>
    <t>NS2125</t>
  </si>
  <si>
    <t>4711279510546</t>
  </si>
  <si>
    <t>The Legend of Zelda: Breath of the Wild/Switch 2 (Русская версия)</t>
  </si>
  <si>
    <t>NS2129</t>
  </si>
  <si>
    <t>4711279510560</t>
  </si>
  <si>
    <t>The Legend Of Zelda: Tears Of The Kingdom/Switch 2 (Русская версия)</t>
  </si>
  <si>
    <t>NS2130</t>
  </si>
  <si>
    <t>4711279510584</t>
  </si>
  <si>
    <t>Sony GAME</t>
  </si>
  <si>
    <t>CUSA 07202</t>
  </si>
  <si>
    <t>Ace Combat 7: Skies Unknown (поддержка VR) (Русские субтитры)</t>
  </si>
  <si>
    <t>PSIV623</t>
  </si>
  <si>
    <t>3391891993135</t>
  </si>
  <si>
    <t>17 / 13,5 / 1,4</t>
  </si>
  <si>
    <t>CUSA 32938</t>
  </si>
  <si>
    <t>Agatha Christie - Hercule Poirot; The London Case / PS4 (Русские субтитры)</t>
  </si>
  <si>
    <t>PSIV1500</t>
  </si>
  <si>
    <t>3701529510168</t>
  </si>
  <si>
    <t>17,1 / 13,5 / 1,6</t>
  </si>
  <si>
    <t>Agatha Christie: Murder on the Orient Express - Deluxe Edition / PS4 (Русские субтитры)</t>
  </si>
  <si>
    <t>PSIV1496</t>
  </si>
  <si>
    <t>3701529508998</t>
  </si>
  <si>
    <t>17 / 13,5 / 2</t>
  </si>
  <si>
    <t>CUSA 34370</t>
  </si>
  <si>
    <t>Aliens: Dark Descent /PS4 (Русские субтитры)</t>
  </si>
  <si>
    <t>PSIV1461</t>
  </si>
  <si>
    <t>3512899965676</t>
  </si>
  <si>
    <t>17,2 / 13,6 / 1,5</t>
  </si>
  <si>
    <t>CUSA 07980</t>
  </si>
  <si>
    <t>Arizona Sunshine (For Playstation VR) /PS4 (Русская версия)</t>
  </si>
  <si>
    <t>PSIV1523</t>
  </si>
  <si>
    <t>0711719975762</t>
  </si>
  <si>
    <t>17,1 / 13,4 / 1,3</t>
  </si>
  <si>
    <t>CUSA 40975</t>
  </si>
  <si>
    <t>Assassin’s Creed Mirage / PS4 (Русские субтитры)</t>
  </si>
  <si>
    <t>PSIV1449</t>
  </si>
  <si>
    <t>3307216257691</t>
  </si>
  <si>
    <t>CUSA 18535</t>
  </si>
  <si>
    <t>Assassin’s Creed Valhalla / PS4 (русская версия)</t>
  </si>
  <si>
    <t>PSIV1404</t>
  </si>
  <si>
    <t>3307216168294</t>
  </si>
  <si>
    <t>CUSA 11560</t>
  </si>
  <si>
    <t>Assassin's Creed III (3) &amp; Liberation Remastered /PS4 (Русские субтитры)</t>
  </si>
  <si>
    <t>PSIV764</t>
  </si>
  <si>
    <t>3307216111597</t>
  </si>
  <si>
    <t>CUSA 00009</t>
  </si>
  <si>
    <t>Assassin's Creed IV (4) Black Flag (Playstation Hits) /PS4 (Русская версия)</t>
  </si>
  <si>
    <t>PSIV765</t>
  </si>
  <si>
    <t>3307216076872</t>
  </si>
  <si>
    <t>CUSA 12042</t>
  </si>
  <si>
    <t>Assassin's Creed Odyssey /PS4 (Русская версия)</t>
  </si>
  <si>
    <t>PSIV766</t>
  </si>
  <si>
    <t>3307216063834</t>
  </si>
  <si>
    <t>CUSA 03440</t>
  </si>
  <si>
    <t>Assassin's Creed: Chronicles Pack /PS4 Русские субтитры</t>
  </si>
  <si>
    <t>PSIV1161</t>
  </si>
  <si>
    <t>3307215916254</t>
  </si>
  <si>
    <t>CUSA 08393</t>
  </si>
  <si>
    <t>Assassin's Creed: Origins /PS4 Русская версия</t>
  </si>
  <si>
    <t>PSIV767</t>
  </si>
  <si>
    <t>3307216017165</t>
  </si>
  <si>
    <t>CUSA 10123</t>
  </si>
  <si>
    <t>Assassin's Creed: Rogue - Remastered /PS4 (Русская версия)</t>
  </si>
  <si>
    <t>PSIV1255</t>
  </si>
  <si>
    <t>3307216044475</t>
  </si>
  <si>
    <t>CUSA 02377</t>
  </si>
  <si>
    <t>Assassin's Creed: Syndicate /PS4 (Русская версия)</t>
  </si>
  <si>
    <t>PSIV1256</t>
  </si>
  <si>
    <t>3307215893081</t>
  </si>
  <si>
    <t>Assassin's Creed: The Ezio Collection /PS4 (Русская версия)</t>
  </si>
  <si>
    <t>PSIV769</t>
  </si>
  <si>
    <t>3307215977361</t>
  </si>
  <si>
    <t>CUSA 00606</t>
  </si>
  <si>
    <t>Assassin's Creed: Unity /PS4 (Русская версия)</t>
  </si>
  <si>
    <t>PSIV770</t>
  </si>
  <si>
    <t>3307215803400</t>
  </si>
  <si>
    <t>17 / 13,5 / 1,3</t>
  </si>
  <si>
    <t>CUSA 43650</t>
  </si>
  <si>
    <t>Asterix &amp; Obelix SlapThem All 2 / PS4 (Русские субтитры)</t>
  </si>
  <si>
    <t>PSIV1454</t>
  </si>
  <si>
    <t>3701529501470</t>
  </si>
  <si>
    <t>CUSA 37321</t>
  </si>
  <si>
    <t>Atomic Heart /PS4 (Русская версия)</t>
  </si>
  <si>
    <t>PSIV1415</t>
  </si>
  <si>
    <t>3512899965003</t>
  </si>
  <si>
    <t>17,3 / 13,5 / 1,5</t>
  </si>
  <si>
    <t>CUSA 14253</t>
  </si>
  <si>
    <t>Back 4 Blood /PS4 (Русские субтитры)</t>
  </si>
  <si>
    <t>PSIV771</t>
  </si>
  <si>
    <t>5051892227490</t>
  </si>
  <si>
    <t>Batman: Arkham Collection /PS4 русские субтитры</t>
  </si>
  <si>
    <t>PSIV1267</t>
  </si>
  <si>
    <t>5051892226141</t>
  </si>
  <si>
    <t>CUSA 00135</t>
  </si>
  <si>
    <t>Batman: Arkham Knight (Playstation Hits) /PS4 Русские субтитры</t>
  </si>
  <si>
    <t>PSIV1345</t>
  </si>
  <si>
    <t>5051892216913</t>
  </si>
  <si>
    <t>CUSA 01518</t>
  </si>
  <si>
    <t>Battleborn /PS4 (Русские субтитры)</t>
  </si>
  <si>
    <t>PSIV1527</t>
  </si>
  <si>
    <t>5026555418089</t>
  </si>
  <si>
    <t>CUSA 28433</t>
  </si>
  <si>
    <t>Beyond a Steel Sky - Steelbook Edition /PS4 Русские субтитры</t>
  </si>
  <si>
    <t>PSIV1187</t>
  </si>
  <si>
    <t>3760156487823</t>
  </si>
  <si>
    <t>17,5 / 13,9 / 2</t>
  </si>
  <si>
    <t>CUSA 03985</t>
  </si>
  <si>
    <t>Bioshock Collection /PS4 (Английская версия)</t>
  </si>
  <si>
    <t>PSIV1507</t>
  </si>
  <si>
    <t>5026555421898</t>
  </si>
  <si>
    <t>17,2 / 13,7 / 3,1</t>
  </si>
  <si>
    <t>CUSA 03173</t>
  </si>
  <si>
    <t>Bloodborne - Game of the Year Edition /PS4 (Русские субтитры)</t>
  </si>
  <si>
    <t>PSIV1268</t>
  </si>
  <si>
    <t>0711719843146</t>
  </si>
  <si>
    <t>CUSA 00208/H</t>
  </si>
  <si>
    <t>Bloodborne (PlayStation Hits) / PS4 (Русские субтитры)</t>
  </si>
  <si>
    <t>PSIV108</t>
  </si>
  <si>
    <t>0711719438878</t>
  </si>
  <si>
    <t>Borderlands 3 /PS4 Русские субтитры</t>
  </si>
  <si>
    <t>PSIV1190</t>
  </si>
  <si>
    <t>5026555426145</t>
  </si>
  <si>
    <t>CUSA 24993</t>
  </si>
  <si>
    <t>Call of Duty: Black Ops Cold War /PS4 (Русская версия)</t>
  </si>
  <si>
    <t>PSIV1462</t>
  </si>
  <si>
    <t>5030917291838</t>
  </si>
  <si>
    <t>CUSA 14568</t>
  </si>
  <si>
    <t>Car Mechanic Simulator /PS4 русские субтитры</t>
  </si>
  <si>
    <t>PSIV1269</t>
  </si>
  <si>
    <t>4020628778712</t>
  </si>
  <si>
    <t>CUSA 28037</t>
  </si>
  <si>
    <t>Chernobylite /PS4 (Русская версия)</t>
  </si>
  <si>
    <t>PSIV1532</t>
  </si>
  <si>
    <t>5060522097631</t>
  </si>
  <si>
    <t>CUSA 24473</t>
  </si>
  <si>
    <t>Control - Ultimate Edition /PS4 (Русские субтитры)</t>
  </si>
  <si>
    <t>PSIV1308</t>
  </si>
  <si>
    <t>8023171044903</t>
  </si>
  <si>
    <t>CUSA 23470</t>
  </si>
  <si>
    <t>Crash Bandicoot 4: It's About Time /PS4 (Русские субтитры)</t>
  </si>
  <si>
    <t>PSIV1335</t>
  </si>
  <si>
    <t>5030917290961</t>
  </si>
  <si>
    <t>CUSA 11870</t>
  </si>
  <si>
    <t>Crash Bandicoot N. Sane Trilogy /PS4 (Английская версия)</t>
  </si>
  <si>
    <t>PSIV776</t>
  </si>
  <si>
    <t>5030917236709</t>
  </si>
  <si>
    <t>CUSA 14876</t>
  </si>
  <si>
    <t>Crash Team Racing Nitro-Fueled /PS4 (Английская версия)</t>
  </si>
  <si>
    <t>PSIV1476</t>
  </si>
  <si>
    <t>5030917269769</t>
  </si>
  <si>
    <t>CUSA 32404</t>
  </si>
  <si>
    <t>Crash Team Rumble - Deluxe Edition /PS4 (Английская версия)</t>
  </si>
  <si>
    <t>PSIV1463</t>
  </si>
  <si>
    <t>5030917299193</t>
  </si>
  <si>
    <t>CUSA 31349</t>
  </si>
  <si>
    <t>Crisis Core - Final Fantasy VII - Reunion /PS4 (Английская версия)</t>
  </si>
  <si>
    <t>PSIV1328</t>
  </si>
  <si>
    <t>5021290095045</t>
  </si>
  <si>
    <t>CUSA 29042</t>
  </si>
  <si>
    <t>Crysis Remastered - Trilogy /PS4 Русская версия</t>
  </si>
  <si>
    <t>PSIV1336</t>
  </si>
  <si>
    <t>0884095200855</t>
  </si>
  <si>
    <t>Days Gone (EFIGS in game) /PS4 (Английская версия)</t>
  </si>
  <si>
    <t>PSIV778</t>
  </si>
  <si>
    <t>0711719983897</t>
  </si>
  <si>
    <t>Dead Island - Definitive Collection /PS4 Русские субтитры</t>
  </si>
  <si>
    <t>PSIV1193</t>
  </si>
  <si>
    <t>4020628844554</t>
  </si>
  <si>
    <t>CUSA 08558</t>
  </si>
  <si>
    <t>Dead Rising 4: Frank’s Big Package /PS4 (Русская версия)</t>
  </si>
  <si>
    <t>PSIV1314</t>
  </si>
  <si>
    <t>5055060945957</t>
  </si>
  <si>
    <t>Death Stranding (EFIGS)/ PS4</t>
  </si>
  <si>
    <t>PSIV311</t>
  </si>
  <si>
    <t>0711719951605</t>
  </si>
  <si>
    <t>17 / 13,4 / 17</t>
  </si>
  <si>
    <t>Detroit: Become Human / PS4 (Русская версия)</t>
  </si>
  <si>
    <t>PSIV1497</t>
  </si>
  <si>
    <t>0711719397076</t>
  </si>
  <si>
    <t>CUSA 08161</t>
  </si>
  <si>
    <t>Devil May Cry 5 /PS4 (Русские субтитры)</t>
  </si>
  <si>
    <t>PSIV780</t>
  </si>
  <si>
    <t>5055060946404</t>
  </si>
  <si>
    <t>CUSA 09263</t>
  </si>
  <si>
    <t>Devil May Cry HD Collection /PS4 Английская версия</t>
  </si>
  <si>
    <t>PSIV1177</t>
  </si>
  <si>
    <t>5055060948101</t>
  </si>
  <si>
    <t>CUSA 26591</t>
  </si>
  <si>
    <t>Disco Elysium -The Final Cut /PS4 (Русские субтитры)</t>
  </si>
  <si>
    <t>PSIV1508</t>
  </si>
  <si>
    <t>0811949033796</t>
  </si>
  <si>
    <t>EA Sports FC 25 Standard Edition /PS4 (Русская версия)</t>
  </si>
  <si>
    <t>PSIV1514</t>
  </si>
  <si>
    <t>5030938125372</t>
  </si>
  <si>
    <t>Elden RIng /PS4 (Русские субтитры)</t>
  </si>
  <si>
    <t>PSIV1552</t>
  </si>
  <si>
    <t>3391892006650</t>
  </si>
  <si>
    <t>CUSA 28667</t>
  </si>
  <si>
    <t>Evil Genius 2 World Domination / PS4 (Русские субтитры)</t>
  </si>
  <si>
    <t>PSIV1512</t>
  </si>
  <si>
    <t>5056208810199</t>
  </si>
  <si>
    <t>CUSA 12054</t>
  </si>
  <si>
    <t>Fallout 76 /PS4 (Русские субтитры)</t>
  </si>
  <si>
    <t>PSIV1321</t>
  </si>
  <si>
    <t>5055856420743</t>
  </si>
  <si>
    <t>CUSA 00462 / 05847</t>
  </si>
  <si>
    <t xml:space="preserve">Far Cry 4 (Рус.вер) &amp; Far Cry 5 (Англ) /PS4 </t>
  </si>
  <si>
    <t>PSIV787</t>
  </si>
  <si>
    <t>3307216134879</t>
  </si>
  <si>
    <t>CUSA 00411</t>
  </si>
  <si>
    <t>Far Cry 4 /PS4 (Русская версия)</t>
  </si>
  <si>
    <t>PSIV788</t>
  </si>
  <si>
    <t>3307215793374</t>
  </si>
  <si>
    <t>CUSA 05848</t>
  </si>
  <si>
    <t>Far Cry 5 /PS4 Русский перевод</t>
  </si>
  <si>
    <t>PSIV1156</t>
  </si>
  <si>
    <t>3307216016595</t>
  </si>
  <si>
    <t>CUSA 15778</t>
  </si>
  <si>
    <t>Far Cry 6 / PS4 (Английская версия)</t>
  </si>
  <si>
    <t>PSIV1445</t>
  </si>
  <si>
    <t>3307216170846</t>
  </si>
  <si>
    <t>Far Cry 6 / PS4 (Русская версия)</t>
  </si>
  <si>
    <t>PSIV746</t>
  </si>
  <si>
    <t>3307216170761</t>
  </si>
  <si>
    <t>Final Fantasy XV - Royal Edition /PS4 Русские субтитры</t>
  </si>
  <si>
    <t>PSIV1387</t>
  </si>
  <si>
    <t>5021290080560</t>
  </si>
  <si>
    <t>CUSA28706</t>
  </si>
  <si>
    <t>Ghost of Tsushima - Director's Cut /PS4 (Русская версия)</t>
  </si>
  <si>
    <t>PSIV1405</t>
  </si>
  <si>
    <t>0711719715993</t>
  </si>
  <si>
    <t>CUSA 13326</t>
  </si>
  <si>
    <t>God Eater 3 /PS4 Русские субтитры</t>
  </si>
  <si>
    <t>PSIV971</t>
  </si>
  <si>
    <t>3391892003215</t>
  </si>
  <si>
    <t>God of War (Playstation Hits) /PS4 (Русские субтитры)</t>
  </si>
  <si>
    <t>PSIV790</t>
  </si>
  <si>
    <t>0711719963608</t>
  </si>
  <si>
    <t>CUSA 01715/H</t>
  </si>
  <si>
    <t>God of War III (3). Remasteres (PlayStation Hits)/ PS4 (русская версия)</t>
  </si>
  <si>
    <t>PSIV165</t>
  </si>
  <si>
    <t>6600000560197</t>
  </si>
  <si>
    <t>CUSA 34386</t>
  </si>
  <si>
    <t>God of War Ragnarok /PS4 (Русские субтитры)</t>
  </si>
  <si>
    <t>PSIV1326</t>
  </si>
  <si>
    <t>0711719407393</t>
  </si>
  <si>
    <t>CUSA 07257</t>
  </si>
  <si>
    <t>God Wars Future Past (Японская версия) /PS4 Английские субтитры</t>
  </si>
  <si>
    <t>PSIV1367</t>
  </si>
  <si>
    <t>0813633018454</t>
  </si>
  <si>
    <t>CUSA 24767</t>
  </si>
  <si>
    <t>Gran Turismo 7 /PS4 (Русские субтитры)</t>
  </si>
  <si>
    <t>PSIV1440</t>
  </si>
  <si>
    <t>0711719764793</t>
  </si>
  <si>
    <t>Grand Theft Auto V (5) - Premium Edition /PS4 (Русские субтитры)</t>
  </si>
  <si>
    <t>PSIV793</t>
  </si>
  <si>
    <t>5026555424271</t>
  </si>
  <si>
    <t>CUSA 29729</t>
  </si>
  <si>
    <t>Grand Theft Auto: The Trilogy - Definitive Edition /PS4 Русская версия</t>
  </si>
  <si>
    <t>PSIV794</t>
  </si>
  <si>
    <t>5026555430807</t>
  </si>
  <si>
    <t>CUSA 12771</t>
  </si>
  <si>
    <t>Hogwarts Legacy /PS4 (Русские субтитры)</t>
  </si>
  <si>
    <t>PSIV1438</t>
  </si>
  <si>
    <t>5051895415696</t>
  </si>
  <si>
    <t>CUSA 24705</t>
  </si>
  <si>
    <t>Horizon Forbidden West /PS4 (Русская версия)</t>
  </si>
  <si>
    <t>PSIV889</t>
  </si>
  <si>
    <t>0711719719298</t>
  </si>
  <si>
    <t>CUSA 10211</t>
  </si>
  <si>
    <t>Horizon: Zero Dawn - Complete Edition (Playstation Hits) /PS4 Русские субтитры</t>
  </si>
  <si>
    <t>PSIV1159</t>
  </si>
  <si>
    <t>0711719706113</t>
  </si>
  <si>
    <t>CUSA 29480</t>
  </si>
  <si>
    <t>House Of The Dead Remake Limited Edition /PS4 (Русские субтитры)</t>
  </si>
  <si>
    <t>PSIV1506</t>
  </si>
  <si>
    <t>3701529502903</t>
  </si>
  <si>
    <t>CUSA 18653</t>
  </si>
  <si>
    <t>Hunting SImulator 2 / PS4 (Русские субтитры)</t>
  </si>
  <si>
    <t>PSIV1537</t>
  </si>
  <si>
    <t>3665962001150</t>
  </si>
  <si>
    <t>CUSA 16345</t>
  </si>
  <si>
    <t>Immortals: Fenyx Rising /PS4 (Английская версия)</t>
  </si>
  <si>
    <t>PSIV797</t>
  </si>
  <si>
    <t>3307216143987</t>
  </si>
  <si>
    <t>CUSA 06674</t>
  </si>
  <si>
    <t>Indivisible /PS4 (Русские субтитры)</t>
  </si>
  <si>
    <t>PSIV1275</t>
  </si>
  <si>
    <t>8023171043319</t>
  </si>
  <si>
    <t>inFAMOUS: Второй сын. (Хиты PlayStation) (Русская версия)</t>
  </si>
  <si>
    <t>PSIV576</t>
  </si>
  <si>
    <t>0711719702016</t>
  </si>
  <si>
    <t>CUSA 10688</t>
  </si>
  <si>
    <t>Injustice 2 - Legendary Edition /PS4 (Русские субтитры)</t>
  </si>
  <si>
    <t>PSIV1307</t>
  </si>
  <si>
    <t>5051895411117</t>
  </si>
  <si>
    <t>Injustice 2 (Playstation Hits) /PS4 (Русские субтитры)</t>
  </si>
  <si>
    <t>PSIV798</t>
  </si>
  <si>
    <t>5051892226738</t>
  </si>
  <si>
    <t>CUSA 16746</t>
  </si>
  <si>
    <t>It Takes Two /PS4 (Русские субтитры)</t>
  </si>
  <si>
    <t>PSIV1246</t>
  </si>
  <si>
    <t>5030945124696</t>
  </si>
  <si>
    <t>Killzone: Shadow Fall (Playstation Hits) /PS4 Русский перевод</t>
  </si>
  <si>
    <t>PSIV993</t>
  </si>
  <si>
    <t>0711719440673</t>
  </si>
  <si>
    <t>CUSA 15436</t>
  </si>
  <si>
    <t>Kingdom Come Deliverance Royal Edition/ (Русские субтитры)</t>
  </si>
  <si>
    <t>PSIV665</t>
  </si>
  <si>
    <t>4020628746261</t>
  </si>
  <si>
    <t>CUSA 00806</t>
  </si>
  <si>
    <t>Lara Croft And The Temple Of Osiris /PS4 (Русские субтитры)</t>
  </si>
  <si>
    <t>PSIV1501</t>
  </si>
  <si>
    <t>4020628600310</t>
  </si>
  <si>
    <t>CUSA 34255</t>
  </si>
  <si>
    <t>LEGO 2K DRIVE /PS4 (Английская версия)</t>
  </si>
  <si>
    <t>PSIV1437</t>
  </si>
  <si>
    <t>5026555435154</t>
  </si>
  <si>
    <t>CUSA 00579</t>
  </si>
  <si>
    <t>Lego Batman 3: Beyond Gotham (PlayStation Hits) /PS4 (Русские субтитры)</t>
  </si>
  <si>
    <t>PSIV802</t>
  </si>
  <si>
    <t>5051892226745</t>
  </si>
  <si>
    <t>CUSA 06511</t>
  </si>
  <si>
    <t>LEGO CITY Undercover (русская версия)</t>
  </si>
  <si>
    <t>PSIV410</t>
  </si>
  <si>
    <t>5051892207119</t>
  </si>
  <si>
    <t>CUSA 05935</t>
  </si>
  <si>
    <t>Lego Harry Potter Collection /PS4 Английская версия</t>
  </si>
  <si>
    <t>PSIV805</t>
  </si>
  <si>
    <t>5051892202701</t>
  </si>
  <si>
    <t>CUSA 02122</t>
  </si>
  <si>
    <t>Lego Marvel Avengers /PS4 (Русские субтитры)</t>
  </si>
  <si>
    <t>PSIV807</t>
  </si>
  <si>
    <t>5051892189767</t>
  </si>
  <si>
    <t>CUSA 08476</t>
  </si>
  <si>
    <t>LEGO Marvel Super Heroes 2 /PS4 (Русские субтитры)</t>
  </si>
  <si>
    <t>PSIV808</t>
  </si>
  <si>
    <t>5051892206907</t>
  </si>
  <si>
    <t>CUSA 13509</t>
  </si>
  <si>
    <t>LEGO Movie 2: The Videogame /PS4 (Русские субтитры)</t>
  </si>
  <si>
    <t>PSIV809</t>
  </si>
  <si>
    <t>5051892220224</t>
  </si>
  <si>
    <t>CUSA 00052</t>
  </si>
  <si>
    <t>LEGO Movie Videogame (русские субтитры)</t>
  </si>
  <si>
    <t>PSIV33</t>
  </si>
  <si>
    <t>5051892154567</t>
  </si>
  <si>
    <t>CUSA 13793</t>
  </si>
  <si>
    <t>LEGO Star Wars: The Skywalker Saga /PS4 (Русские субтитры)</t>
  </si>
  <si>
    <t>PSIV811</t>
  </si>
  <si>
    <t>5051892224413</t>
  </si>
  <si>
    <t>CUSA 32137</t>
  </si>
  <si>
    <t>Like a Dragon: Infinite Wealth /PS4 (Русские субтитры)</t>
  </si>
  <si>
    <t>PSIV1464</t>
  </si>
  <si>
    <t>5055277052806</t>
  </si>
  <si>
    <t>CUSA 12779</t>
  </si>
  <si>
    <t>Little Nightmares II (2) /PS4 (Русские субтитры)</t>
  </si>
  <si>
    <t>PSIV817</t>
  </si>
  <si>
    <t>3391892013764</t>
  </si>
  <si>
    <t>CUSA 05952</t>
  </si>
  <si>
    <t>Little Nightmares. Complete Edition /PS4 (Русские субтитры)</t>
  </si>
  <si>
    <t>PSIV816</t>
  </si>
  <si>
    <t>3391892001655</t>
  </si>
  <si>
    <t>CUSA 03617</t>
  </si>
  <si>
    <t>Mafia III ( Русские субтитры)/PS4</t>
  </si>
  <si>
    <t>PSIV291</t>
  </si>
  <si>
    <t>5026555422369</t>
  </si>
  <si>
    <t>CUSA 18100</t>
  </si>
  <si>
    <t>Mafia Trilogy / PS4 (Русские субтитры)</t>
  </si>
  <si>
    <t>PSIV1453</t>
  </si>
  <si>
    <t>5026555428361</t>
  </si>
  <si>
    <t>17 / 14 / 2,1</t>
  </si>
  <si>
    <t>Mafia: Definitive Edition /PS4 (Русская версия)</t>
  </si>
  <si>
    <t>PSIV819</t>
  </si>
  <si>
    <t>5026555428149</t>
  </si>
  <si>
    <t>CUSA 06380</t>
  </si>
  <si>
    <t>Marvel vs. Capcom: Infinite /PS4 (Русские субтитры)</t>
  </si>
  <si>
    <t>PSIV469</t>
  </si>
  <si>
    <t>5055060931837</t>
  </si>
  <si>
    <t>CUSA 16206</t>
  </si>
  <si>
    <t>Marvel's Iron Man VR /PS4 (Русская версия)</t>
  </si>
  <si>
    <t>PSIV1006</t>
  </si>
  <si>
    <t>0711719942702</t>
  </si>
  <si>
    <t>CUSA 00593</t>
  </si>
  <si>
    <t>Metro Redux /PS4 (Русская версия)</t>
  </si>
  <si>
    <t>PSIV821</t>
  </si>
  <si>
    <t>4020628886271</t>
  </si>
  <si>
    <t>CUSA 11407</t>
  </si>
  <si>
    <t>Metro: Exodus /PS4 (Русская версия)</t>
  </si>
  <si>
    <t>PSIV1446</t>
  </si>
  <si>
    <t>4020628756796</t>
  </si>
  <si>
    <t>CUSA 17908</t>
  </si>
  <si>
    <t>Minecraft (PS VR compatible)  /PS4 (Русские субтитры)</t>
  </si>
  <si>
    <t>PSIV1493</t>
  </si>
  <si>
    <t>0711719704096</t>
  </si>
  <si>
    <t>CUSA 20193</t>
  </si>
  <si>
    <t>Minecraft Legends - Deluxe Edition /PS4 (Русская версия)</t>
  </si>
  <si>
    <t>PSIV1448</t>
  </si>
  <si>
    <t>5056635601773</t>
  </si>
  <si>
    <t>CUSA 01337</t>
  </si>
  <si>
    <t>Monopoly Family Fun Pack /PS4 Русская версия</t>
  </si>
  <si>
    <t>PSIV1236</t>
  </si>
  <si>
    <t>3307215802038</t>
  </si>
  <si>
    <t>CUSA 26330</t>
  </si>
  <si>
    <t>Monopoly Madness /PS4 Русские субтитры</t>
  </si>
  <si>
    <t>PSIV1237</t>
  </si>
  <si>
    <t>3307216229438</t>
  </si>
  <si>
    <t>CUSA 11379</t>
  </si>
  <si>
    <t>Mortal Kombat 11 /PS4 Русские субтитры</t>
  </si>
  <si>
    <t>PSIV1511</t>
  </si>
  <si>
    <t>5051893238716</t>
  </si>
  <si>
    <t>CUSA 25149 / 25150</t>
  </si>
  <si>
    <t>Mortal Kombat 11: Ultimate Edition /PS4 Русские субтитры</t>
  </si>
  <si>
    <t>PSIV1174</t>
  </si>
  <si>
    <t>5051892230377</t>
  </si>
  <si>
    <t>CUSA 00970</t>
  </si>
  <si>
    <t>Mortal Kombat X (PlayStation Hits) /PS4 (Русские субтитры)</t>
  </si>
  <si>
    <t>PSIV733</t>
  </si>
  <si>
    <t>5051892217088</t>
  </si>
  <si>
    <t>CUSA 03679</t>
  </si>
  <si>
    <t>Mortal Kombat XL / PS4 (Русские субтитры)</t>
  </si>
  <si>
    <t>PSIV262</t>
  </si>
  <si>
    <t>6600000561194</t>
  </si>
  <si>
    <t>My Friend Peppa Pig /PS4 (Русская версия)</t>
  </si>
  <si>
    <t>PSIV1519</t>
  </si>
  <si>
    <t>5060528035811</t>
  </si>
  <si>
    <t>CUSA 06210</t>
  </si>
  <si>
    <t>Naruto Shippuden: Ultimate Ninja Storm 4 - Road To Boruto /PS4 Русские субтитры</t>
  </si>
  <si>
    <t>PSIV1026</t>
  </si>
  <si>
    <t>3391891991261</t>
  </si>
  <si>
    <t>NBA 2K25 /PS4 Английская версия</t>
  </si>
  <si>
    <t>PSIV1510</t>
  </si>
  <si>
    <t>5026555437882</t>
  </si>
  <si>
    <t>CUSA 05986</t>
  </si>
  <si>
    <t>Need for Speed: Payback /PS4 русская версия</t>
  </si>
  <si>
    <t>PSIV1281</t>
  </si>
  <si>
    <t>5030940124196</t>
  </si>
  <si>
    <t>Neverwinter Nights - Enhanced Edition /PS4 Английская версия</t>
  </si>
  <si>
    <t>PSIV1389</t>
  </si>
  <si>
    <t>0811949031396</t>
  </si>
  <si>
    <t>CUSA 24653</t>
  </si>
  <si>
    <t>New Joe And Mac - Caveman Ninja / PS4 (Русские субтитры)</t>
  </si>
  <si>
    <t>PSIV1483</t>
  </si>
  <si>
    <t>3701529501098</t>
  </si>
  <si>
    <t>CUSA 04480</t>
  </si>
  <si>
    <t>NieR: Automata - Game of the YoRHa Edition /PS4 (Английская версия)</t>
  </si>
  <si>
    <t>PSIV824</t>
  </si>
  <si>
    <t>5021290083523</t>
  </si>
  <si>
    <t>Nioh/ PS4 (Русские субтитры)</t>
  </si>
  <si>
    <t>PSIV387</t>
  </si>
  <si>
    <t>0711719818762</t>
  </si>
  <si>
    <t>No Man's Sky: Beyond VR/PS4 Русский перевод</t>
  </si>
  <si>
    <t>PSIV1157</t>
  </si>
  <si>
    <t>0711719929604</t>
  </si>
  <si>
    <t>CUSA 32206</t>
  </si>
  <si>
    <t>Operation Wolf Returns: First Mission. Rescue Edition  /PS4 Английская версия</t>
  </si>
  <si>
    <t>PSIV1502</t>
  </si>
  <si>
    <t>3701529504532</t>
  </si>
  <si>
    <t>CUSA 23463</t>
  </si>
  <si>
    <t>Overcooked: All You Can Eat /PS4 (Русские субтитры)</t>
  </si>
  <si>
    <t>PSIV827</t>
  </si>
  <si>
    <t>5056208808721</t>
  </si>
  <si>
    <t>CUSA 43148</t>
  </si>
  <si>
    <t>Persona 5 Tactica /PS4 Английская версия</t>
  </si>
  <si>
    <t>PSIV1466</t>
  </si>
  <si>
    <t>5055277052042</t>
  </si>
  <si>
    <t>CUSA 36582</t>
  </si>
  <si>
    <t>Prince of Persia The Lost Crown/ PS4 (Русские субтитры)</t>
  </si>
  <si>
    <t>PSIV1457</t>
  </si>
  <si>
    <t>3307216265399</t>
  </si>
  <si>
    <t>CUSA 27236</t>
  </si>
  <si>
    <t>Rabbids: Party of Legends /PS4 Русские субтитры</t>
  </si>
  <si>
    <t>PSIV1057</t>
  </si>
  <si>
    <t>3307216237426</t>
  </si>
  <si>
    <t>CUSA 01073/H/</t>
  </si>
  <si>
    <t>Ratchet &amp; Clank (Playstation Hits) /PS4 (Русская версия)</t>
  </si>
  <si>
    <t>PSIV830</t>
  </si>
  <si>
    <t>0711719415572</t>
  </si>
  <si>
    <t>CUSA 00031</t>
  </si>
  <si>
    <t>Rayman Legends (Playstation Hits) /PS4 Английская версия</t>
  </si>
  <si>
    <t>PSIV1204</t>
  </si>
  <si>
    <t>3307216075998</t>
  </si>
  <si>
    <t>CUSA 36843</t>
  </si>
  <si>
    <t>Red Dead Redemption /PS4 (Русские субтитры)</t>
  </si>
  <si>
    <t>PSIV1473</t>
  </si>
  <si>
    <t>5026555435765</t>
  </si>
  <si>
    <t>CUSA 08519</t>
  </si>
  <si>
    <t>Red Dead Redemption 2 /PS4 (Русские субтитры)</t>
  </si>
  <si>
    <t>PSIV1247</t>
  </si>
  <si>
    <t>5026555423045</t>
  </si>
  <si>
    <t>Resident Evil 2 /PS4 (Русские субтитры)</t>
  </si>
  <si>
    <t>PSIV832</t>
  </si>
  <si>
    <t>5055060946121</t>
  </si>
  <si>
    <t>Resident Evil 3 /PS4 (Русские субтитры)</t>
  </si>
  <si>
    <t>PSIV1285</t>
  </si>
  <si>
    <t>5055060949610</t>
  </si>
  <si>
    <t>CUSA 33388</t>
  </si>
  <si>
    <t>Resident Evil 4 Remake /PS4 (Русская версия)</t>
  </si>
  <si>
    <t>PSIV1488</t>
  </si>
  <si>
    <t>5055060902639</t>
  </si>
  <si>
    <t>17,1 / 13,6 / 3,1</t>
  </si>
  <si>
    <t>Resident Evil VII (7) Biohazard (Playstation Hits) /PS4 (Русские субтитры)</t>
  </si>
  <si>
    <t>PSIV1175</t>
  </si>
  <si>
    <t>5055060900840</t>
  </si>
  <si>
    <t>Resident Evil: Revelations 2 /PS4 Русские субтитры</t>
  </si>
  <si>
    <t>PSIV1207</t>
  </si>
  <si>
    <t>5055060930458</t>
  </si>
  <si>
    <t>CUSA 18008/2592</t>
  </si>
  <si>
    <t>Resident Evil: Village - Gold Edition /PS4 Русская версия</t>
  </si>
  <si>
    <t>PSIV1542</t>
  </si>
  <si>
    <t>5055060902585</t>
  </si>
  <si>
    <t>Rider's Republic / PS4 (Русские субтитры)</t>
  </si>
  <si>
    <t>PSIV1525</t>
  </si>
  <si>
    <t>3307216190790</t>
  </si>
  <si>
    <t>Rise of the Tomb Raider: 20 Year Celebration /PS4 Русская версия</t>
  </si>
  <si>
    <t>PSIV1248</t>
  </si>
  <si>
    <t>5021290074453</t>
  </si>
  <si>
    <t>Rocket Arena Mythic Edition /PS4 (Русские субтитры)</t>
  </si>
  <si>
    <t>PSIV1520</t>
  </si>
  <si>
    <t>5035226124167</t>
  </si>
  <si>
    <t>CUSA 34337</t>
  </si>
  <si>
    <t>Saints Row Day One Edition /PS4 Русские субтитры</t>
  </si>
  <si>
    <t>PSIV1535</t>
  </si>
  <si>
    <t>4020628687397</t>
  </si>
  <si>
    <t>CUSA 14712</t>
  </si>
  <si>
    <t>Sayonara Wild Hearts /PS4 Русские субтитры</t>
  </si>
  <si>
    <t>PSIV1072</t>
  </si>
  <si>
    <t>0811949032751</t>
  </si>
  <si>
    <t>CUSA 10354</t>
  </si>
  <si>
    <t>Scribblenauts Showdown /PS4 (Английская версия)</t>
  </si>
  <si>
    <t>PSIV1211</t>
  </si>
  <si>
    <t>5051892213448</t>
  </si>
  <si>
    <t>CUSA 15381</t>
  </si>
  <si>
    <t>Sid Meier's Civilization VI/ PS4 (Русские субтитры)</t>
  </si>
  <si>
    <t>PSIV1529</t>
  </si>
  <si>
    <t>5026555425742</t>
  </si>
  <si>
    <t>CUSA 04099</t>
  </si>
  <si>
    <t>Sniper Elite 4 / PS4 (Русская версия)</t>
  </si>
  <si>
    <t>PSIV399</t>
  </si>
  <si>
    <t>5060236966469</t>
  </si>
  <si>
    <t>CUSA 17438</t>
  </si>
  <si>
    <t>Snowrunner /PS4 (Русская версия)</t>
  </si>
  <si>
    <t>PSIV1469</t>
  </si>
  <si>
    <t>3512899122789</t>
  </si>
  <si>
    <t>Sonic Colours Ultimate /PS4 (Русские субтитры)</t>
  </si>
  <si>
    <t>PSIV839</t>
  </si>
  <si>
    <t>5055277038220</t>
  </si>
  <si>
    <t>CUSA 28194</t>
  </si>
  <si>
    <t>Sonic Frontiers /PS4 (Русские субтитры)</t>
  </si>
  <si>
    <t>PSIV1403</t>
  </si>
  <si>
    <t>5055277048175</t>
  </si>
  <si>
    <t>CUSA 12236</t>
  </si>
  <si>
    <t>Sonic Mania Plus (Английская версия)</t>
  </si>
  <si>
    <t>PSIV571</t>
  </si>
  <si>
    <t>5055277031733</t>
  </si>
  <si>
    <t>Sonic Origins Plus/PS4 (Русские субтитры)</t>
  </si>
  <si>
    <t>PSIV1549</t>
  </si>
  <si>
    <t>5055277050307</t>
  </si>
  <si>
    <t>17 / 13,7 / 2</t>
  </si>
  <si>
    <t>Spider-Man: Miles Morales / PS4 (Русская версия)</t>
  </si>
  <si>
    <t>PSIV1408</t>
  </si>
  <si>
    <t>0711719818823</t>
  </si>
  <si>
    <t>CUSA 12085</t>
  </si>
  <si>
    <t>Spyro: Reignited Trilogy /PS4 (Английская версия)</t>
  </si>
  <si>
    <t>PSIV843</t>
  </si>
  <si>
    <t>5030917242175</t>
  </si>
  <si>
    <t>CUSA 12529</t>
  </si>
  <si>
    <t>Star Wars Jedi Fallen Order /PS4 (Русская версия)</t>
  </si>
  <si>
    <t>PSIV844</t>
  </si>
  <si>
    <t>5030937122440</t>
  </si>
  <si>
    <t>CUSA 07705</t>
  </si>
  <si>
    <t>Starblood Arena(VR required) /PS4 (Русская версия)</t>
  </si>
  <si>
    <t>PSIV1503</t>
  </si>
  <si>
    <t>0711719832362</t>
  </si>
  <si>
    <t>Stray /PS4 (Русские субтитры)</t>
  </si>
  <si>
    <t>PSIV1551</t>
  </si>
  <si>
    <t>6600000562689</t>
  </si>
  <si>
    <t>17 / 13,4 / 1,7</t>
  </si>
  <si>
    <t>CUSA 16486</t>
  </si>
  <si>
    <t>Street Fighter V (5) (Playstation Hits)/ PS4 (Русские субтитры)</t>
  </si>
  <si>
    <t>PSIV249</t>
  </si>
  <si>
    <t>5055060948880</t>
  </si>
  <si>
    <t>CUSA 18058</t>
  </si>
  <si>
    <t>Subnautica: Below Zero /PS4 (Русские субтитры)</t>
  </si>
  <si>
    <t>PSIV846</t>
  </si>
  <si>
    <t>3391892015133</t>
  </si>
  <si>
    <t>CUSA 24449</t>
  </si>
  <si>
    <t>Syberia: The World Before / PS4 (Русская версия)</t>
  </si>
  <si>
    <t>PSIV1539</t>
  </si>
  <si>
    <t>3701529504730</t>
  </si>
  <si>
    <t>CUSA 17195</t>
  </si>
  <si>
    <t>Tales Of Arise / PS4 (Русские субтитры)</t>
  </si>
  <si>
    <t>PSIV1504</t>
  </si>
  <si>
    <t>3391892006452</t>
  </si>
  <si>
    <t>Team Sonic Racing / PS4 (Русские субтитры)</t>
  </si>
  <si>
    <t>PSIV1526</t>
  </si>
  <si>
    <t>5055277033454</t>
  </si>
  <si>
    <t>CUSA 06014</t>
  </si>
  <si>
    <t>Tekken 7 /PS4 Русские субтитры</t>
  </si>
  <si>
    <t>PSIV847</t>
  </si>
  <si>
    <t>3391891990899</t>
  </si>
  <si>
    <t>CUSA 15306</t>
  </si>
  <si>
    <t>Terminator: Resistance/PS4 Английская версия</t>
  </si>
  <si>
    <t>PSIV1216</t>
  </si>
  <si>
    <t>5060112433047</t>
  </si>
  <si>
    <t>CUSA 08609</t>
  </si>
  <si>
    <t>The Crew 2 /PS4 (Русская версия)</t>
  </si>
  <si>
    <t>PSIV1100</t>
  </si>
  <si>
    <t>3307216024590</t>
  </si>
  <si>
    <t>CUSA 17885</t>
  </si>
  <si>
    <t>The Dark Pictures Anthology: Little Hope /PS4 (Русская версия)</t>
  </si>
  <si>
    <t>PSIV1489</t>
  </si>
  <si>
    <t>3391892007824</t>
  </si>
  <si>
    <t>CUSA 31396</t>
  </si>
  <si>
    <t>The DioField Chronicle /PS4 Английская версия</t>
  </si>
  <si>
    <t>PSIV1470</t>
  </si>
  <si>
    <t>5021290093935</t>
  </si>
  <si>
    <t>The Last of Us (Playstation Hits) /PS4 (Английская версия)</t>
  </si>
  <si>
    <t>PSIV851</t>
  </si>
  <si>
    <t>0711719411871</t>
  </si>
  <si>
    <t>The Last of Us Part II (2) /PS4 (Русская версия)</t>
  </si>
  <si>
    <t>PSIV1419</t>
  </si>
  <si>
    <t>0711719331209</t>
  </si>
  <si>
    <t>CUSA 13689</t>
  </si>
  <si>
    <t>The Outer Worlds /PS4 (Русские субтитры)</t>
  </si>
  <si>
    <t>PSIV1531</t>
  </si>
  <si>
    <t>5026555426305</t>
  </si>
  <si>
    <t>The Quarry /PS4 Русская версия</t>
  </si>
  <si>
    <t>PSIV1341</t>
  </si>
  <si>
    <t>5026555432306</t>
  </si>
  <si>
    <t>CUSA 06782</t>
  </si>
  <si>
    <t>The Survivalists /PS4 русские субтитры</t>
  </si>
  <si>
    <t>PSIV1294</t>
  </si>
  <si>
    <t>5056208806826</t>
  </si>
  <si>
    <t>CUSA 05571</t>
  </si>
  <si>
    <t>The Witcher III (3) Wild Hunt - Game of the Year /PS4 Русские субтитры</t>
  </si>
  <si>
    <t>PSIV852</t>
  </si>
  <si>
    <t>3391891989886</t>
  </si>
  <si>
    <t>Tintin Reporter: Cigars Of The Pharaon Limited Edition / PS4 (Русские субтитры)</t>
  </si>
  <si>
    <t>PSIV1505</t>
  </si>
  <si>
    <t>3701529506574</t>
  </si>
  <si>
    <t>17,1 / 14 / 17</t>
  </si>
  <si>
    <t>CUSA 23767</t>
  </si>
  <si>
    <t>Tiny Tina’s Wonderlands /PS4 (Русские субтитры)</t>
  </si>
  <si>
    <t>PSIV1262</t>
  </si>
  <si>
    <t>5026555430005</t>
  </si>
  <si>
    <t>CUSA 12630</t>
  </si>
  <si>
    <t>Tom Clancy's - The Division 2 /PS4 (Английская версия)</t>
  </si>
  <si>
    <t>PSIV1442</t>
  </si>
  <si>
    <t>3307216080459</t>
  </si>
  <si>
    <t>Tom Clancy's Rainbow Six: Extraction /PS4 (Русская версия)</t>
  </si>
  <si>
    <t>PSIV1550</t>
  </si>
  <si>
    <t>4630018113537</t>
  </si>
  <si>
    <t>CUSA 20464</t>
  </si>
  <si>
    <t>Tony Hawk's Pro Skater 1 &amp; 2 /PS4 (Английская версия)</t>
  </si>
  <si>
    <t>PSIV1543</t>
  </si>
  <si>
    <t>5030917291166</t>
  </si>
  <si>
    <t>CUSA 09435</t>
  </si>
  <si>
    <t>Trials Rising - Gold Edition /PS4 русские субтитры</t>
  </si>
  <si>
    <t>PSIV1297</t>
  </si>
  <si>
    <t>3307216030300</t>
  </si>
  <si>
    <t>CUSA 41223</t>
  </si>
  <si>
    <t>Trine 5: A Clockwork Conspiracy /PS4 (Русские субтитры)</t>
  </si>
  <si>
    <t>PSIV1546</t>
  </si>
  <si>
    <t>9120080079756</t>
  </si>
  <si>
    <t>17,1 / 13,5 / 1,4</t>
  </si>
  <si>
    <t>CUSA 14209</t>
  </si>
  <si>
    <t>UFC 4/PS4 (Русские субтитры)</t>
  </si>
  <si>
    <t>PSIV713</t>
  </si>
  <si>
    <t>5030945122494</t>
  </si>
  <si>
    <t>CUSA 13034</t>
  </si>
  <si>
    <t>Watch Dogs: Legion /PS4 Русская версия</t>
  </si>
  <si>
    <t>PSIV1264</t>
  </si>
  <si>
    <t>3307216135166</t>
  </si>
  <si>
    <t>Worlds of Magic Planar Conquest /PS4 Английская версия</t>
  </si>
  <si>
    <t>PSIV1141</t>
  </si>
  <si>
    <t>5016488129022</t>
  </si>
  <si>
    <t>CUSA 23465</t>
  </si>
  <si>
    <t>Worms Rumble - Fully Loaded Edition /PS4 русские субтитры</t>
  </si>
  <si>
    <t>PSIV1299</t>
  </si>
  <si>
    <t>5056208809315</t>
  </si>
  <si>
    <t>CUSA 09176</t>
  </si>
  <si>
    <t>Жизнь После  (русская версия)</t>
  </si>
  <si>
    <t>PSIV645</t>
  </si>
  <si>
    <t>0711719795414</t>
  </si>
  <si>
    <t>Тачки 3. Навстречу победе (русские субтитры)</t>
  </si>
  <si>
    <t>PSIV430</t>
  </si>
  <si>
    <t>5051892208772</t>
  </si>
  <si>
    <t>PPSA 02387</t>
  </si>
  <si>
    <t>A Plague Tale: Innocence HD / PS5 (Русские субтитры)</t>
  </si>
  <si>
    <t>PSV1473</t>
  </si>
  <si>
    <t>3512899945807</t>
  </si>
  <si>
    <t>PPSA 07443</t>
  </si>
  <si>
    <t>Agatha Christie: Murder on the Orient Express - Deluxe Edition (Русские субтитры)</t>
  </si>
  <si>
    <t>PSV1471</t>
  </si>
  <si>
    <t>3701529507960</t>
  </si>
  <si>
    <t>PPSA 08312</t>
  </si>
  <si>
    <t>Aliens: Dark Descent / PS5 (Русские субтитры)</t>
  </si>
  <si>
    <t>PSV1432</t>
  </si>
  <si>
    <t>3512899965799</t>
  </si>
  <si>
    <t>17 / 13,6 / 1,6</t>
  </si>
  <si>
    <t>PPSA 04719</t>
  </si>
  <si>
    <t>Anno 1800 Console Edition /PS5 (Русская версия)</t>
  </si>
  <si>
    <t>PSV1468</t>
  </si>
  <si>
    <t>3307216262084</t>
  </si>
  <si>
    <t>PPSA 13960</t>
  </si>
  <si>
    <t>Assassin’s Creed Mirage / PS5 (Русские субтитры)</t>
  </si>
  <si>
    <t>PSV1421</t>
  </si>
  <si>
    <t>3307216258315</t>
  </si>
  <si>
    <t>PPSA 01532</t>
  </si>
  <si>
    <t>Assassin’s Creed Valhalla / PS5 (Русская версия)</t>
  </si>
  <si>
    <t>PSV1464</t>
  </si>
  <si>
    <t>3307216174165</t>
  </si>
  <si>
    <t>PPSA 20397</t>
  </si>
  <si>
    <t>Assassin's Creed: Shadows / PS5 (Русские субтитры)</t>
  </si>
  <si>
    <t>PSV1548</t>
  </si>
  <si>
    <t>3307216292975</t>
  </si>
  <si>
    <t>PPSA 10695</t>
  </si>
  <si>
    <t>Atomic Heart /PS5 (Русская версия)</t>
  </si>
  <si>
    <t>PSV952</t>
  </si>
  <si>
    <t>3512899959323</t>
  </si>
  <si>
    <t>PPSA 03979</t>
  </si>
  <si>
    <t>Beyond A Steel Sky - Steelbok Edition/ PS5 (Русские субтитры)</t>
  </si>
  <si>
    <t>PSV1454</t>
  </si>
  <si>
    <t>3760156488615</t>
  </si>
  <si>
    <t>PPSA 02050</t>
  </si>
  <si>
    <t>Call of Duty: Black Ops Cold War /PS5 (Русская версия)</t>
  </si>
  <si>
    <t>PSV1422</t>
  </si>
  <si>
    <t>5030917292477</t>
  </si>
  <si>
    <t>PPSA 04748</t>
  </si>
  <si>
    <t>Chernobylite /PS5 (Русская версия)</t>
  </si>
  <si>
    <t>PSV1500</t>
  </si>
  <si>
    <t>5060522097716</t>
  </si>
  <si>
    <t>PPSA 04645</t>
  </si>
  <si>
    <t>Cobra Kai 2: Dojos Rising / PS5 (Английская версия)</t>
  </si>
  <si>
    <t>PSV1488</t>
  </si>
  <si>
    <t>5060968300050</t>
  </si>
  <si>
    <t>PPSA 06660</t>
  </si>
  <si>
    <t>Crash Team Rumble - Deluxe Edition / PS5 (Английская версия)</t>
  </si>
  <si>
    <t>PSV1434</t>
  </si>
  <si>
    <t>5030917299278</t>
  </si>
  <si>
    <t>Cyberpunk 2077: Ultimate Edition /PS5 (русские субтитры)</t>
  </si>
  <si>
    <t>PSV1562</t>
  </si>
  <si>
    <t/>
  </si>
  <si>
    <t>PPSA 09482</t>
  </si>
  <si>
    <t>Daymare: 1994 - Sandcastle / PS5 (Русские субтитры)</t>
  </si>
  <si>
    <t>PSV1516</t>
  </si>
  <si>
    <t>5055377605964</t>
  </si>
  <si>
    <t>PPSA 16305</t>
  </si>
  <si>
    <t>Dead Cells: Return to Castlevania Edition / PS5 (Русская версия)</t>
  </si>
  <si>
    <t>PSV1517</t>
  </si>
  <si>
    <t>5060264378135</t>
  </si>
  <si>
    <t>PPSA 03846</t>
  </si>
  <si>
    <t>Dead Space Remake / PS5 (Английская версия)</t>
  </si>
  <si>
    <t>PSV1532</t>
  </si>
  <si>
    <t>5030942124682</t>
  </si>
  <si>
    <t>PPSA 01341</t>
  </si>
  <si>
    <t>Demon's Souls /PS5 (Русские субтитры)</t>
  </si>
  <si>
    <t>PSV943</t>
  </si>
  <si>
    <t>0711719809821</t>
  </si>
  <si>
    <t>PPSA 01443</t>
  </si>
  <si>
    <t>Devil May Cry 5 - Special Edition /PS5 (Русские субтитры)</t>
  </si>
  <si>
    <t>PSV1417</t>
  </si>
  <si>
    <t>5055060952603</t>
  </si>
  <si>
    <t>Dragon Age The Veilguard /PS5 (Русские субтитры)</t>
  </si>
  <si>
    <t>PSV1499</t>
  </si>
  <si>
    <t>5035225125264</t>
  </si>
  <si>
    <t>PPSA 08083</t>
  </si>
  <si>
    <t>Dragon Ball Z Karakot / PS5 (Русские субтитры)</t>
  </si>
  <si>
    <t>PSV1482</t>
  </si>
  <si>
    <t>3391892024647</t>
  </si>
  <si>
    <t>Dragon's Dogma 2 /PS5 (Русские субтитры)</t>
  </si>
  <si>
    <t>PSV1502</t>
  </si>
  <si>
    <t>5055060954065</t>
  </si>
  <si>
    <t>EA Sports F1 24 / PS5 (Английская версия)</t>
  </si>
  <si>
    <t>PSV1457</t>
  </si>
  <si>
    <t>5035225125271</t>
  </si>
  <si>
    <t>EA Sports FC 25 Standard Edition /PS5 (Русская версия)</t>
  </si>
  <si>
    <t>PSV1492</t>
  </si>
  <si>
    <t>5030949125354</t>
  </si>
  <si>
    <t>PPSA 03541</t>
  </si>
  <si>
    <t>EA Sports UFC 5 / PS5 (Английская версия)</t>
  </si>
  <si>
    <t>PSV1428</t>
  </si>
  <si>
    <t>5030931125263</t>
  </si>
  <si>
    <t>PPSA 04609</t>
  </si>
  <si>
    <t>Elden Ring / PS5 (Русские субтитры)</t>
  </si>
  <si>
    <t>PSV19</t>
  </si>
  <si>
    <t>3391892017236</t>
  </si>
  <si>
    <t>Elden Ring Shadow of the Erdtree  / PS5 (Русские субтитры)</t>
  </si>
  <si>
    <t>PSV1462</t>
  </si>
  <si>
    <t>3391892030952</t>
  </si>
  <si>
    <t>PPSA 14455</t>
  </si>
  <si>
    <t>Empire Of The Ants /PS5 (Русские субтитры)</t>
  </si>
  <si>
    <t>PSV1506</t>
  </si>
  <si>
    <t>3701529506369</t>
  </si>
  <si>
    <t>PPSA 02665</t>
  </si>
  <si>
    <t>Endless Dungeon Day One Edition / PS5 (Русские субтитры)</t>
  </si>
  <si>
    <t>PSV1477</t>
  </si>
  <si>
    <t>5055277043651</t>
  </si>
  <si>
    <t>17,6 / 13,6 / 3,6</t>
  </si>
  <si>
    <t>PPSA 17422</t>
  </si>
  <si>
    <t>Expeditions: A MudRunner Game / PS5 (Русские субтитры)</t>
  </si>
  <si>
    <t>PSV1441</t>
  </si>
  <si>
    <t>4020628584801</t>
  </si>
  <si>
    <t>PPSA 01874</t>
  </si>
  <si>
    <t>Far Cry 6  /PS5 (Русская версия)</t>
  </si>
  <si>
    <t>PSV1463</t>
  </si>
  <si>
    <t>3307216176237</t>
  </si>
  <si>
    <t>PPSA 19644</t>
  </si>
  <si>
    <t>Farming Simulator 25 /PS5 (Русские субтитры)</t>
  </si>
  <si>
    <t>PSV1549</t>
  </si>
  <si>
    <t>4064635500546</t>
  </si>
  <si>
    <t>PPSA 10665</t>
  </si>
  <si>
    <t>Final Fantasy XVI /PS5 (Русские субтитры)</t>
  </si>
  <si>
    <t>PSV955</t>
  </si>
  <si>
    <t>5021290096806</t>
  </si>
  <si>
    <t>PPSA 08546</t>
  </si>
  <si>
    <t>Flashback 2 Limited Edition /PS5 (Английская версия)</t>
  </si>
  <si>
    <t>PSV1455</t>
  </si>
  <si>
    <t>3701529502132</t>
  </si>
  <si>
    <t>Flintlock: The Siege of Dawn - Deluxe Edition /PS5 (Русские субтитры)</t>
  </si>
  <si>
    <t>PSV1472</t>
  </si>
  <si>
    <t>5016488141017</t>
  </si>
  <si>
    <t>PPSA 03208</t>
  </si>
  <si>
    <t>Ghost of Tsushima - Director's Cut /PS5 (Русская версия)</t>
  </si>
  <si>
    <t>PSV871</t>
  </si>
  <si>
    <t>0711719714194</t>
  </si>
  <si>
    <t>PPSA 08330</t>
  </si>
  <si>
    <t>God of War Ragnarok /PS5 (Русские субтитры)</t>
  </si>
  <si>
    <t>PSV931</t>
  </si>
  <si>
    <t>0711719409298</t>
  </si>
  <si>
    <t>PPSA 04263</t>
  </si>
  <si>
    <t>Grand Theft Auto V (5) /PS5 (Русские субтитры)</t>
  </si>
  <si>
    <t>PSV921</t>
  </si>
  <si>
    <t>5026555431941</t>
  </si>
  <si>
    <t>PPSA 02849</t>
  </si>
  <si>
    <t>Greak: Memories of Azur / PS5 (Русские субтитры)</t>
  </si>
  <si>
    <t>PSV1489</t>
  </si>
  <si>
    <t>5056208811622</t>
  </si>
  <si>
    <t>PPSA 06016</t>
  </si>
  <si>
    <t>Helldivers 2 /PS5 (Русские субтитры)</t>
  </si>
  <si>
    <t>PSV1513</t>
  </si>
  <si>
    <t>0711719578628</t>
  </si>
  <si>
    <t>PPSA 01521</t>
  </si>
  <si>
    <t>Horizon Forbidden West /PS5 (Русская версия)</t>
  </si>
  <si>
    <t>PSV922</t>
  </si>
  <si>
    <t>0711719719892</t>
  </si>
  <si>
    <t>PPSA 09285</t>
  </si>
  <si>
    <t>Hot Wheels Unleashed 2 Turbocharged /PS5 (Английская версия)</t>
  </si>
  <si>
    <t>PSV1501</t>
  </si>
  <si>
    <t>8057168507508</t>
  </si>
  <si>
    <t>PPSA 01463</t>
  </si>
  <si>
    <t>Human Fall Flat Dream Collection / PS5 (Русские субтитры)</t>
  </si>
  <si>
    <t>PSV1554</t>
  </si>
  <si>
    <t>5056635603494</t>
  </si>
  <si>
    <t>PPSA 01408</t>
  </si>
  <si>
    <t>Just Dance 2021/ PS5 (Английская версия)</t>
  </si>
  <si>
    <t>PSV1538</t>
  </si>
  <si>
    <t>3307216177210</t>
  </si>
  <si>
    <t>PPSA 08187</t>
  </si>
  <si>
    <t>LEGO 2K DRIVE /PS5 (Английская версия)</t>
  </si>
  <si>
    <t>PSV954</t>
  </si>
  <si>
    <t>5026555435291</t>
  </si>
  <si>
    <t>PPSA 06436</t>
  </si>
  <si>
    <t>Like a Dragon: Infinite Wealth / PS5 (Русские субтитры)</t>
  </si>
  <si>
    <t>PSV1435</t>
  </si>
  <si>
    <t>5055277052370</t>
  </si>
  <si>
    <t>PPSA 02154</t>
  </si>
  <si>
    <t>Little Nightmares II - Enhanced Edition / PS5 (Русские субтитры)</t>
  </si>
  <si>
    <t>PSV1527</t>
  </si>
  <si>
    <t>3391892033328</t>
  </si>
  <si>
    <t>Lords Of The Fallen / PS5 (Английская версия)</t>
  </si>
  <si>
    <t>PSV1504</t>
  </si>
  <si>
    <t>5906961191472</t>
  </si>
  <si>
    <t>PPSA 01862</t>
  </si>
  <si>
    <t>Maneater /PS5 (Русская версия)</t>
  </si>
  <si>
    <t>PSV1437</t>
  </si>
  <si>
    <t>4020628706395</t>
  </si>
  <si>
    <t>PPSA 03603</t>
  </si>
  <si>
    <t>Marvel Midnight Suns Enhanced Edition / PS5 (Английская версия)</t>
  </si>
  <si>
    <t>PSV1508</t>
  </si>
  <si>
    <t>5026555431361</t>
  </si>
  <si>
    <t>PPSA 01749</t>
  </si>
  <si>
    <t>Metro: Exodus - Complete Edition /PS5 (Русская версия)</t>
  </si>
  <si>
    <t>PSV948</t>
  </si>
  <si>
    <t>4020628696702</t>
  </si>
  <si>
    <t>PPSA 07571</t>
  </si>
  <si>
    <t>Mortal Kombat 1 / PS5 (Русские субтитры)</t>
  </si>
  <si>
    <t>PSV1411</t>
  </si>
  <si>
    <t>5051895416815</t>
  </si>
  <si>
    <t>PPSA 01619</t>
  </si>
  <si>
    <t>Mortal Kombat 11: Ultimate Edition /PS5 (Русские субтитры)</t>
  </si>
  <si>
    <t>PSV874</t>
  </si>
  <si>
    <t>5051890324924</t>
  </si>
  <si>
    <t>PPSA 04135</t>
  </si>
  <si>
    <t>Mount Blade 2. Bannelord/ PS5 (Русские субтитры)</t>
  </si>
  <si>
    <t>PSV1552</t>
  </si>
  <si>
    <t>6600000632221</t>
  </si>
  <si>
    <t>NBA 2K25 /PS5 (Английская версия)</t>
  </si>
  <si>
    <t>PSV1486</t>
  </si>
  <si>
    <t>5026555438001</t>
  </si>
  <si>
    <t>PPSA 01717</t>
  </si>
  <si>
    <t>Need For Speed Unbound/ PS5 (Английская версия)</t>
  </si>
  <si>
    <t>PSV1534</t>
  </si>
  <si>
    <t>5030938123866</t>
  </si>
  <si>
    <t>PPSA 02259</t>
  </si>
  <si>
    <t>Oddworld Soulstorm / PS5 (Русские субтитры)</t>
  </si>
  <si>
    <t>PSV1509</t>
  </si>
  <si>
    <t>3760156487083</t>
  </si>
  <si>
    <t>PPSA 01490</t>
  </si>
  <si>
    <t>Operation Wolf Returns: First Mission. Rescue Edition  / PS5 (Английская версия)</t>
  </si>
  <si>
    <t>PSV1479</t>
  </si>
  <si>
    <t>3701529503467</t>
  </si>
  <si>
    <t>PPSA 01779</t>
  </si>
  <si>
    <t>Outriders - Day One Edition /PS5 (Русские субтитры)</t>
  </si>
  <si>
    <t>PSV892</t>
  </si>
  <si>
    <t>5021290086999</t>
  </si>
  <si>
    <t>PPSA 14411</t>
  </si>
  <si>
    <t>Payday 3 Day One Edition /PS5 (Русские субтитры)</t>
  </si>
  <si>
    <t>PSV1429</t>
  </si>
  <si>
    <t>4020628601584</t>
  </si>
  <si>
    <t>PPSA 16196</t>
  </si>
  <si>
    <t>Persona 5 Royal /PS5 (Английская версия)</t>
  </si>
  <si>
    <t>PSV1503</t>
  </si>
  <si>
    <t>5055277047826</t>
  </si>
  <si>
    <t>Persona 5 Tactica /PS5 (Английская версия)</t>
  </si>
  <si>
    <t>PSV1438</t>
  </si>
  <si>
    <t>5055277051311</t>
  </si>
  <si>
    <t>PPSA 10528</t>
  </si>
  <si>
    <t>Prince of Persia: The Lost Crown / PS5 (Русские субтитры)</t>
  </si>
  <si>
    <t>PSV1528</t>
  </si>
  <si>
    <t>3307216265092</t>
  </si>
  <si>
    <t>PPSA 01474</t>
  </si>
  <si>
    <t>Ratchet &amp; Clank: Rift Apart /PS5 (Русская версия)</t>
  </si>
  <si>
    <t>PSV928</t>
  </si>
  <si>
    <t>0711719826897</t>
  </si>
  <si>
    <t>PPSA 03953</t>
  </si>
  <si>
    <t>Resident Evil 3 / PS5 (Русские субтитры)</t>
  </si>
  <si>
    <t>PSV1521</t>
  </si>
  <si>
    <t>5055060905852</t>
  </si>
  <si>
    <t>PPSA 07412</t>
  </si>
  <si>
    <t>Resident Evil 4 Remake /PS5 (Русская версия)</t>
  </si>
  <si>
    <t>PSV1466</t>
  </si>
  <si>
    <t>5055060953358</t>
  </si>
  <si>
    <t>Resident Evil 4 Remake. Gold Edition /PS5 (Русская версия)</t>
  </si>
  <si>
    <t>PSV1458</t>
  </si>
  <si>
    <t>5055060904114</t>
  </si>
  <si>
    <t>PPSA 01557</t>
  </si>
  <si>
    <t>Resident Evil Village Gold Edition /PS5 (Русская версия)</t>
  </si>
  <si>
    <t>PSV1515</t>
  </si>
  <si>
    <t>5055060953204</t>
  </si>
  <si>
    <t>17,5 / 13,7 / 4</t>
  </si>
  <si>
    <t>Resident Evil: Village /PS5 (Русская версия)</t>
  </si>
  <si>
    <t>PSV876</t>
  </si>
  <si>
    <t>5055060952764</t>
  </si>
  <si>
    <t>PPSA 01372</t>
  </si>
  <si>
    <t>Rider's Republic / PS5 (Русские субтитры)</t>
  </si>
  <si>
    <t>PSV1522</t>
  </si>
  <si>
    <t>3307216191674</t>
  </si>
  <si>
    <t>Rise Of The Ronin /PS5 (Русские субтитры)</t>
  </si>
  <si>
    <t>PSV1430</t>
  </si>
  <si>
    <t xml:space="preserve">711719582991 </t>
  </si>
  <si>
    <t>PPSA 05059</t>
  </si>
  <si>
    <t>Robocop Rogue City / PS5 (Русские субтитры)</t>
  </si>
  <si>
    <t>PSV1542</t>
  </si>
  <si>
    <t>3665962020540</t>
  </si>
  <si>
    <t>PPSA 08277</t>
  </si>
  <si>
    <t>Saints Row Day One Edition / PS5 (Русские субтитры)</t>
  </si>
  <si>
    <t>PSV1523</t>
  </si>
  <si>
    <t>4020628687380</t>
  </si>
  <si>
    <t>PPSA 05106</t>
  </si>
  <si>
    <t>Severed Steel / PS5 (Русские субтитры)</t>
  </si>
  <si>
    <t>PSV1490</t>
  </si>
  <si>
    <t>5060264377596</t>
  </si>
  <si>
    <t>PPSA 04203</t>
  </si>
  <si>
    <t>Sid Meier's Civilization VII /PS5 (Русская версия)</t>
  </si>
  <si>
    <t>PSV1529</t>
  </si>
  <si>
    <t>5026555438308</t>
  </si>
  <si>
    <t>PPSA 08709</t>
  </si>
  <si>
    <t>Silent Hill 2 Remake/ PS5 (Русские субтитры)</t>
  </si>
  <si>
    <t>PSV1551</t>
  </si>
  <si>
    <t>4012927150672</t>
  </si>
  <si>
    <t>PPSA 04444</t>
  </si>
  <si>
    <t>Sniper Elite 5 /PS5 Русские субтитры</t>
  </si>
  <si>
    <t>PSV908</t>
  </si>
  <si>
    <t>5056208813817</t>
  </si>
  <si>
    <t>PPSA 17232</t>
  </si>
  <si>
    <t>Sniper Elite: Resistance / PS5 (Русские субтитры)</t>
  </si>
  <si>
    <t>PSV1540</t>
  </si>
  <si>
    <t>5056208825032</t>
  </si>
  <si>
    <t>PPSA 04929</t>
  </si>
  <si>
    <t>Snowrunner /PS5 (Русские субтитры)</t>
  </si>
  <si>
    <t>PSV1439</t>
  </si>
  <si>
    <t>3512899957855</t>
  </si>
  <si>
    <t>PPSA 06889</t>
  </si>
  <si>
    <t>Sonic Superstars / PS5 (Русские субтитры)</t>
  </si>
  <si>
    <t>PSV1514</t>
  </si>
  <si>
    <t>5055277052295</t>
  </si>
  <si>
    <t>PPSA 15574</t>
  </si>
  <si>
    <t>South Park Snow Day! /PS5 (Английская версия)</t>
  </si>
  <si>
    <t>PSV1485</t>
  </si>
  <si>
    <t>9120131601035</t>
  </si>
  <si>
    <t>PPSA 01461</t>
  </si>
  <si>
    <t>Spider-Man: Miles Morales / PS5 (Русская версия)</t>
  </si>
  <si>
    <t>PSV1415</t>
  </si>
  <si>
    <t>0711719836025</t>
  </si>
  <si>
    <t>Star Wars Outlaws / PS5 (Русские субтитры)</t>
  </si>
  <si>
    <t>PSV1553</t>
  </si>
  <si>
    <t>3307216284130</t>
  </si>
  <si>
    <t>PPSA 13197</t>
  </si>
  <si>
    <t>Stellar Blade /PS5 (Русские субтитры)</t>
  </si>
  <si>
    <t>PSV1445</t>
  </si>
  <si>
    <t>0711719582946</t>
  </si>
  <si>
    <t>PPSA 02101</t>
  </si>
  <si>
    <t>Stray /PS5 (Русские субтитры)</t>
  </si>
  <si>
    <t>PSV1419</t>
  </si>
  <si>
    <t>0811949035196</t>
  </si>
  <si>
    <t>System Shock /PS5 Русские субтитры</t>
  </si>
  <si>
    <t>PSV1555</t>
  </si>
  <si>
    <t>4020628644352</t>
  </si>
  <si>
    <t>PPSA 10594</t>
  </si>
  <si>
    <t>Tekken 8 /PS5 (Русские субтитры)</t>
  </si>
  <si>
    <t>PSV1440</t>
  </si>
  <si>
    <t>3391892028744</t>
  </si>
  <si>
    <t>PPSA 03352</t>
  </si>
  <si>
    <t>The Callisto Protocol / PS5 (Русские субтитры)</t>
  </si>
  <si>
    <t>PSV1491</t>
  </si>
  <si>
    <t>0811949034953</t>
  </si>
  <si>
    <t>PPSA 15508</t>
  </si>
  <si>
    <t>The Last of US Part  II Remastered (Одни Из Нас Часть 2)  /PS5 (Русская версия)</t>
  </si>
  <si>
    <t>PSV1442</t>
  </si>
  <si>
    <t>0711719570202</t>
  </si>
  <si>
    <t>PPSA 07642</t>
  </si>
  <si>
    <t>The Last of US Part I (Одни Из Нас Часть 1)  /PS5 (Русская версия)</t>
  </si>
  <si>
    <t>PSV1444</t>
  </si>
  <si>
    <t>0711719406396</t>
  </si>
  <si>
    <t>PPSA 06225</t>
  </si>
  <si>
    <t>The Quarry /PS5 Русская версия</t>
  </si>
  <si>
    <t>PSV1452</t>
  </si>
  <si>
    <t>5026555432214</t>
  </si>
  <si>
    <t>PPSA 03977 / 04021</t>
  </si>
  <si>
    <t>The Witcher III (3) Wild Hunt - Complete Edition /PS5 (Русская версия)</t>
  </si>
  <si>
    <t>PSV1410</t>
  </si>
  <si>
    <t>5902367642334</t>
  </si>
  <si>
    <t>PPSA 01493</t>
  </si>
  <si>
    <t>Tiny Tina's Wonderlands Next-Level Edition / PS5 (Русские субтитры)</t>
  </si>
  <si>
    <t>PSV1497</t>
  </si>
  <si>
    <t>5026555430319</t>
  </si>
  <si>
    <t>Tom Clancy's Rainbow Six: Extraction /PS5 (Русская версия)</t>
  </si>
  <si>
    <t>PSV949</t>
  </si>
  <si>
    <t>3307216216629</t>
  </si>
  <si>
    <t>PPSA 02177</t>
  </si>
  <si>
    <t>Tony Hawk's Pro Skater 1 &amp; 2 / PS5 (Английская версия)</t>
  </si>
  <si>
    <t>PSV1541</t>
  </si>
  <si>
    <t>5030917294297</t>
  </si>
  <si>
    <t>PPSA 06899</t>
  </si>
  <si>
    <t>Top Spin 2K25 / PS5 (Английская версия)</t>
  </si>
  <si>
    <t>PSV1450</t>
  </si>
  <si>
    <t>5026555437653</t>
  </si>
  <si>
    <t>PPSA 05684</t>
  </si>
  <si>
    <t>Uncharted: Legacy of Thieves Collection /PS5 (Русская версия)</t>
  </si>
  <si>
    <t>PSV884</t>
  </si>
  <si>
    <t>0711719791997</t>
  </si>
  <si>
    <t>PPSA 04451</t>
  </si>
  <si>
    <t>Warhammer 40.000: Space Marine 2 /PS5 Русская версия</t>
  </si>
  <si>
    <t>PSV1505</t>
  </si>
  <si>
    <t>3512899967991</t>
  </si>
  <si>
    <t>PPSA 06092</t>
  </si>
  <si>
    <t>WRC / PS5 (Английская версия)</t>
  </si>
  <si>
    <t>PSV1533</t>
  </si>
  <si>
    <t>5030949125163</t>
  </si>
  <si>
    <t>PPSA 03150</t>
  </si>
  <si>
    <t>WWE 2K22 /PS5 (Английская версия)</t>
  </si>
  <si>
    <t>PSV913</t>
  </si>
  <si>
    <t>5026555432160</t>
  </si>
  <si>
    <t>PPSA 16307</t>
  </si>
  <si>
    <t>WWE 2K24 /PS5 (Английская версия)</t>
  </si>
  <si>
    <t>PSV1507</t>
  </si>
  <si>
    <t>5026555437219</t>
  </si>
  <si>
    <t>PPSA 02774</t>
  </si>
  <si>
    <t>XIII Remake  /PS5 (Русская версия)</t>
  </si>
  <si>
    <t>PSV1510</t>
  </si>
  <si>
    <t>3701529502866</t>
  </si>
  <si>
    <t>Xbox One</t>
  </si>
  <si>
    <t>Anthem /Xbox One (Русские субтитры)</t>
  </si>
  <si>
    <t>XOne385</t>
  </si>
  <si>
    <t>Распродажа</t>
  </si>
  <si>
    <t>5030934121507</t>
  </si>
  <si>
    <t>17 / 13,4 / 1,3</t>
  </si>
  <si>
    <t>Battlefield 2042 /Xbox One (Русская версия)</t>
  </si>
  <si>
    <t>XOne641</t>
  </si>
  <si>
    <t>5035226123009</t>
  </si>
  <si>
    <t>17,1 / 13,3 / 1,3</t>
  </si>
  <si>
    <t>Crash Bandicoot N. Sane Trilogy /Xbox One Английская версия</t>
  </si>
  <si>
    <t>XOne649</t>
  </si>
  <si>
    <t>5030917236594</t>
  </si>
  <si>
    <t>Hogwarts Legacy /Xbox One (Русские субтитры)</t>
  </si>
  <si>
    <t>XOne647</t>
  </si>
  <si>
    <t>5051895415542</t>
  </si>
  <si>
    <t>17,1 / 13,5 / 1,3</t>
  </si>
  <si>
    <t>Injustice 2 /Xbox One (Русские субтитры)</t>
  </si>
  <si>
    <t>XOne441</t>
  </si>
  <si>
    <t>5051892208178</t>
  </si>
  <si>
    <t>LEGO 2K DRIVE /Xbox One/S (Английская версия)</t>
  </si>
  <si>
    <t>XOne638</t>
  </si>
  <si>
    <t>5026555368216</t>
  </si>
  <si>
    <t>Mafia 3 /Xbox One (Русские субтитры)</t>
  </si>
  <si>
    <t>XOne459</t>
  </si>
  <si>
    <t>5026555297301</t>
  </si>
  <si>
    <t>17,2 / 13,7 / 1,6</t>
  </si>
  <si>
    <t>Mafia Definitive Edition  /Xbox One (Русская Версия)</t>
  </si>
  <si>
    <t>XOne650</t>
  </si>
  <si>
    <t>5026555362665</t>
  </si>
  <si>
    <t>The Witcher III (3) Wild Hunt - Game of the Year /Xbox One Русские субтитры</t>
  </si>
  <si>
    <t>XOne601</t>
  </si>
  <si>
    <t>3391891989756</t>
  </si>
  <si>
    <t>Titanfall 2 /Xbox One Русская версия</t>
  </si>
  <si>
    <t>XOne543</t>
  </si>
  <si>
    <t>5030937116920</t>
  </si>
  <si>
    <t>Xbox Series X</t>
  </si>
  <si>
    <t>Aliens: Dark Descent Xbox X /Xbox One (Русские субтитры)</t>
  </si>
  <si>
    <t>XbX638</t>
  </si>
  <si>
    <t>3512899965911</t>
  </si>
  <si>
    <t>Anno 1800 Console Edition /Xbox X (Русская версия)</t>
  </si>
  <si>
    <t>XbX645</t>
  </si>
  <si>
    <t>3307216262572</t>
  </si>
  <si>
    <t>Asterix And Obelix Slap Them All 2 /Xbox X (Английская версия)</t>
  </si>
  <si>
    <t>XbX643</t>
  </si>
  <si>
    <t>3701529501425</t>
  </si>
  <si>
    <t>Battlefield 2042 /Xbox Series X (Русская версия)</t>
  </si>
  <si>
    <t>XbX37</t>
  </si>
  <si>
    <t>5030942124880</t>
  </si>
  <si>
    <t>Far Cry 6 (compatible with Xbox One) / Xbox X (Английская версия)</t>
  </si>
  <si>
    <t>XbX36</t>
  </si>
  <si>
    <t>3307216171409</t>
  </si>
  <si>
    <t>Flashback 2 Limited /Xbox X (Английская версия)</t>
  </si>
  <si>
    <t>XbX642</t>
  </si>
  <si>
    <t>3701529501524</t>
  </si>
  <si>
    <t>17,1 / 14 / 1,7</t>
  </si>
  <si>
    <t>Hogwarts Legacy /Xbox X (Русские субтитры)</t>
  </si>
  <si>
    <t>XbX637</t>
  </si>
  <si>
    <t>5051895415559</t>
  </si>
  <si>
    <t>Mortal Kombat 1 /Xbox Series X  (Русские субтитры)</t>
  </si>
  <si>
    <t>XbX33</t>
  </si>
  <si>
    <t>5051895416723</t>
  </si>
  <si>
    <t>NBA 2k25 /Xbox X/Xbox One (Английская версия)</t>
  </si>
  <si>
    <t>XbX650</t>
  </si>
  <si>
    <t>5026555369138</t>
  </si>
  <si>
    <t>Sonic Superstars Xbox X / Xbox One (Русские субтитры)</t>
  </si>
  <si>
    <t>XbX647</t>
  </si>
  <si>
    <t>5055277051892</t>
  </si>
  <si>
    <t>Split Fiction / Xbox X (Английская версия)</t>
  </si>
  <si>
    <t>XbX654</t>
  </si>
  <si>
    <t>5030930125394</t>
  </si>
  <si>
    <t>Street Fighter 6 /Xbox X (Русские субтитры)</t>
  </si>
  <si>
    <t>XbX648</t>
  </si>
  <si>
    <t>5055060974759</t>
  </si>
  <si>
    <t>System Shock Xbox X / Xbox One (Русские субтитры)</t>
  </si>
  <si>
    <t>XbX658</t>
  </si>
  <si>
    <t>4020628644345</t>
  </si>
  <si>
    <t>WWE 2K24 /Xbox X/Xbox One (Английская версия)</t>
  </si>
  <si>
    <t>XbX656</t>
  </si>
  <si>
    <t>5026555368841</t>
  </si>
  <si>
    <t>WWE 2K25 /Xbox X/Xbox One (Английская версия)</t>
  </si>
  <si>
    <t>XbX657</t>
  </si>
  <si>
    <t>5026555369466</t>
  </si>
  <si>
    <t>280,00</t>
  </si>
  <si>
    <t>230,00</t>
  </si>
  <si>
    <t>27 800,00</t>
  </si>
  <si>
    <t>4 225,00</t>
  </si>
  <si>
    <t>5 195,00</t>
  </si>
  <si>
    <t>5 525,00</t>
  </si>
  <si>
    <t>900,00</t>
  </si>
  <si>
    <t>780,00</t>
  </si>
  <si>
    <t>2 525,00</t>
  </si>
  <si>
    <t>58 216,50</t>
  </si>
  <si>
    <t>41 004,00</t>
  </si>
  <si>
    <t>43 621,50</t>
  </si>
  <si>
    <t>80 744,00</t>
  </si>
  <si>
    <t>84 560,00</t>
  </si>
  <si>
    <t>3 445,00</t>
  </si>
  <si>
    <t>3 009,50</t>
  </si>
  <si>
    <t>1 911,00</t>
  </si>
  <si>
    <t>3 659,50</t>
  </si>
  <si>
    <t>3 224,00</t>
  </si>
  <si>
    <t>3 248,00</t>
  </si>
  <si>
    <t>11 360,00</t>
  </si>
  <si>
    <t>50 363,80</t>
  </si>
  <si>
    <t>13 398,00</t>
  </si>
  <si>
    <t>24 640,00</t>
  </si>
  <si>
    <t>12 414,60</t>
  </si>
  <si>
    <t>7 210,00</t>
  </si>
  <si>
    <t>8 920,40</t>
  </si>
  <si>
    <t>10 010,00</t>
  </si>
  <si>
    <t>10 227,20</t>
  </si>
  <si>
    <t>25 718,00</t>
  </si>
  <si>
    <t>23 331,00</t>
  </si>
  <si>
    <t>28 413,00</t>
  </si>
  <si>
    <t>19 712,00</t>
  </si>
  <si>
    <t>23 639,00</t>
  </si>
  <si>
    <t>44 320,00</t>
  </si>
  <si>
    <t>35 440,00</t>
  </si>
  <si>
    <t>36 960,00</t>
  </si>
  <si>
    <t>5 880,00</t>
  </si>
  <si>
    <t>59 108,40</t>
  </si>
  <si>
    <t>10 275,30</t>
  </si>
  <si>
    <t>11 304,30</t>
  </si>
  <si>
    <t>10 678,50</t>
  </si>
  <si>
    <t>8 178,30</t>
  </si>
  <si>
    <t>109 040,00</t>
  </si>
  <si>
    <t>88 080,00</t>
  </si>
  <si>
    <t>58 305,40</t>
  </si>
  <si>
    <t>91 600,00</t>
  </si>
  <si>
    <t>27 405,70</t>
  </si>
  <si>
    <t>13 877,70</t>
  </si>
  <si>
    <t>121 800,00</t>
  </si>
  <si>
    <t>59 381,60</t>
  </si>
  <si>
    <t>2 907,30</t>
  </si>
  <si>
    <t>930,26</t>
  </si>
  <si>
    <t>963,00</t>
  </si>
  <si>
    <t>405,60</t>
  </si>
  <si>
    <t>2 414,23</t>
  </si>
  <si>
    <t>2 411,14</t>
  </si>
  <si>
    <t>214 880,00</t>
  </si>
  <si>
    <t>212 612,40</t>
  </si>
  <si>
    <t>152 397,00</t>
  </si>
  <si>
    <t>32 186,70</t>
  </si>
  <si>
    <t>173 910,10</t>
  </si>
  <si>
    <t>14 445,60</t>
  </si>
  <si>
    <t>64 448,00</t>
  </si>
  <si>
    <t>25 325,30</t>
  </si>
  <si>
    <t>20 026,00</t>
  </si>
  <si>
    <t>59 831,00</t>
  </si>
  <si>
    <t>40 294,80</t>
  </si>
  <si>
    <t>59 099,50</t>
  </si>
  <si>
    <t>28 025,00</t>
  </si>
  <si>
    <t>61 503,00</t>
  </si>
  <si>
    <t>181 308,40</t>
  </si>
  <si>
    <t>264 911,00</t>
  </si>
  <si>
    <t>29 602,30</t>
  </si>
  <si>
    <t>1 278,80</t>
  </si>
  <si>
    <t>8 807,40</t>
  </si>
  <si>
    <t>219 650,00</t>
  </si>
  <si>
    <t>147 680,00</t>
  </si>
  <si>
    <t>40 670,70</t>
  </si>
  <si>
    <t>2 553,60</t>
  </si>
  <si>
    <t>16 600,00</t>
  </si>
  <si>
    <t>13 650,00</t>
  </si>
  <si>
    <t>25 901,70</t>
  </si>
  <si>
    <t>64 390,90</t>
  </si>
  <si>
    <t>271 998,00</t>
  </si>
  <si>
    <t>155 280,00</t>
  </si>
  <si>
    <t>33 846,20</t>
  </si>
  <si>
    <t>21 021,00</t>
  </si>
  <si>
    <t>1 820,00</t>
  </si>
  <si>
    <t>5 512,00</t>
  </si>
  <si>
    <t>12 285,00</t>
  </si>
  <si>
    <t>12 740,00</t>
  </si>
  <si>
    <t>4 550,00</t>
  </si>
  <si>
    <t>8 424,00</t>
  </si>
  <si>
    <t>2 340,00</t>
  </si>
  <si>
    <t>15 355,50</t>
  </si>
  <si>
    <t>11 539,80</t>
  </si>
  <si>
    <t>16 028,40</t>
  </si>
  <si>
    <t>12 181,20</t>
  </si>
  <si>
    <t>10 151,00</t>
  </si>
  <si>
    <t>13 357,00</t>
  </si>
  <si>
    <t>9 240,00</t>
  </si>
  <si>
    <t>7 700,00</t>
  </si>
  <si>
    <t>10 780,00</t>
  </si>
  <si>
    <t>8 470,00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</si>
</sst>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5">
    <numFmt numFmtId="164" formatCode="#,##0.00&quot;р.&quot;;\-#,##0.00&quot;р.&quot;"/>
    <numFmt numFmtId="165" formatCode="_-* #,##0.00_р_._-;\-* #,##0.00_р_._-;_-* &quot;-&quot;??_р_._-;_-@_-"/>
    <numFmt numFmtId="166" formatCode="0.0000"/>
    <numFmt numFmtId="167" formatCode="[$$-409]#,##0.00"/>
    <numFmt numFmtId="168" formatCode="#,##0.00\ &quot;р.&quot;"/>
  </numFmts>
  <fonts count="53" x14ac:knownFonts="1">
    <font>
      <sz val="11"/>
      <color theme="1"/>
      <name val="Calibri"/>
      <family val="2"/>
      <charset val="204"/>
      <scheme val="minor"/>
    </font>
    <font>
      <sz val="8"/>
      <name val="Arial"/>
      <family val="2"/>
    </font>
    <font>
      <sz val="8"/>
      <color theme="1"/>
      <name val="Arial"/>
      <family val="2"/>
      <charset val="204"/>
    </font>
    <font>
      <b/>
      <sz val="11"/>
      <color theme="1"/>
      <name val="Arial"/>
      <family val="2"/>
      <charset val="204"/>
    </font>
    <font>
      <sz val="8"/>
      <name val="Arial"/>
      <family val="2"/>
      <charset val="204"/>
    </font>
    <font>
      <b/>
      <sz val="8"/>
      <name val="Arial"/>
      <family val="2"/>
      <charset val="204"/>
    </font>
    <font>
      <u/>
      <sz val="10"/>
      <color indexed="12"/>
      <name val="Arial"/>
      <family val="2"/>
      <charset val="204"/>
    </font>
    <font>
      <sz val="8"/>
      <name val="Arial Cyr"/>
      <charset val="204"/>
    </font>
    <font>
      <sz val="11"/>
      <color indexed="8"/>
      <name val="Calibri"/>
      <family val="2"/>
      <charset val="204"/>
    </font>
    <font>
      <sz val="11"/>
      <color indexed="9"/>
      <name val="Calibri"/>
      <family val="2"/>
      <charset val="204"/>
    </font>
    <font>
      <sz val="11"/>
      <color indexed="20"/>
      <name val="Calibri"/>
      <family val="2"/>
      <charset val="204"/>
    </font>
    <font>
      <b/>
      <sz val="11"/>
      <color indexed="52"/>
      <name val="Calibri"/>
      <family val="2"/>
      <charset val="204"/>
    </font>
    <font>
      <b/>
      <sz val="11"/>
      <color indexed="9"/>
      <name val="Calibri"/>
      <family val="2"/>
      <charset val="204"/>
    </font>
    <font>
      <i/>
      <sz val="11"/>
      <color indexed="23"/>
      <name val="Calibri"/>
      <family val="2"/>
      <charset val="204"/>
    </font>
    <font>
      <sz val="11"/>
      <color indexed="17"/>
      <name val="Calibri"/>
      <family val="2"/>
      <charset val="204"/>
    </font>
    <font>
      <b/>
      <sz val="15"/>
      <color indexed="56"/>
      <name val="Calibri"/>
      <family val="2"/>
      <charset val="204"/>
    </font>
    <font>
      <b/>
      <sz val="13"/>
      <color indexed="56"/>
      <name val="Calibri"/>
      <family val="2"/>
      <charset val="204"/>
    </font>
    <font>
      <b/>
      <sz val="11"/>
      <color indexed="56"/>
      <name val="Calibri"/>
      <family val="2"/>
      <charset val="204"/>
    </font>
    <font>
      <sz val="11"/>
      <color indexed="62"/>
      <name val="Calibri"/>
      <family val="2"/>
      <charset val="204"/>
    </font>
    <font>
      <sz val="11"/>
      <color indexed="52"/>
      <name val="Calibri"/>
      <family val="2"/>
      <charset val="204"/>
    </font>
    <font>
      <sz val="11"/>
      <color indexed="60"/>
      <name val="Calibri"/>
      <family val="2"/>
      <charset val="204"/>
    </font>
    <font>
      <sz val="10"/>
      <color indexed="8"/>
      <name val="Arial"/>
      <family val="2"/>
      <charset val="204"/>
    </font>
    <font>
      <b/>
      <sz val="11"/>
      <color indexed="63"/>
      <name val="Calibri"/>
      <family val="2"/>
      <charset val="204"/>
    </font>
    <font>
      <b/>
      <sz val="18"/>
      <color indexed="56"/>
      <name val="Cambria"/>
      <family val="2"/>
      <charset val="204"/>
    </font>
    <font>
      <b/>
      <sz val="11"/>
      <color indexed="8"/>
      <name val="Calibri"/>
      <family val="2"/>
      <charset val="204"/>
    </font>
    <font>
      <sz val="11"/>
      <color indexed="10"/>
      <name val="Calibri"/>
      <family val="2"/>
      <charset val="204"/>
    </font>
    <font>
      <sz val="8"/>
      <color theme="6" tint="-0.499984740745262"/>
      <name val="Arial"/>
      <family val="2"/>
      <charset val="204"/>
    </font>
    <font>
      <sz val="8"/>
      <color rgb="FFFF0000"/>
      <name val="Arial"/>
      <family val="2"/>
      <charset val="204"/>
    </font>
    <font>
      <sz val="11"/>
      <color theme="1"/>
      <name val="Arial"/>
      <family val="2"/>
      <charset val="204"/>
    </font>
    <font>
      <sz val="8"/>
      <color indexed="12"/>
      <name val="Arial"/>
      <family val="2"/>
      <charset val="204"/>
    </font>
    <font>
      <b/>
      <sz val="8"/>
      <color theme="9" tint="-0.499984740745262"/>
      <name val="Arial"/>
      <family val="2"/>
      <charset val="204"/>
    </font>
    <font>
      <b/>
      <sz val="8"/>
      <color rgb="FF0070C0"/>
      <name val="Arial"/>
      <family val="2"/>
      <charset val="204"/>
    </font>
    <font>
      <b/>
      <i/>
      <sz val="8"/>
      <color theme="1"/>
      <name val="Arial"/>
      <family val="2"/>
      <charset val="204"/>
    </font>
    <font>
      <b/>
      <sz val="8"/>
      <color theme="1"/>
      <name val="Arial"/>
      <family val="2"/>
      <charset val="204"/>
    </font>
    <font>
      <b/>
      <sz val="8"/>
      <color rgb="FF000000"/>
      <name val="Arial"/>
      <family val="2"/>
      <charset val="204"/>
    </font>
    <font>
      <sz val="8"/>
      <color rgb="FF0070C0"/>
      <name val="Arial"/>
      <family val="2"/>
      <charset val="204"/>
    </font>
    <font>
      <sz val="8"/>
      <color rgb="FF00B050"/>
      <name val="Arial"/>
      <family val="2"/>
      <charset val="204"/>
    </font>
    <font>
      <sz val="8"/>
      <color rgb="FF000000"/>
      <name val="Arial"/>
      <family val="2"/>
      <charset val="204"/>
    </font>
    <font>
      <b/>
      <sz val="8"/>
      <color theme="6" tint="-0.499984740745262"/>
      <name val="Arial"/>
      <family val="2"/>
      <charset val="204"/>
    </font>
    <font>
      <sz val="8"/>
      <color rgb="FFBE1919"/>
      <name val="Arial"/>
      <family val="2"/>
      <charset val="204"/>
    </font>
    <font>
      <b/>
      <sz val="8"/>
      <color rgb="FFBE1919"/>
      <name val="Arial"/>
      <family val="2"/>
      <charset val="204"/>
    </font>
    <font>
      <u/>
      <sz val="11"/>
      <color theme="10"/>
      <name val="Calibri"/>
      <family val="2"/>
      <charset val="204"/>
      <scheme val="minor"/>
    </font>
    <font>
      <sz val="8"/>
      <color rgb="FF0000FF"/>
      <name val="Arial"/>
      <family val="2"/>
      <charset val="204"/>
    </font>
    <font>
      <b/>
      <sz val="8"/>
      <color rgb="FF0000FF"/>
      <name val="Arial"/>
      <family val="2"/>
      <charset val="204"/>
    </font>
    <font>
      <sz val="8"/>
      <color rgb="FF1A24FF"/>
      <name val="Arial"/>
      <family val="2"/>
      <charset val="204"/>
    </font>
    <font>
      <b/>
      <sz val="8"/>
      <color rgb="FF1A24FF"/>
      <name val="Arial"/>
      <family val="2"/>
      <charset val="204"/>
    </font>
    <font>
      <sz val="8"/>
      <color rgb="FF501FFF"/>
      <name val="Arial"/>
      <family val="2"/>
      <charset val="204"/>
    </font>
    <font>
      <b/>
      <sz val="8"/>
      <color rgb="FF501FFF"/>
      <name val="Arial"/>
      <family val="2"/>
      <charset val="204"/>
    </font>
    <font>
      <sz val="8"/>
      <color rgb="FFF00000"/>
      <name val="Arial"/>
      <family val="2"/>
      <charset val="204"/>
    </font>
    <font>
      <b/>
      <sz val="8"/>
      <color rgb="FFF00000"/>
      <name val="Arial"/>
      <family val="2"/>
      <charset val="204"/>
    </font>
    <font>
      <sz val="8"/>
      <color rgb="FFA80000"/>
      <name val="Arial"/>
      <family val="2"/>
      <charset val="204"/>
    </font>
    <font>
      <b/>
      <sz val="8"/>
      <color rgb="FFA80000"/>
      <name val="Arial"/>
      <family val="2"/>
      <charset val="204"/>
    </font>
    <font>
      <u/>
      <sz val="8"/>
      <color theme="10"/>
      <name val="Arial"/>
      <family val="2"/>
      <charset val="204"/>
    </font>
  </fonts>
  <fills count="27">
    <fill>
      <patternFill patternType="none"/>
    </fill>
    <fill>
      <patternFill patternType="gray125"/>
    </fill>
    <fill>
      <patternFill patternType="solid">
        <fgColor theme="0" tint="-0.24991607409894101"/>
        <bgColor indexed="64"/>
      </patternFill>
    </fill>
    <fill>
      <patternFill patternType="solid">
        <fgColor indexed="31"/>
      </patternFill>
    </fill>
    <fill>
      <patternFill patternType="solid">
        <fgColor indexed="45"/>
      </patternFill>
    </fill>
    <fill>
      <patternFill patternType="solid">
        <fgColor indexed="42"/>
      </patternFill>
    </fill>
    <fill>
      <patternFill patternType="solid">
        <fgColor indexed="46"/>
      </patternFill>
    </fill>
    <fill>
      <patternFill patternType="solid">
        <fgColor indexed="27"/>
      </patternFill>
    </fill>
    <fill>
      <patternFill patternType="solid">
        <fgColor indexed="47"/>
      </patternFill>
    </fill>
    <fill>
      <patternFill patternType="solid">
        <fgColor indexed="44"/>
      </patternFill>
    </fill>
    <fill>
      <patternFill patternType="solid">
        <fgColor indexed="29"/>
      </patternFill>
    </fill>
    <fill>
      <patternFill patternType="solid">
        <fgColor indexed="11"/>
      </patternFill>
    </fill>
    <fill>
      <patternFill patternType="solid">
        <fgColor indexed="51"/>
      </patternFill>
    </fill>
    <fill>
      <patternFill patternType="solid">
        <fgColor indexed="30"/>
      </patternFill>
    </fill>
    <fill>
      <patternFill patternType="solid">
        <fgColor indexed="36"/>
      </patternFill>
    </fill>
    <fill>
      <patternFill patternType="solid">
        <fgColor indexed="49"/>
      </patternFill>
    </fill>
    <fill>
      <patternFill patternType="solid">
        <fgColor indexed="52"/>
      </patternFill>
    </fill>
    <fill>
      <patternFill patternType="solid">
        <fgColor indexed="62"/>
      </patternFill>
    </fill>
    <fill>
      <patternFill patternType="solid">
        <fgColor indexed="10"/>
      </patternFill>
    </fill>
    <fill>
      <patternFill patternType="solid">
        <fgColor indexed="57"/>
      </patternFill>
    </fill>
    <fill>
      <patternFill patternType="solid">
        <fgColor indexed="53"/>
      </patternFill>
    </fill>
    <fill>
      <patternFill patternType="solid">
        <fgColor indexed="22"/>
      </patternFill>
    </fill>
    <fill>
      <patternFill patternType="solid">
        <fgColor indexed="55"/>
      </patternFill>
    </fill>
    <fill>
      <patternFill patternType="solid">
        <fgColor indexed="43"/>
      </patternFill>
    </fill>
    <fill>
      <patternFill patternType="solid">
        <fgColor indexed="26"/>
      </patternFill>
    </fill>
    <fill>
      <patternFill patternType="solid">
        <fgColor rgb="FFBFBFBF"/>
        <bgColor indexed="64"/>
      </patternFill>
    </fill>
    <fill>
      <patternFill patternType="solid">
        <fgColor rgb="FFFFE7D8"/>
        <bgColor indexed="64"/>
      </patternFill>
    </fill>
  </fills>
  <borders count="13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 style="double">
        <color indexed="63"/>
      </left>
      <right style="double">
        <color indexed="63"/>
      </right>
      <top style="double">
        <color indexed="63"/>
      </top>
      <bottom style="double">
        <color indexed="63"/>
      </bottom>
      <diagonal/>
    </border>
    <border>
      <left/>
      <right/>
      <top/>
      <bottom style="thick">
        <color indexed="62"/>
      </bottom>
      <diagonal/>
    </border>
    <border>
      <left/>
      <right/>
      <top/>
      <bottom style="thick">
        <color indexed="22"/>
      </bottom>
      <diagonal/>
    </border>
    <border>
      <left/>
      <right/>
      <top/>
      <bottom style="medium">
        <color indexed="30"/>
      </bottom>
      <diagonal/>
    </border>
    <border>
      <left/>
      <right/>
      <top/>
      <bottom style="double">
        <color indexed="52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dashed">
        <color indexed="64"/>
      </left>
      <right style="dashed">
        <color indexed="64"/>
      </right>
      <top style="dashed">
        <color indexed="64"/>
      </top>
      <bottom style="dashed">
        <color indexed="64"/>
      </bottom>
      <diagonal/>
    </border>
  </borders>
  <cellStyleXfs count="51">
    <xf numFmtId="0" fontId="0" fillId="0" borderId="0"/>
    <xf numFmtId="0" fontId="1" fillId="0" borderId="0"/>
    <xf numFmtId="0" fontId="7" fillId="0" borderId="0"/>
    <xf numFmtId="0" fontId="6" fillId="0" borderId="0" applyNumberFormat="0" applyFill="0" applyBorder="0" applyAlignment="0" applyProtection="0">
      <alignment vertical="top"/>
      <protection locked="0"/>
    </xf>
    <xf numFmtId="0" fontId="8" fillId="3" borderId="0" applyNumberFormat="0" applyBorder="0" applyAlignment="0" applyProtection="0"/>
    <xf numFmtId="0" fontId="8" fillId="4" borderId="0" applyNumberFormat="0" applyBorder="0" applyAlignment="0" applyProtection="0"/>
    <xf numFmtId="0" fontId="8" fillId="5" borderId="0" applyNumberFormat="0" applyBorder="0" applyAlignment="0" applyProtection="0"/>
    <xf numFmtId="0" fontId="8" fillId="6" borderId="0" applyNumberFormat="0" applyBorder="0" applyAlignment="0" applyProtection="0"/>
    <xf numFmtId="0" fontId="8" fillId="7" borderId="0" applyNumberFormat="0" applyBorder="0" applyAlignment="0" applyProtection="0"/>
    <xf numFmtId="0" fontId="8" fillId="8" borderId="0" applyNumberFormat="0" applyBorder="0" applyAlignment="0" applyProtection="0"/>
    <xf numFmtId="0" fontId="8" fillId="9" borderId="0" applyNumberFormat="0" applyBorder="0" applyAlignment="0" applyProtection="0"/>
    <xf numFmtId="0" fontId="8" fillId="10" borderId="0" applyNumberFormat="0" applyBorder="0" applyAlignment="0" applyProtection="0"/>
    <xf numFmtId="0" fontId="8" fillId="11" borderId="0" applyNumberFormat="0" applyBorder="0" applyAlignment="0" applyProtection="0"/>
    <xf numFmtId="0" fontId="8" fillId="6" borderId="0" applyNumberFormat="0" applyBorder="0" applyAlignment="0" applyProtection="0"/>
    <xf numFmtId="0" fontId="8" fillId="9" borderId="0" applyNumberFormat="0" applyBorder="0" applyAlignment="0" applyProtection="0"/>
    <xf numFmtId="0" fontId="8" fillId="12" borderId="0" applyNumberFormat="0" applyBorder="0" applyAlignment="0" applyProtection="0"/>
    <xf numFmtId="0" fontId="9" fillId="13" borderId="0" applyNumberFormat="0" applyBorder="0" applyAlignment="0" applyProtection="0"/>
    <xf numFmtId="0" fontId="9" fillId="10" borderId="0" applyNumberFormat="0" applyBorder="0" applyAlignment="0" applyProtection="0"/>
    <xf numFmtId="0" fontId="9" fillId="11" borderId="0" applyNumberFormat="0" applyBorder="0" applyAlignment="0" applyProtection="0"/>
    <xf numFmtId="0" fontId="9" fillId="14" borderId="0" applyNumberFormat="0" applyBorder="0" applyAlignment="0" applyProtection="0"/>
    <xf numFmtId="0" fontId="9" fillId="15" borderId="0" applyNumberFormat="0" applyBorder="0" applyAlignment="0" applyProtection="0"/>
    <xf numFmtId="0" fontId="9" fillId="16" borderId="0" applyNumberFormat="0" applyBorder="0" applyAlignment="0" applyProtection="0"/>
    <xf numFmtId="0" fontId="9" fillId="17" borderId="0" applyNumberFormat="0" applyBorder="0" applyAlignment="0" applyProtection="0"/>
    <xf numFmtId="0" fontId="9" fillId="18" borderId="0" applyNumberFormat="0" applyBorder="0" applyAlignment="0" applyProtection="0"/>
    <xf numFmtId="0" fontId="9" fillId="19" borderId="0" applyNumberFormat="0" applyBorder="0" applyAlignment="0" applyProtection="0"/>
    <xf numFmtId="0" fontId="9" fillId="14" borderId="0" applyNumberFormat="0" applyBorder="0" applyAlignment="0" applyProtection="0"/>
    <xf numFmtId="0" fontId="9" fillId="15" borderId="0" applyNumberFormat="0" applyBorder="0" applyAlignment="0" applyProtection="0"/>
    <xf numFmtId="0" fontId="9" fillId="20" borderId="0" applyNumberFormat="0" applyBorder="0" applyAlignment="0" applyProtection="0"/>
    <xf numFmtId="0" fontId="10" fillId="4" borderId="0" applyNumberFormat="0" applyBorder="0" applyAlignment="0" applyProtection="0"/>
    <xf numFmtId="0" fontId="11" fillId="21" borderId="2" applyNumberFormat="0" applyAlignment="0" applyProtection="0"/>
    <xf numFmtId="0" fontId="12" fillId="22" borderId="3" applyNumberFormat="0" applyAlignment="0" applyProtection="0"/>
    <xf numFmtId="0" fontId="13" fillId="0" borderId="0" applyNumberFormat="0" applyFill="0" applyBorder="0" applyAlignment="0" applyProtection="0"/>
    <xf numFmtId="0" fontId="14" fillId="5" borderId="0" applyNumberFormat="0" applyBorder="0" applyAlignment="0" applyProtection="0"/>
    <xf numFmtId="0" fontId="15" fillId="0" borderId="4" applyNumberFormat="0" applyFill="0" applyAlignment="0" applyProtection="0"/>
    <xf numFmtId="0" fontId="16" fillId="0" borderId="5" applyNumberFormat="0" applyFill="0" applyAlignment="0" applyProtection="0"/>
    <xf numFmtId="0" fontId="17" fillId="0" borderId="6" applyNumberFormat="0" applyFill="0" applyAlignment="0" applyProtection="0"/>
    <xf numFmtId="0" fontId="17" fillId="0" borderId="0" applyNumberFormat="0" applyFill="0" applyBorder="0" applyAlignment="0" applyProtection="0"/>
    <xf numFmtId="0" fontId="18" fillId="8" borderId="2" applyNumberFormat="0" applyAlignment="0" applyProtection="0"/>
    <xf numFmtId="0" fontId="19" fillId="0" borderId="7" applyNumberFormat="0" applyFill="0" applyAlignment="0" applyProtection="0"/>
    <xf numFmtId="0" fontId="20" fillId="23" borderId="0" applyNumberFormat="0" applyBorder="0" applyAlignment="0" applyProtection="0"/>
    <xf numFmtId="0" fontId="21" fillId="0" borderId="0"/>
    <xf numFmtId="0" fontId="7" fillId="24" borderId="8" applyNumberFormat="0" applyFont="0" applyAlignment="0" applyProtection="0"/>
    <xf numFmtId="0" fontId="22" fillId="21" borderId="9" applyNumberFormat="0" applyAlignment="0" applyProtection="0"/>
    <xf numFmtId="0" fontId="23" fillId="0" borderId="0" applyNumberFormat="0" applyFill="0" applyBorder="0" applyAlignment="0" applyProtection="0"/>
    <xf numFmtId="0" fontId="24" fillId="0" borderId="10" applyNumberFormat="0" applyFill="0" applyAlignment="0" applyProtection="0"/>
    <xf numFmtId="0" fontId="25" fillId="0" borderId="0" applyNumberFormat="0" applyFill="0" applyBorder="0" applyAlignment="0" applyProtection="0"/>
    <xf numFmtId="0" fontId="8" fillId="0" borderId="0"/>
    <xf numFmtId="0" fontId="8" fillId="0" borderId="0"/>
    <xf numFmtId="0" fontId="8" fillId="0" borderId="0"/>
    <xf numFmtId="165" fontId="7" fillId="0" borderId="0" applyFont="0" applyFill="0" applyBorder="0" applyAlignment="0" applyProtection="0"/>
    <xf numFmtId="0" fontId="41" fillId="0" borderId="0" applyNumberFormat="0" applyFill="0" applyBorder="0" applyAlignment="0" applyProtection="0"/>
  </cellStyleXfs>
  <cellXfs count="121">
    <xf numFmtId="0" fontId="0" fillId="0" borderId="0" xfId="0"/>
    <xf numFmtId="0" fontId="28" fillId="0" borderId="0" xfId="0" applyFont="1"/>
    <xf numFmtId="0" fontId="2" fillId="0" borderId="0" xfId="0" applyFont="1"/>
    <xf numFmtId="0" fontId="26" fillId="0" borderId="0" xfId="0" applyFont="1"/>
    <xf numFmtId="0" fontId="4" fillId="0" borderId="0" xfId="1" applyFont="1"/>
    <xf numFmtId="0" fontId="5" fillId="2" borderId="11" xfId="1" applyFont="1" applyFill="1" applyBorder="1" applyAlignment="1">
      <alignment horizontal="center" vertical="top" wrapText="1"/>
    </xf>
    <xf numFmtId="0" fontId="31" fillId="2" borderId="11" xfId="1" applyFont="1" applyFill="1" applyBorder="1" applyAlignment="1">
      <alignment horizontal="center" vertical="top" wrapText="1"/>
    </xf>
    <xf numFmtId="0" fontId="29" fillId="0" borderId="0" xfId="1" applyFont="1" applyAlignment="1">
      <alignment horizontal="left" vertical="center"/>
    </xf>
    <xf numFmtId="0" fontId="30" fillId="0" borderId="0" xfId="1" applyFont="1" applyAlignment="1">
      <alignment horizontal="left" vertical="center"/>
    </xf>
    <xf numFmtId="168" fontId="5" fillId="0" borderId="0" xfId="1" applyNumberFormat="1" applyFont="1" applyAlignment="1">
      <alignment horizontal="right" vertical="center"/>
    </xf>
    <xf numFmtId="0" fontId="2" fillId="0" borderId="0" xfId="0" applyFont="1" applyAlignment="1">
      <alignment vertical="center"/>
    </xf>
    <xf numFmtId="0" fontId="37" fillId="0" borderId="0" xfId="0" applyFont="1"/>
    <xf numFmtId="0" fontId="2" fillId="0" borderId="0" xfId="0" applyFont="1" applyAlignment="1">
      <alignment horizontal="center" vertical="center" wrapText="1"/>
    </xf>
    <xf numFmtId="0" fontId="28" fillId="0" borderId="0" xfId="0" applyFont="1" applyAlignment="1">
      <alignment horizontal="center" vertical="center" wrapText="1"/>
    </xf>
    <xf numFmtId="0" fontId="26" fillId="0" borderId="0" xfId="0" applyFont="1" applyAlignment="1">
      <alignment horizontal="center" vertical="center" wrapText="1"/>
    </xf>
    <xf numFmtId="0" fontId="29" fillId="0" borderId="0" xfId="1" applyFont="1" applyAlignment="1">
      <alignment horizontal="center" vertical="center" wrapText="1"/>
    </xf>
    <xf numFmtId="166" fontId="29" fillId="0" borderId="0" xfId="1" applyNumberFormat="1" applyFont="1" applyAlignment="1">
      <alignment horizontal="center" vertical="center" wrapText="1"/>
    </xf>
    <xf numFmtId="2" fontId="28" fillId="0" borderId="0" xfId="0" applyNumberFormat="1" applyFont="1" applyAlignment="1">
      <alignment horizontal="center" vertical="center" wrapText="1"/>
    </xf>
    <xf numFmtId="0" fontId="4" fillId="0" borderId="0" xfId="0" applyFont="1" applyAlignment="1">
      <alignment horizontal="right" vertical="center" wrapText="1"/>
    </xf>
    <xf numFmtId="14" fontId="32" fillId="0" borderId="0" xfId="0" applyNumberFormat="1" applyFont="1" applyAlignment="1">
      <alignment horizontal="center" vertical="center" wrapText="1"/>
    </xf>
    <xf numFmtId="0" fontId="32" fillId="0" borderId="0" xfId="0" applyFont="1" applyAlignment="1">
      <alignment horizontal="left" vertical="center" wrapText="1"/>
    </xf>
    <xf numFmtId="0" fontId="30" fillId="0" borderId="0" xfId="1" applyFont="1" applyAlignment="1">
      <alignment horizontal="center" vertical="center" wrapText="1"/>
    </xf>
    <xf numFmtId="0" fontId="30" fillId="0" borderId="0" xfId="0" applyFont="1" applyAlignment="1">
      <alignment horizontal="center" vertical="center" wrapText="1"/>
    </xf>
    <xf numFmtId="0" fontId="4" fillId="0" borderId="0" xfId="1" applyFont="1" applyAlignment="1">
      <alignment horizontal="center" vertical="center" wrapText="1"/>
    </xf>
    <xf numFmtId="0" fontId="2" fillId="0" borderId="0" xfId="0" applyFont="1" applyAlignment="1">
      <alignment horizontal="left" vertical="center" wrapText="1"/>
    </xf>
    <xf numFmtId="2" fontId="28" fillId="0" borderId="0" xfId="0" applyNumberFormat="1" applyFont="1" applyAlignment="1">
      <alignment horizontal="left" vertical="center" wrapText="1"/>
    </xf>
    <xf numFmtId="0" fontId="26" fillId="0" borderId="0" xfId="0" applyFont="1" applyAlignment="1">
      <alignment horizontal="left" vertical="center" wrapText="1"/>
    </xf>
    <xf numFmtId="0" fontId="3" fillId="0" borderId="0" xfId="0" applyFont="1" applyAlignment="1">
      <alignment horizontal="left" vertical="center"/>
    </xf>
    <xf numFmtId="167" fontId="2" fillId="0" borderId="0" xfId="0" applyNumberFormat="1" applyFont="1" applyAlignment="1">
      <alignment horizontal="center" vertical="center" wrapText="1"/>
    </xf>
    <xf numFmtId="164" fontId="2" fillId="0" borderId="0" xfId="0" applyNumberFormat="1" applyFont="1" applyAlignment="1">
      <alignment horizontal="center" vertical="center" wrapText="1"/>
    </xf>
    <xf numFmtId="164" fontId="28" fillId="0" borderId="0" xfId="0" applyNumberFormat="1" applyFont="1" applyAlignment="1">
      <alignment horizontal="center" vertical="center" wrapText="1"/>
    </xf>
    <xf numFmtId="164" fontId="26" fillId="0" borderId="0" xfId="0" applyNumberFormat="1" applyFont="1" applyAlignment="1">
      <alignment horizontal="center" vertical="center" wrapText="1"/>
    </xf>
    <xf numFmtId="0" fontId="33" fillId="0" borderId="0" xfId="0" applyFont="1" applyAlignment="1">
      <alignment horizontal="center" vertical="center" wrapText="1"/>
    </xf>
    <xf numFmtId="0" fontId="3" fillId="0" borderId="0" xfId="0" applyFont="1" applyAlignment="1">
      <alignment horizontal="center" vertical="center" wrapText="1"/>
    </xf>
    <xf numFmtId="0" fontId="38" fillId="0" borderId="0" xfId="0" applyFont="1" applyAlignment="1">
      <alignment horizontal="center" vertical="center" wrapText="1"/>
    </xf>
    <xf numFmtId="0" fontId="2" fillId="0" borderId="0" xfId="0" applyFont="1" applyAlignment="1">
      <alignment horizontal="left" vertical="center"/>
    </xf>
    <xf numFmtId="2" fontId="28" fillId="0" borderId="0" xfId="0" applyNumberFormat="1" applyFont="1" applyAlignment="1">
      <alignment horizontal="left" vertical="center"/>
    </xf>
    <xf numFmtId="0" fontId="4" fillId="0" borderId="0" xfId="0" applyFont="1" applyAlignment="1">
      <alignment horizontal="right" vertical="center"/>
    </xf>
    <xf numFmtId="0" fontId="26" fillId="0" borderId="0" xfId="0" applyFont="1" applyAlignment="1">
      <alignment horizontal="left" vertical="center"/>
    </xf>
    <xf numFmtId="164" fontId="5" fillId="2" borderId="11" xfId="1" applyNumberFormat="1" applyFont="1" applyFill="1" applyBorder="1" applyAlignment="1">
      <alignment horizontal="center" vertical="top" wrapText="1"/>
    </xf>
    <xf numFmtId="0" fontId="5" fillId="2" borderId="11" xfId="1" applyFont="1" applyFill="1" applyBorder="1" applyAlignment="1">
      <alignment horizontal="center" vertical="top"/>
    </xf>
    <xf numFmtId="168" fontId="2" fillId="0" borderId="0" xfId="0" applyNumberFormat="1" applyFont="1" applyAlignment="1">
      <alignment horizontal="right" vertical="center"/>
    </xf>
    <xf numFmtId="167" fontId="4" fillId="0" borderId="0" xfId="1" applyNumberFormat="1" applyFont="1" applyAlignment="1">
      <alignment horizontal="right" vertical="center"/>
    </xf>
    <xf numFmtId="0" fontId="39" fillId="0" borderId="0" xfId="0" applyFont="1" applyAlignment="1">
      <alignment horizontal="center" vertical="center" wrapText="1"/>
    </xf>
    <xf numFmtId="0" fontId="40" fillId="0" borderId="0" xfId="0" applyFont="1" applyAlignment="1">
      <alignment horizontal="center" vertical="center" wrapText="1"/>
    </xf>
    <xf numFmtId="0" fontId="42" fillId="0" borderId="0" xfId="0" applyFont="1"/>
    <xf numFmtId="0" fontId="5" fillId="2" borderId="11" xfId="1" applyFont="1" applyFill="1" applyBorder="1" applyAlignment="1">
      <alignment horizontal="center" vertical="center" wrapText="1"/>
    </xf>
    <xf numFmtId="0" fontId="2" fillId="0" borderId="0" xfId="0" applyFont="1" applyAlignment="1">
      <alignment horizontal="center" vertical="center"/>
    </xf>
    <xf numFmtId="0" fontId="40" fillId="2" borderId="11" xfId="1" applyFont="1" applyFill="1" applyBorder="1" applyAlignment="1">
      <alignment horizontal="center" vertical="center" wrapText="1"/>
    </xf>
    <xf numFmtId="164" fontId="5" fillId="2" borderId="11" xfId="1" applyNumberFormat="1" applyFont="1" applyFill="1" applyBorder="1" applyAlignment="1">
      <alignment horizontal="center" vertical="center" wrapText="1"/>
    </xf>
    <xf numFmtId="0" fontId="5" fillId="2" borderId="1" xfId="1" applyFont="1" applyFill="1" applyBorder="1" applyAlignment="1">
      <alignment horizontal="center" vertical="center" wrapText="1"/>
    </xf>
    <xf numFmtId="0" fontId="28" fillId="0" borderId="0" xfId="0" applyFont="1" applyAlignment="1">
      <alignment horizontal="center" vertical="center"/>
    </xf>
    <xf numFmtId="0" fontId="26" fillId="0" borderId="0" xfId="0" applyFont="1" applyAlignment="1">
      <alignment horizontal="center" vertical="center"/>
    </xf>
    <xf numFmtId="0" fontId="5" fillId="25" borderId="11" xfId="1" applyFont="1" applyFill="1" applyBorder="1" applyAlignment="1">
      <alignment horizontal="center" vertical="center" wrapText="1"/>
    </xf>
    <xf numFmtId="0" fontId="37" fillId="0" borderId="0" xfId="0" applyFont="1" applyAlignment="1">
      <alignment horizontal="center" vertical="center"/>
    </xf>
    <xf numFmtId="0" fontId="42" fillId="0" borderId="0" xfId="0" applyFont="1" applyAlignment="1">
      <alignment horizontal="center" vertical="center"/>
    </xf>
    <xf numFmtId="0" fontId="5" fillId="25" borderId="11" xfId="1" applyFont="1" applyFill="1" applyBorder="1" applyAlignment="1">
      <alignment horizontal="center" vertical="center"/>
    </xf>
    <xf numFmtId="0" fontId="4" fillId="0" borderId="0" xfId="1" applyFont="1" applyAlignment="1">
      <alignment horizontal="center" vertical="center"/>
    </xf>
    <xf numFmtId="0" fontId="44" fillId="0" borderId="0" xfId="0" applyFont="1"/>
    <xf numFmtId="0" fontId="46" fillId="0" borderId="0" xfId="0" applyFont="1"/>
    <xf numFmtId="0" fontId="44" fillId="0" borderId="0" xfId="0" applyFont="1" applyAlignment="1">
      <alignment horizontal="center" vertical="center"/>
    </xf>
    <xf numFmtId="0" fontId="46" fillId="0" borderId="0" xfId="0" applyFont="1" applyAlignment="1">
      <alignment horizontal="center" vertical="center"/>
    </xf>
    <xf numFmtId="0" fontId="48" fillId="0" borderId="0" xfId="0" applyFont="1"/>
    <xf numFmtId="0" fontId="48" fillId="0" borderId="0" xfId="0" applyFont="1" applyAlignment="1">
      <alignment horizontal="center" vertical="center"/>
    </xf>
    <xf numFmtId="0" fontId="50" fillId="0" borderId="0" xfId="0" applyFont="1"/>
    <xf numFmtId="0" fontId="50" fillId="0" borderId="0" xfId="0" applyFont="1" applyAlignment="1">
      <alignment horizontal="center" vertical="center"/>
    </xf>
    <xf numFmtId="0" fontId="37" fillId="0" borderId="12" xfId="0" applyFont="1" applyBorder="1" applyAlignment="1">
      <alignment horizontal="center" vertical="center" wrapText="1"/>
    </xf>
    <xf numFmtId="0" fontId="42" fillId="0" borderId="12" xfId="0" applyFont="1" applyBorder="1" applyAlignment="1">
      <alignment horizontal="center" vertical="center" wrapText="1"/>
    </xf>
    <xf numFmtId="0" fontId="37" fillId="0" borderId="12" xfId="0" applyFont="1" applyBorder="1" applyAlignment="1">
      <alignment horizontal="left" vertical="center" wrapText="1"/>
    </xf>
    <xf numFmtId="0" fontId="42" fillId="0" borderId="12" xfId="0" applyFont="1" applyBorder="1" applyAlignment="1">
      <alignment horizontal="left" vertical="center" wrapText="1"/>
    </xf>
    <xf numFmtId="39" fontId="37" fillId="0" borderId="12" xfId="1" applyNumberFormat="1" applyFont="1" applyBorder="1" applyAlignment="1">
      <alignment horizontal="center" vertical="center" wrapText="1"/>
    </xf>
    <xf numFmtId="39" fontId="37" fillId="0" borderId="12" xfId="0" applyNumberFormat="1" applyFont="1" applyBorder="1" applyAlignment="1">
      <alignment horizontal="center" vertical="center" wrapText="1"/>
    </xf>
    <xf numFmtId="39" fontId="42" fillId="0" borderId="12" xfId="0" applyNumberFormat="1" applyFont="1" applyBorder="1" applyAlignment="1">
      <alignment horizontal="center" vertical="center" wrapText="1"/>
    </xf>
    <xf numFmtId="0" fontId="34" fillId="26" borderId="12" xfId="0" applyFont="1" applyFill="1" applyBorder="1" applyAlignment="1">
      <alignment horizontal="center" vertical="center" wrapText="1"/>
    </xf>
    <xf numFmtId="0" fontId="43" fillId="26" borderId="12" xfId="0" applyFont="1" applyFill="1" applyBorder="1" applyAlignment="1">
      <alignment horizontal="center" vertical="center" wrapText="1"/>
    </xf>
    <xf numFmtId="9" fontId="37" fillId="0" borderId="12" xfId="0" applyNumberFormat="1" applyFont="1" applyBorder="1" applyAlignment="1">
      <alignment horizontal="center" vertical="center" wrapText="1"/>
    </xf>
    <xf numFmtId="9" fontId="42" fillId="0" borderId="12" xfId="0" applyNumberFormat="1" applyFont="1" applyBorder="1" applyAlignment="1">
      <alignment horizontal="center" vertical="center" wrapText="1"/>
    </xf>
    <xf numFmtId="0" fontId="39" fillId="0" borderId="12" xfId="0" applyFont="1" applyBorder="1" applyAlignment="1">
      <alignment horizontal="center" vertical="center" wrapText="1"/>
    </xf>
    <xf numFmtId="39" fontId="52" fillId="0" borderId="12" xfId="50" applyNumberFormat="1" applyFont="1" applyBorder="1" applyAlignment="1">
      <alignment horizontal="center" vertical="center" wrapText="1"/>
    </xf>
    <xf numFmtId="164" fontId="52" fillId="0" borderId="12" xfId="50" applyNumberFormat="1" applyFont="1" applyBorder="1" applyAlignment="1">
      <alignment horizontal="center" vertical="center" wrapText="1"/>
    </xf>
    <xf numFmtId="164" fontId="42" fillId="0" borderId="12" xfId="0" applyNumberFormat="1" applyFont="1" applyBorder="1" applyAlignment="1">
      <alignment horizontal="center" vertical="center" wrapText="1"/>
    </xf>
    <xf numFmtId="49" fontId="37" fillId="0" borderId="12" xfId="0" applyNumberFormat="1" applyFont="1" applyBorder="1" applyAlignment="1">
      <alignment horizontal="center" vertical="center" wrapText="1"/>
    </xf>
    <xf numFmtId="49" fontId="37" fillId="0" borderId="12" xfId="0" applyNumberFormat="1" applyFont="1" applyBorder="1" applyAlignment="1">
      <alignment horizontal="center" vertical="center"/>
    </xf>
    <xf numFmtId="49" fontId="42" fillId="0" borderId="12" xfId="0" applyNumberFormat="1" applyFont="1" applyBorder="1" applyAlignment="1">
      <alignment horizontal="center" vertical="center"/>
    </xf>
    <xf numFmtId="0" fontId="37" fillId="0" borderId="12" xfId="0" applyFont="1" applyBorder="1" applyAlignment="1">
      <alignment horizontal="center" vertical="center"/>
    </xf>
    <xf numFmtId="0" fontId="42" fillId="0" borderId="12" xfId="0" applyFont="1" applyBorder="1" applyAlignment="1">
      <alignment horizontal="center" vertical="center"/>
    </xf>
    <xf numFmtId="0" fontId="44" fillId="0" borderId="12" xfId="0" applyFont="1" applyBorder="1" applyAlignment="1">
      <alignment horizontal="center" vertical="center" wrapText="1"/>
    </xf>
    <xf numFmtId="0" fontId="46" fillId="0" borderId="12" xfId="0" applyFont="1" applyBorder="1" applyAlignment="1">
      <alignment horizontal="center" vertical="center" wrapText="1"/>
    </xf>
    <xf numFmtId="0" fontId="44" fillId="0" borderId="12" xfId="0" applyFont="1" applyBorder="1" applyAlignment="1">
      <alignment horizontal="left" vertical="center" wrapText="1"/>
    </xf>
    <xf numFmtId="0" fontId="46" fillId="0" borderId="12" xfId="0" applyFont="1" applyBorder="1" applyAlignment="1">
      <alignment horizontal="left" vertical="center" wrapText="1"/>
    </xf>
    <xf numFmtId="39" fontId="44" fillId="0" borderId="12" xfId="0" applyNumberFormat="1" applyFont="1" applyBorder="1" applyAlignment="1">
      <alignment horizontal="center" vertical="center" wrapText="1"/>
    </xf>
    <xf numFmtId="39" fontId="46" fillId="0" borderId="12" xfId="0" applyNumberFormat="1" applyFont="1" applyBorder="1" applyAlignment="1">
      <alignment horizontal="center" vertical="center" wrapText="1"/>
    </xf>
    <xf numFmtId="0" fontId="45" fillId="26" borderId="12" xfId="0" applyFont="1" applyFill="1" applyBorder="1" applyAlignment="1">
      <alignment horizontal="center" vertical="center" wrapText="1"/>
    </xf>
    <xf numFmtId="0" fontId="47" fillId="26" borderId="12" xfId="0" applyFont="1" applyFill="1" applyBorder="1" applyAlignment="1">
      <alignment horizontal="center" vertical="center" wrapText="1"/>
    </xf>
    <xf numFmtId="9" fontId="44" fillId="0" borderId="12" xfId="0" applyNumberFormat="1" applyFont="1" applyBorder="1" applyAlignment="1">
      <alignment horizontal="center" vertical="center" wrapText="1"/>
    </xf>
    <xf numFmtId="9" fontId="46" fillId="0" borderId="12" xfId="0" applyNumberFormat="1" applyFont="1" applyBorder="1" applyAlignment="1">
      <alignment horizontal="center" vertical="center" wrapText="1"/>
    </xf>
    <xf numFmtId="164" fontId="37" fillId="0" borderId="12" xfId="0" applyNumberFormat="1" applyFont="1" applyBorder="1" applyAlignment="1">
      <alignment horizontal="center" vertical="center" wrapText="1"/>
    </xf>
    <xf numFmtId="49" fontId="44" fillId="0" borderId="12" xfId="0" applyNumberFormat="1" applyFont="1" applyBorder="1" applyAlignment="1">
      <alignment horizontal="center" vertical="center"/>
    </xf>
    <xf numFmtId="49" fontId="46" fillId="0" borderId="12" xfId="0" applyNumberFormat="1" applyFont="1" applyBorder="1" applyAlignment="1">
      <alignment horizontal="center" vertical="center"/>
    </xf>
    <xf numFmtId="0" fontId="44" fillId="0" borderId="12" xfId="0" applyFont="1" applyBorder="1" applyAlignment="1">
      <alignment horizontal="center" vertical="center"/>
    </xf>
    <xf numFmtId="0" fontId="46" fillId="0" borderId="12" xfId="0" applyFont="1" applyBorder="1" applyAlignment="1">
      <alignment horizontal="center" vertical="center"/>
    </xf>
    <xf numFmtId="0" fontId="48" fillId="0" borderId="12" xfId="0" applyFont="1" applyBorder="1" applyAlignment="1">
      <alignment horizontal="center" vertical="center" wrapText="1"/>
    </xf>
    <xf numFmtId="0" fontId="48" fillId="0" borderId="12" xfId="0" applyFont="1" applyBorder="1" applyAlignment="1">
      <alignment horizontal="left" vertical="center" wrapText="1"/>
    </xf>
    <xf numFmtId="39" fontId="48" fillId="0" borderId="12" xfId="0" applyNumberFormat="1" applyFont="1" applyBorder="1" applyAlignment="1">
      <alignment horizontal="center" vertical="center" wrapText="1"/>
    </xf>
    <xf numFmtId="0" fontId="49" fillId="26" borderId="12" xfId="0" applyFont="1" applyFill="1" applyBorder="1" applyAlignment="1">
      <alignment horizontal="center" vertical="center" wrapText="1"/>
    </xf>
    <xf numFmtId="9" fontId="48" fillId="0" borderId="12" xfId="0" applyNumberFormat="1" applyFont="1" applyBorder="1" applyAlignment="1">
      <alignment horizontal="center" vertical="center" wrapText="1"/>
    </xf>
    <xf numFmtId="49" fontId="48" fillId="0" borderId="12" xfId="0" applyNumberFormat="1" applyFont="1" applyBorder="1" applyAlignment="1">
      <alignment horizontal="center" vertical="center"/>
    </xf>
    <xf numFmtId="0" fontId="48" fillId="0" borderId="12" xfId="0" applyFont="1" applyBorder="1" applyAlignment="1">
      <alignment horizontal="center" vertical="center"/>
    </xf>
    <xf numFmtId="0" fontId="50" fillId="0" borderId="12" xfId="0" applyFont="1" applyBorder="1" applyAlignment="1">
      <alignment horizontal="center" vertical="center" wrapText="1"/>
    </xf>
    <xf numFmtId="0" fontId="37" fillId="0" borderId="12" xfId="0" applyFont="1" applyBorder="1" applyAlignment="1">
      <alignment horizontal="left" vertical="center"/>
    </xf>
    <xf numFmtId="0" fontId="42" fillId="0" borderId="12" xfId="0" applyFont="1" applyBorder="1" applyAlignment="1">
      <alignment horizontal="left" vertical="center"/>
    </xf>
    <xf numFmtId="0" fontId="44" fillId="0" borderId="12" xfId="0" applyFont="1" applyBorder="1" applyAlignment="1">
      <alignment horizontal="left" vertical="center"/>
    </xf>
    <xf numFmtId="0" fontId="50" fillId="0" borderId="12" xfId="0" applyFont="1" applyBorder="1" applyAlignment="1">
      <alignment horizontal="left" vertical="center"/>
    </xf>
    <xf numFmtId="39" fontId="50" fillId="0" borderId="12" xfId="0" applyNumberFormat="1" applyFont="1" applyBorder="1" applyAlignment="1">
      <alignment horizontal="center" vertical="center" wrapText="1"/>
    </xf>
    <xf numFmtId="0" fontId="51" fillId="26" borderId="12" xfId="0" applyFont="1" applyFill="1" applyBorder="1" applyAlignment="1">
      <alignment horizontal="center" vertical="center" wrapText="1"/>
    </xf>
    <xf numFmtId="9" fontId="50" fillId="0" borderId="12" xfId="0" applyNumberFormat="1" applyFont="1" applyBorder="1" applyAlignment="1">
      <alignment horizontal="center" vertical="center" wrapText="1"/>
    </xf>
    <xf numFmtId="164" fontId="44" fillId="0" borderId="12" xfId="0" applyNumberFormat="1" applyFont="1" applyBorder="1" applyAlignment="1">
      <alignment horizontal="center" vertical="center" wrapText="1"/>
    </xf>
    <xf numFmtId="49" fontId="50" fillId="0" borderId="12" xfId="0" applyNumberFormat="1" applyFont="1" applyBorder="1" applyAlignment="1">
      <alignment horizontal="center" vertical="center"/>
    </xf>
    <xf numFmtId="0" fontId="50" fillId="0" borderId="12" xfId="0" applyFont="1" applyBorder="1" applyAlignment="1">
      <alignment horizontal="center" vertical="center"/>
    </xf>
    <xf numFmtId="0" fontId="3" fillId="0" borderId="0" xfId="0" applyFont="1" applyAlignment="1">
      <alignment horizontal="left" vertical="center"/>
    </xf>
    <xf numFmtId="0" fontId="0" fillId="0" borderId="0" xfId="0" applyAlignment="1">
      <alignment vertical="center"/>
    </xf>
  </cellXfs>
  <cellStyles count="51">
    <cellStyle name="20% - Accent1" xfId="4" xr:uid="{00000000-0005-0000-0000-000000000000}"/>
    <cellStyle name="20% - Accent2" xfId="5" xr:uid="{00000000-0005-0000-0000-000001000000}"/>
    <cellStyle name="20% - Accent3" xfId="6" xr:uid="{00000000-0005-0000-0000-000002000000}"/>
    <cellStyle name="20% - Accent4" xfId="7" xr:uid="{00000000-0005-0000-0000-000003000000}"/>
    <cellStyle name="20% - Accent5" xfId="8" xr:uid="{00000000-0005-0000-0000-000004000000}"/>
    <cellStyle name="20% - Accent6" xfId="9" xr:uid="{00000000-0005-0000-0000-000005000000}"/>
    <cellStyle name="40% - Accent1" xfId="10" xr:uid="{00000000-0005-0000-0000-000006000000}"/>
    <cellStyle name="40% - Accent2" xfId="11" xr:uid="{00000000-0005-0000-0000-000007000000}"/>
    <cellStyle name="40% - Accent3" xfId="12" xr:uid="{00000000-0005-0000-0000-000008000000}"/>
    <cellStyle name="40% - Accent4" xfId="13" xr:uid="{00000000-0005-0000-0000-000009000000}"/>
    <cellStyle name="40% - Accent5" xfId="14" xr:uid="{00000000-0005-0000-0000-00000A000000}"/>
    <cellStyle name="40% - Accent6" xfId="15" xr:uid="{00000000-0005-0000-0000-00000B000000}"/>
    <cellStyle name="60% - Accent1" xfId="16" xr:uid="{00000000-0005-0000-0000-00000C000000}"/>
    <cellStyle name="60% - Accent2" xfId="17" xr:uid="{00000000-0005-0000-0000-00000D000000}"/>
    <cellStyle name="60% - Accent3" xfId="18" xr:uid="{00000000-0005-0000-0000-00000E000000}"/>
    <cellStyle name="60% - Accent4" xfId="19" xr:uid="{00000000-0005-0000-0000-00000F000000}"/>
    <cellStyle name="60% - Accent5" xfId="20" xr:uid="{00000000-0005-0000-0000-000010000000}"/>
    <cellStyle name="60% - Accent6" xfId="21" xr:uid="{00000000-0005-0000-0000-000011000000}"/>
    <cellStyle name="Accent1" xfId="22" xr:uid="{00000000-0005-0000-0000-000012000000}"/>
    <cellStyle name="Accent2" xfId="23" xr:uid="{00000000-0005-0000-0000-000013000000}"/>
    <cellStyle name="Accent3" xfId="24" xr:uid="{00000000-0005-0000-0000-000014000000}"/>
    <cellStyle name="Accent4" xfId="25" xr:uid="{00000000-0005-0000-0000-000015000000}"/>
    <cellStyle name="Accent5" xfId="26" xr:uid="{00000000-0005-0000-0000-000016000000}"/>
    <cellStyle name="Accent6" xfId="27" xr:uid="{00000000-0005-0000-0000-000017000000}"/>
    <cellStyle name="Bad" xfId="28" xr:uid="{00000000-0005-0000-0000-000018000000}"/>
    <cellStyle name="Calculation" xfId="29" xr:uid="{00000000-0005-0000-0000-000019000000}"/>
    <cellStyle name="Check Cell" xfId="30" xr:uid="{00000000-0005-0000-0000-00001A000000}"/>
    <cellStyle name="Explanatory Text" xfId="31" xr:uid="{00000000-0005-0000-0000-00001B000000}"/>
    <cellStyle name="Good" xfId="32" xr:uid="{00000000-0005-0000-0000-00001C000000}"/>
    <cellStyle name="Heading 1" xfId="33" xr:uid="{00000000-0005-0000-0000-00001D000000}"/>
    <cellStyle name="Heading 2" xfId="34" xr:uid="{00000000-0005-0000-0000-00001E000000}"/>
    <cellStyle name="Heading 3" xfId="35" xr:uid="{00000000-0005-0000-0000-00001F000000}"/>
    <cellStyle name="Heading 4" xfId="36" xr:uid="{00000000-0005-0000-0000-000020000000}"/>
    <cellStyle name="Input" xfId="37" xr:uid="{00000000-0005-0000-0000-000021000000}"/>
    <cellStyle name="Linked Cell" xfId="38" xr:uid="{00000000-0005-0000-0000-000022000000}"/>
    <cellStyle name="Neutral" xfId="39" xr:uid="{00000000-0005-0000-0000-000023000000}"/>
    <cellStyle name="Normal_Sheet1" xfId="40" xr:uid="{00000000-0005-0000-0000-000024000000}"/>
    <cellStyle name="Note" xfId="41" xr:uid="{00000000-0005-0000-0000-000025000000}"/>
    <cellStyle name="Output" xfId="42" xr:uid="{00000000-0005-0000-0000-000026000000}"/>
    <cellStyle name="Title" xfId="43" xr:uid="{00000000-0005-0000-0000-000027000000}"/>
    <cellStyle name="Total" xfId="44" xr:uid="{00000000-0005-0000-0000-000028000000}"/>
    <cellStyle name="Warning Text" xfId="45" xr:uid="{00000000-0005-0000-0000-000029000000}"/>
    <cellStyle name="Гиперссылка" xfId="50" builtinId="8"/>
    <cellStyle name="Гиперссылка 2" xfId="3" xr:uid="{00000000-0005-0000-0000-00002A000000}"/>
    <cellStyle name="Обычный" xfId="0" builtinId="0"/>
    <cellStyle name="Обычный 2" xfId="2" xr:uid="{00000000-0005-0000-0000-00002C000000}"/>
    <cellStyle name="Обычный 3" xfId="46" xr:uid="{00000000-0005-0000-0000-00002D000000}"/>
    <cellStyle name="Обычный 4" xfId="47" xr:uid="{00000000-0005-0000-0000-00002E000000}"/>
    <cellStyle name="Обычный 5" xfId="48" xr:uid="{00000000-0005-0000-0000-00002F000000}"/>
    <cellStyle name="Обычный 6" xfId="1" xr:uid="{00000000-0005-0000-0000-000030000000}"/>
    <cellStyle name="Финансовый 2" xfId="49" xr:uid="{00000000-0005-0000-0000-000031000000}"/>
  </cellStyles>
  <dxfs count="0"/>
  <tableStyles count="0" defaultTableStyle="TableStyleMedium9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calcChain" Target="calcChain.xml"/><Relationship Id="rId3" Type="http://schemas.openxmlformats.org/officeDocument/2006/relationships/worksheet" Target="worksheets/sheet3.xml"/><Relationship Id="rId7" Type="http://schemas.openxmlformats.org/officeDocument/2006/relationships/sharedStrings" Target="sharedString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tyles" Target="styles.xml"/><Relationship Id="rId5" Type="http://schemas.openxmlformats.org/officeDocument/2006/relationships/theme" Target="theme/theme1.xml"/><Relationship Id="rId4" Type="http://schemas.openxmlformats.org/officeDocument/2006/relationships/worksheet" Target="worksheets/sheet4.xml"/></Relationships>
</file>

<file path=xl/ctrlProps/ctrlProp1.xml><?xml version="1.0" encoding="utf-8"?>
<formControlPr xmlns="http://schemas.microsoft.com/office/spreadsheetml/2009/9/main" objectType="Button" lockText="1"/>
</file>

<file path=xl/ctrlProps/ctrlProp2.xml><?xml version="1.0" encoding="utf-8"?>
<formControlPr xmlns="http://schemas.microsoft.com/office/spreadsheetml/2009/9/main" objectType="Button" lockText="1"/>
</file>

<file path=xl/ctrlProps/ctrlProp3.xml><?xml version="1.0" encoding="utf-8"?>
<formControlPr xmlns="http://schemas.microsoft.com/office/spreadsheetml/2009/9/main" objectType="Button" lockText="1"/>
</file>

<file path=xl/ctrlProps/ctrlProp4.xml><?xml version="1.0" encoding="utf-8"?>
<formControlPr xmlns="http://schemas.microsoft.com/office/spreadsheetml/2009/9/main" objectType="Button" lockText="1"/>
</file>

<file path=xl/ctrlProps/ctrlProp5.xml><?xml version="1.0" encoding="utf-8"?>
<formControlPr xmlns="http://schemas.microsoft.com/office/spreadsheetml/2009/9/main" objectType="Button" lockText="1"/>
</file>

<file path=xl/ctrlProps/ctrlProp6.xml><?xml version="1.0" encoding="utf-8"?>
<formControlPr xmlns="http://schemas.microsoft.com/office/spreadsheetml/2009/9/main" objectType="Button" lockText="1"/>
</file>

<file path=xl/ctrlProps/ctrlProp7.xml><?xml version="1.0" encoding="utf-8"?>
<formControlPr xmlns="http://schemas.microsoft.com/office/spreadsheetml/2009/9/main" objectType="Button" lockText="1"/>
</file>

<file path=xl/ctrlProps/ctrlProp8.xml><?xml version="1.0" encoding="utf-8"?>
<formControlPr xmlns="http://schemas.microsoft.com/office/spreadsheetml/2009/9/main" objectType="Button" lockText="1"/>
</file>

<file path=xl/ctrlProps/ctrlProp9.xml><?xml version="1.0" encoding="utf-8"?>
<formControlPr xmlns="http://schemas.microsoft.com/office/spreadsheetml/2009/9/main" objectType="Button" lockText="1"/>
</file>

<file path=xl/ctrlProps/ctrlProp10.xml><?xml version="1.0" encoding="utf-8"?>
<formControlPr xmlns="http://schemas.microsoft.com/office/spreadsheetml/2009/9/main" objectType="Button" lockText="1"/>
</file>

<file path=xl/drawings/_rels/drawing1.xml.rels><?xml version="1.0" encoding="UTF-8" standalone="yes"?>
<Relationships xmlns="http://schemas.openxmlformats.org/package/2006/relationships"><Relationship Id="rId13" Type="http://schemas.openxmlformats.org/officeDocument/2006/relationships/image" Target="../media/image13.gif"/><Relationship Id="rId18" Type="http://schemas.openxmlformats.org/officeDocument/2006/relationships/image" Target="../media/image18.gif"/><Relationship Id="rId26" Type="http://schemas.openxmlformats.org/officeDocument/2006/relationships/image" Target="../media/image26.gif"/><Relationship Id="rId3" Type="http://schemas.openxmlformats.org/officeDocument/2006/relationships/image" Target="../media/image3.gif"/><Relationship Id="rId21" Type="http://schemas.openxmlformats.org/officeDocument/2006/relationships/image" Target="../media/image21.gif"/><Relationship Id="rId7" Type="http://schemas.openxmlformats.org/officeDocument/2006/relationships/image" Target="../media/image7.gif"/><Relationship Id="rId12" Type="http://schemas.openxmlformats.org/officeDocument/2006/relationships/image" Target="../media/image12.gif"/><Relationship Id="rId17" Type="http://schemas.openxmlformats.org/officeDocument/2006/relationships/image" Target="../media/image17.gif"/><Relationship Id="rId25" Type="http://schemas.openxmlformats.org/officeDocument/2006/relationships/image" Target="../media/image25.gif"/><Relationship Id="rId33" Type="http://schemas.openxmlformats.org/officeDocument/2006/relationships/image" Target="../media/image33.png"/><Relationship Id="rId2" Type="http://schemas.openxmlformats.org/officeDocument/2006/relationships/image" Target="../media/image2.gif"/><Relationship Id="rId16" Type="http://schemas.openxmlformats.org/officeDocument/2006/relationships/image" Target="../media/image16.gif"/><Relationship Id="rId20" Type="http://schemas.openxmlformats.org/officeDocument/2006/relationships/image" Target="../media/image20.gif"/><Relationship Id="rId29" Type="http://schemas.openxmlformats.org/officeDocument/2006/relationships/image" Target="../media/image29.gif"/><Relationship Id="rId1" Type="http://schemas.openxmlformats.org/officeDocument/2006/relationships/image" Target="../media/image1.gif"/><Relationship Id="rId6" Type="http://schemas.openxmlformats.org/officeDocument/2006/relationships/image" Target="../media/image6.gif"/><Relationship Id="rId11" Type="http://schemas.openxmlformats.org/officeDocument/2006/relationships/image" Target="../media/image11.gif"/><Relationship Id="rId24" Type="http://schemas.openxmlformats.org/officeDocument/2006/relationships/image" Target="../media/image24.gif"/><Relationship Id="rId32" Type="http://schemas.openxmlformats.org/officeDocument/2006/relationships/image" Target="../media/image32.gif"/><Relationship Id="rId5" Type="http://schemas.openxmlformats.org/officeDocument/2006/relationships/image" Target="../media/image5.gif"/><Relationship Id="rId15" Type="http://schemas.openxmlformats.org/officeDocument/2006/relationships/image" Target="../media/image15.gif"/><Relationship Id="rId23" Type="http://schemas.openxmlformats.org/officeDocument/2006/relationships/image" Target="../media/image23.gif"/><Relationship Id="rId28" Type="http://schemas.openxmlformats.org/officeDocument/2006/relationships/image" Target="../media/image28.gif"/><Relationship Id="rId10" Type="http://schemas.openxmlformats.org/officeDocument/2006/relationships/image" Target="../media/image10.gif"/><Relationship Id="rId19" Type="http://schemas.openxmlformats.org/officeDocument/2006/relationships/image" Target="../media/image19.gif"/><Relationship Id="rId31" Type="http://schemas.openxmlformats.org/officeDocument/2006/relationships/image" Target="../media/image31.gif"/><Relationship Id="rId4" Type="http://schemas.openxmlformats.org/officeDocument/2006/relationships/image" Target="../media/image4.gif"/><Relationship Id="rId9" Type="http://schemas.openxmlformats.org/officeDocument/2006/relationships/image" Target="../media/image9.gif"/><Relationship Id="rId14" Type="http://schemas.openxmlformats.org/officeDocument/2006/relationships/image" Target="../media/image14.gif"/><Relationship Id="rId22" Type="http://schemas.openxmlformats.org/officeDocument/2006/relationships/image" Target="../media/image22.gif"/><Relationship Id="rId27" Type="http://schemas.openxmlformats.org/officeDocument/2006/relationships/image" Target="../media/image27.gif"/><Relationship Id="rId30" Type="http://schemas.openxmlformats.org/officeDocument/2006/relationships/image" Target="../media/image30.gif"/><Relationship Id="rId8" Type="http://schemas.openxmlformats.org/officeDocument/2006/relationships/image" Target="../media/image8.gif"/></Relationships>
</file>

<file path=xl/drawings/_rels/drawing2.xml.rels><?xml version="1.0" encoding="UTF-8" standalone="yes"?>
<Relationships xmlns="http://schemas.openxmlformats.org/package/2006/relationships"><Relationship Id="rId117" Type="http://schemas.openxmlformats.org/officeDocument/2006/relationships/image" Target="../media/image150.gif"/><Relationship Id="rId21" Type="http://schemas.openxmlformats.org/officeDocument/2006/relationships/image" Target="../media/image54.gif"/><Relationship Id="rId42" Type="http://schemas.openxmlformats.org/officeDocument/2006/relationships/image" Target="../media/image75.gif"/><Relationship Id="rId63" Type="http://schemas.openxmlformats.org/officeDocument/2006/relationships/image" Target="../media/image96.gif"/><Relationship Id="rId84" Type="http://schemas.openxmlformats.org/officeDocument/2006/relationships/image" Target="../media/image117.gif"/><Relationship Id="rId138" Type="http://schemas.openxmlformats.org/officeDocument/2006/relationships/image" Target="../media/image171.gif"/><Relationship Id="rId159" Type="http://schemas.openxmlformats.org/officeDocument/2006/relationships/image" Target="../media/image192.gif"/><Relationship Id="rId170" Type="http://schemas.openxmlformats.org/officeDocument/2006/relationships/image" Target="../media/image203.gif"/><Relationship Id="rId191" Type="http://schemas.openxmlformats.org/officeDocument/2006/relationships/image" Target="../media/image224.gif"/><Relationship Id="rId107" Type="http://schemas.openxmlformats.org/officeDocument/2006/relationships/image" Target="../media/image140.gif"/><Relationship Id="rId11" Type="http://schemas.openxmlformats.org/officeDocument/2006/relationships/image" Target="../media/image44.gif"/><Relationship Id="rId32" Type="http://schemas.openxmlformats.org/officeDocument/2006/relationships/image" Target="../media/image65.gif"/><Relationship Id="rId53" Type="http://schemas.openxmlformats.org/officeDocument/2006/relationships/image" Target="../media/image86.gif"/><Relationship Id="rId74" Type="http://schemas.openxmlformats.org/officeDocument/2006/relationships/image" Target="../media/image107.gif"/><Relationship Id="rId128" Type="http://schemas.openxmlformats.org/officeDocument/2006/relationships/image" Target="../media/image161.gif"/><Relationship Id="rId149" Type="http://schemas.openxmlformats.org/officeDocument/2006/relationships/image" Target="../media/image182.gif"/><Relationship Id="rId5" Type="http://schemas.openxmlformats.org/officeDocument/2006/relationships/image" Target="../media/image38.gif"/><Relationship Id="rId95" Type="http://schemas.openxmlformats.org/officeDocument/2006/relationships/image" Target="../media/image128.gif"/><Relationship Id="rId160" Type="http://schemas.openxmlformats.org/officeDocument/2006/relationships/image" Target="../media/image193.gif"/><Relationship Id="rId181" Type="http://schemas.openxmlformats.org/officeDocument/2006/relationships/image" Target="../media/image214.gif"/><Relationship Id="rId22" Type="http://schemas.openxmlformats.org/officeDocument/2006/relationships/image" Target="../media/image55.gif"/><Relationship Id="rId43" Type="http://schemas.openxmlformats.org/officeDocument/2006/relationships/image" Target="../media/image76.gif"/><Relationship Id="rId64" Type="http://schemas.openxmlformats.org/officeDocument/2006/relationships/image" Target="../media/image97.gif"/><Relationship Id="rId118" Type="http://schemas.openxmlformats.org/officeDocument/2006/relationships/image" Target="../media/image151.gif"/><Relationship Id="rId139" Type="http://schemas.openxmlformats.org/officeDocument/2006/relationships/image" Target="../media/image172.gif"/><Relationship Id="rId85" Type="http://schemas.openxmlformats.org/officeDocument/2006/relationships/image" Target="../media/image118.gif"/><Relationship Id="rId150" Type="http://schemas.openxmlformats.org/officeDocument/2006/relationships/image" Target="../media/image183.gif"/><Relationship Id="rId171" Type="http://schemas.openxmlformats.org/officeDocument/2006/relationships/image" Target="../media/image204.gif"/><Relationship Id="rId192" Type="http://schemas.openxmlformats.org/officeDocument/2006/relationships/image" Target="../media/image225.gif"/><Relationship Id="rId12" Type="http://schemas.openxmlformats.org/officeDocument/2006/relationships/image" Target="../media/image45.gif"/><Relationship Id="rId33" Type="http://schemas.openxmlformats.org/officeDocument/2006/relationships/image" Target="../media/image66.gif"/><Relationship Id="rId108" Type="http://schemas.openxmlformats.org/officeDocument/2006/relationships/image" Target="../media/image141.gif"/><Relationship Id="rId129" Type="http://schemas.openxmlformats.org/officeDocument/2006/relationships/image" Target="../media/image162.gif"/><Relationship Id="rId54" Type="http://schemas.openxmlformats.org/officeDocument/2006/relationships/image" Target="../media/image87.gif"/><Relationship Id="rId75" Type="http://schemas.openxmlformats.org/officeDocument/2006/relationships/image" Target="../media/image108.gif"/><Relationship Id="rId96" Type="http://schemas.openxmlformats.org/officeDocument/2006/relationships/image" Target="../media/image129.gif"/><Relationship Id="rId140" Type="http://schemas.openxmlformats.org/officeDocument/2006/relationships/image" Target="../media/image173.gif"/><Relationship Id="rId161" Type="http://schemas.openxmlformats.org/officeDocument/2006/relationships/image" Target="../media/image194.gif"/><Relationship Id="rId182" Type="http://schemas.openxmlformats.org/officeDocument/2006/relationships/image" Target="../media/image215.gif"/><Relationship Id="rId6" Type="http://schemas.openxmlformats.org/officeDocument/2006/relationships/image" Target="../media/image39.gif"/><Relationship Id="rId23" Type="http://schemas.openxmlformats.org/officeDocument/2006/relationships/image" Target="../media/image56.gif"/><Relationship Id="rId119" Type="http://schemas.openxmlformats.org/officeDocument/2006/relationships/image" Target="../media/image152.gif"/><Relationship Id="rId44" Type="http://schemas.openxmlformats.org/officeDocument/2006/relationships/image" Target="../media/image77.gif"/><Relationship Id="rId65" Type="http://schemas.openxmlformats.org/officeDocument/2006/relationships/image" Target="../media/image98.gif"/><Relationship Id="rId86" Type="http://schemas.openxmlformats.org/officeDocument/2006/relationships/image" Target="../media/image119.gif"/><Relationship Id="rId130" Type="http://schemas.openxmlformats.org/officeDocument/2006/relationships/image" Target="../media/image163.gif"/><Relationship Id="rId151" Type="http://schemas.openxmlformats.org/officeDocument/2006/relationships/image" Target="../media/image184.gif"/><Relationship Id="rId172" Type="http://schemas.openxmlformats.org/officeDocument/2006/relationships/image" Target="../media/image205.gif"/><Relationship Id="rId193" Type="http://schemas.openxmlformats.org/officeDocument/2006/relationships/image" Target="../media/image33.png"/><Relationship Id="rId13" Type="http://schemas.openxmlformats.org/officeDocument/2006/relationships/image" Target="../media/image46.gif"/><Relationship Id="rId109" Type="http://schemas.openxmlformats.org/officeDocument/2006/relationships/image" Target="../media/image142.gif"/><Relationship Id="rId34" Type="http://schemas.openxmlformats.org/officeDocument/2006/relationships/image" Target="../media/image67.gif"/><Relationship Id="rId50" Type="http://schemas.openxmlformats.org/officeDocument/2006/relationships/image" Target="../media/image83.gif"/><Relationship Id="rId55" Type="http://schemas.openxmlformats.org/officeDocument/2006/relationships/image" Target="../media/image88.gif"/><Relationship Id="rId76" Type="http://schemas.openxmlformats.org/officeDocument/2006/relationships/image" Target="../media/image109.gif"/><Relationship Id="rId97" Type="http://schemas.openxmlformats.org/officeDocument/2006/relationships/image" Target="../media/image130.gif"/><Relationship Id="rId104" Type="http://schemas.openxmlformats.org/officeDocument/2006/relationships/image" Target="../media/image137.gif"/><Relationship Id="rId120" Type="http://schemas.openxmlformats.org/officeDocument/2006/relationships/image" Target="../media/image153.gif"/><Relationship Id="rId125" Type="http://schemas.openxmlformats.org/officeDocument/2006/relationships/image" Target="../media/image158.gif"/><Relationship Id="rId141" Type="http://schemas.openxmlformats.org/officeDocument/2006/relationships/image" Target="../media/image174.gif"/><Relationship Id="rId146" Type="http://schemas.openxmlformats.org/officeDocument/2006/relationships/image" Target="../media/image179.gif"/><Relationship Id="rId167" Type="http://schemas.openxmlformats.org/officeDocument/2006/relationships/image" Target="../media/image200.gif"/><Relationship Id="rId188" Type="http://schemas.openxmlformats.org/officeDocument/2006/relationships/image" Target="../media/image221.gif"/><Relationship Id="rId7" Type="http://schemas.openxmlformats.org/officeDocument/2006/relationships/image" Target="../media/image40.gif"/><Relationship Id="rId71" Type="http://schemas.openxmlformats.org/officeDocument/2006/relationships/image" Target="../media/image104.gif"/><Relationship Id="rId92" Type="http://schemas.openxmlformats.org/officeDocument/2006/relationships/image" Target="../media/image125.gif"/><Relationship Id="rId162" Type="http://schemas.openxmlformats.org/officeDocument/2006/relationships/image" Target="../media/image195.gif"/><Relationship Id="rId183" Type="http://schemas.openxmlformats.org/officeDocument/2006/relationships/image" Target="../media/image216.gif"/><Relationship Id="rId2" Type="http://schemas.openxmlformats.org/officeDocument/2006/relationships/image" Target="../media/image35.gif"/><Relationship Id="rId29" Type="http://schemas.openxmlformats.org/officeDocument/2006/relationships/image" Target="../media/image62.gif"/><Relationship Id="rId24" Type="http://schemas.openxmlformats.org/officeDocument/2006/relationships/image" Target="../media/image57.gif"/><Relationship Id="rId40" Type="http://schemas.openxmlformats.org/officeDocument/2006/relationships/image" Target="../media/image73.gif"/><Relationship Id="rId45" Type="http://schemas.openxmlformats.org/officeDocument/2006/relationships/image" Target="../media/image78.gif"/><Relationship Id="rId66" Type="http://schemas.openxmlformats.org/officeDocument/2006/relationships/image" Target="../media/image99.gif"/><Relationship Id="rId87" Type="http://schemas.openxmlformats.org/officeDocument/2006/relationships/image" Target="../media/image120.gif"/><Relationship Id="rId110" Type="http://schemas.openxmlformats.org/officeDocument/2006/relationships/image" Target="../media/image143.gif"/><Relationship Id="rId115" Type="http://schemas.openxmlformats.org/officeDocument/2006/relationships/image" Target="../media/image148.gif"/><Relationship Id="rId131" Type="http://schemas.openxmlformats.org/officeDocument/2006/relationships/image" Target="../media/image164.gif"/><Relationship Id="rId136" Type="http://schemas.openxmlformats.org/officeDocument/2006/relationships/image" Target="../media/image169.gif"/><Relationship Id="rId157" Type="http://schemas.openxmlformats.org/officeDocument/2006/relationships/image" Target="../media/image190.gif"/><Relationship Id="rId178" Type="http://schemas.openxmlformats.org/officeDocument/2006/relationships/image" Target="../media/image211.gif"/><Relationship Id="rId61" Type="http://schemas.openxmlformats.org/officeDocument/2006/relationships/image" Target="../media/image94.gif"/><Relationship Id="rId82" Type="http://schemas.openxmlformats.org/officeDocument/2006/relationships/image" Target="../media/image115.gif"/><Relationship Id="rId152" Type="http://schemas.openxmlformats.org/officeDocument/2006/relationships/image" Target="../media/image185.gif"/><Relationship Id="rId173" Type="http://schemas.openxmlformats.org/officeDocument/2006/relationships/image" Target="../media/image206.gif"/><Relationship Id="rId19" Type="http://schemas.openxmlformats.org/officeDocument/2006/relationships/image" Target="../media/image52.gif"/><Relationship Id="rId14" Type="http://schemas.openxmlformats.org/officeDocument/2006/relationships/image" Target="../media/image47.gif"/><Relationship Id="rId30" Type="http://schemas.openxmlformats.org/officeDocument/2006/relationships/image" Target="../media/image63.gif"/><Relationship Id="rId35" Type="http://schemas.openxmlformats.org/officeDocument/2006/relationships/image" Target="../media/image68.gif"/><Relationship Id="rId56" Type="http://schemas.openxmlformats.org/officeDocument/2006/relationships/image" Target="../media/image89.gif"/><Relationship Id="rId77" Type="http://schemas.openxmlformats.org/officeDocument/2006/relationships/image" Target="../media/image110.gif"/><Relationship Id="rId100" Type="http://schemas.openxmlformats.org/officeDocument/2006/relationships/image" Target="../media/image133.gif"/><Relationship Id="rId105" Type="http://schemas.openxmlformats.org/officeDocument/2006/relationships/image" Target="../media/image138.gif"/><Relationship Id="rId126" Type="http://schemas.openxmlformats.org/officeDocument/2006/relationships/image" Target="../media/image159.gif"/><Relationship Id="rId147" Type="http://schemas.openxmlformats.org/officeDocument/2006/relationships/image" Target="../media/image180.gif"/><Relationship Id="rId168" Type="http://schemas.openxmlformats.org/officeDocument/2006/relationships/image" Target="../media/image201.gif"/><Relationship Id="rId8" Type="http://schemas.openxmlformats.org/officeDocument/2006/relationships/image" Target="../media/image41.gif"/><Relationship Id="rId51" Type="http://schemas.openxmlformats.org/officeDocument/2006/relationships/image" Target="../media/image84.gif"/><Relationship Id="rId72" Type="http://schemas.openxmlformats.org/officeDocument/2006/relationships/image" Target="../media/image105.gif"/><Relationship Id="rId93" Type="http://schemas.openxmlformats.org/officeDocument/2006/relationships/image" Target="../media/image126.gif"/><Relationship Id="rId98" Type="http://schemas.openxmlformats.org/officeDocument/2006/relationships/image" Target="../media/image131.gif"/><Relationship Id="rId121" Type="http://schemas.openxmlformats.org/officeDocument/2006/relationships/image" Target="../media/image154.gif"/><Relationship Id="rId142" Type="http://schemas.openxmlformats.org/officeDocument/2006/relationships/image" Target="../media/image175.gif"/><Relationship Id="rId163" Type="http://schemas.openxmlformats.org/officeDocument/2006/relationships/image" Target="../media/image196.gif"/><Relationship Id="rId184" Type="http://schemas.openxmlformats.org/officeDocument/2006/relationships/image" Target="../media/image217.gif"/><Relationship Id="rId189" Type="http://schemas.openxmlformats.org/officeDocument/2006/relationships/image" Target="../media/image222.gif"/><Relationship Id="rId3" Type="http://schemas.openxmlformats.org/officeDocument/2006/relationships/image" Target="../media/image36.gif"/><Relationship Id="rId25" Type="http://schemas.openxmlformats.org/officeDocument/2006/relationships/image" Target="../media/image58.gif"/><Relationship Id="rId46" Type="http://schemas.openxmlformats.org/officeDocument/2006/relationships/image" Target="../media/image79.gif"/><Relationship Id="rId67" Type="http://schemas.openxmlformats.org/officeDocument/2006/relationships/image" Target="../media/image100.gif"/><Relationship Id="rId116" Type="http://schemas.openxmlformats.org/officeDocument/2006/relationships/image" Target="../media/image149.gif"/><Relationship Id="rId137" Type="http://schemas.openxmlformats.org/officeDocument/2006/relationships/image" Target="../media/image170.gif"/><Relationship Id="rId158" Type="http://schemas.openxmlformats.org/officeDocument/2006/relationships/image" Target="../media/image191.gif"/><Relationship Id="rId20" Type="http://schemas.openxmlformats.org/officeDocument/2006/relationships/image" Target="../media/image53.gif"/><Relationship Id="rId41" Type="http://schemas.openxmlformats.org/officeDocument/2006/relationships/image" Target="../media/image74.gif"/><Relationship Id="rId62" Type="http://schemas.openxmlformats.org/officeDocument/2006/relationships/image" Target="../media/image95.gif"/><Relationship Id="rId83" Type="http://schemas.openxmlformats.org/officeDocument/2006/relationships/image" Target="../media/image116.gif"/><Relationship Id="rId88" Type="http://schemas.openxmlformats.org/officeDocument/2006/relationships/image" Target="../media/image121.gif"/><Relationship Id="rId111" Type="http://schemas.openxmlformats.org/officeDocument/2006/relationships/image" Target="../media/image144.gif"/><Relationship Id="rId132" Type="http://schemas.openxmlformats.org/officeDocument/2006/relationships/image" Target="../media/image165.gif"/><Relationship Id="rId153" Type="http://schemas.openxmlformats.org/officeDocument/2006/relationships/image" Target="../media/image186.gif"/><Relationship Id="rId174" Type="http://schemas.openxmlformats.org/officeDocument/2006/relationships/image" Target="../media/image207.gif"/><Relationship Id="rId179" Type="http://schemas.openxmlformats.org/officeDocument/2006/relationships/image" Target="../media/image212.gif"/><Relationship Id="rId190" Type="http://schemas.openxmlformats.org/officeDocument/2006/relationships/image" Target="../media/image223.gif"/><Relationship Id="rId15" Type="http://schemas.openxmlformats.org/officeDocument/2006/relationships/image" Target="../media/image48.gif"/><Relationship Id="rId36" Type="http://schemas.openxmlformats.org/officeDocument/2006/relationships/image" Target="../media/image69.gif"/><Relationship Id="rId57" Type="http://schemas.openxmlformats.org/officeDocument/2006/relationships/image" Target="../media/image90.gif"/><Relationship Id="rId106" Type="http://schemas.openxmlformats.org/officeDocument/2006/relationships/image" Target="../media/image139.gif"/><Relationship Id="rId127" Type="http://schemas.openxmlformats.org/officeDocument/2006/relationships/image" Target="../media/image160.gif"/><Relationship Id="rId10" Type="http://schemas.openxmlformats.org/officeDocument/2006/relationships/image" Target="../media/image43.gif"/><Relationship Id="rId31" Type="http://schemas.openxmlformats.org/officeDocument/2006/relationships/image" Target="../media/image64.gif"/><Relationship Id="rId52" Type="http://schemas.openxmlformats.org/officeDocument/2006/relationships/image" Target="../media/image85.gif"/><Relationship Id="rId73" Type="http://schemas.openxmlformats.org/officeDocument/2006/relationships/image" Target="../media/image106.gif"/><Relationship Id="rId78" Type="http://schemas.openxmlformats.org/officeDocument/2006/relationships/image" Target="../media/image111.gif"/><Relationship Id="rId94" Type="http://schemas.openxmlformats.org/officeDocument/2006/relationships/image" Target="../media/image127.gif"/><Relationship Id="rId99" Type="http://schemas.openxmlformats.org/officeDocument/2006/relationships/image" Target="../media/image132.gif"/><Relationship Id="rId101" Type="http://schemas.openxmlformats.org/officeDocument/2006/relationships/image" Target="../media/image134.gif"/><Relationship Id="rId122" Type="http://schemas.openxmlformats.org/officeDocument/2006/relationships/image" Target="../media/image155.gif"/><Relationship Id="rId143" Type="http://schemas.openxmlformats.org/officeDocument/2006/relationships/image" Target="../media/image176.gif"/><Relationship Id="rId148" Type="http://schemas.openxmlformats.org/officeDocument/2006/relationships/image" Target="../media/image181.gif"/><Relationship Id="rId164" Type="http://schemas.openxmlformats.org/officeDocument/2006/relationships/image" Target="../media/image197.gif"/><Relationship Id="rId169" Type="http://schemas.openxmlformats.org/officeDocument/2006/relationships/image" Target="../media/image202.gif"/><Relationship Id="rId185" Type="http://schemas.openxmlformats.org/officeDocument/2006/relationships/image" Target="../media/image218.gif"/><Relationship Id="rId4" Type="http://schemas.openxmlformats.org/officeDocument/2006/relationships/image" Target="../media/image37.gif"/><Relationship Id="rId9" Type="http://schemas.openxmlformats.org/officeDocument/2006/relationships/image" Target="../media/image42.gif"/><Relationship Id="rId180" Type="http://schemas.openxmlformats.org/officeDocument/2006/relationships/image" Target="../media/image213.gif"/><Relationship Id="rId26" Type="http://schemas.openxmlformats.org/officeDocument/2006/relationships/image" Target="../media/image59.gif"/><Relationship Id="rId47" Type="http://schemas.openxmlformats.org/officeDocument/2006/relationships/image" Target="../media/image80.gif"/><Relationship Id="rId68" Type="http://schemas.openxmlformats.org/officeDocument/2006/relationships/image" Target="../media/image101.gif"/><Relationship Id="rId89" Type="http://schemas.openxmlformats.org/officeDocument/2006/relationships/image" Target="../media/image122.gif"/><Relationship Id="rId112" Type="http://schemas.openxmlformats.org/officeDocument/2006/relationships/image" Target="../media/image145.gif"/><Relationship Id="rId133" Type="http://schemas.openxmlformats.org/officeDocument/2006/relationships/image" Target="../media/image166.gif"/><Relationship Id="rId154" Type="http://schemas.openxmlformats.org/officeDocument/2006/relationships/image" Target="../media/image187.gif"/><Relationship Id="rId175" Type="http://schemas.openxmlformats.org/officeDocument/2006/relationships/image" Target="../media/image208.gif"/><Relationship Id="rId16" Type="http://schemas.openxmlformats.org/officeDocument/2006/relationships/image" Target="../media/image49.gif"/><Relationship Id="rId37" Type="http://schemas.openxmlformats.org/officeDocument/2006/relationships/image" Target="../media/image70.gif"/><Relationship Id="rId58" Type="http://schemas.openxmlformats.org/officeDocument/2006/relationships/image" Target="../media/image91.gif"/><Relationship Id="rId79" Type="http://schemas.openxmlformats.org/officeDocument/2006/relationships/image" Target="../media/image112.gif"/><Relationship Id="rId102" Type="http://schemas.openxmlformats.org/officeDocument/2006/relationships/image" Target="../media/image135.gif"/><Relationship Id="rId123" Type="http://schemas.openxmlformats.org/officeDocument/2006/relationships/image" Target="../media/image156.gif"/><Relationship Id="rId144" Type="http://schemas.openxmlformats.org/officeDocument/2006/relationships/image" Target="../media/image177.gif"/><Relationship Id="rId90" Type="http://schemas.openxmlformats.org/officeDocument/2006/relationships/image" Target="../media/image123.gif"/><Relationship Id="rId165" Type="http://schemas.openxmlformats.org/officeDocument/2006/relationships/image" Target="../media/image198.gif"/><Relationship Id="rId186" Type="http://schemas.openxmlformats.org/officeDocument/2006/relationships/image" Target="../media/image219.gif"/><Relationship Id="rId27" Type="http://schemas.openxmlformats.org/officeDocument/2006/relationships/image" Target="../media/image60.gif"/><Relationship Id="rId48" Type="http://schemas.openxmlformats.org/officeDocument/2006/relationships/image" Target="../media/image81.gif"/><Relationship Id="rId69" Type="http://schemas.openxmlformats.org/officeDocument/2006/relationships/image" Target="../media/image102.gif"/><Relationship Id="rId113" Type="http://schemas.openxmlformats.org/officeDocument/2006/relationships/image" Target="../media/image146.gif"/><Relationship Id="rId134" Type="http://schemas.openxmlformats.org/officeDocument/2006/relationships/image" Target="../media/image167.gif"/><Relationship Id="rId80" Type="http://schemas.openxmlformats.org/officeDocument/2006/relationships/image" Target="../media/image113.gif"/><Relationship Id="rId155" Type="http://schemas.openxmlformats.org/officeDocument/2006/relationships/image" Target="../media/image188.gif"/><Relationship Id="rId176" Type="http://schemas.openxmlformats.org/officeDocument/2006/relationships/image" Target="../media/image209.gif"/><Relationship Id="rId17" Type="http://schemas.openxmlformats.org/officeDocument/2006/relationships/image" Target="../media/image50.gif"/><Relationship Id="rId38" Type="http://schemas.openxmlformats.org/officeDocument/2006/relationships/image" Target="../media/image71.gif"/><Relationship Id="rId59" Type="http://schemas.openxmlformats.org/officeDocument/2006/relationships/image" Target="../media/image92.gif"/><Relationship Id="rId103" Type="http://schemas.openxmlformats.org/officeDocument/2006/relationships/image" Target="../media/image136.gif"/><Relationship Id="rId124" Type="http://schemas.openxmlformats.org/officeDocument/2006/relationships/image" Target="../media/image157.gif"/><Relationship Id="rId70" Type="http://schemas.openxmlformats.org/officeDocument/2006/relationships/image" Target="../media/image103.gif"/><Relationship Id="rId91" Type="http://schemas.openxmlformats.org/officeDocument/2006/relationships/image" Target="../media/image124.gif"/><Relationship Id="rId145" Type="http://schemas.openxmlformats.org/officeDocument/2006/relationships/image" Target="../media/image178.gif"/><Relationship Id="rId166" Type="http://schemas.openxmlformats.org/officeDocument/2006/relationships/image" Target="../media/image199.gif"/><Relationship Id="rId187" Type="http://schemas.openxmlformats.org/officeDocument/2006/relationships/image" Target="../media/image220.gif"/><Relationship Id="rId1" Type="http://schemas.openxmlformats.org/officeDocument/2006/relationships/image" Target="../media/image34.gif"/><Relationship Id="rId28" Type="http://schemas.openxmlformats.org/officeDocument/2006/relationships/image" Target="../media/image61.gif"/><Relationship Id="rId49" Type="http://schemas.openxmlformats.org/officeDocument/2006/relationships/image" Target="../media/image82.gif"/><Relationship Id="rId114" Type="http://schemas.openxmlformats.org/officeDocument/2006/relationships/image" Target="../media/image147.gif"/><Relationship Id="rId60" Type="http://schemas.openxmlformats.org/officeDocument/2006/relationships/image" Target="../media/image93.gif"/><Relationship Id="rId81" Type="http://schemas.openxmlformats.org/officeDocument/2006/relationships/image" Target="../media/image114.gif"/><Relationship Id="rId135" Type="http://schemas.openxmlformats.org/officeDocument/2006/relationships/image" Target="../media/image168.gif"/><Relationship Id="rId156" Type="http://schemas.openxmlformats.org/officeDocument/2006/relationships/image" Target="../media/image189.gif"/><Relationship Id="rId177" Type="http://schemas.openxmlformats.org/officeDocument/2006/relationships/image" Target="../media/image210.gif"/><Relationship Id="rId18" Type="http://schemas.openxmlformats.org/officeDocument/2006/relationships/image" Target="../media/image51.gif"/><Relationship Id="rId39" Type="http://schemas.openxmlformats.org/officeDocument/2006/relationships/image" Target="../media/image72.gif"/></Relationships>
</file>

<file path=xl/drawings/_rels/drawing3.xml.rels><?xml version="1.0" encoding="UTF-8" standalone="yes"?>
<Relationships xmlns="http://schemas.openxmlformats.org/package/2006/relationships"><Relationship Id="rId1827" Type="http://schemas.openxmlformats.org/officeDocument/2006/relationships/image" Target="../media/image2052.gif"/><Relationship Id="rId3182" Type="http://schemas.openxmlformats.org/officeDocument/2006/relationships/image" Target="../media/image3407.gif"/><Relationship Id="rId4233" Type="http://schemas.openxmlformats.org/officeDocument/2006/relationships/image" Target="../media/image4458.gif"/><Relationship Id="rId3999" Type="http://schemas.openxmlformats.org/officeDocument/2006/relationships/image" Target="../media/image4224.gif"/><Relationship Id="rId4300" Type="http://schemas.openxmlformats.org/officeDocument/2006/relationships/image" Target="../media/image4525.gif"/><Relationship Id="rId170" Type="http://schemas.openxmlformats.org/officeDocument/2006/relationships/image" Target="../media/image395.gif"/><Relationship Id="rId987" Type="http://schemas.openxmlformats.org/officeDocument/2006/relationships/image" Target="../media/image1212.gif"/><Relationship Id="rId2668" Type="http://schemas.openxmlformats.org/officeDocument/2006/relationships/image" Target="../media/image2893.gif"/><Relationship Id="rId3719" Type="http://schemas.openxmlformats.org/officeDocument/2006/relationships/image" Target="../media/image3944.gif"/><Relationship Id="rId4090" Type="http://schemas.openxmlformats.org/officeDocument/2006/relationships/image" Target="../media/image4315.gif"/><Relationship Id="rId1684" Type="http://schemas.openxmlformats.org/officeDocument/2006/relationships/image" Target="../media/image1909.gif"/><Relationship Id="rId2735" Type="http://schemas.openxmlformats.org/officeDocument/2006/relationships/image" Target="../media/image2960.gif"/><Relationship Id="rId707" Type="http://schemas.openxmlformats.org/officeDocument/2006/relationships/image" Target="../media/image932.gif"/><Relationship Id="rId1337" Type="http://schemas.openxmlformats.org/officeDocument/2006/relationships/image" Target="../media/image1562.gif"/><Relationship Id="rId1751" Type="http://schemas.openxmlformats.org/officeDocument/2006/relationships/image" Target="../media/image1976.gif"/><Relationship Id="rId2802" Type="http://schemas.openxmlformats.org/officeDocument/2006/relationships/image" Target="../media/image3027.gif"/><Relationship Id="rId43" Type="http://schemas.openxmlformats.org/officeDocument/2006/relationships/image" Target="../media/image268.gif"/><Relationship Id="rId1404" Type="http://schemas.openxmlformats.org/officeDocument/2006/relationships/image" Target="../media/image1629.gif"/><Relationship Id="rId3576" Type="http://schemas.openxmlformats.org/officeDocument/2006/relationships/image" Target="../media/image3801.gif"/><Relationship Id="rId497" Type="http://schemas.openxmlformats.org/officeDocument/2006/relationships/image" Target="../media/image722.gif"/><Relationship Id="rId2178" Type="http://schemas.openxmlformats.org/officeDocument/2006/relationships/image" Target="../media/image2403.gif"/><Relationship Id="rId3229" Type="http://schemas.openxmlformats.org/officeDocument/2006/relationships/image" Target="../media/image3454.gif"/><Relationship Id="rId3990" Type="http://schemas.openxmlformats.org/officeDocument/2006/relationships/image" Target="../media/image4215.gif"/><Relationship Id="rId1194" Type="http://schemas.openxmlformats.org/officeDocument/2006/relationships/image" Target="../media/image1419.gif"/><Relationship Id="rId2592" Type="http://schemas.openxmlformats.org/officeDocument/2006/relationships/image" Target="../media/image2817.gif"/><Relationship Id="rId3643" Type="http://schemas.openxmlformats.org/officeDocument/2006/relationships/image" Target="../media/image3868.gif"/><Relationship Id="rId217" Type="http://schemas.openxmlformats.org/officeDocument/2006/relationships/image" Target="../media/image442.gif"/><Relationship Id="rId564" Type="http://schemas.openxmlformats.org/officeDocument/2006/relationships/image" Target="../media/image789.gif"/><Relationship Id="rId2245" Type="http://schemas.openxmlformats.org/officeDocument/2006/relationships/image" Target="../media/image2470.gif"/><Relationship Id="rId3710" Type="http://schemas.openxmlformats.org/officeDocument/2006/relationships/image" Target="../media/image3935.gif"/><Relationship Id="rId631" Type="http://schemas.openxmlformats.org/officeDocument/2006/relationships/image" Target="../media/image856.gif"/><Relationship Id="rId1261" Type="http://schemas.openxmlformats.org/officeDocument/2006/relationships/image" Target="../media/image1486.gif"/><Relationship Id="rId2312" Type="http://schemas.openxmlformats.org/officeDocument/2006/relationships/image" Target="../media/image2537.gif"/><Relationship Id="rId3086" Type="http://schemas.openxmlformats.org/officeDocument/2006/relationships/image" Target="../media/image3311.gif"/><Relationship Id="rId4137" Type="http://schemas.openxmlformats.org/officeDocument/2006/relationships/image" Target="../media/image4362.gif"/><Relationship Id="rId3153" Type="http://schemas.openxmlformats.org/officeDocument/2006/relationships/image" Target="../media/image3378.gif"/><Relationship Id="rId4204" Type="http://schemas.openxmlformats.org/officeDocument/2006/relationships/image" Target="../media/image4429.gif"/><Relationship Id="rId141" Type="http://schemas.openxmlformats.org/officeDocument/2006/relationships/image" Target="../media/image366.gif"/><Relationship Id="rId3220" Type="http://schemas.openxmlformats.org/officeDocument/2006/relationships/image" Target="../media/image3445.gif"/><Relationship Id="rId7" Type="http://schemas.openxmlformats.org/officeDocument/2006/relationships/image" Target="../media/image232.gif"/><Relationship Id="rId2986" Type="http://schemas.openxmlformats.org/officeDocument/2006/relationships/image" Target="../media/image3211.gif"/><Relationship Id="rId958" Type="http://schemas.openxmlformats.org/officeDocument/2006/relationships/image" Target="../media/image1183.gif"/><Relationship Id="rId1588" Type="http://schemas.openxmlformats.org/officeDocument/2006/relationships/image" Target="../media/image1813.gif"/><Relationship Id="rId2639" Type="http://schemas.openxmlformats.org/officeDocument/2006/relationships/image" Target="../media/image2864.gif"/><Relationship Id="rId1655" Type="http://schemas.openxmlformats.org/officeDocument/2006/relationships/image" Target="../media/image1880.gif"/><Relationship Id="rId2706" Type="http://schemas.openxmlformats.org/officeDocument/2006/relationships/image" Target="../media/image2931.gif"/><Relationship Id="rId4061" Type="http://schemas.openxmlformats.org/officeDocument/2006/relationships/image" Target="../media/image4286.gif"/><Relationship Id="rId1308" Type="http://schemas.openxmlformats.org/officeDocument/2006/relationships/image" Target="../media/image1533.gif"/><Relationship Id="rId1722" Type="http://schemas.openxmlformats.org/officeDocument/2006/relationships/image" Target="../media/image1947.gif"/><Relationship Id="rId14" Type="http://schemas.openxmlformats.org/officeDocument/2006/relationships/image" Target="../media/image239.gif"/><Relationship Id="rId3894" Type="http://schemas.openxmlformats.org/officeDocument/2006/relationships/image" Target="../media/image4119.gif"/><Relationship Id="rId2496" Type="http://schemas.openxmlformats.org/officeDocument/2006/relationships/image" Target="../media/image2721.gif"/><Relationship Id="rId3547" Type="http://schemas.openxmlformats.org/officeDocument/2006/relationships/image" Target="../media/image3772.gif"/><Relationship Id="rId3961" Type="http://schemas.openxmlformats.org/officeDocument/2006/relationships/image" Target="../media/image4186.gif"/><Relationship Id="rId468" Type="http://schemas.openxmlformats.org/officeDocument/2006/relationships/image" Target="../media/image693.gif"/><Relationship Id="rId882" Type="http://schemas.openxmlformats.org/officeDocument/2006/relationships/image" Target="../media/image1107.gif"/><Relationship Id="rId1098" Type="http://schemas.openxmlformats.org/officeDocument/2006/relationships/image" Target="../media/image1323.gif"/><Relationship Id="rId2149" Type="http://schemas.openxmlformats.org/officeDocument/2006/relationships/image" Target="../media/image2374.gif"/><Relationship Id="rId2563" Type="http://schemas.openxmlformats.org/officeDocument/2006/relationships/image" Target="../media/image2788.gif"/><Relationship Id="rId3614" Type="http://schemas.openxmlformats.org/officeDocument/2006/relationships/image" Target="../media/image3839.gif"/><Relationship Id="rId535" Type="http://schemas.openxmlformats.org/officeDocument/2006/relationships/image" Target="../media/image760.gif"/><Relationship Id="rId1165" Type="http://schemas.openxmlformats.org/officeDocument/2006/relationships/image" Target="../media/image1390.gif"/><Relationship Id="rId2216" Type="http://schemas.openxmlformats.org/officeDocument/2006/relationships/image" Target="../media/image2441.gif"/><Relationship Id="rId2630" Type="http://schemas.openxmlformats.org/officeDocument/2006/relationships/image" Target="../media/image2855.gif"/><Relationship Id="rId602" Type="http://schemas.openxmlformats.org/officeDocument/2006/relationships/image" Target="../media/image827.gif"/><Relationship Id="rId1232" Type="http://schemas.openxmlformats.org/officeDocument/2006/relationships/image" Target="../media/image1457.gif"/><Relationship Id="rId4388" Type="http://schemas.openxmlformats.org/officeDocument/2006/relationships/image" Target="../media/image4613.gif"/><Relationship Id="rId3057" Type="http://schemas.openxmlformats.org/officeDocument/2006/relationships/image" Target="../media/image3282.gif"/><Relationship Id="rId4108" Type="http://schemas.openxmlformats.org/officeDocument/2006/relationships/image" Target="../media/image4333.gif"/><Relationship Id="rId4455" Type="http://schemas.openxmlformats.org/officeDocument/2006/relationships/image" Target="../media/image4680.gif"/><Relationship Id="rId3471" Type="http://schemas.openxmlformats.org/officeDocument/2006/relationships/image" Target="../media/image3696.gif"/><Relationship Id="rId392" Type="http://schemas.openxmlformats.org/officeDocument/2006/relationships/image" Target="../media/image617.gif"/><Relationship Id="rId2073" Type="http://schemas.openxmlformats.org/officeDocument/2006/relationships/image" Target="../media/image2298.gif"/><Relationship Id="rId3124" Type="http://schemas.openxmlformats.org/officeDocument/2006/relationships/image" Target="../media/image3349.gif"/><Relationship Id="rId2140" Type="http://schemas.openxmlformats.org/officeDocument/2006/relationships/image" Target="../media/image2365.gif"/><Relationship Id="rId112" Type="http://schemas.openxmlformats.org/officeDocument/2006/relationships/image" Target="../media/image337.gif"/><Relationship Id="rId2957" Type="http://schemas.openxmlformats.org/officeDocument/2006/relationships/image" Target="../media/image3182.gif"/><Relationship Id="rId929" Type="http://schemas.openxmlformats.org/officeDocument/2006/relationships/image" Target="../media/image1154.gif"/><Relationship Id="rId1559" Type="http://schemas.openxmlformats.org/officeDocument/2006/relationships/image" Target="../media/image1784.gif"/><Relationship Id="rId1973" Type="http://schemas.openxmlformats.org/officeDocument/2006/relationships/image" Target="../media/image2198.gif"/><Relationship Id="rId4032" Type="http://schemas.openxmlformats.org/officeDocument/2006/relationships/image" Target="../media/image4257.gif"/><Relationship Id="rId1626" Type="http://schemas.openxmlformats.org/officeDocument/2006/relationships/image" Target="../media/image1851.gif"/><Relationship Id="rId3798" Type="http://schemas.openxmlformats.org/officeDocument/2006/relationships/image" Target="../media/image4023.gif"/><Relationship Id="rId3865" Type="http://schemas.openxmlformats.org/officeDocument/2006/relationships/image" Target="../media/image4090.gif"/><Relationship Id="rId786" Type="http://schemas.openxmlformats.org/officeDocument/2006/relationships/image" Target="../media/image1011.gif"/><Relationship Id="rId2467" Type="http://schemas.openxmlformats.org/officeDocument/2006/relationships/image" Target="../media/image2692.gif"/><Relationship Id="rId3518" Type="http://schemas.openxmlformats.org/officeDocument/2006/relationships/image" Target="../media/image3743.gif"/><Relationship Id="rId439" Type="http://schemas.openxmlformats.org/officeDocument/2006/relationships/image" Target="../media/image664.gif"/><Relationship Id="rId1069" Type="http://schemas.openxmlformats.org/officeDocument/2006/relationships/image" Target="../media/image1294.gif"/><Relationship Id="rId1483" Type="http://schemas.openxmlformats.org/officeDocument/2006/relationships/image" Target="../media/image1708.gif"/><Relationship Id="rId2881" Type="http://schemas.openxmlformats.org/officeDocument/2006/relationships/image" Target="../media/image3106.gif"/><Relationship Id="rId3932" Type="http://schemas.openxmlformats.org/officeDocument/2006/relationships/image" Target="../media/image4157.gif"/><Relationship Id="rId506" Type="http://schemas.openxmlformats.org/officeDocument/2006/relationships/image" Target="../media/image731.gif"/><Relationship Id="rId853" Type="http://schemas.openxmlformats.org/officeDocument/2006/relationships/image" Target="../media/image1078.gif"/><Relationship Id="rId1136" Type="http://schemas.openxmlformats.org/officeDocument/2006/relationships/image" Target="../media/image1361.gif"/><Relationship Id="rId2534" Type="http://schemas.openxmlformats.org/officeDocument/2006/relationships/image" Target="../media/image2759.gif"/><Relationship Id="rId920" Type="http://schemas.openxmlformats.org/officeDocument/2006/relationships/image" Target="../media/image1145.gif"/><Relationship Id="rId1550" Type="http://schemas.openxmlformats.org/officeDocument/2006/relationships/image" Target="../media/image1775.gif"/><Relationship Id="rId2601" Type="http://schemas.openxmlformats.org/officeDocument/2006/relationships/image" Target="../media/image2826.gif"/><Relationship Id="rId1203" Type="http://schemas.openxmlformats.org/officeDocument/2006/relationships/image" Target="../media/image1428.gif"/><Relationship Id="rId4359" Type="http://schemas.openxmlformats.org/officeDocument/2006/relationships/image" Target="../media/image4584.gif"/><Relationship Id="rId3375" Type="http://schemas.openxmlformats.org/officeDocument/2006/relationships/image" Target="../media/image3600.gif"/><Relationship Id="rId4426" Type="http://schemas.openxmlformats.org/officeDocument/2006/relationships/image" Target="../media/image4651.gif"/><Relationship Id="rId296" Type="http://schemas.openxmlformats.org/officeDocument/2006/relationships/image" Target="../media/image521.gif"/><Relationship Id="rId2391" Type="http://schemas.openxmlformats.org/officeDocument/2006/relationships/image" Target="../media/image2616.gif"/><Relationship Id="rId3028" Type="http://schemas.openxmlformats.org/officeDocument/2006/relationships/image" Target="../media/image3253.gif"/><Relationship Id="rId3442" Type="http://schemas.openxmlformats.org/officeDocument/2006/relationships/image" Target="../media/image3667.gif"/><Relationship Id="rId363" Type="http://schemas.openxmlformats.org/officeDocument/2006/relationships/image" Target="../media/image588.gif"/><Relationship Id="rId2044" Type="http://schemas.openxmlformats.org/officeDocument/2006/relationships/image" Target="../media/image2269.gif"/><Relationship Id="rId430" Type="http://schemas.openxmlformats.org/officeDocument/2006/relationships/image" Target="../media/image655.gif"/><Relationship Id="rId1060" Type="http://schemas.openxmlformats.org/officeDocument/2006/relationships/image" Target="../media/image1285.gif"/><Relationship Id="rId2111" Type="http://schemas.openxmlformats.org/officeDocument/2006/relationships/image" Target="../media/image2336.gif"/><Relationship Id="rId1877" Type="http://schemas.openxmlformats.org/officeDocument/2006/relationships/image" Target="../media/image2102.gif"/><Relationship Id="rId2928" Type="http://schemas.openxmlformats.org/officeDocument/2006/relationships/image" Target="../media/image3153.gif"/><Relationship Id="rId4283" Type="http://schemas.openxmlformats.org/officeDocument/2006/relationships/image" Target="../media/image4508.gif"/><Relationship Id="rId1944" Type="http://schemas.openxmlformats.org/officeDocument/2006/relationships/image" Target="../media/image2169.gif"/><Relationship Id="rId4350" Type="http://schemas.openxmlformats.org/officeDocument/2006/relationships/image" Target="../media/image4575.gif"/><Relationship Id="rId4003" Type="http://schemas.openxmlformats.org/officeDocument/2006/relationships/image" Target="../media/image4228.gif"/><Relationship Id="rId3769" Type="http://schemas.openxmlformats.org/officeDocument/2006/relationships/image" Target="../media/image3994.gif"/><Relationship Id="rId2785" Type="http://schemas.openxmlformats.org/officeDocument/2006/relationships/image" Target="../media/image3010.gif"/><Relationship Id="rId3836" Type="http://schemas.openxmlformats.org/officeDocument/2006/relationships/image" Target="../media/image4061.gif"/><Relationship Id="rId757" Type="http://schemas.openxmlformats.org/officeDocument/2006/relationships/image" Target="../media/image982.gif"/><Relationship Id="rId1387" Type="http://schemas.openxmlformats.org/officeDocument/2006/relationships/image" Target="../media/image1612.gif"/><Relationship Id="rId2438" Type="http://schemas.openxmlformats.org/officeDocument/2006/relationships/image" Target="../media/image2663.gif"/><Relationship Id="rId2852" Type="http://schemas.openxmlformats.org/officeDocument/2006/relationships/image" Target="../media/image3077.gif"/><Relationship Id="rId3903" Type="http://schemas.openxmlformats.org/officeDocument/2006/relationships/image" Target="../media/image4128.gif"/><Relationship Id="rId93" Type="http://schemas.openxmlformats.org/officeDocument/2006/relationships/image" Target="../media/image318.gif"/><Relationship Id="rId824" Type="http://schemas.openxmlformats.org/officeDocument/2006/relationships/image" Target="../media/image1049.gif"/><Relationship Id="rId1454" Type="http://schemas.openxmlformats.org/officeDocument/2006/relationships/image" Target="../media/image1679.gif"/><Relationship Id="rId2505" Type="http://schemas.openxmlformats.org/officeDocument/2006/relationships/image" Target="../media/image2730.gif"/><Relationship Id="rId1107" Type="http://schemas.openxmlformats.org/officeDocument/2006/relationships/image" Target="../media/image1332.gif"/><Relationship Id="rId1521" Type="http://schemas.openxmlformats.org/officeDocument/2006/relationships/image" Target="../media/image1746.gif"/><Relationship Id="rId3279" Type="http://schemas.openxmlformats.org/officeDocument/2006/relationships/image" Target="../media/image3504.gif"/><Relationship Id="rId3693" Type="http://schemas.openxmlformats.org/officeDocument/2006/relationships/image" Target="../media/image3918.gif"/><Relationship Id="rId2295" Type="http://schemas.openxmlformats.org/officeDocument/2006/relationships/image" Target="../media/image2520.gif"/><Relationship Id="rId3346" Type="http://schemas.openxmlformats.org/officeDocument/2006/relationships/image" Target="../media/image3571.gif"/><Relationship Id="rId267" Type="http://schemas.openxmlformats.org/officeDocument/2006/relationships/image" Target="../media/image492.gif"/><Relationship Id="rId3760" Type="http://schemas.openxmlformats.org/officeDocument/2006/relationships/image" Target="../media/image3985.gif"/><Relationship Id="rId681" Type="http://schemas.openxmlformats.org/officeDocument/2006/relationships/image" Target="../media/image906.gif"/><Relationship Id="rId2362" Type="http://schemas.openxmlformats.org/officeDocument/2006/relationships/image" Target="../media/image2587.gif"/><Relationship Id="rId3413" Type="http://schemas.openxmlformats.org/officeDocument/2006/relationships/image" Target="../media/image3638.gif"/><Relationship Id="rId334" Type="http://schemas.openxmlformats.org/officeDocument/2006/relationships/image" Target="../media/image559.gif"/><Relationship Id="rId2015" Type="http://schemas.openxmlformats.org/officeDocument/2006/relationships/image" Target="../media/image2240.gif"/><Relationship Id="rId401" Type="http://schemas.openxmlformats.org/officeDocument/2006/relationships/image" Target="../media/image626.gif"/><Relationship Id="rId1031" Type="http://schemas.openxmlformats.org/officeDocument/2006/relationships/image" Target="../media/image1256.gif"/><Relationship Id="rId4187" Type="http://schemas.openxmlformats.org/officeDocument/2006/relationships/image" Target="../media/image4412.gif"/><Relationship Id="rId4254" Type="http://schemas.openxmlformats.org/officeDocument/2006/relationships/image" Target="../media/image4479.gif"/><Relationship Id="rId1848" Type="http://schemas.openxmlformats.org/officeDocument/2006/relationships/image" Target="../media/image2073.gif"/><Relationship Id="rId3270" Type="http://schemas.openxmlformats.org/officeDocument/2006/relationships/image" Target="../media/image3495.gif"/><Relationship Id="rId4321" Type="http://schemas.openxmlformats.org/officeDocument/2006/relationships/image" Target="../media/image4546.gif"/><Relationship Id="rId191" Type="http://schemas.openxmlformats.org/officeDocument/2006/relationships/image" Target="../media/image416.gif"/><Relationship Id="rId1915" Type="http://schemas.openxmlformats.org/officeDocument/2006/relationships/image" Target="../media/image2140.gif"/><Relationship Id="rId2689" Type="http://schemas.openxmlformats.org/officeDocument/2006/relationships/image" Target="../media/image2914.gif"/><Relationship Id="rId2756" Type="http://schemas.openxmlformats.org/officeDocument/2006/relationships/image" Target="../media/image2981.gif"/><Relationship Id="rId3807" Type="http://schemas.openxmlformats.org/officeDocument/2006/relationships/image" Target="../media/image4032.gif"/><Relationship Id="rId728" Type="http://schemas.openxmlformats.org/officeDocument/2006/relationships/image" Target="../media/image953.gif"/><Relationship Id="rId1358" Type="http://schemas.openxmlformats.org/officeDocument/2006/relationships/image" Target="../media/image1583.gif"/><Relationship Id="rId1772" Type="http://schemas.openxmlformats.org/officeDocument/2006/relationships/image" Target="../media/image1997.gif"/><Relationship Id="rId2409" Type="http://schemas.openxmlformats.org/officeDocument/2006/relationships/image" Target="../media/image2634.gif"/><Relationship Id="rId64" Type="http://schemas.openxmlformats.org/officeDocument/2006/relationships/image" Target="../media/image289.gif"/><Relationship Id="rId1425" Type="http://schemas.openxmlformats.org/officeDocument/2006/relationships/image" Target="../media/image1650.gif"/><Relationship Id="rId2823" Type="http://schemas.openxmlformats.org/officeDocument/2006/relationships/image" Target="../media/image3048.gif"/><Relationship Id="rId2199" Type="http://schemas.openxmlformats.org/officeDocument/2006/relationships/image" Target="../media/image2424.gif"/><Relationship Id="rId3597" Type="http://schemas.openxmlformats.org/officeDocument/2006/relationships/image" Target="../media/image3822.gif"/><Relationship Id="rId3664" Type="http://schemas.openxmlformats.org/officeDocument/2006/relationships/image" Target="../media/image3889.gif"/><Relationship Id="rId585" Type="http://schemas.openxmlformats.org/officeDocument/2006/relationships/image" Target="../media/image810.gif"/><Relationship Id="rId2266" Type="http://schemas.openxmlformats.org/officeDocument/2006/relationships/image" Target="../media/image2491.gif"/><Relationship Id="rId2680" Type="http://schemas.openxmlformats.org/officeDocument/2006/relationships/image" Target="../media/image2905.gif"/><Relationship Id="rId3317" Type="http://schemas.openxmlformats.org/officeDocument/2006/relationships/image" Target="../media/image3542.gif"/><Relationship Id="rId3731" Type="http://schemas.openxmlformats.org/officeDocument/2006/relationships/image" Target="../media/image3956.gif"/><Relationship Id="rId238" Type="http://schemas.openxmlformats.org/officeDocument/2006/relationships/image" Target="../media/image463.gif"/><Relationship Id="rId652" Type="http://schemas.openxmlformats.org/officeDocument/2006/relationships/image" Target="../media/image877.gif"/><Relationship Id="rId1282" Type="http://schemas.openxmlformats.org/officeDocument/2006/relationships/image" Target="../media/image1507.gif"/><Relationship Id="rId2333" Type="http://schemas.openxmlformats.org/officeDocument/2006/relationships/image" Target="../media/image2558.gif"/><Relationship Id="rId305" Type="http://schemas.openxmlformats.org/officeDocument/2006/relationships/image" Target="../media/image530.gif"/><Relationship Id="rId2400" Type="http://schemas.openxmlformats.org/officeDocument/2006/relationships/image" Target="../media/image2625.gif"/><Relationship Id="rId1002" Type="http://schemas.openxmlformats.org/officeDocument/2006/relationships/image" Target="../media/image1227.gif"/><Relationship Id="rId4158" Type="http://schemas.openxmlformats.org/officeDocument/2006/relationships/image" Target="../media/image4383.gif"/><Relationship Id="rId3174" Type="http://schemas.openxmlformats.org/officeDocument/2006/relationships/image" Target="../media/image3399.gif"/><Relationship Id="rId1819" Type="http://schemas.openxmlformats.org/officeDocument/2006/relationships/image" Target="../media/image2044.gif"/><Relationship Id="rId4225" Type="http://schemas.openxmlformats.org/officeDocument/2006/relationships/image" Target="../media/image4450.gif"/><Relationship Id="rId2190" Type="http://schemas.openxmlformats.org/officeDocument/2006/relationships/image" Target="../media/image2415.gif"/><Relationship Id="rId3241" Type="http://schemas.openxmlformats.org/officeDocument/2006/relationships/image" Target="../media/image3466.gif"/><Relationship Id="rId162" Type="http://schemas.openxmlformats.org/officeDocument/2006/relationships/image" Target="../media/image387.gif"/><Relationship Id="rId979" Type="http://schemas.openxmlformats.org/officeDocument/2006/relationships/image" Target="../media/image1204.gif"/><Relationship Id="rId4082" Type="http://schemas.openxmlformats.org/officeDocument/2006/relationships/image" Target="../media/image4307.gif"/><Relationship Id="rId1676" Type="http://schemas.openxmlformats.org/officeDocument/2006/relationships/image" Target="../media/image1901.gif"/><Relationship Id="rId2727" Type="http://schemas.openxmlformats.org/officeDocument/2006/relationships/image" Target="../media/image2952.gif"/><Relationship Id="rId1329" Type="http://schemas.openxmlformats.org/officeDocument/2006/relationships/image" Target="../media/image1554.gif"/><Relationship Id="rId1743" Type="http://schemas.openxmlformats.org/officeDocument/2006/relationships/image" Target="../media/image1968.gif"/><Relationship Id="rId35" Type="http://schemas.openxmlformats.org/officeDocument/2006/relationships/image" Target="../media/image260.gif"/><Relationship Id="rId1810" Type="http://schemas.openxmlformats.org/officeDocument/2006/relationships/image" Target="../media/image2035.gif"/><Relationship Id="rId3568" Type="http://schemas.openxmlformats.org/officeDocument/2006/relationships/image" Target="../media/image3793.gif"/><Relationship Id="rId3982" Type="http://schemas.openxmlformats.org/officeDocument/2006/relationships/image" Target="../media/image4207.gif"/><Relationship Id="rId489" Type="http://schemas.openxmlformats.org/officeDocument/2006/relationships/image" Target="../media/image714.gif"/><Relationship Id="rId2584" Type="http://schemas.openxmlformats.org/officeDocument/2006/relationships/image" Target="../media/image2809.gif"/><Relationship Id="rId3635" Type="http://schemas.openxmlformats.org/officeDocument/2006/relationships/image" Target="../media/image3860.gif"/><Relationship Id="rId556" Type="http://schemas.openxmlformats.org/officeDocument/2006/relationships/image" Target="../media/image781.gif"/><Relationship Id="rId1186" Type="http://schemas.openxmlformats.org/officeDocument/2006/relationships/image" Target="../media/image1411.gif"/><Relationship Id="rId2237" Type="http://schemas.openxmlformats.org/officeDocument/2006/relationships/image" Target="../media/image2462.gif"/><Relationship Id="rId209" Type="http://schemas.openxmlformats.org/officeDocument/2006/relationships/image" Target="../media/image434.gif"/><Relationship Id="rId970" Type="http://schemas.openxmlformats.org/officeDocument/2006/relationships/image" Target="../media/image1195.gif"/><Relationship Id="rId1253" Type="http://schemas.openxmlformats.org/officeDocument/2006/relationships/image" Target="../media/image1478.gif"/><Relationship Id="rId2651" Type="http://schemas.openxmlformats.org/officeDocument/2006/relationships/image" Target="../media/image2876.gif"/><Relationship Id="rId3702" Type="http://schemas.openxmlformats.org/officeDocument/2006/relationships/image" Target="../media/image3927.gif"/><Relationship Id="rId623" Type="http://schemas.openxmlformats.org/officeDocument/2006/relationships/image" Target="../media/image848.gif"/><Relationship Id="rId2304" Type="http://schemas.openxmlformats.org/officeDocument/2006/relationships/image" Target="../media/image2529.gif"/><Relationship Id="rId1320" Type="http://schemas.openxmlformats.org/officeDocument/2006/relationships/image" Target="../media/image1545.gif"/><Relationship Id="rId4476" Type="http://schemas.openxmlformats.org/officeDocument/2006/relationships/image" Target="../media/image4701.gif"/><Relationship Id="rId3078" Type="http://schemas.openxmlformats.org/officeDocument/2006/relationships/image" Target="../media/image3303.gif"/><Relationship Id="rId3492" Type="http://schemas.openxmlformats.org/officeDocument/2006/relationships/image" Target="../media/image3717.gif"/><Relationship Id="rId4129" Type="http://schemas.openxmlformats.org/officeDocument/2006/relationships/image" Target="../media/image4354.gif"/><Relationship Id="rId2094" Type="http://schemas.openxmlformats.org/officeDocument/2006/relationships/image" Target="../media/image2319.gif"/><Relationship Id="rId3145" Type="http://schemas.openxmlformats.org/officeDocument/2006/relationships/image" Target="../media/image3370.gif"/><Relationship Id="rId480" Type="http://schemas.openxmlformats.org/officeDocument/2006/relationships/image" Target="../media/image705.gif"/><Relationship Id="rId2161" Type="http://schemas.openxmlformats.org/officeDocument/2006/relationships/image" Target="../media/image2386.gif"/><Relationship Id="rId3212" Type="http://schemas.openxmlformats.org/officeDocument/2006/relationships/image" Target="../media/image3437.gif"/><Relationship Id="rId133" Type="http://schemas.openxmlformats.org/officeDocument/2006/relationships/image" Target="../media/image358.gif"/><Relationship Id="rId340" Type="http://schemas.openxmlformats.org/officeDocument/2006/relationships/image" Target="../media/image565.gif"/><Relationship Id="rId2021" Type="http://schemas.openxmlformats.org/officeDocument/2006/relationships/image" Target="../media/image2246.gif"/><Relationship Id="rId200" Type="http://schemas.openxmlformats.org/officeDocument/2006/relationships/image" Target="../media/image425.gif"/><Relationship Id="rId2978" Type="http://schemas.openxmlformats.org/officeDocument/2006/relationships/image" Target="../media/image3203.gif"/><Relationship Id="rId4193" Type="http://schemas.openxmlformats.org/officeDocument/2006/relationships/image" Target="../media/image4418.gif"/><Relationship Id="rId1787" Type="http://schemas.openxmlformats.org/officeDocument/2006/relationships/image" Target="../media/image2012.gif"/><Relationship Id="rId1994" Type="http://schemas.openxmlformats.org/officeDocument/2006/relationships/image" Target="../media/image2219.gif"/><Relationship Id="rId2838" Type="http://schemas.openxmlformats.org/officeDocument/2006/relationships/image" Target="../media/image3063.gif"/><Relationship Id="rId79" Type="http://schemas.openxmlformats.org/officeDocument/2006/relationships/image" Target="../media/image304.gif"/><Relationship Id="rId1647" Type="http://schemas.openxmlformats.org/officeDocument/2006/relationships/image" Target="../media/image1872.gif"/><Relationship Id="rId1854" Type="http://schemas.openxmlformats.org/officeDocument/2006/relationships/image" Target="../media/image2079.gif"/><Relationship Id="rId2905" Type="http://schemas.openxmlformats.org/officeDocument/2006/relationships/image" Target="../media/image3130.gif"/><Relationship Id="rId4053" Type="http://schemas.openxmlformats.org/officeDocument/2006/relationships/image" Target="../media/image4278.gif"/><Relationship Id="rId4260" Type="http://schemas.openxmlformats.org/officeDocument/2006/relationships/image" Target="../media/image4485.gif"/><Relationship Id="rId1507" Type="http://schemas.openxmlformats.org/officeDocument/2006/relationships/image" Target="../media/image1732.gif"/><Relationship Id="rId1714" Type="http://schemas.openxmlformats.org/officeDocument/2006/relationships/image" Target="../media/image1939.gif"/><Relationship Id="rId4120" Type="http://schemas.openxmlformats.org/officeDocument/2006/relationships/image" Target="../media/image4345.gif"/><Relationship Id="rId1921" Type="http://schemas.openxmlformats.org/officeDocument/2006/relationships/image" Target="../media/image2146.gif"/><Relationship Id="rId3679" Type="http://schemas.openxmlformats.org/officeDocument/2006/relationships/image" Target="../media/image3904.gif"/><Relationship Id="rId2488" Type="http://schemas.openxmlformats.org/officeDocument/2006/relationships/image" Target="../media/image2713.gif"/><Relationship Id="rId3886" Type="http://schemas.openxmlformats.org/officeDocument/2006/relationships/image" Target="../media/image4111.gif"/><Relationship Id="rId1297" Type="http://schemas.openxmlformats.org/officeDocument/2006/relationships/image" Target="../media/image1522.gif"/><Relationship Id="rId2695" Type="http://schemas.openxmlformats.org/officeDocument/2006/relationships/image" Target="../media/image2920.gif"/><Relationship Id="rId3539" Type="http://schemas.openxmlformats.org/officeDocument/2006/relationships/image" Target="../media/image3764.gif"/><Relationship Id="rId3746" Type="http://schemas.openxmlformats.org/officeDocument/2006/relationships/image" Target="../media/image3971.gif"/><Relationship Id="rId3953" Type="http://schemas.openxmlformats.org/officeDocument/2006/relationships/image" Target="../media/image4178.gif"/><Relationship Id="rId667" Type="http://schemas.openxmlformats.org/officeDocument/2006/relationships/image" Target="../media/image892.gif"/><Relationship Id="rId874" Type="http://schemas.openxmlformats.org/officeDocument/2006/relationships/image" Target="../media/image1099.gif"/><Relationship Id="rId2348" Type="http://schemas.openxmlformats.org/officeDocument/2006/relationships/image" Target="../media/image2573.gif"/><Relationship Id="rId2555" Type="http://schemas.openxmlformats.org/officeDocument/2006/relationships/image" Target="../media/image2780.gif"/><Relationship Id="rId2762" Type="http://schemas.openxmlformats.org/officeDocument/2006/relationships/image" Target="../media/image2987.gif"/><Relationship Id="rId3606" Type="http://schemas.openxmlformats.org/officeDocument/2006/relationships/image" Target="../media/image3831.gif"/><Relationship Id="rId3813" Type="http://schemas.openxmlformats.org/officeDocument/2006/relationships/image" Target="../media/image4038.gif"/><Relationship Id="rId527" Type="http://schemas.openxmlformats.org/officeDocument/2006/relationships/image" Target="../media/image752.gif"/><Relationship Id="rId734" Type="http://schemas.openxmlformats.org/officeDocument/2006/relationships/image" Target="../media/image959.gif"/><Relationship Id="rId941" Type="http://schemas.openxmlformats.org/officeDocument/2006/relationships/image" Target="../media/image1166.gif"/><Relationship Id="rId1157" Type="http://schemas.openxmlformats.org/officeDocument/2006/relationships/image" Target="../media/image1382.gif"/><Relationship Id="rId1364" Type="http://schemas.openxmlformats.org/officeDocument/2006/relationships/image" Target="../media/image1589.gif"/><Relationship Id="rId1571" Type="http://schemas.openxmlformats.org/officeDocument/2006/relationships/image" Target="../media/image1796.gif"/><Relationship Id="rId2208" Type="http://schemas.openxmlformats.org/officeDocument/2006/relationships/image" Target="../media/image2433.gif"/><Relationship Id="rId2415" Type="http://schemas.openxmlformats.org/officeDocument/2006/relationships/image" Target="../media/image2640.gif"/><Relationship Id="rId2622" Type="http://schemas.openxmlformats.org/officeDocument/2006/relationships/image" Target="../media/image2847.gif"/><Relationship Id="rId70" Type="http://schemas.openxmlformats.org/officeDocument/2006/relationships/image" Target="../media/image295.gif"/><Relationship Id="rId801" Type="http://schemas.openxmlformats.org/officeDocument/2006/relationships/image" Target="../media/image1026.gif"/><Relationship Id="rId1017" Type="http://schemas.openxmlformats.org/officeDocument/2006/relationships/image" Target="../media/image1242.gif"/><Relationship Id="rId1224" Type="http://schemas.openxmlformats.org/officeDocument/2006/relationships/image" Target="../media/image1449.gif"/><Relationship Id="rId1431" Type="http://schemas.openxmlformats.org/officeDocument/2006/relationships/image" Target="../media/image1656.gif"/><Relationship Id="rId3189" Type="http://schemas.openxmlformats.org/officeDocument/2006/relationships/image" Target="../media/image3414.gif"/><Relationship Id="rId3396" Type="http://schemas.openxmlformats.org/officeDocument/2006/relationships/image" Target="../media/image3621.gif"/><Relationship Id="rId4447" Type="http://schemas.openxmlformats.org/officeDocument/2006/relationships/image" Target="../media/image4672.gif"/><Relationship Id="rId3049" Type="http://schemas.openxmlformats.org/officeDocument/2006/relationships/image" Target="../media/image3274.gif"/><Relationship Id="rId3256" Type="http://schemas.openxmlformats.org/officeDocument/2006/relationships/image" Target="../media/image3481.gif"/><Relationship Id="rId3463" Type="http://schemas.openxmlformats.org/officeDocument/2006/relationships/image" Target="../media/image3688.gif"/><Relationship Id="rId4307" Type="http://schemas.openxmlformats.org/officeDocument/2006/relationships/image" Target="../media/image4532.gif"/><Relationship Id="rId177" Type="http://schemas.openxmlformats.org/officeDocument/2006/relationships/image" Target="../media/image402.gif"/><Relationship Id="rId384" Type="http://schemas.openxmlformats.org/officeDocument/2006/relationships/image" Target="../media/image609.gif"/><Relationship Id="rId591" Type="http://schemas.openxmlformats.org/officeDocument/2006/relationships/image" Target="../media/image816.gif"/><Relationship Id="rId2065" Type="http://schemas.openxmlformats.org/officeDocument/2006/relationships/image" Target="../media/image2290.gif"/><Relationship Id="rId2272" Type="http://schemas.openxmlformats.org/officeDocument/2006/relationships/image" Target="../media/image2497.gif"/><Relationship Id="rId3116" Type="http://schemas.openxmlformats.org/officeDocument/2006/relationships/image" Target="../media/image3341.gif"/><Relationship Id="rId3670" Type="http://schemas.openxmlformats.org/officeDocument/2006/relationships/image" Target="../media/image3895.gif"/><Relationship Id="rId244" Type="http://schemas.openxmlformats.org/officeDocument/2006/relationships/image" Target="../media/image469.gif"/><Relationship Id="rId1081" Type="http://schemas.openxmlformats.org/officeDocument/2006/relationships/image" Target="../media/image1306.gif"/><Relationship Id="rId3323" Type="http://schemas.openxmlformats.org/officeDocument/2006/relationships/image" Target="../media/image3548.gif"/><Relationship Id="rId3530" Type="http://schemas.openxmlformats.org/officeDocument/2006/relationships/image" Target="../media/image3755.gif"/><Relationship Id="rId451" Type="http://schemas.openxmlformats.org/officeDocument/2006/relationships/image" Target="../media/image676.gif"/><Relationship Id="rId2132" Type="http://schemas.openxmlformats.org/officeDocument/2006/relationships/image" Target="../media/image2357.gif"/><Relationship Id="rId104" Type="http://schemas.openxmlformats.org/officeDocument/2006/relationships/image" Target="../media/image329.gif"/><Relationship Id="rId311" Type="http://schemas.openxmlformats.org/officeDocument/2006/relationships/image" Target="../media/image536.gif"/><Relationship Id="rId1898" Type="http://schemas.openxmlformats.org/officeDocument/2006/relationships/image" Target="../media/image2123.gif"/><Relationship Id="rId2949" Type="http://schemas.openxmlformats.org/officeDocument/2006/relationships/image" Target="../media/image3174.gif"/><Relationship Id="rId4097" Type="http://schemas.openxmlformats.org/officeDocument/2006/relationships/image" Target="../media/image4322.gif"/><Relationship Id="rId1758" Type="http://schemas.openxmlformats.org/officeDocument/2006/relationships/image" Target="../media/image1983.gif"/><Relationship Id="rId2809" Type="http://schemas.openxmlformats.org/officeDocument/2006/relationships/image" Target="../media/image3034.gif"/><Relationship Id="rId4164" Type="http://schemas.openxmlformats.org/officeDocument/2006/relationships/image" Target="../media/image4389.gif"/><Relationship Id="rId4371" Type="http://schemas.openxmlformats.org/officeDocument/2006/relationships/image" Target="../media/image4596.gif"/><Relationship Id="rId1965" Type="http://schemas.openxmlformats.org/officeDocument/2006/relationships/image" Target="../media/image2190.gif"/><Relationship Id="rId3180" Type="http://schemas.openxmlformats.org/officeDocument/2006/relationships/image" Target="../media/image3405.gif"/><Relationship Id="rId4024" Type="http://schemas.openxmlformats.org/officeDocument/2006/relationships/image" Target="../media/image4249.gif"/><Relationship Id="rId4231" Type="http://schemas.openxmlformats.org/officeDocument/2006/relationships/image" Target="../media/image4456.gif"/><Relationship Id="rId1618" Type="http://schemas.openxmlformats.org/officeDocument/2006/relationships/image" Target="../media/image1843.gif"/><Relationship Id="rId1825" Type="http://schemas.openxmlformats.org/officeDocument/2006/relationships/image" Target="../media/image2050.gif"/><Relationship Id="rId3040" Type="http://schemas.openxmlformats.org/officeDocument/2006/relationships/image" Target="../media/image3265.gif"/><Relationship Id="rId3997" Type="http://schemas.openxmlformats.org/officeDocument/2006/relationships/image" Target="../media/image4222.gif"/><Relationship Id="rId2599" Type="http://schemas.openxmlformats.org/officeDocument/2006/relationships/image" Target="../media/image2824.gif"/><Relationship Id="rId3857" Type="http://schemas.openxmlformats.org/officeDocument/2006/relationships/image" Target="../media/image4082.gif"/><Relationship Id="rId778" Type="http://schemas.openxmlformats.org/officeDocument/2006/relationships/image" Target="../media/image1003.gif"/><Relationship Id="rId985" Type="http://schemas.openxmlformats.org/officeDocument/2006/relationships/image" Target="../media/image1210.gif"/><Relationship Id="rId2459" Type="http://schemas.openxmlformats.org/officeDocument/2006/relationships/image" Target="../media/image2684.gif"/><Relationship Id="rId2666" Type="http://schemas.openxmlformats.org/officeDocument/2006/relationships/image" Target="../media/image2891.gif"/><Relationship Id="rId2873" Type="http://schemas.openxmlformats.org/officeDocument/2006/relationships/image" Target="../media/image3098.gif"/><Relationship Id="rId3717" Type="http://schemas.openxmlformats.org/officeDocument/2006/relationships/image" Target="../media/image3942.gif"/><Relationship Id="rId3924" Type="http://schemas.openxmlformats.org/officeDocument/2006/relationships/image" Target="../media/image4149.gif"/><Relationship Id="rId638" Type="http://schemas.openxmlformats.org/officeDocument/2006/relationships/image" Target="../media/image863.gif"/><Relationship Id="rId845" Type="http://schemas.openxmlformats.org/officeDocument/2006/relationships/image" Target="../media/image1070.gif"/><Relationship Id="rId1268" Type="http://schemas.openxmlformats.org/officeDocument/2006/relationships/image" Target="../media/image1493.gif"/><Relationship Id="rId1475" Type="http://schemas.openxmlformats.org/officeDocument/2006/relationships/image" Target="../media/image1700.gif"/><Relationship Id="rId1682" Type="http://schemas.openxmlformats.org/officeDocument/2006/relationships/image" Target="../media/image1907.gif"/><Relationship Id="rId2319" Type="http://schemas.openxmlformats.org/officeDocument/2006/relationships/image" Target="../media/image2544.gif"/><Relationship Id="rId2526" Type="http://schemas.openxmlformats.org/officeDocument/2006/relationships/image" Target="../media/image2751.gif"/><Relationship Id="rId2733" Type="http://schemas.openxmlformats.org/officeDocument/2006/relationships/image" Target="../media/image2958.gif"/><Relationship Id="rId705" Type="http://schemas.openxmlformats.org/officeDocument/2006/relationships/image" Target="../media/image930.gif"/><Relationship Id="rId1128" Type="http://schemas.openxmlformats.org/officeDocument/2006/relationships/image" Target="../media/image1353.gif"/><Relationship Id="rId1335" Type="http://schemas.openxmlformats.org/officeDocument/2006/relationships/image" Target="../media/image1560.gif"/><Relationship Id="rId1542" Type="http://schemas.openxmlformats.org/officeDocument/2006/relationships/image" Target="../media/image1767.gif"/><Relationship Id="rId2940" Type="http://schemas.openxmlformats.org/officeDocument/2006/relationships/image" Target="../media/image3165.gif"/><Relationship Id="rId912" Type="http://schemas.openxmlformats.org/officeDocument/2006/relationships/image" Target="../media/image1137.gif"/><Relationship Id="rId2800" Type="http://schemas.openxmlformats.org/officeDocument/2006/relationships/image" Target="../media/image3025.gif"/><Relationship Id="rId41" Type="http://schemas.openxmlformats.org/officeDocument/2006/relationships/image" Target="../media/image266.gif"/><Relationship Id="rId1402" Type="http://schemas.openxmlformats.org/officeDocument/2006/relationships/image" Target="../media/image1627.gif"/><Relationship Id="rId288" Type="http://schemas.openxmlformats.org/officeDocument/2006/relationships/image" Target="../media/image513.gif"/><Relationship Id="rId3367" Type="http://schemas.openxmlformats.org/officeDocument/2006/relationships/image" Target="../media/image3592.gif"/><Relationship Id="rId3574" Type="http://schemas.openxmlformats.org/officeDocument/2006/relationships/image" Target="../media/image3799.gif"/><Relationship Id="rId3781" Type="http://schemas.openxmlformats.org/officeDocument/2006/relationships/image" Target="../media/image4006.gif"/><Relationship Id="rId4418" Type="http://schemas.openxmlformats.org/officeDocument/2006/relationships/image" Target="../media/image4643.gif"/><Relationship Id="rId495" Type="http://schemas.openxmlformats.org/officeDocument/2006/relationships/image" Target="../media/image720.gif"/><Relationship Id="rId2176" Type="http://schemas.openxmlformats.org/officeDocument/2006/relationships/image" Target="../media/image2401.gif"/><Relationship Id="rId2383" Type="http://schemas.openxmlformats.org/officeDocument/2006/relationships/image" Target="../media/image2608.gif"/><Relationship Id="rId2590" Type="http://schemas.openxmlformats.org/officeDocument/2006/relationships/image" Target="../media/image2815.gif"/><Relationship Id="rId3227" Type="http://schemas.openxmlformats.org/officeDocument/2006/relationships/image" Target="../media/image3452.gif"/><Relationship Id="rId3434" Type="http://schemas.openxmlformats.org/officeDocument/2006/relationships/image" Target="../media/image3659.gif"/><Relationship Id="rId3641" Type="http://schemas.openxmlformats.org/officeDocument/2006/relationships/image" Target="../media/image3866.gif"/><Relationship Id="rId148" Type="http://schemas.openxmlformats.org/officeDocument/2006/relationships/image" Target="../media/image373.gif"/><Relationship Id="rId355" Type="http://schemas.openxmlformats.org/officeDocument/2006/relationships/image" Target="../media/image580.gif"/><Relationship Id="rId562" Type="http://schemas.openxmlformats.org/officeDocument/2006/relationships/image" Target="../media/image787.gif"/><Relationship Id="rId1192" Type="http://schemas.openxmlformats.org/officeDocument/2006/relationships/image" Target="../media/image1417.gif"/><Relationship Id="rId2036" Type="http://schemas.openxmlformats.org/officeDocument/2006/relationships/image" Target="../media/image2261.gif"/><Relationship Id="rId2243" Type="http://schemas.openxmlformats.org/officeDocument/2006/relationships/image" Target="../media/image2468.gif"/><Relationship Id="rId2450" Type="http://schemas.openxmlformats.org/officeDocument/2006/relationships/image" Target="../media/image2675.gif"/><Relationship Id="rId3501" Type="http://schemas.openxmlformats.org/officeDocument/2006/relationships/image" Target="../media/image3726.gif"/><Relationship Id="rId215" Type="http://schemas.openxmlformats.org/officeDocument/2006/relationships/image" Target="../media/image440.gif"/><Relationship Id="rId422" Type="http://schemas.openxmlformats.org/officeDocument/2006/relationships/image" Target="../media/image647.gif"/><Relationship Id="rId1052" Type="http://schemas.openxmlformats.org/officeDocument/2006/relationships/image" Target="../media/image1277.gif"/><Relationship Id="rId2103" Type="http://schemas.openxmlformats.org/officeDocument/2006/relationships/image" Target="../media/image2328.gif"/><Relationship Id="rId2310" Type="http://schemas.openxmlformats.org/officeDocument/2006/relationships/image" Target="../media/image2535.gif"/><Relationship Id="rId4068" Type="http://schemas.openxmlformats.org/officeDocument/2006/relationships/image" Target="../media/image4293.gif"/><Relationship Id="rId4275" Type="http://schemas.openxmlformats.org/officeDocument/2006/relationships/image" Target="../media/image4500.gif"/><Relationship Id="rId4482" Type="http://schemas.openxmlformats.org/officeDocument/2006/relationships/image" Target="../media/image4707.gif"/><Relationship Id="rId1869" Type="http://schemas.openxmlformats.org/officeDocument/2006/relationships/image" Target="../media/image2094.gif"/><Relationship Id="rId3084" Type="http://schemas.openxmlformats.org/officeDocument/2006/relationships/image" Target="../media/image3309.gif"/><Relationship Id="rId3291" Type="http://schemas.openxmlformats.org/officeDocument/2006/relationships/image" Target="../media/image3516.gif"/><Relationship Id="rId4135" Type="http://schemas.openxmlformats.org/officeDocument/2006/relationships/image" Target="../media/image4360.gif"/><Relationship Id="rId1729" Type="http://schemas.openxmlformats.org/officeDocument/2006/relationships/image" Target="../media/image1954.gif"/><Relationship Id="rId1936" Type="http://schemas.openxmlformats.org/officeDocument/2006/relationships/image" Target="../media/image2161.gif"/><Relationship Id="rId4342" Type="http://schemas.openxmlformats.org/officeDocument/2006/relationships/image" Target="../media/image4567.gif"/><Relationship Id="rId3151" Type="http://schemas.openxmlformats.org/officeDocument/2006/relationships/image" Target="../media/image3376.gif"/><Relationship Id="rId4202" Type="http://schemas.openxmlformats.org/officeDocument/2006/relationships/image" Target="../media/image4427.gif"/><Relationship Id="rId3011" Type="http://schemas.openxmlformats.org/officeDocument/2006/relationships/image" Target="../media/image3236.gif"/><Relationship Id="rId3968" Type="http://schemas.openxmlformats.org/officeDocument/2006/relationships/image" Target="../media/image4193.gif"/><Relationship Id="rId5" Type="http://schemas.openxmlformats.org/officeDocument/2006/relationships/image" Target="../media/image230.gif"/><Relationship Id="rId889" Type="http://schemas.openxmlformats.org/officeDocument/2006/relationships/image" Target="../media/image1114.gif"/><Relationship Id="rId2777" Type="http://schemas.openxmlformats.org/officeDocument/2006/relationships/image" Target="../media/image3002.gif"/><Relationship Id="rId749" Type="http://schemas.openxmlformats.org/officeDocument/2006/relationships/image" Target="../media/image974.gif"/><Relationship Id="rId1379" Type="http://schemas.openxmlformats.org/officeDocument/2006/relationships/image" Target="../media/image1604.gif"/><Relationship Id="rId1586" Type="http://schemas.openxmlformats.org/officeDocument/2006/relationships/image" Target="../media/image1811.gif"/><Relationship Id="rId2984" Type="http://schemas.openxmlformats.org/officeDocument/2006/relationships/image" Target="../media/image3209.gif"/><Relationship Id="rId3828" Type="http://schemas.openxmlformats.org/officeDocument/2006/relationships/image" Target="../media/image4053.gif"/><Relationship Id="rId609" Type="http://schemas.openxmlformats.org/officeDocument/2006/relationships/image" Target="../media/image834.gif"/><Relationship Id="rId956" Type="http://schemas.openxmlformats.org/officeDocument/2006/relationships/image" Target="../media/image1181.gif"/><Relationship Id="rId1239" Type="http://schemas.openxmlformats.org/officeDocument/2006/relationships/image" Target="../media/image1464.gif"/><Relationship Id="rId1793" Type="http://schemas.openxmlformats.org/officeDocument/2006/relationships/image" Target="../media/image2018.gif"/><Relationship Id="rId2637" Type="http://schemas.openxmlformats.org/officeDocument/2006/relationships/image" Target="../media/image2862.gif"/><Relationship Id="rId2844" Type="http://schemas.openxmlformats.org/officeDocument/2006/relationships/image" Target="../media/image3069.gif"/><Relationship Id="rId85" Type="http://schemas.openxmlformats.org/officeDocument/2006/relationships/image" Target="../media/image310.gif"/><Relationship Id="rId816" Type="http://schemas.openxmlformats.org/officeDocument/2006/relationships/image" Target="../media/image1041.gif"/><Relationship Id="rId1446" Type="http://schemas.openxmlformats.org/officeDocument/2006/relationships/image" Target="../media/image1671.gif"/><Relationship Id="rId1653" Type="http://schemas.openxmlformats.org/officeDocument/2006/relationships/image" Target="../media/image1878.gif"/><Relationship Id="rId1860" Type="http://schemas.openxmlformats.org/officeDocument/2006/relationships/image" Target="../media/image2085.gif"/><Relationship Id="rId2704" Type="http://schemas.openxmlformats.org/officeDocument/2006/relationships/image" Target="../media/image2929.gif"/><Relationship Id="rId2911" Type="http://schemas.openxmlformats.org/officeDocument/2006/relationships/image" Target="../media/image3136.gif"/><Relationship Id="rId1306" Type="http://schemas.openxmlformats.org/officeDocument/2006/relationships/image" Target="../media/image1531.gif"/><Relationship Id="rId1513" Type="http://schemas.openxmlformats.org/officeDocument/2006/relationships/image" Target="../media/image1738.gif"/><Relationship Id="rId1720" Type="http://schemas.openxmlformats.org/officeDocument/2006/relationships/image" Target="../media/image1945.gif"/><Relationship Id="rId12" Type="http://schemas.openxmlformats.org/officeDocument/2006/relationships/image" Target="../media/image237.gif"/><Relationship Id="rId3478" Type="http://schemas.openxmlformats.org/officeDocument/2006/relationships/image" Target="../media/image3703.gif"/><Relationship Id="rId3685" Type="http://schemas.openxmlformats.org/officeDocument/2006/relationships/image" Target="../media/image3910.gif"/><Relationship Id="rId3892" Type="http://schemas.openxmlformats.org/officeDocument/2006/relationships/image" Target="../media/image4117.gif"/><Relationship Id="rId399" Type="http://schemas.openxmlformats.org/officeDocument/2006/relationships/image" Target="../media/image624.gif"/><Relationship Id="rId2287" Type="http://schemas.openxmlformats.org/officeDocument/2006/relationships/image" Target="../media/image2512.gif"/><Relationship Id="rId2494" Type="http://schemas.openxmlformats.org/officeDocument/2006/relationships/image" Target="../media/image2719.gif"/><Relationship Id="rId3338" Type="http://schemas.openxmlformats.org/officeDocument/2006/relationships/image" Target="../media/image3563.gif"/><Relationship Id="rId3545" Type="http://schemas.openxmlformats.org/officeDocument/2006/relationships/image" Target="../media/image3770.gif"/><Relationship Id="rId3752" Type="http://schemas.openxmlformats.org/officeDocument/2006/relationships/image" Target="../media/image3977.gif"/><Relationship Id="rId259" Type="http://schemas.openxmlformats.org/officeDocument/2006/relationships/image" Target="../media/image484.gif"/><Relationship Id="rId466" Type="http://schemas.openxmlformats.org/officeDocument/2006/relationships/image" Target="../media/image691.gif"/><Relationship Id="rId673" Type="http://schemas.openxmlformats.org/officeDocument/2006/relationships/image" Target="../media/image898.gif"/><Relationship Id="rId880" Type="http://schemas.openxmlformats.org/officeDocument/2006/relationships/image" Target="../media/image1105.gif"/><Relationship Id="rId1096" Type="http://schemas.openxmlformats.org/officeDocument/2006/relationships/image" Target="../media/image1321.gif"/><Relationship Id="rId2147" Type="http://schemas.openxmlformats.org/officeDocument/2006/relationships/image" Target="../media/image2372.gif"/><Relationship Id="rId2354" Type="http://schemas.openxmlformats.org/officeDocument/2006/relationships/image" Target="../media/image2579.gif"/><Relationship Id="rId2561" Type="http://schemas.openxmlformats.org/officeDocument/2006/relationships/image" Target="../media/image2786.gif"/><Relationship Id="rId3405" Type="http://schemas.openxmlformats.org/officeDocument/2006/relationships/image" Target="../media/image3630.gif"/><Relationship Id="rId119" Type="http://schemas.openxmlformats.org/officeDocument/2006/relationships/image" Target="../media/image344.gif"/><Relationship Id="rId326" Type="http://schemas.openxmlformats.org/officeDocument/2006/relationships/image" Target="../media/image551.gif"/><Relationship Id="rId533" Type="http://schemas.openxmlformats.org/officeDocument/2006/relationships/image" Target="../media/image758.gif"/><Relationship Id="rId1163" Type="http://schemas.openxmlformats.org/officeDocument/2006/relationships/image" Target="../media/image1388.gif"/><Relationship Id="rId1370" Type="http://schemas.openxmlformats.org/officeDocument/2006/relationships/image" Target="../media/image1595.gif"/><Relationship Id="rId2007" Type="http://schemas.openxmlformats.org/officeDocument/2006/relationships/image" Target="../media/image2232.gif"/><Relationship Id="rId2214" Type="http://schemas.openxmlformats.org/officeDocument/2006/relationships/image" Target="../media/image2439.gif"/><Relationship Id="rId3612" Type="http://schemas.openxmlformats.org/officeDocument/2006/relationships/image" Target="../media/image3837.gif"/><Relationship Id="rId740" Type="http://schemas.openxmlformats.org/officeDocument/2006/relationships/image" Target="../media/image965.gif"/><Relationship Id="rId1023" Type="http://schemas.openxmlformats.org/officeDocument/2006/relationships/image" Target="../media/image1248.gif"/><Relationship Id="rId2421" Type="http://schemas.openxmlformats.org/officeDocument/2006/relationships/image" Target="../media/image2646.gif"/><Relationship Id="rId4179" Type="http://schemas.openxmlformats.org/officeDocument/2006/relationships/image" Target="../media/image4404.gif"/><Relationship Id="rId600" Type="http://schemas.openxmlformats.org/officeDocument/2006/relationships/image" Target="../media/image825.gif"/><Relationship Id="rId1230" Type="http://schemas.openxmlformats.org/officeDocument/2006/relationships/image" Target="../media/image1455.gif"/><Relationship Id="rId4386" Type="http://schemas.openxmlformats.org/officeDocument/2006/relationships/image" Target="../media/image4611.gif"/><Relationship Id="rId3195" Type="http://schemas.openxmlformats.org/officeDocument/2006/relationships/image" Target="../media/image3420.gif"/><Relationship Id="rId4039" Type="http://schemas.openxmlformats.org/officeDocument/2006/relationships/image" Target="../media/image4264.gif"/><Relationship Id="rId4246" Type="http://schemas.openxmlformats.org/officeDocument/2006/relationships/image" Target="../media/image4471.gif"/><Relationship Id="rId4453" Type="http://schemas.openxmlformats.org/officeDocument/2006/relationships/image" Target="../media/image4678.gif"/><Relationship Id="rId3055" Type="http://schemas.openxmlformats.org/officeDocument/2006/relationships/image" Target="../media/image3280.gif"/><Relationship Id="rId3262" Type="http://schemas.openxmlformats.org/officeDocument/2006/relationships/image" Target="../media/image3487.gif"/><Relationship Id="rId4106" Type="http://schemas.openxmlformats.org/officeDocument/2006/relationships/image" Target="../media/image4331.gif"/><Relationship Id="rId4313" Type="http://schemas.openxmlformats.org/officeDocument/2006/relationships/image" Target="../media/image4538.gif"/><Relationship Id="rId183" Type="http://schemas.openxmlformats.org/officeDocument/2006/relationships/image" Target="../media/image408.gif"/><Relationship Id="rId390" Type="http://schemas.openxmlformats.org/officeDocument/2006/relationships/image" Target="../media/image615.gif"/><Relationship Id="rId1907" Type="http://schemas.openxmlformats.org/officeDocument/2006/relationships/image" Target="../media/image2132.gif"/><Relationship Id="rId2071" Type="http://schemas.openxmlformats.org/officeDocument/2006/relationships/image" Target="../media/image2296.gif"/><Relationship Id="rId3122" Type="http://schemas.openxmlformats.org/officeDocument/2006/relationships/image" Target="../media/image3347.gif"/><Relationship Id="rId250" Type="http://schemas.openxmlformats.org/officeDocument/2006/relationships/image" Target="../media/image475.gif"/><Relationship Id="rId110" Type="http://schemas.openxmlformats.org/officeDocument/2006/relationships/image" Target="../media/image335.gif"/><Relationship Id="rId2888" Type="http://schemas.openxmlformats.org/officeDocument/2006/relationships/image" Target="../media/image3113.gif"/><Relationship Id="rId3939" Type="http://schemas.openxmlformats.org/officeDocument/2006/relationships/image" Target="../media/image4164.gif"/><Relationship Id="rId1697" Type="http://schemas.openxmlformats.org/officeDocument/2006/relationships/image" Target="../media/image1922.gif"/><Relationship Id="rId2748" Type="http://schemas.openxmlformats.org/officeDocument/2006/relationships/image" Target="../media/image2973.gif"/><Relationship Id="rId2955" Type="http://schemas.openxmlformats.org/officeDocument/2006/relationships/image" Target="../media/image3180.gif"/><Relationship Id="rId927" Type="http://schemas.openxmlformats.org/officeDocument/2006/relationships/image" Target="../media/image1152.gif"/><Relationship Id="rId1557" Type="http://schemas.openxmlformats.org/officeDocument/2006/relationships/image" Target="../media/image1782.gif"/><Relationship Id="rId1764" Type="http://schemas.openxmlformats.org/officeDocument/2006/relationships/image" Target="../media/image1989.gif"/><Relationship Id="rId1971" Type="http://schemas.openxmlformats.org/officeDocument/2006/relationships/image" Target="../media/image2196.gif"/><Relationship Id="rId2608" Type="http://schemas.openxmlformats.org/officeDocument/2006/relationships/image" Target="../media/image2833.gif"/><Relationship Id="rId2815" Type="http://schemas.openxmlformats.org/officeDocument/2006/relationships/image" Target="../media/image3040.gif"/><Relationship Id="rId4170" Type="http://schemas.openxmlformats.org/officeDocument/2006/relationships/image" Target="../media/image4395.gif"/><Relationship Id="rId56" Type="http://schemas.openxmlformats.org/officeDocument/2006/relationships/image" Target="../media/image281.gif"/><Relationship Id="rId1417" Type="http://schemas.openxmlformats.org/officeDocument/2006/relationships/image" Target="../media/image1642.gif"/><Relationship Id="rId1624" Type="http://schemas.openxmlformats.org/officeDocument/2006/relationships/image" Target="../media/image1849.gif"/><Relationship Id="rId1831" Type="http://schemas.openxmlformats.org/officeDocument/2006/relationships/image" Target="../media/image2056.gif"/><Relationship Id="rId4030" Type="http://schemas.openxmlformats.org/officeDocument/2006/relationships/image" Target="../media/image4255.gif"/><Relationship Id="rId3589" Type="http://schemas.openxmlformats.org/officeDocument/2006/relationships/image" Target="../media/image3814.gif"/><Relationship Id="rId3796" Type="http://schemas.openxmlformats.org/officeDocument/2006/relationships/image" Target="../media/image4021.gif"/><Relationship Id="rId2398" Type="http://schemas.openxmlformats.org/officeDocument/2006/relationships/image" Target="../media/image2623.gif"/><Relationship Id="rId3449" Type="http://schemas.openxmlformats.org/officeDocument/2006/relationships/image" Target="../media/image3674.gif"/><Relationship Id="rId577" Type="http://schemas.openxmlformats.org/officeDocument/2006/relationships/image" Target="../media/image802.gif"/><Relationship Id="rId2258" Type="http://schemas.openxmlformats.org/officeDocument/2006/relationships/image" Target="../media/image2483.gif"/><Relationship Id="rId3656" Type="http://schemas.openxmlformats.org/officeDocument/2006/relationships/image" Target="../media/image3881.gif"/><Relationship Id="rId3863" Type="http://schemas.openxmlformats.org/officeDocument/2006/relationships/image" Target="../media/image4088.gif"/><Relationship Id="rId784" Type="http://schemas.openxmlformats.org/officeDocument/2006/relationships/image" Target="../media/image1009.gif"/><Relationship Id="rId991" Type="http://schemas.openxmlformats.org/officeDocument/2006/relationships/image" Target="../media/image1216.gif"/><Relationship Id="rId1067" Type="http://schemas.openxmlformats.org/officeDocument/2006/relationships/image" Target="../media/image1292.gif"/><Relationship Id="rId2465" Type="http://schemas.openxmlformats.org/officeDocument/2006/relationships/image" Target="../media/image2690.gif"/><Relationship Id="rId2672" Type="http://schemas.openxmlformats.org/officeDocument/2006/relationships/image" Target="../media/image2897.gif"/><Relationship Id="rId3309" Type="http://schemas.openxmlformats.org/officeDocument/2006/relationships/image" Target="../media/image3534.gif"/><Relationship Id="rId3516" Type="http://schemas.openxmlformats.org/officeDocument/2006/relationships/image" Target="../media/image3741.gif"/><Relationship Id="rId3723" Type="http://schemas.openxmlformats.org/officeDocument/2006/relationships/image" Target="../media/image3948.gif"/><Relationship Id="rId3930" Type="http://schemas.openxmlformats.org/officeDocument/2006/relationships/image" Target="../media/image4155.gif"/><Relationship Id="rId437" Type="http://schemas.openxmlformats.org/officeDocument/2006/relationships/image" Target="../media/image662.gif"/><Relationship Id="rId644" Type="http://schemas.openxmlformats.org/officeDocument/2006/relationships/image" Target="../media/image869.gif"/><Relationship Id="rId851" Type="http://schemas.openxmlformats.org/officeDocument/2006/relationships/image" Target="../media/image1076.gif"/><Relationship Id="rId1274" Type="http://schemas.openxmlformats.org/officeDocument/2006/relationships/image" Target="../media/image1499.gif"/><Relationship Id="rId1481" Type="http://schemas.openxmlformats.org/officeDocument/2006/relationships/image" Target="../media/image1706.gif"/><Relationship Id="rId2118" Type="http://schemas.openxmlformats.org/officeDocument/2006/relationships/image" Target="../media/image2343.gif"/><Relationship Id="rId2325" Type="http://schemas.openxmlformats.org/officeDocument/2006/relationships/image" Target="../media/image2550.gif"/><Relationship Id="rId2532" Type="http://schemas.openxmlformats.org/officeDocument/2006/relationships/image" Target="../media/image2757.gif"/><Relationship Id="rId504" Type="http://schemas.openxmlformats.org/officeDocument/2006/relationships/image" Target="../media/image729.gif"/><Relationship Id="rId711" Type="http://schemas.openxmlformats.org/officeDocument/2006/relationships/image" Target="../media/image936.gif"/><Relationship Id="rId1134" Type="http://schemas.openxmlformats.org/officeDocument/2006/relationships/image" Target="../media/image1359.gif"/><Relationship Id="rId1341" Type="http://schemas.openxmlformats.org/officeDocument/2006/relationships/image" Target="../media/image1566.gif"/><Relationship Id="rId1201" Type="http://schemas.openxmlformats.org/officeDocument/2006/relationships/image" Target="../media/image1426.gif"/><Relationship Id="rId3099" Type="http://schemas.openxmlformats.org/officeDocument/2006/relationships/image" Target="../media/image3324.gif"/><Relationship Id="rId4357" Type="http://schemas.openxmlformats.org/officeDocument/2006/relationships/image" Target="../media/image4582.gif"/><Relationship Id="rId3166" Type="http://schemas.openxmlformats.org/officeDocument/2006/relationships/image" Target="../media/image3391.gif"/><Relationship Id="rId3373" Type="http://schemas.openxmlformats.org/officeDocument/2006/relationships/image" Target="../media/image3598.gif"/><Relationship Id="rId3580" Type="http://schemas.openxmlformats.org/officeDocument/2006/relationships/image" Target="../media/image3805.gif"/><Relationship Id="rId4217" Type="http://schemas.openxmlformats.org/officeDocument/2006/relationships/image" Target="../media/image4442.gif"/><Relationship Id="rId4424" Type="http://schemas.openxmlformats.org/officeDocument/2006/relationships/image" Target="../media/image4649.gif"/><Relationship Id="rId294" Type="http://schemas.openxmlformats.org/officeDocument/2006/relationships/image" Target="../media/image519.gif"/><Relationship Id="rId2182" Type="http://schemas.openxmlformats.org/officeDocument/2006/relationships/image" Target="../media/image2407.gif"/><Relationship Id="rId3026" Type="http://schemas.openxmlformats.org/officeDocument/2006/relationships/image" Target="../media/image3251.gif"/><Relationship Id="rId3233" Type="http://schemas.openxmlformats.org/officeDocument/2006/relationships/image" Target="../media/image3458.gif"/><Relationship Id="rId154" Type="http://schemas.openxmlformats.org/officeDocument/2006/relationships/image" Target="../media/image379.gif"/><Relationship Id="rId361" Type="http://schemas.openxmlformats.org/officeDocument/2006/relationships/image" Target="../media/image586.gif"/><Relationship Id="rId2042" Type="http://schemas.openxmlformats.org/officeDocument/2006/relationships/image" Target="../media/image2267.gif"/><Relationship Id="rId3440" Type="http://schemas.openxmlformats.org/officeDocument/2006/relationships/image" Target="../media/image3665.gif"/><Relationship Id="rId2999" Type="http://schemas.openxmlformats.org/officeDocument/2006/relationships/image" Target="../media/image3224.gif"/><Relationship Id="rId3300" Type="http://schemas.openxmlformats.org/officeDocument/2006/relationships/image" Target="../media/image3525.gif"/><Relationship Id="rId221" Type="http://schemas.openxmlformats.org/officeDocument/2006/relationships/image" Target="../media/image446.gif"/><Relationship Id="rId2859" Type="http://schemas.openxmlformats.org/officeDocument/2006/relationships/image" Target="../media/image3084.gif"/><Relationship Id="rId1668" Type="http://schemas.openxmlformats.org/officeDocument/2006/relationships/image" Target="../media/image1893.gif"/><Relationship Id="rId1875" Type="http://schemas.openxmlformats.org/officeDocument/2006/relationships/image" Target="../media/image2100.gif"/><Relationship Id="rId2719" Type="http://schemas.openxmlformats.org/officeDocument/2006/relationships/image" Target="../media/image2944.gif"/><Relationship Id="rId4074" Type="http://schemas.openxmlformats.org/officeDocument/2006/relationships/image" Target="../media/image4299.gif"/><Relationship Id="rId4281" Type="http://schemas.openxmlformats.org/officeDocument/2006/relationships/image" Target="../media/image4506.gif"/><Relationship Id="rId1528" Type="http://schemas.openxmlformats.org/officeDocument/2006/relationships/image" Target="../media/image1753.gif"/><Relationship Id="rId2926" Type="http://schemas.openxmlformats.org/officeDocument/2006/relationships/image" Target="../media/image3151.gif"/><Relationship Id="rId3090" Type="http://schemas.openxmlformats.org/officeDocument/2006/relationships/image" Target="../media/image3315.gif"/><Relationship Id="rId4141" Type="http://schemas.openxmlformats.org/officeDocument/2006/relationships/image" Target="../media/image4366.gif"/><Relationship Id="rId1735" Type="http://schemas.openxmlformats.org/officeDocument/2006/relationships/image" Target="../media/image1960.gif"/><Relationship Id="rId1942" Type="http://schemas.openxmlformats.org/officeDocument/2006/relationships/image" Target="../media/image2167.gif"/><Relationship Id="rId4001" Type="http://schemas.openxmlformats.org/officeDocument/2006/relationships/image" Target="../media/image4226.gif"/><Relationship Id="rId27" Type="http://schemas.openxmlformats.org/officeDocument/2006/relationships/image" Target="../media/image252.gif"/><Relationship Id="rId1802" Type="http://schemas.openxmlformats.org/officeDocument/2006/relationships/image" Target="../media/image2027.gif"/><Relationship Id="rId3767" Type="http://schemas.openxmlformats.org/officeDocument/2006/relationships/image" Target="../media/image3992.gif"/><Relationship Id="rId3974" Type="http://schemas.openxmlformats.org/officeDocument/2006/relationships/image" Target="../media/image4199.gif"/><Relationship Id="rId688" Type="http://schemas.openxmlformats.org/officeDocument/2006/relationships/image" Target="../media/image913.gif"/><Relationship Id="rId895" Type="http://schemas.openxmlformats.org/officeDocument/2006/relationships/image" Target="../media/image1120.gif"/><Relationship Id="rId2369" Type="http://schemas.openxmlformats.org/officeDocument/2006/relationships/image" Target="../media/image2594.gif"/><Relationship Id="rId2576" Type="http://schemas.openxmlformats.org/officeDocument/2006/relationships/image" Target="../media/image2801.gif"/><Relationship Id="rId2783" Type="http://schemas.openxmlformats.org/officeDocument/2006/relationships/image" Target="../media/image3008.gif"/><Relationship Id="rId2990" Type="http://schemas.openxmlformats.org/officeDocument/2006/relationships/image" Target="../media/image3215.gif"/><Relationship Id="rId3627" Type="http://schemas.openxmlformats.org/officeDocument/2006/relationships/image" Target="../media/image3852.gif"/><Relationship Id="rId3834" Type="http://schemas.openxmlformats.org/officeDocument/2006/relationships/image" Target="../media/image4059.gif"/><Relationship Id="rId548" Type="http://schemas.openxmlformats.org/officeDocument/2006/relationships/image" Target="../media/image773.gif"/><Relationship Id="rId755" Type="http://schemas.openxmlformats.org/officeDocument/2006/relationships/image" Target="../media/image980.gif"/><Relationship Id="rId962" Type="http://schemas.openxmlformats.org/officeDocument/2006/relationships/image" Target="../media/image1187.gif"/><Relationship Id="rId1178" Type="http://schemas.openxmlformats.org/officeDocument/2006/relationships/image" Target="../media/image1403.gif"/><Relationship Id="rId1385" Type="http://schemas.openxmlformats.org/officeDocument/2006/relationships/image" Target="../media/image1610.gif"/><Relationship Id="rId1592" Type="http://schemas.openxmlformats.org/officeDocument/2006/relationships/image" Target="../media/image1817.gif"/><Relationship Id="rId2229" Type="http://schemas.openxmlformats.org/officeDocument/2006/relationships/image" Target="../media/image2454.gif"/><Relationship Id="rId2436" Type="http://schemas.openxmlformats.org/officeDocument/2006/relationships/image" Target="../media/image2661.gif"/><Relationship Id="rId2643" Type="http://schemas.openxmlformats.org/officeDocument/2006/relationships/image" Target="../media/image2868.gif"/><Relationship Id="rId2850" Type="http://schemas.openxmlformats.org/officeDocument/2006/relationships/image" Target="../media/image3075.gif"/><Relationship Id="rId91" Type="http://schemas.openxmlformats.org/officeDocument/2006/relationships/image" Target="../media/image316.gif"/><Relationship Id="rId408" Type="http://schemas.openxmlformats.org/officeDocument/2006/relationships/image" Target="../media/image633.gif"/><Relationship Id="rId615" Type="http://schemas.openxmlformats.org/officeDocument/2006/relationships/image" Target="../media/image840.gif"/><Relationship Id="rId822" Type="http://schemas.openxmlformats.org/officeDocument/2006/relationships/image" Target="../media/image1047.gif"/><Relationship Id="rId1038" Type="http://schemas.openxmlformats.org/officeDocument/2006/relationships/image" Target="../media/image1263.gif"/><Relationship Id="rId1245" Type="http://schemas.openxmlformats.org/officeDocument/2006/relationships/image" Target="../media/image1470.gif"/><Relationship Id="rId1452" Type="http://schemas.openxmlformats.org/officeDocument/2006/relationships/image" Target="../media/image1677.gif"/><Relationship Id="rId2503" Type="http://schemas.openxmlformats.org/officeDocument/2006/relationships/image" Target="../media/image2728.gif"/><Relationship Id="rId3901" Type="http://schemas.openxmlformats.org/officeDocument/2006/relationships/image" Target="../media/image4126.gif"/><Relationship Id="rId1105" Type="http://schemas.openxmlformats.org/officeDocument/2006/relationships/image" Target="../media/image1330.gif"/><Relationship Id="rId1312" Type="http://schemas.openxmlformats.org/officeDocument/2006/relationships/image" Target="../media/image1537.gif"/><Relationship Id="rId2710" Type="http://schemas.openxmlformats.org/officeDocument/2006/relationships/image" Target="../media/image2935.gif"/><Relationship Id="rId4468" Type="http://schemas.openxmlformats.org/officeDocument/2006/relationships/image" Target="../media/image4693.gif"/><Relationship Id="rId3277" Type="http://schemas.openxmlformats.org/officeDocument/2006/relationships/image" Target="../media/image3502.gif"/><Relationship Id="rId198" Type="http://schemas.openxmlformats.org/officeDocument/2006/relationships/image" Target="../media/image423.gif"/><Relationship Id="rId2086" Type="http://schemas.openxmlformats.org/officeDocument/2006/relationships/image" Target="../media/image2311.gif"/><Relationship Id="rId3484" Type="http://schemas.openxmlformats.org/officeDocument/2006/relationships/image" Target="../media/image3709.gif"/><Relationship Id="rId3691" Type="http://schemas.openxmlformats.org/officeDocument/2006/relationships/image" Target="../media/image3916.gif"/><Relationship Id="rId4328" Type="http://schemas.openxmlformats.org/officeDocument/2006/relationships/image" Target="../media/image4553.gif"/><Relationship Id="rId2293" Type="http://schemas.openxmlformats.org/officeDocument/2006/relationships/image" Target="../media/image2518.gif"/><Relationship Id="rId3137" Type="http://schemas.openxmlformats.org/officeDocument/2006/relationships/image" Target="../media/image3362.gif"/><Relationship Id="rId3344" Type="http://schemas.openxmlformats.org/officeDocument/2006/relationships/image" Target="../media/image3569.gif"/><Relationship Id="rId3551" Type="http://schemas.openxmlformats.org/officeDocument/2006/relationships/image" Target="../media/image3776.gif"/><Relationship Id="rId265" Type="http://schemas.openxmlformats.org/officeDocument/2006/relationships/image" Target="../media/image490.gif"/><Relationship Id="rId472" Type="http://schemas.openxmlformats.org/officeDocument/2006/relationships/image" Target="../media/image697.gif"/><Relationship Id="rId2153" Type="http://schemas.openxmlformats.org/officeDocument/2006/relationships/image" Target="../media/image2378.gif"/><Relationship Id="rId2360" Type="http://schemas.openxmlformats.org/officeDocument/2006/relationships/image" Target="../media/image2585.gif"/><Relationship Id="rId3204" Type="http://schemas.openxmlformats.org/officeDocument/2006/relationships/image" Target="../media/image3429.gif"/><Relationship Id="rId3411" Type="http://schemas.openxmlformats.org/officeDocument/2006/relationships/image" Target="../media/image3636.gif"/><Relationship Id="rId125" Type="http://schemas.openxmlformats.org/officeDocument/2006/relationships/image" Target="../media/image350.gif"/><Relationship Id="rId332" Type="http://schemas.openxmlformats.org/officeDocument/2006/relationships/image" Target="../media/image557.gif"/><Relationship Id="rId2013" Type="http://schemas.openxmlformats.org/officeDocument/2006/relationships/image" Target="../media/image2238.gif"/><Relationship Id="rId2220" Type="http://schemas.openxmlformats.org/officeDocument/2006/relationships/image" Target="../media/image2445.gif"/><Relationship Id="rId4185" Type="http://schemas.openxmlformats.org/officeDocument/2006/relationships/image" Target="../media/image4410.gif"/><Relationship Id="rId4392" Type="http://schemas.openxmlformats.org/officeDocument/2006/relationships/image" Target="../media/image4617.gif"/><Relationship Id="rId1779" Type="http://schemas.openxmlformats.org/officeDocument/2006/relationships/image" Target="../media/image2004.gif"/><Relationship Id="rId1986" Type="http://schemas.openxmlformats.org/officeDocument/2006/relationships/image" Target="../media/image2211.gif"/><Relationship Id="rId4045" Type="http://schemas.openxmlformats.org/officeDocument/2006/relationships/image" Target="../media/image4270.gif"/><Relationship Id="rId4252" Type="http://schemas.openxmlformats.org/officeDocument/2006/relationships/image" Target="../media/image4477.gif"/><Relationship Id="rId1639" Type="http://schemas.openxmlformats.org/officeDocument/2006/relationships/image" Target="../media/image1864.gif"/><Relationship Id="rId1846" Type="http://schemas.openxmlformats.org/officeDocument/2006/relationships/image" Target="../media/image2071.gif"/><Relationship Id="rId3061" Type="http://schemas.openxmlformats.org/officeDocument/2006/relationships/image" Target="../media/image3286.gif"/><Relationship Id="rId1706" Type="http://schemas.openxmlformats.org/officeDocument/2006/relationships/image" Target="../media/image1931.gif"/><Relationship Id="rId1913" Type="http://schemas.openxmlformats.org/officeDocument/2006/relationships/image" Target="../media/image2138.gif"/><Relationship Id="rId4112" Type="http://schemas.openxmlformats.org/officeDocument/2006/relationships/image" Target="../media/image4337.gif"/><Relationship Id="rId3878" Type="http://schemas.openxmlformats.org/officeDocument/2006/relationships/image" Target="../media/image4103.gif"/><Relationship Id="rId799" Type="http://schemas.openxmlformats.org/officeDocument/2006/relationships/image" Target="../media/image1024.gif"/><Relationship Id="rId2687" Type="http://schemas.openxmlformats.org/officeDocument/2006/relationships/image" Target="../media/image2912.gif"/><Relationship Id="rId2894" Type="http://schemas.openxmlformats.org/officeDocument/2006/relationships/image" Target="../media/image3119.gif"/><Relationship Id="rId3738" Type="http://schemas.openxmlformats.org/officeDocument/2006/relationships/image" Target="../media/image3963.gif"/><Relationship Id="rId659" Type="http://schemas.openxmlformats.org/officeDocument/2006/relationships/image" Target="../media/image884.gif"/><Relationship Id="rId866" Type="http://schemas.openxmlformats.org/officeDocument/2006/relationships/image" Target="../media/image1091.gif"/><Relationship Id="rId1289" Type="http://schemas.openxmlformats.org/officeDocument/2006/relationships/image" Target="../media/image1514.gif"/><Relationship Id="rId1496" Type="http://schemas.openxmlformats.org/officeDocument/2006/relationships/image" Target="../media/image1721.gif"/><Relationship Id="rId2547" Type="http://schemas.openxmlformats.org/officeDocument/2006/relationships/image" Target="../media/image2772.gif"/><Relationship Id="rId3945" Type="http://schemas.openxmlformats.org/officeDocument/2006/relationships/image" Target="../media/image4170.gif"/><Relationship Id="rId519" Type="http://schemas.openxmlformats.org/officeDocument/2006/relationships/image" Target="../media/image744.gif"/><Relationship Id="rId1149" Type="http://schemas.openxmlformats.org/officeDocument/2006/relationships/image" Target="../media/image1374.gif"/><Relationship Id="rId1356" Type="http://schemas.openxmlformats.org/officeDocument/2006/relationships/image" Target="../media/image1581.gif"/><Relationship Id="rId2754" Type="http://schemas.openxmlformats.org/officeDocument/2006/relationships/image" Target="../media/image2979.gif"/><Relationship Id="rId2961" Type="http://schemas.openxmlformats.org/officeDocument/2006/relationships/image" Target="../media/image3186.gif"/><Relationship Id="rId3805" Type="http://schemas.openxmlformats.org/officeDocument/2006/relationships/image" Target="../media/image4030.gif"/><Relationship Id="rId726" Type="http://schemas.openxmlformats.org/officeDocument/2006/relationships/image" Target="../media/image951.gif"/><Relationship Id="rId933" Type="http://schemas.openxmlformats.org/officeDocument/2006/relationships/image" Target="../media/image1158.gif"/><Relationship Id="rId1009" Type="http://schemas.openxmlformats.org/officeDocument/2006/relationships/image" Target="../media/image1234.gif"/><Relationship Id="rId1563" Type="http://schemas.openxmlformats.org/officeDocument/2006/relationships/image" Target="../media/image1788.gif"/><Relationship Id="rId1770" Type="http://schemas.openxmlformats.org/officeDocument/2006/relationships/image" Target="../media/image1995.gif"/><Relationship Id="rId2407" Type="http://schemas.openxmlformats.org/officeDocument/2006/relationships/image" Target="../media/image2632.gif"/><Relationship Id="rId2614" Type="http://schemas.openxmlformats.org/officeDocument/2006/relationships/image" Target="../media/image2839.gif"/><Relationship Id="rId2821" Type="http://schemas.openxmlformats.org/officeDocument/2006/relationships/image" Target="../media/image3046.gif"/><Relationship Id="rId62" Type="http://schemas.openxmlformats.org/officeDocument/2006/relationships/image" Target="../media/image287.gif"/><Relationship Id="rId1216" Type="http://schemas.openxmlformats.org/officeDocument/2006/relationships/image" Target="../media/image1441.gif"/><Relationship Id="rId1423" Type="http://schemas.openxmlformats.org/officeDocument/2006/relationships/image" Target="../media/image1648.gif"/><Relationship Id="rId1630" Type="http://schemas.openxmlformats.org/officeDocument/2006/relationships/image" Target="../media/image1855.gif"/><Relationship Id="rId3388" Type="http://schemas.openxmlformats.org/officeDocument/2006/relationships/image" Target="../media/image3613.gif"/><Relationship Id="rId3595" Type="http://schemas.openxmlformats.org/officeDocument/2006/relationships/image" Target="../media/image3820.gif"/><Relationship Id="rId4439" Type="http://schemas.openxmlformats.org/officeDocument/2006/relationships/image" Target="../media/image4664.gif"/><Relationship Id="rId2197" Type="http://schemas.openxmlformats.org/officeDocument/2006/relationships/image" Target="../media/image2422.gif"/><Relationship Id="rId3248" Type="http://schemas.openxmlformats.org/officeDocument/2006/relationships/image" Target="../media/image3473.gif"/><Relationship Id="rId3455" Type="http://schemas.openxmlformats.org/officeDocument/2006/relationships/image" Target="../media/image3680.gif"/><Relationship Id="rId3662" Type="http://schemas.openxmlformats.org/officeDocument/2006/relationships/image" Target="../media/image3887.gif"/><Relationship Id="rId169" Type="http://schemas.openxmlformats.org/officeDocument/2006/relationships/image" Target="../media/image394.gif"/><Relationship Id="rId376" Type="http://schemas.openxmlformats.org/officeDocument/2006/relationships/image" Target="../media/image601.gif"/><Relationship Id="rId583" Type="http://schemas.openxmlformats.org/officeDocument/2006/relationships/image" Target="../media/image808.gif"/><Relationship Id="rId790" Type="http://schemas.openxmlformats.org/officeDocument/2006/relationships/image" Target="../media/image1015.gif"/><Relationship Id="rId2057" Type="http://schemas.openxmlformats.org/officeDocument/2006/relationships/image" Target="../media/image2282.gif"/><Relationship Id="rId2264" Type="http://schemas.openxmlformats.org/officeDocument/2006/relationships/image" Target="../media/image2489.gif"/><Relationship Id="rId2471" Type="http://schemas.openxmlformats.org/officeDocument/2006/relationships/image" Target="../media/image2696.gif"/><Relationship Id="rId3108" Type="http://schemas.openxmlformats.org/officeDocument/2006/relationships/image" Target="../media/image3333.gif"/><Relationship Id="rId3315" Type="http://schemas.openxmlformats.org/officeDocument/2006/relationships/image" Target="../media/image3540.gif"/><Relationship Id="rId3522" Type="http://schemas.openxmlformats.org/officeDocument/2006/relationships/image" Target="../media/image3747.gif"/><Relationship Id="rId236" Type="http://schemas.openxmlformats.org/officeDocument/2006/relationships/image" Target="../media/image461.gif"/><Relationship Id="rId443" Type="http://schemas.openxmlformats.org/officeDocument/2006/relationships/image" Target="../media/image668.gif"/><Relationship Id="rId650" Type="http://schemas.openxmlformats.org/officeDocument/2006/relationships/image" Target="../media/image875.gif"/><Relationship Id="rId1073" Type="http://schemas.openxmlformats.org/officeDocument/2006/relationships/image" Target="../media/image1298.gif"/><Relationship Id="rId1280" Type="http://schemas.openxmlformats.org/officeDocument/2006/relationships/image" Target="../media/image1505.gif"/><Relationship Id="rId2124" Type="http://schemas.openxmlformats.org/officeDocument/2006/relationships/image" Target="../media/image2349.gif"/><Relationship Id="rId2331" Type="http://schemas.openxmlformats.org/officeDocument/2006/relationships/image" Target="../media/image2556.gif"/><Relationship Id="rId303" Type="http://schemas.openxmlformats.org/officeDocument/2006/relationships/image" Target="../media/image528.gif"/><Relationship Id="rId1140" Type="http://schemas.openxmlformats.org/officeDocument/2006/relationships/image" Target="../media/image1365.gif"/><Relationship Id="rId4089" Type="http://schemas.openxmlformats.org/officeDocument/2006/relationships/image" Target="../media/image4314.gif"/><Relationship Id="rId4296" Type="http://schemas.openxmlformats.org/officeDocument/2006/relationships/image" Target="../media/image4521.gif"/><Relationship Id="rId510" Type="http://schemas.openxmlformats.org/officeDocument/2006/relationships/image" Target="../media/image735.gif"/><Relationship Id="rId1000" Type="http://schemas.openxmlformats.org/officeDocument/2006/relationships/image" Target="../media/image1225.gif"/><Relationship Id="rId1957" Type="http://schemas.openxmlformats.org/officeDocument/2006/relationships/image" Target="../media/image2182.gif"/><Relationship Id="rId4156" Type="http://schemas.openxmlformats.org/officeDocument/2006/relationships/image" Target="../media/image4381.gif"/><Relationship Id="rId4363" Type="http://schemas.openxmlformats.org/officeDocument/2006/relationships/image" Target="../media/image4588.gif"/><Relationship Id="rId1817" Type="http://schemas.openxmlformats.org/officeDocument/2006/relationships/image" Target="../media/image2042.gif"/><Relationship Id="rId3172" Type="http://schemas.openxmlformats.org/officeDocument/2006/relationships/image" Target="../media/image3397.gif"/><Relationship Id="rId4016" Type="http://schemas.openxmlformats.org/officeDocument/2006/relationships/image" Target="../media/image4241.gif"/><Relationship Id="rId4223" Type="http://schemas.openxmlformats.org/officeDocument/2006/relationships/image" Target="../media/image4448.gif"/><Relationship Id="rId4430" Type="http://schemas.openxmlformats.org/officeDocument/2006/relationships/image" Target="../media/image4655.gif"/><Relationship Id="rId3032" Type="http://schemas.openxmlformats.org/officeDocument/2006/relationships/image" Target="../media/image3257.gif"/><Relationship Id="rId160" Type="http://schemas.openxmlformats.org/officeDocument/2006/relationships/image" Target="../media/image385.gif"/><Relationship Id="rId3989" Type="http://schemas.openxmlformats.org/officeDocument/2006/relationships/image" Target="../media/image4214.gif"/><Relationship Id="rId2798" Type="http://schemas.openxmlformats.org/officeDocument/2006/relationships/image" Target="../media/image3023.gif"/><Relationship Id="rId3849" Type="http://schemas.openxmlformats.org/officeDocument/2006/relationships/image" Target="../media/image4074.gif"/><Relationship Id="rId977" Type="http://schemas.openxmlformats.org/officeDocument/2006/relationships/image" Target="../media/image1202.gif"/><Relationship Id="rId2658" Type="http://schemas.openxmlformats.org/officeDocument/2006/relationships/image" Target="../media/image2883.gif"/><Relationship Id="rId2865" Type="http://schemas.openxmlformats.org/officeDocument/2006/relationships/image" Target="../media/image3090.gif"/><Relationship Id="rId3709" Type="http://schemas.openxmlformats.org/officeDocument/2006/relationships/image" Target="../media/image3934.gif"/><Relationship Id="rId3916" Type="http://schemas.openxmlformats.org/officeDocument/2006/relationships/image" Target="../media/image4141.gif"/><Relationship Id="rId4080" Type="http://schemas.openxmlformats.org/officeDocument/2006/relationships/image" Target="../media/image4305.gif"/><Relationship Id="rId837" Type="http://schemas.openxmlformats.org/officeDocument/2006/relationships/image" Target="../media/image1062.gif"/><Relationship Id="rId1467" Type="http://schemas.openxmlformats.org/officeDocument/2006/relationships/image" Target="../media/image1692.gif"/><Relationship Id="rId1674" Type="http://schemas.openxmlformats.org/officeDocument/2006/relationships/image" Target="../media/image1899.gif"/><Relationship Id="rId1881" Type="http://schemas.openxmlformats.org/officeDocument/2006/relationships/image" Target="../media/image2106.gif"/><Relationship Id="rId2518" Type="http://schemas.openxmlformats.org/officeDocument/2006/relationships/image" Target="../media/image2743.gif"/><Relationship Id="rId2725" Type="http://schemas.openxmlformats.org/officeDocument/2006/relationships/image" Target="../media/image2950.gif"/><Relationship Id="rId2932" Type="http://schemas.openxmlformats.org/officeDocument/2006/relationships/image" Target="../media/image3157.gif"/><Relationship Id="rId904" Type="http://schemas.openxmlformats.org/officeDocument/2006/relationships/image" Target="../media/image1129.gif"/><Relationship Id="rId1327" Type="http://schemas.openxmlformats.org/officeDocument/2006/relationships/image" Target="../media/image1552.gif"/><Relationship Id="rId1534" Type="http://schemas.openxmlformats.org/officeDocument/2006/relationships/image" Target="../media/image1759.gif"/><Relationship Id="rId1741" Type="http://schemas.openxmlformats.org/officeDocument/2006/relationships/image" Target="../media/image1966.gif"/><Relationship Id="rId33" Type="http://schemas.openxmlformats.org/officeDocument/2006/relationships/image" Target="../media/image258.gif"/><Relationship Id="rId1601" Type="http://schemas.openxmlformats.org/officeDocument/2006/relationships/image" Target="../media/image1826.gif"/><Relationship Id="rId3499" Type="http://schemas.openxmlformats.org/officeDocument/2006/relationships/image" Target="../media/image3724.gif"/><Relationship Id="rId3359" Type="http://schemas.openxmlformats.org/officeDocument/2006/relationships/image" Target="../media/image3584.gif"/><Relationship Id="rId3566" Type="http://schemas.openxmlformats.org/officeDocument/2006/relationships/image" Target="../media/image3791.gif"/><Relationship Id="rId487" Type="http://schemas.openxmlformats.org/officeDocument/2006/relationships/image" Target="../media/image712.gif"/><Relationship Id="rId694" Type="http://schemas.openxmlformats.org/officeDocument/2006/relationships/image" Target="../media/image919.gif"/><Relationship Id="rId2168" Type="http://schemas.openxmlformats.org/officeDocument/2006/relationships/image" Target="../media/image2393.gif"/><Relationship Id="rId2375" Type="http://schemas.openxmlformats.org/officeDocument/2006/relationships/image" Target="../media/image2600.gif"/><Relationship Id="rId3219" Type="http://schemas.openxmlformats.org/officeDocument/2006/relationships/image" Target="../media/image3444.gif"/><Relationship Id="rId3773" Type="http://schemas.openxmlformats.org/officeDocument/2006/relationships/image" Target="../media/image3998.gif"/><Relationship Id="rId3980" Type="http://schemas.openxmlformats.org/officeDocument/2006/relationships/image" Target="../media/image4205.gif"/><Relationship Id="rId347" Type="http://schemas.openxmlformats.org/officeDocument/2006/relationships/image" Target="../media/image572.gif"/><Relationship Id="rId1184" Type="http://schemas.openxmlformats.org/officeDocument/2006/relationships/image" Target="../media/image1409.gif"/><Relationship Id="rId2028" Type="http://schemas.openxmlformats.org/officeDocument/2006/relationships/image" Target="../media/image2253.gif"/><Relationship Id="rId2582" Type="http://schemas.openxmlformats.org/officeDocument/2006/relationships/image" Target="../media/image2807.gif"/><Relationship Id="rId3426" Type="http://schemas.openxmlformats.org/officeDocument/2006/relationships/image" Target="../media/image3651.gif"/><Relationship Id="rId3633" Type="http://schemas.openxmlformats.org/officeDocument/2006/relationships/image" Target="../media/image3858.gif"/><Relationship Id="rId3840" Type="http://schemas.openxmlformats.org/officeDocument/2006/relationships/image" Target="../media/image4065.gif"/><Relationship Id="rId554" Type="http://schemas.openxmlformats.org/officeDocument/2006/relationships/image" Target="../media/image779.gif"/><Relationship Id="rId761" Type="http://schemas.openxmlformats.org/officeDocument/2006/relationships/image" Target="../media/image986.gif"/><Relationship Id="rId1391" Type="http://schemas.openxmlformats.org/officeDocument/2006/relationships/image" Target="../media/image1616.gif"/><Relationship Id="rId2235" Type="http://schemas.openxmlformats.org/officeDocument/2006/relationships/image" Target="../media/image2460.gif"/><Relationship Id="rId2442" Type="http://schemas.openxmlformats.org/officeDocument/2006/relationships/image" Target="../media/image2667.gif"/><Relationship Id="rId3700" Type="http://schemas.openxmlformats.org/officeDocument/2006/relationships/image" Target="../media/image3925.gif"/><Relationship Id="rId207" Type="http://schemas.openxmlformats.org/officeDocument/2006/relationships/image" Target="../media/image432.gif"/><Relationship Id="rId414" Type="http://schemas.openxmlformats.org/officeDocument/2006/relationships/image" Target="../media/image639.gif"/><Relationship Id="rId621" Type="http://schemas.openxmlformats.org/officeDocument/2006/relationships/image" Target="../media/image846.gif"/><Relationship Id="rId1044" Type="http://schemas.openxmlformats.org/officeDocument/2006/relationships/image" Target="../media/image1269.gif"/><Relationship Id="rId1251" Type="http://schemas.openxmlformats.org/officeDocument/2006/relationships/image" Target="../media/image1476.gif"/><Relationship Id="rId2302" Type="http://schemas.openxmlformats.org/officeDocument/2006/relationships/image" Target="../media/image2527.gif"/><Relationship Id="rId1111" Type="http://schemas.openxmlformats.org/officeDocument/2006/relationships/image" Target="../media/image1336.gif"/><Relationship Id="rId4267" Type="http://schemas.openxmlformats.org/officeDocument/2006/relationships/image" Target="../media/image4492.gif"/><Relationship Id="rId4474" Type="http://schemas.openxmlformats.org/officeDocument/2006/relationships/image" Target="../media/image4699.gif"/><Relationship Id="rId3076" Type="http://schemas.openxmlformats.org/officeDocument/2006/relationships/image" Target="../media/image3301.gif"/><Relationship Id="rId3283" Type="http://schemas.openxmlformats.org/officeDocument/2006/relationships/image" Target="../media/image3508.gif"/><Relationship Id="rId3490" Type="http://schemas.openxmlformats.org/officeDocument/2006/relationships/image" Target="../media/image3715.gif"/><Relationship Id="rId4127" Type="http://schemas.openxmlformats.org/officeDocument/2006/relationships/image" Target="../media/image4352.gif"/><Relationship Id="rId4334" Type="http://schemas.openxmlformats.org/officeDocument/2006/relationships/image" Target="../media/image4559.gif"/><Relationship Id="rId1928" Type="http://schemas.openxmlformats.org/officeDocument/2006/relationships/image" Target="../media/image2153.gif"/><Relationship Id="rId2092" Type="http://schemas.openxmlformats.org/officeDocument/2006/relationships/image" Target="../media/image2317.gif"/><Relationship Id="rId3143" Type="http://schemas.openxmlformats.org/officeDocument/2006/relationships/image" Target="../media/image3368.gif"/><Relationship Id="rId3350" Type="http://schemas.openxmlformats.org/officeDocument/2006/relationships/image" Target="../media/image3575.gif"/><Relationship Id="rId271" Type="http://schemas.openxmlformats.org/officeDocument/2006/relationships/image" Target="../media/image496.gif"/><Relationship Id="rId3003" Type="http://schemas.openxmlformats.org/officeDocument/2006/relationships/image" Target="../media/image3228.gif"/><Relationship Id="rId4401" Type="http://schemas.openxmlformats.org/officeDocument/2006/relationships/image" Target="../media/image4626.gif"/><Relationship Id="rId131" Type="http://schemas.openxmlformats.org/officeDocument/2006/relationships/image" Target="../media/image356.gif"/><Relationship Id="rId3210" Type="http://schemas.openxmlformats.org/officeDocument/2006/relationships/image" Target="../media/image3435.gif"/><Relationship Id="rId2769" Type="http://schemas.openxmlformats.org/officeDocument/2006/relationships/image" Target="../media/image2994.gif"/><Relationship Id="rId2976" Type="http://schemas.openxmlformats.org/officeDocument/2006/relationships/image" Target="../media/image3201.gif"/><Relationship Id="rId948" Type="http://schemas.openxmlformats.org/officeDocument/2006/relationships/image" Target="../media/image1173.gif"/><Relationship Id="rId1578" Type="http://schemas.openxmlformats.org/officeDocument/2006/relationships/image" Target="../media/image1803.gif"/><Relationship Id="rId1785" Type="http://schemas.openxmlformats.org/officeDocument/2006/relationships/image" Target="../media/image2010.gif"/><Relationship Id="rId1992" Type="http://schemas.openxmlformats.org/officeDocument/2006/relationships/image" Target="../media/image2217.gif"/><Relationship Id="rId2629" Type="http://schemas.openxmlformats.org/officeDocument/2006/relationships/image" Target="../media/image2854.gif"/><Relationship Id="rId2836" Type="http://schemas.openxmlformats.org/officeDocument/2006/relationships/image" Target="../media/image3061.gif"/><Relationship Id="rId4191" Type="http://schemas.openxmlformats.org/officeDocument/2006/relationships/image" Target="../media/image4416.gif"/><Relationship Id="rId77" Type="http://schemas.openxmlformats.org/officeDocument/2006/relationships/image" Target="../media/image302.gif"/><Relationship Id="rId808" Type="http://schemas.openxmlformats.org/officeDocument/2006/relationships/image" Target="../media/image1033.gif"/><Relationship Id="rId1438" Type="http://schemas.openxmlformats.org/officeDocument/2006/relationships/image" Target="../media/image1663.jpg"/><Relationship Id="rId1645" Type="http://schemas.openxmlformats.org/officeDocument/2006/relationships/image" Target="../media/image1870.gif"/><Relationship Id="rId4051" Type="http://schemas.openxmlformats.org/officeDocument/2006/relationships/image" Target="../media/image4276.gif"/><Relationship Id="rId1852" Type="http://schemas.openxmlformats.org/officeDocument/2006/relationships/image" Target="../media/image2077.gif"/><Relationship Id="rId2903" Type="http://schemas.openxmlformats.org/officeDocument/2006/relationships/image" Target="../media/image3128.gif"/><Relationship Id="rId1505" Type="http://schemas.openxmlformats.org/officeDocument/2006/relationships/image" Target="../media/image1730.gif"/><Relationship Id="rId1712" Type="http://schemas.openxmlformats.org/officeDocument/2006/relationships/image" Target="../media/image1937.gif"/><Relationship Id="rId3677" Type="http://schemas.openxmlformats.org/officeDocument/2006/relationships/image" Target="../media/image3902.gif"/><Relationship Id="rId3884" Type="http://schemas.openxmlformats.org/officeDocument/2006/relationships/image" Target="../media/image4109.gif"/><Relationship Id="rId598" Type="http://schemas.openxmlformats.org/officeDocument/2006/relationships/image" Target="../media/image823.gif"/><Relationship Id="rId2279" Type="http://schemas.openxmlformats.org/officeDocument/2006/relationships/image" Target="../media/image2504.gif"/><Relationship Id="rId2486" Type="http://schemas.openxmlformats.org/officeDocument/2006/relationships/image" Target="../media/image2711.gif"/><Relationship Id="rId2693" Type="http://schemas.openxmlformats.org/officeDocument/2006/relationships/image" Target="../media/image2918.gif"/><Relationship Id="rId3537" Type="http://schemas.openxmlformats.org/officeDocument/2006/relationships/image" Target="../media/image3762.gif"/><Relationship Id="rId3744" Type="http://schemas.openxmlformats.org/officeDocument/2006/relationships/image" Target="../media/image3969.gif"/><Relationship Id="rId3951" Type="http://schemas.openxmlformats.org/officeDocument/2006/relationships/image" Target="../media/image4176.gif"/><Relationship Id="rId458" Type="http://schemas.openxmlformats.org/officeDocument/2006/relationships/image" Target="../media/image683.gif"/><Relationship Id="rId665" Type="http://schemas.openxmlformats.org/officeDocument/2006/relationships/image" Target="../media/image890.gif"/><Relationship Id="rId872" Type="http://schemas.openxmlformats.org/officeDocument/2006/relationships/image" Target="../media/image1097.gif"/><Relationship Id="rId1088" Type="http://schemas.openxmlformats.org/officeDocument/2006/relationships/image" Target="../media/image1313.gif"/><Relationship Id="rId1295" Type="http://schemas.openxmlformats.org/officeDocument/2006/relationships/image" Target="../media/image1520.gif"/><Relationship Id="rId2139" Type="http://schemas.openxmlformats.org/officeDocument/2006/relationships/image" Target="../media/image2364.gif"/><Relationship Id="rId2346" Type="http://schemas.openxmlformats.org/officeDocument/2006/relationships/image" Target="../media/image2571.gif"/><Relationship Id="rId2553" Type="http://schemas.openxmlformats.org/officeDocument/2006/relationships/image" Target="../media/image2778.gif"/><Relationship Id="rId2760" Type="http://schemas.openxmlformats.org/officeDocument/2006/relationships/image" Target="../media/image2985.gif"/><Relationship Id="rId3604" Type="http://schemas.openxmlformats.org/officeDocument/2006/relationships/image" Target="../media/image3829.gif"/><Relationship Id="rId3811" Type="http://schemas.openxmlformats.org/officeDocument/2006/relationships/image" Target="../media/image4036.gif"/><Relationship Id="rId318" Type="http://schemas.openxmlformats.org/officeDocument/2006/relationships/image" Target="../media/image543.gif"/><Relationship Id="rId525" Type="http://schemas.openxmlformats.org/officeDocument/2006/relationships/image" Target="../media/image750.gif"/><Relationship Id="rId732" Type="http://schemas.openxmlformats.org/officeDocument/2006/relationships/image" Target="../media/image957.gif"/><Relationship Id="rId1155" Type="http://schemas.openxmlformats.org/officeDocument/2006/relationships/image" Target="../media/image1380.gif"/><Relationship Id="rId1362" Type="http://schemas.openxmlformats.org/officeDocument/2006/relationships/image" Target="../media/image1587.gif"/><Relationship Id="rId2206" Type="http://schemas.openxmlformats.org/officeDocument/2006/relationships/image" Target="../media/image2431.gif"/><Relationship Id="rId2413" Type="http://schemas.openxmlformats.org/officeDocument/2006/relationships/image" Target="../media/image2638.gif"/><Relationship Id="rId2620" Type="http://schemas.openxmlformats.org/officeDocument/2006/relationships/image" Target="../media/image2845.gif"/><Relationship Id="rId1015" Type="http://schemas.openxmlformats.org/officeDocument/2006/relationships/image" Target="../media/image1240.gif"/><Relationship Id="rId1222" Type="http://schemas.openxmlformats.org/officeDocument/2006/relationships/image" Target="../media/image1447.gif"/><Relationship Id="rId4378" Type="http://schemas.openxmlformats.org/officeDocument/2006/relationships/image" Target="../media/image4603.gif"/><Relationship Id="rId3187" Type="http://schemas.openxmlformats.org/officeDocument/2006/relationships/image" Target="../media/image3412.gif"/><Relationship Id="rId3394" Type="http://schemas.openxmlformats.org/officeDocument/2006/relationships/image" Target="../media/image3619.gif"/><Relationship Id="rId4238" Type="http://schemas.openxmlformats.org/officeDocument/2006/relationships/image" Target="../media/image4463.gif"/><Relationship Id="rId3047" Type="http://schemas.openxmlformats.org/officeDocument/2006/relationships/image" Target="../media/image3272.gif"/><Relationship Id="rId4445" Type="http://schemas.openxmlformats.org/officeDocument/2006/relationships/image" Target="../media/image4670.gif"/><Relationship Id="rId175" Type="http://schemas.openxmlformats.org/officeDocument/2006/relationships/image" Target="../media/image400.gif"/><Relationship Id="rId3254" Type="http://schemas.openxmlformats.org/officeDocument/2006/relationships/image" Target="../media/image3479.gif"/><Relationship Id="rId3461" Type="http://schemas.openxmlformats.org/officeDocument/2006/relationships/image" Target="../media/image3686.gif"/><Relationship Id="rId4305" Type="http://schemas.openxmlformats.org/officeDocument/2006/relationships/image" Target="../media/image4530.gif"/><Relationship Id="rId382" Type="http://schemas.openxmlformats.org/officeDocument/2006/relationships/image" Target="../media/image607.gif"/><Relationship Id="rId2063" Type="http://schemas.openxmlformats.org/officeDocument/2006/relationships/image" Target="../media/image2288.gif"/><Relationship Id="rId2270" Type="http://schemas.openxmlformats.org/officeDocument/2006/relationships/image" Target="../media/image2495.gif"/><Relationship Id="rId3114" Type="http://schemas.openxmlformats.org/officeDocument/2006/relationships/image" Target="../media/image3339.gif"/><Relationship Id="rId3321" Type="http://schemas.openxmlformats.org/officeDocument/2006/relationships/image" Target="../media/image3546.gif"/><Relationship Id="rId242" Type="http://schemas.openxmlformats.org/officeDocument/2006/relationships/image" Target="../media/image467.gif"/><Relationship Id="rId2130" Type="http://schemas.openxmlformats.org/officeDocument/2006/relationships/image" Target="../media/image2355.gif"/><Relationship Id="rId102" Type="http://schemas.openxmlformats.org/officeDocument/2006/relationships/image" Target="../media/image327.gif"/><Relationship Id="rId1689" Type="http://schemas.openxmlformats.org/officeDocument/2006/relationships/image" Target="../media/image1914.gif"/><Relationship Id="rId4095" Type="http://schemas.openxmlformats.org/officeDocument/2006/relationships/image" Target="../media/image4320.gif"/><Relationship Id="rId1896" Type="http://schemas.openxmlformats.org/officeDocument/2006/relationships/image" Target="../media/image2121.gif"/><Relationship Id="rId2947" Type="http://schemas.openxmlformats.org/officeDocument/2006/relationships/image" Target="../media/image3172.gif"/><Relationship Id="rId4162" Type="http://schemas.openxmlformats.org/officeDocument/2006/relationships/image" Target="../media/image4387.gif"/><Relationship Id="rId919" Type="http://schemas.openxmlformats.org/officeDocument/2006/relationships/image" Target="../media/image1144.gif"/><Relationship Id="rId1549" Type="http://schemas.openxmlformats.org/officeDocument/2006/relationships/image" Target="../media/image1774.gif"/><Relationship Id="rId1756" Type="http://schemas.openxmlformats.org/officeDocument/2006/relationships/image" Target="../media/image1981.gif"/><Relationship Id="rId1963" Type="http://schemas.openxmlformats.org/officeDocument/2006/relationships/image" Target="../media/image2188.gif"/><Relationship Id="rId2807" Type="http://schemas.openxmlformats.org/officeDocument/2006/relationships/image" Target="../media/image3032.gif"/><Relationship Id="rId4022" Type="http://schemas.openxmlformats.org/officeDocument/2006/relationships/image" Target="../media/image4247.gif"/><Relationship Id="rId48" Type="http://schemas.openxmlformats.org/officeDocument/2006/relationships/image" Target="../media/image273.gif"/><Relationship Id="rId1409" Type="http://schemas.openxmlformats.org/officeDocument/2006/relationships/image" Target="../media/image1634.gif"/><Relationship Id="rId1616" Type="http://schemas.openxmlformats.org/officeDocument/2006/relationships/image" Target="../media/image1841.gif"/><Relationship Id="rId1823" Type="http://schemas.openxmlformats.org/officeDocument/2006/relationships/image" Target="../media/image2048.gif"/><Relationship Id="rId3788" Type="http://schemas.openxmlformats.org/officeDocument/2006/relationships/image" Target="../media/image4013.gif"/><Relationship Id="rId3995" Type="http://schemas.openxmlformats.org/officeDocument/2006/relationships/image" Target="../media/image4220.gif"/><Relationship Id="rId2597" Type="http://schemas.openxmlformats.org/officeDocument/2006/relationships/image" Target="../media/image2822.gif"/><Relationship Id="rId3648" Type="http://schemas.openxmlformats.org/officeDocument/2006/relationships/image" Target="../media/image3873.gif"/><Relationship Id="rId3855" Type="http://schemas.openxmlformats.org/officeDocument/2006/relationships/image" Target="../media/image4080.gif"/><Relationship Id="rId569" Type="http://schemas.openxmlformats.org/officeDocument/2006/relationships/image" Target="../media/image794.gif"/><Relationship Id="rId776" Type="http://schemas.openxmlformats.org/officeDocument/2006/relationships/image" Target="../media/image1001.gif"/><Relationship Id="rId983" Type="http://schemas.openxmlformats.org/officeDocument/2006/relationships/image" Target="../media/image1208.gif"/><Relationship Id="rId1199" Type="http://schemas.openxmlformats.org/officeDocument/2006/relationships/image" Target="../media/image1424.gif"/><Relationship Id="rId2457" Type="http://schemas.openxmlformats.org/officeDocument/2006/relationships/image" Target="../media/image2682.gif"/><Relationship Id="rId2664" Type="http://schemas.openxmlformats.org/officeDocument/2006/relationships/image" Target="../media/image2889.gif"/><Relationship Id="rId3508" Type="http://schemas.openxmlformats.org/officeDocument/2006/relationships/image" Target="../media/image3733.gif"/><Relationship Id="rId429" Type="http://schemas.openxmlformats.org/officeDocument/2006/relationships/image" Target="../media/image654.gif"/><Relationship Id="rId636" Type="http://schemas.openxmlformats.org/officeDocument/2006/relationships/image" Target="../media/image861.gif"/><Relationship Id="rId1059" Type="http://schemas.openxmlformats.org/officeDocument/2006/relationships/image" Target="../media/image1284.gif"/><Relationship Id="rId1266" Type="http://schemas.openxmlformats.org/officeDocument/2006/relationships/image" Target="../media/image1491.gif"/><Relationship Id="rId1473" Type="http://schemas.openxmlformats.org/officeDocument/2006/relationships/image" Target="../media/image1698.gif"/><Relationship Id="rId2317" Type="http://schemas.openxmlformats.org/officeDocument/2006/relationships/image" Target="../media/image2542.gif"/><Relationship Id="rId2871" Type="http://schemas.openxmlformats.org/officeDocument/2006/relationships/image" Target="../media/image3096.gif"/><Relationship Id="rId3715" Type="http://schemas.openxmlformats.org/officeDocument/2006/relationships/image" Target="../media/image3940.gif"/><Relationship Id="rId3922" Type="http://schemas.openxmlformats.org/officeDocument/2006/relationships/image" Target="../media/image4147.gif"/><Relationship Id="rId843" Type="http://schemas.openxmlformats.org/officeDocument/2006/relationships/image" Target="../media/image1068.gif"/><Relationship Id="rId1126" Type="http://schemas.openxmlformats.org/officeDocument/2006/relationships/image" Target="../media/image1351.gif"/><Relationship Id="rId1680" Type="http://schemas.openxmlformats.org/officeDocument/2006/relationships/image" Target="../media/image1905.gif"/><Relationship Id="rId2524" Type="http://schemas.openxmlformats.org/officeDocument/2006/relationships/image" Target="../media/image2749.gif"/><Relationship Id="rId2731" Type="http://schemas.openxmlformats.org/officeDocument/2006/relationships/image" Target="../media/image2956.gif"/><Relationship Id="rId703" Type="http://schemas.openxmlformats.org/officeDocument/2006/relationships/image" Target="../media/image928.gif"/><Relationship Id="rId910" Type="http://schemas.openxmlformats.org/officeDocument/2006/relationships/image" Target="../media/image1135.gif"/><Relationship Id="rId1333" Type="http://schemas.openxmlformats.org/officeDocument/2006/relationships/image" Target="../media/image1558.gif"/><Relationship Id="rId1540" Type="http://schemas.openxmlformats.org/officeDocument/2006/relationships/image" Target="../media/image1765.gif"/><Relationship Id="rId1400" Type="http://schemas.openxmlformats.org/officeDocument/2006/relationships/image" Target="../media/image1625.gif"/><Relationship Id="rId3298" Type="http://schemas.openxmlformats.org/officeDocument/2006/relationships/image" Target="../media/image3523.gif"/><Relationship Id="rId4349" Type="http://schemas.openxmlformats.org/officeDocument/2006/relationships/image" Target="../media/image4574.gif"/><Relationship Id="rId3158" Type="http://schemas.openxmlformats.org/officeDocument/2006/relationships/image" Target="../media/image3383.gif"/><Relationship Id="rId3365" Type="http://schemas.openxmlformats.org/officeDocument/2006/relationships/image" Target="../media/image3590.gif"/><Relationship Id="rId3572" Type="http://schemas.openxmlformats.org/officeDocument/2006/relationships/image" Target="../media/image3797.gif"/><Relationship Id="rId4209" Type="http://schemas.openxmlformats.org/officeDocument/2006/relationships/image" Target="../media/image4434.gif"/><Relationship Id="rId4416" Type="http://schemas.openxmlformats.org/officeDocument/2006/relationships/image" Target="../media/image4641.gif"/><Relationship Id="rId286" Type="http://schemas.openxmlformats.org/officeDocument/2006/relationships/image" Target="../media/image511.gif"/><Relationship Id="rId493" Type="http://schemas.openxmlformats.org/officeDocument/2006/relationships/image" Target="../media/image718.gif"/><Relationship Id="rId2174" Type="http://schemas.openxmlformats.org/officeDocument/2006/relationships/image" Target="../media/image2399.gif"/><Relationship Id="rId2381" Type="http://schemas.openxmlformats.org/officeDocument/2006/relationships/image" Target="../media/image2606.gif"/><Relationship Id="rId3018" Type="http://schemas.openxmlformats.org/officeDocument/2006/relationships/image" Target="../media/image3243.gif"/><Relationship Id="rId3225" Type="http://schemas.openxmlformats.org/officeDocument/2006/relationships/image" Target="../media/image3450.gif"/><Relationship Id="rId3432" Type="http://schemas.openxmlformats.org/officeDocument/2006/relationships/image" Target="../media/image3657.gif"/><Relationship Id="rId146" Type="http://schemas.openxmlformats.org/officeDocument/2006/relationships/image" Target="../media/image371.gif"/><Relationship Id="rId353" Type="http://schemas.openxmlformats.org/officeDocument/2006/relationships/image" Target="../media/image578.gif"/><Relationship Id="rId560" Type="http://schemas.openxmlformats.org/officeDocument/2006/relationships/image" Target="../media/image785.gif"/><Relationship Id="rId1190" Type="http://schemas.openxmlformats.org/officeDocument/2006/relationships/image" Target="../media/image1415.gif"/><Relationship Id="rId2034" Type="http://schemas.openxmlformats.org/officeDocument/2006/relationships/image" Target="../media/image2259.gif"/><Relationship Id="rId2241" Type="http://schemas.openxmlformats.org/officeDocument/2006/relationships/image" Target="../media/image2466.gif"/><Relationship Id="rId213" Type="http://schemas.openxmlformats.org/officeDocument/2006/relationships/image" Target="../media/image438.gif"/><Relationship Id="rId420" Type="http://schemas.openxmlformats.org/officeDocument/2006/relationships/image" Target="../media/image645.gif"/><Relationship Id="rId1050" Type="http://schemas.openxmlformats.org/officeDocument/2006/relationships/image" Target="../media/image1275.gif"/><Relationship Id="rId2101" Type="http://schemas.openxmlformats.org/officeDocument/2006/relationships/image" Target="../media/image2326.gif"/><Relationship Id="rId4066" Type="http://schemas.openxmlformats.org/officeDocument/2006/relationships/image" Target="../media/image4291.gif"/><Relationship Id="rId1867" Type="http://schemas.openxmlformats.org/officeDocument/2006/relationships/image" Target="../media/image2092.gif"/><Relationship Id="rId2918" Type="http://schemas.openxmlformats.org/officeDocument/2006/relationships/image" Target="../media/image3143.gif"/><Relationship Id="rId4273" Type="http://schemas.openxmlformats.org/officeDocument/2006/relationships/image" Target="../media/image4498.gif"/><Relationship Id="rId4480" Type="http://schemas.openxmlformats.org/officeDocument/2006/relationships/image" Target="../media/image4705.gif"/><Relationship Id="rId1727" Type="http://schemas.openxmlformats.org/officeDocument/2006/relationships/image" Target="../media/image1952.gif"/><Relationship Id="rId1934" Type="http://schemas.openxmlformats.org/officeDocument/2006/relationships/image" Target="../media/image2159.gif"/><Relationship Id="rId3082" Type="http://schemas.openxmlformats.org/officeDocument/2006/relationships/image" Target="../media/image3307.gif"/><Relationship Id="rId4133" Type="http://schemas.openxmlformats.org/officeDocument/2006/relationships/image" Target="../media/image4358.gif"/><Relationship Id="rId4340" Type="http://schemas.openxmlformats.org/officeDocument/2006/relationships/image" Target="../media/image4565.gif"/><Relationship Id="rId19" Type="http://schemas.openxmlformats.org/officeDocument/2006/relationships/image" Target="../media/image244.gif"/><Relationship Id="rId3899" Type="http://schemas.openxmlformats.org/officeDocument/2006/relationships/image" Target="../media/image4124.gif"/><Relationship Id="rId4200" Type="http://schemas.openxmlformats.org/officeDocument/2006/relationships/image" Target="../media/image4425.gif"/><Relationship Id="rId3759" Type="http://schemas.openxmlformats.org/officeDocument/2006/relationships/image" Target="../media/image3984.gif"/><Relationship Id="rId3966" Type="http://schemas.openxmlformats.org/officeDocument/2006/relationships/image" Target="../media/image4191.gif"/><Relationship Id="rId3" Type="http://schemas.openxmlformats.org/officeDocument/2006/relationships/image" Target="../media/image228.gif"/><Relationship Id="rId887" Type="http://schemas.openxmlformats.org/officeDocument/2006/relationships/image" Target="../media/image1112.gif"/><Relationship Id="rId2568" Type="http://schemas.openxmlformats.org/officeDocument/2006/relationships/image" Target="../media/image2793.gif"/><Relationship Id="rId2775" Type="http://schemas.openxmlformats.org/officeDocument/2006/relationships/image" Target="../media/image3000.gif"/><Relationship Id="rId2982" Type="http://schemas.openxmlformats.org/officeDocument/2006/relationships/image" Target="../media/image3207.gif"/><Relationship Id="rId3619" Type="http://schemas.openxmlformats.org/officeDocument/2006/relationships/image" Target="../media/image3844.gif"/><Relationship Id="rId3826" Type="http://schemas.openxmlformats.org/officeDocument/2006/relationships/image" Target="../media/image4051.gif"/><Relationship Id="rId747" Type="http://schemas.openxmlformats.org/officeDocument/2006/relationships/image" Target="../media/image972.gif"/><Relationship Id="rId954" Type="http://schemas.openxmlformats.org/officeDocument/2006/relationships/image" Target="../media/image1179.gif"/><Relationship Id="rId1377" Type="http://schemas.openxmlformats.org/officeDocument/2006/relationships/image" Target="../media/image1602.gif"/><Relationship Id="rId1584" Type="http://schemas.openxmlformats.org/officeDocument/2006/relationships/image" Target="../media/image1809.gif"/><Relationship Id="rId1791" Type="http://schemas.openxmlformats.org/officeDocument/2006/relationships/image" Target="../media/image2016.gif"/><Relationship Id="rId2428" Type="http://schemas.openxmlformats.org/officeDocument/2006/relationships/image" Target="../media/image2653.gif"/><Relationship Id="rId2635" Type="http://schemas.openxmlformats.org/officeDocument/2006/relationships/image" Target="../media/image2860.gif"/><Relationship Id="rId2842" Type="http://schemas.openxmlformats.org/officeDocument/2006/relationships/image" Target="../media/image3067.gif"/><Relationship Id="rId83" Type="http://schemas.openxmlformats.org/officeDocument/2006/relationships/image" Target="../media/image308.gif"/><Relationship Id="rId607" Type="http://schemas.openxmlformats.org/officeDocument/2006/relationships/image" Target="../media/image832.gif"/><Relationship Id="rId814" Type="http://schemas.openxmlformats.org/officeDocument/2006/relationships/image" Target="../media/image1039.gif"/><Relationship Id="rId1237" Type="http://schemas.openxmlformats.org/officeDocument/2006/relationships/image" Target="../media/image1462.gif"/><Relationship Id="rId1444" Type="http://schemas.openxmlformats.org/officeDocument/2006/relationships/image" Target="../media/image1669.gif"/><Relationship Id="rId1651" Type="http://schemas.openxmlformats.org/officeDocument/2006/relationships/image" Target="../media/image1876.gif"/><Relationship Id="rId2702" Type="http://schemas.openxmlformats.org/officeDocument/2006/relationships/image" Target="../media/image2927.gif"/><Relationship Id="rId1304" Type="http://schemas.openxmlformats.org/officeDocument/2006/relationships/image" Target="../media/image1529.gif"/><Relationship Id="rId1511" Type="http://schemas.openxmlformats.org/officeDocument/2006/relationships/image" Target="../media/image1736.gif"/><Relationship Id="rId3269" Type="http://schemas.openxmlformats.org/officeDocument/2006/relationships/image" Target="../media/image3494.gif"/><Relationship Id="rId3476" Type="http://schemas.openxmlformats.org/officeDocument/2006/relationships/image" Target="../media/image3701.gif"/><Relationship Id="rId3683" Type="http://schemas.openxmlformats.org/officeDocument/2006/relationships/image" Target="../media/image3908.gif"/><Relationship Id="rId10" Type="http://schemas.openxmlformats.org/officeDocument/2006/relationships/image" Target="../media/image235.gif"/><Relationship Id="rId397" Type="http://schemas.openxmlformats.org/officeDocument/2006/relationships/image" Target="../media/image622.gif"/><Relationship Id="rId2078" Type="http://schemas.openxmlformats.org/officeDocument/2006/relationships/image" Target="../media/image2303.gif"/><Relationship Id="rId2285" Type="http://schemas.openxmlformats.org/officeDocument/2006/relationships/image" Target="../media/image2510.gif"/><Relationship Id="rId2492" Type="http://schemas.openxmlformats.org/officeDocument/2006/relationships/image" Target="../media/image2717.gif"/><Relationship Id="rId3129" Type="http://schemas.openxmlformats.org/officeDocument/2006/relationships/image" Target="../media/image3354.gif"/><Relationship Id="rId3336" Type="http://schemas.openxmlformats.org/officeDocument/2006/relationships/image" Target="../media/image3561.gif"/><Relationship Id="rId3890" Type="http://schemas.openxmlformats.org/officeDocument/2006/relationships/image" Target="../media/image4115.gif"/><Relationship Id="rId257" Type="http://schemas.openxmlformats.org/officeDocument/2006/relationships/image" Target="../media/image482.gif"/><Relationship Id="rId464" Type="http://schemas.openxmlformats.org/officeDocument/2006/relationships/image" Target="../media/image689.gif"/><Relationship Id="rId1094" Type="http://schemas.openxmlformats.org/officeDocument/2006/relationships/image" Target="../media/image1319.gif"/><Relationship Id="rId2145" Type="http://schemas.openxmlformats.org/officeDocument/2006/relationships/image" Target="../media/image2370.gif"/><Relationship Id="rId3543" Type="http://schemas.openxmlformats.org/officeDocument/2006/relationships/image" Target="../media/image3768.gif"/><Relationship Id="rId3750" Type="http://schemas.openxmlformats.org/officeDocument/2006/relationships/image" Target="../media/image3975.gif"/><Relationship Id="rId117" Type="http://schemas.openxmlformats.org/officeDocument/2006/relationships/image" Target="../media/image342.gif"/><Relationship Id="rId671" Type="http://schemas.openxmlformats.org/officeDocument/2006/relationships/image" Target="../media/image896.gif"/><Relationship Id="rId2352" Type="http://schemas.openxmlformats.org/officeDocument/2006/relationships/image" Target="../media/image2577.gif"/><Relationship Id="rId3403" Type="http://schemas.openxmlformats.org/officeDocument/2006/relationships/image" Target="../media/image3628.gif"/><Relationship Id="rId3610" Type="http://schemas.openxmlformats.org/officeDocument/2006/relationships/image" Target="../media/image3835.gif"/><Relationship Id="rId324" Type="http://schemas.openxmlformats.org/officeDocument/2006/relationships/image" Target="../media/image549.gif"/><Relationship Id="rId531" Type="http://schemas.openxmlformats.org/officeDocument/2006/relationships/image" Target="../media/image756.gif"/><Relationship Id="rId1161" Type="http://schemas.openxmlformats.org/officeDocument/2006/relationships/image" Target="../media/image1386.gif"/><Relationship Id="rId2005" Type="http://schemas.openxmlformats.org/officeDocument/2006/relationships/image" Target="../media/image2230.gif"/><Relationship Id="rId2212" Type="http://schemas.openxmlformats.org/officeDocument/2006/relationships/image" Target="../media/image2437.gif"/><Relationship Id="rId1021" Type="http://schemas.openxmlformats.org/officeDocument/2006/relationships/image" Target="../media/image1246.gif"/><Relationship Id="rId1978" Type="http://schemas.openxmlformats.org/officeDocument/2006/relationships/image" Target="../media/image2203.gif"/><Relationship Id="rId4177" Type="http://schemas.openxmlformats.org/officeDocument/2006/relationships/image" Target="../media/image4402.gif"/><Relationship Id="rId4384" Type="http://schemas.openxmlformats.org/officeDocument/2006/relationships/image" Target="../media/image4609.gif"/><Relationship Id="rId3193" Type="http://schemas.openxmlformats.org/officeDocument/2006/relationships/image" Target="../media/image3418.gif"/><Relationship Id="rId4037" Type="http://schemas.openxmlformats.org/officeDocument/2006/relationships/image" Target="../media/image4262.gif"/><Relationship Id="rId4244" Type="http://schemas.openxmlformats.org/officeDocument/2006/relationships/image" Target="../media/image4469.gif"/><Relationship Id="rId4451" Type="http://schemas.openxmlformats.org/officeDocument/2006/relationships/image" Target="../media/image4676.gif"/><Relationship Id="rId1838" Type="http://schemas.openxmlformats.org/officeDocument/2006/relationships/image" Target="../media/image2063.gif"/><Relationship Id="rId3053" Type="http://schemas.openxmlformats.org/officeDocument/2006/relationships/image" Target="../media/image3278.gif"/><Relationship Id="rId3260" Type="http://schemas.openxmlformats.org/officeDocument/2006/relationships/image" Target="../media/image3485.gif"/><Relationship Id="rId4104" Type="http://schemas.openxmlformats.org/officeDocument/2006/relationships/image" Target="../media/image4329.gif"/><Relationship Id="rId4311" Type="http://schemas.openxmlformats.org/officeDocument/2006/relationships/image" Target="../media/image4536.gif"/><Relationship Id="rId181" Type="http://schemas.openxmlformats.org/officeDocument/2006/relationships/image" Target="../media/image406.gif"/><Relationship Id="rId1905" Type="http://schemas.openxmlformats.org/officeDocument/2006/relationships/image" Target="../media/image2130.gif"/><Relationship Id="rId3120" Type="http://schemas.openxmlformats.org/officeDocument/2006/relationships/image" Target="../media/image3345.gif"/><Relationship Id="rId998" Type="http://schemas.openxmlformats.org/officeDocument/2006/relationships/image" Target="../media/image1223.gif"/><Relationship Id="rId2679" Type="http://schemas.openxmlformats.org/officeDocument/2006/relationships/image" Target="../media/image2904.gif"/><Relationship Id="rId2886" Type="http://schemas.openxmlformats.org/officeDocument/2006/relationships/image" Target="../media/image3111.gif"/><Relationship Id="rId3937" Type="http://schemas.openxmlformats.org/officeDocument/2006/relationships/image" Target="../media/image4162.gif"/><Relationship Id="rId858" Type="http://schemas.openxmlformats.org/officeDocument/2006/relationships/image" Target="../media/image1083.gif"/><Relationship Id="rId1488" Type="http://schemas.openxmlformats.org/officeDocument/2006/relationships/image" Target="../media/image1713.gif"/><Relationship Id="rId1695" Type="http://schemas.openxmlformats.org/officeDocument/2006/relationships/image" Target="../media/image1920.gif"/><Relationship Id="rId2539" Type="http://schemas.openxmlformats.org/officeDocument/2006/relationships/image" Target="../media/image2764.gif"/><Relationship Id="rId2746" Type="http://schemas.openxmlformats.org/officeDocument/2006/relationships/image" Target="../media/image2971.gif"/><Relationship Id="rId2953" Type="http://schemas.openxmlformats.org/officeDocument/2006/relationships/image" Target="../media/image3178.gif"/><Relationship Id="rId718" Type="http://schemas.openxmlformats.org/officeDocument/2006/relationships/image" Target="../media/image943.gif"/><Relationship Id="rId925" Type="http://schemas.openxmlformats.org/officeDocument/2006/relationships/image" Target="../media/image1150.gif"/><Relationship Id="rId1348" Type="http://schemas.openxmlformats.org/officeDocument/2006/relationships/image" Target="../media/image1573.gif"/><Relationship Id="rId1555" Type="http://schemas.openxmlformats.org/officeDocument/2006/relationships/image" Target="../media/image1780.gif"/><Relationship Id="rId1762" Type="http://schemas.openxmlformats.org/officeDocument/2006/relationships/image" Target="../media/image1987.gif"/><Relationship Id="rId2606" Type="http://schemas.openxmlformats.org/officeDocument/2006/relationships/image" Target="../media/image2831.gif"/><Relationship Id="rId1208" Type="http://schemas.openxmlformats.org/officeDocument/2006/relationships/image" Target="../media/image1433.gif"/><Relationship Id="rId1415" Type="http://schemas.openxmlformats.org/officeDocument/2006/relationships/image" Target="../media/image1640.gif"/><Relationship Id="rId2813" Type="http://schemas.openxmlformats.org/officeDocument/2006/relationships/image" Target="../media/image3038.gif"/><Relationship Id="rId54" Type="http://schemas.openxmlformats.org/officeDocument/2006/relationships/image" Target="../media/image279.gif"/><Relationship Id="rId1622" Type="http://schemas.openxmlformats.org/officeDocument/2006/relationships/image" Target="../media/image1847.gif"/><Relationship Id="rId2189" Type="http://schemas.openxmlformats.org/officeDocument/2006/relationships/image" Target="../media/image2414.gif"/><Relationship Id="rId3587" Type="http://schemas.openxmlformats.org/officeDocument/2006/relationships/image" Target="../media/image3812.gif"/><Relationship Id="rId3794" Type="http://schemas.openxmlformats.org/officeDocument/2006/relationships/image" Target="../media/image4019.gif"/><Relationship Id="rId2396" Type="http://schemas.openxmlformats.org/officeDocument/2006/relationships/image" Target="../media/image2621.gif"/><Relationship Id="rId3447" Type="http://schemas.openxmlformats.org/officeDocument/2006/relationships/image" Target="../media/image3672.gif"/><Relationship Id="rId3654" Type="http://schemas.openxmlformats.org/officeDocument/2006/relationships/image" Target="../media/image3879.gif"/><Relationship Id="rId3861" Type="http://schemas.openxmlformats.org/officeDocument/2006/relationships/image" Target="../media/image4086.gif"/><Relationship Id="rId368" Type="http://schemas.openxmlformats.org/officeDocument/2006/relationships/image" Target="../media/image593.gif"/><Relationship Id="rId575" Type="http://schemas.openxmlformats.org/officeDocument/2006/relationships/image" Target="../media/image800.gif"/><Relationship Id="rId782" Type="http://schemas.openxmlformats.org/officeDocument/2006/relationships/image" Target="../media/image1007.gif"/><Relationship Id="rId2049" Type="http://schemas.openxmlformats.org/officeDocument/2006/relationships/image" Target="../media/image2274.gif"/><Relationship Id="rId2256" Type="http://schemas.openxmlformats.org/officeDocument/2006/relationships/image" Target="../media/image2481.gif"/><Relationship Id="rId2463" Type="http://schemas.openxmlformats.org/officeDocument/2006/relationships/image" Target="../media/image2688.gif"/><Relationship Id="rId2670" Type="http://schemas.openxmlformats.org/officeDocument/2006/relationships/image" Target="../media/image2895.gif"/><Relationship Id="rId3307" Type="http://schemas.openxmlformats.org/officeDocument/2006/relationships/image" Target="../media/image3532.gif"/><Relationship Id="rId3514" Type="http://schemas.openxmlformats.org/officeDocument/2006/relationships/image" Target="../media/image3739.gif"/><Relationship Id="rId3721" Type="http://schemas.openxmlformats.org/officeDocument/2006/relationships/image" Target="../media/image3946.gif"/><Relationship Id="rId228" Type="http://schemas.openxmlformats.org/officeDocument/2006/relationships/image" Target="../media/image453.gif"/><Relationship Id="rId435" Type="http://schemas.openxmlformats.org/officeDocument/2006/relationships/image" Target="../media/image660.gif"/><Relationship Id="rId642" Type="http://schemas.openxmlformats.org/officeDocument/2006/relationships/image" Target="../media/image867.gif"/><Relationship Id="rId1065" Type="http://schemas.openxmlformats.org/officeDocument/2006/relationships/image" Target="../media/image1290.gif"/><Relationship Id="rId1272" Type="http://schemas.openxmlformats.org/officeDocument/2006/relationships/image" Target="../media/image1497.gif"/><Relationship Id="rId2116" Type="http://schemas.openxmlformats.org/officeDocument/2006/relationships/image" Target="../media/image2341.gif"/><Relationship Id="rId2323" Type="http://schemas.openxmlformats.org/officeDocument/2006/relationships/image" Target="../media/image2548.gif"/><Relationship Id="rId2530" Type="http://schemas.openxmlformats.org/officeDocument/2006/relationships/image" Target="../media/image2755.gif"/><Relationship Id="rId502" Type="http://schemas.openxmlformats.org/officeDocument/2006/relationships/image" Target="../media/image727.gif"/><Relationship Id="rId1132" Type="http://schemas.openxmlformats.org/officeDocument/2006/relationships/image" Target="../media/image1357.gif"/><Relationship Id="rId4288" Type="http://schemas.openxmlformats.org/officeDocument/2006/relationships/image" Target="../media/image4513.gif"/><Relationship Id="rId3097" Type="http://schemas.openxmlformats.org/officeDocument/2006/relationships/image" Target="../media/image3322.gif"/><Relationship Id="rId4148" Type="http://schemas.openxmlformats.org/officeDocument/2006/relationships/image" Target="../media/image4373.gif"/><Relationship Id="rId4355" Type="http://schemas.openxmlformats.org/officeDocument/2006/relationships/image" Target="../media/image4580.gif"/><Relationship Id="rId1949" Type="http://schemas.openxmlformats.org/officeDocument/2006/relationships/image" Target="../media/image2174.gif"/><Relationship Id="rId3164" Type="http://schemas.openxmlformats.org/officeDocument/2006/relationships/image" Target="../media/image3389.gif"/><Relationship Id="rId4008" Type="http://schemas.openxmlformats.org/officeDocument/2006/relationships/image" Target="../media/image4233.gif"/><Relationship Id="rId292" Type="http://schemas.openxmlformats.org/officeDocument/2006/relationships/image" Target="../media/image517.gif"/><Relationship Id="rId1809" Type="http://schemas.openxmlformats.org/officeDocument/2006/relationships/image" Target="../media/image2034.gif"/><Relationship Id="rId3371" Type="http://schemas.openxmlformats.org/officeDocument/2006/relationships/image" Target="../media/image3596.gif"/><Relationship Id="rId4215" Type="http://schemas.openxmlformats.org/officeDocument/2006/relationships/image" Target="../media/image4440.gif"/><Relationship Id="rId4422" Type="http://schemas.openxmlformats.org/officeDocument/2006/relationships/image" Target="../media/image4647.gif"/><Relationship Id="rId2180" Type="http://schemas.openxmlformats.org/officeDocument/2006/relationships/image" Target="../media/image2405.gif"/><Relationship Id="rId3024" Type="http://schemas.openxmlformats.org/officeDocument/2006/relationships/image" Target="../media/image3249.gif"/><Relationship Id="rId3231" Type="http://schemas.openxmlformats.org/officeDocument/2006/relationships/image" Target="../media/image3456.gif"/><Relationship Id="rId152" Type="http://schemas.openxmlformats.org/officeDocument/2006/relationships/image" Target="../media/image377.gif"/><Relationship Id="rId2040" Type="http://schemas.openxmlformats.org/officeDocument/2006/relationships/image" Target="../media/image2265.gif"/><Relationship Id="rId2997" Type="http://schemas.openxmlformats.org/officeDocument/2006/relationships/image" Target="../media/image3222.gif"/><Relationship Id="rId969" Type="http://schemas.openxmlformats.org/officeDocument/2006/relationships/image" Target="../media/image1194.gif"/><Relationship Id="rId1599" Type="http://schemas.openxmlformats.org/officeDocument/2006/relationships/image" Target="../media/image1824.gif"/><Relationship Id="rId1459" Type="http://schemas.openxmlformats.org/officeDocument/2006/relationships/image" Target="../media/image1684.gif"/><Relationship Id="rId2857" Type="http://schemas.openxmlformats.org/officeDocument/2006/relationships/image" Target="../media/image3082.gif"/><Relationship Id="rId3908" Type="http://schemas.openxmlformats.org/officeDocument/2006/relationships/image" Target="../media/image4133.gif"/><Relationship Id="rId4072" Type="http://schemas.openxmlformats.org/officeDocument/2006/relationships/image" Target="../media/image4297.gif"/><Relationship Id="rId98" Type="http://schemas.openxmlformats.org/officeDocument/2006/relationships/image" Target="../media/image323.gif"/><Relationship Id="rId829" Type="http://schemas.openxmlformats.org/officeDocument/2006/relationships/image" Target="../media/image1054.gif"/><Relationship Id="rId1666" Type="http://schemas.openxmlformats.org/officeDocument/2006/relationships/image" Target="../media/image1891.gif"/><Relationship Id="rId1873" Type="http://schemas.openxmlformats.org/officeDocument/2006/relationships/image" Target="../media/image2098.gif"/><Relationship Id="rId2717" Type="http://schemas.openxmlformats.org/officeDocument/2006/relationships/image" Target="../media/image2942.gif"/><Relationship Id="rId2924" Type="http://schemas.openxmlformats.org/officeDocument/2006/relationships/image" Target="../media/image3149.gif"/><Relationship Id="rId1319" Type="http://schemas.openxmlformats.org/officeDocument/2006/relationships/image" Target="../media/image1544.gif"/><Relationship Id="rId1526" Type="http://schemas.openxmlformats.org/officeDocument/2006/relationships/image" Target="../media/image1751.gif"/><Relationship Id="rId1733" Type="http://schemas.openxmlformats.org/officeDocument/2006/relationships/image" Target="../media/image1958.gif"/><Relationship Id="rId1940" Type="http://schemas.openxmlformats.org/officeDocument/2006/relationships/image" Target="../media/image2165.gif"/><Relationship Id="rId25" Type="http://schemas.openxmlformats.org/officeDocument/2006/relationships/image" Target="../media/image250.gif"/><Relationship Id="rId1800" Type="http://schemas.openxmlformats.org/officeDocument/2006/relationships/image" Target="../media/image2025.gif"/><Relationship Id="rId3698" Type="http://schemas.openxmlformats.org/officeDocument/2006/relationships/image" Target="../media/image3923.gif"/><Relationship Id="rId3558" Type="http://schemas.openxmlformats.org/officeDocument/2006/relationships/image" Target="../media/image3783.gif"/><Relationship Id="rId3765" Type="http://schemas.openxmlformats.org/officeDocument/2006/relationships/image" Target="../media/image3990.gif"/><Relationship Id="rId3972" Type="http://schemas.openxmlformats.org/officeDocument/2006/relationships/image" Target="../media/image4197.gif"/><Relationship Id="rId479" Type="http://schemas.openxmlformats.org/officeDocument/2006/relationships/image" Target="../media/image704.gif"/><Relationship Id="rId686" Type="http://schemas.openxmlformats.org/officeDocument/2006/relationships/image" Target="../media/image911.gif"/><Relationship Id="rId893" Type="http://schemas.openxmlformats.org/officeDocument/2006/relationships/image" Target="../media/image1118.gif"/><Relationship Id="rId2367" Type="http://schemas.openxmlformats.org/officeDocument/2006/relationships/image" Target="../media/image2592.gif"/><Relationship Id="rId2574" Type="http://schemas.openxmlformats.org/officeDocument/2006/relationships/image" Target="../media/image2799.gif"/><Relationship Id="rId2781" Type="http://schemas.openxmlformats.org/officeDocument/2006/relationships/image" Target="../media/image3006.gif"/><Relationship Id="rId3418" Type="http://schemas.openxmlformats.org/officeDocument/2006/relationships/image" Target="../media/image3643.gif"/><Relationship Id="rId3625" Type="http://schemas.openxmlformats.org/officeDocument/2006/relationships/image" Target="../media/image3850.gif"/><Relationship Id="rId339" Type="http://schemas.openxmlformats.org/officeDocument/2006/relationships/image" Target="../media/image564.gif"/><Relationship Id="rId546" Type="http://schemas.openxmlformats.org/officeDocument/2006/relationships/image" Target="../media/image771.gif"/><Relationship Id="rId753" Type="http://schemas.openxmlformats.org/officeDocument/2006/relationships/image" Target="../media/image978.gif"/><Relationship Id="rId1176" Type="http://schemas.openxmlformats.org/officeDocument/2006/relationships/image" Target="../media/image1401.gif"/><Relationship Id="rId1383" Type="http://schemas.openxmlformats.org/officeDocument/2006/relationships/image" Target="../media/image1608.gif"/><Relationship Id="rId2227" Type="http://schemas.openxmlformats.org/officeDocument/2006/relationships/image" Target="../media/image2452.gif"/><Relationship Id="rId2434" Type="http://schemas.openxmlformats.org/officeDocument/2006/relationships/image" Target="../media/image2659.gif"/><Relationship Id="rId3832" Type="http://schemas.openxmlformats.org/officeDocument/2006/relationships/image" Target="../media/image4057.gif"/><Relationship Id="rId406" Type="http://schemas.openxmlformats.org/officeDocument/2006/relationships/image" Target="../media/image631.gif"/><Relationship Id="rId960" Type="http://schemas.openxmlformats.org/officeDocument/2006/relationships/image" Target="../media/image1185.gif"/><Relationship Id="rId1036" Type="http://schemas.openxmlformats.org/officeDocument/2006/relationships/image" Target="../media/image1261.gif"/><Relationship Id="rId1243" Type="http://schemas.openxmlformats.org/officeDocument/2006/relationships/image" Target="../media/image1468.gif"/><Relationship Id="rId1590" Type="http://schemas.openxmlformats.org/officeDocument/2006/relationships/image" Target="../media/image1815.gif"/><Relationship Id="rId2641" Type="http://schemas.openxmlformats.org/officeDocument/2006/relationships/image" Target="../media/image2866.gif"/><Relationship Id="rId4399" Type="http://schemas.openxmlformats.org/officeDocument/2006/relationships/image" Target="../media/image4624.gif"/><Relationship Id="rId613" Type="http://schemas.openxmlformats.org/officeDocument/2006/relationships/image" Target="../media/image838.gif"/><Relationship Id="rId820" Type="http://schemas.openxmlformats.org/officeDocument/2006/relationships/image" Target="../media/image1045.gif"/><Relationship Id="rId1450" Type="http://schemas.openxmlformats.org/officeDocument/2006/relationships/image" Target="../media/image1675.gif"/><Relationship Id="rId2501" Type="http://schemas.openxmlformats.org/officeDocument/2006/relationships/image" Target="../media/image2726.gif"/><Relationship Id="rId1103" Type="http://schemas.openxmlformats.org/officeDocument/2006/relationships/image" Target="../media/image1328.gif"/><Relationship Id="rId1310" Type="http://schemas.openxmlformats.org/officeDocument/2006/relationships/image" Target="../media/image1535.gif"/><Relationship Id="rId4259" Type="http://schemas.openxmlformats.org/officeDocument/2006/relationships/image" Target="../media/image4484.gif"/><Relationship Id="rId4466" Type="http://schemas.openxmlformats.org/officeDocument/2006/relationships/image" Target="../media/image4691.gif"/><Relationship Id="rId3068" Type="http://schemas.openxmlformats.org/officeDocument/2006/relationships/image" Target="../media/image3293.gif"/><Relationship Id="rId3275" Type="http://schemas.openxmlformats.org/officeDocument/2006/relationships/image" Target="../media/image3500.gif"/><Relationship Id="rId3482" Type="http://schemas.openxmlformats.org/officeDocument/2006/relationships/image" Target="../media/image3707.gif"/><Relationship Id="rId4119" Type="http://schemas.openxmlformats.org/officeDocument/2006/relationships/image" Target="../media/image4344.gif"/><Relationship Id="rId4326" Type="http://schemas.openxmlformats.org/officeDocument/2006/relationships/image" Target="../media/image4551.gif"/><Relationship Id="rId196" Type="http://schemas.openxmlformats.org/officeDocument/2006/relationships/image" Target="../media/image421.gif"/><Relationship Id="rId2084" Type="http://schemas.openxmlformats.org/officeDocument/2006/relationships/image" Target="../media/image2309.gif"/><Relationship Id="rId2291" Type="http://schemas.openxmlformats.org/officeDocument/2006/relationships/image" Target="../media/image2516.gif"/><Relationship Id="rId3135" Type="http://schemas.openxmlformats.org/officeDocument/2006/relationships/image" Target="../media/image3360.gif"/><Relationship Id="rId3342" Type="http://schemas.openxmlformats.org/officeDocument/2006/relationships/image" Target="../media/image3567.gif"/><Relationship Id="rId263" Type="http://schemas.openxmlformats.org/officeDocument/2006/relationships/image" Target="../media/image488.gif"/><Relationship Id="rId470" Type="http://schemas.openxmlformats.org/officeDocument/2006/relationships/image" Target="../media/image695.gif"/><Relationship Id="rId2151" Type="http://schemas.openxmlformats.org/officeDocument/2006/relationships/image" Target="../media/image2376.gif"/><Relationship Id="rId3202" Type="http://schemas.openxmlformats.org/officeDocument/2006/relationships/image" Target="../media/image3427.gif"/><Relationship Id="rId123" Type="http://schemas.openxmlformats.org/officeDocument/2006/relationships/image" Target="../media/image348.gif"/><Relationship Id="rId330" Type="http://schemas.openxmlformats.org/officeDocument/2006/relationships/image" Target="../media/image555.gif"/><Relationship Id="rId2011" Type="http://schemas.openxmlformats.org/officeDocument/2006/relationships/image" Target="../media/image2236.gif"/><Relationship Id="rId2968" Type="http://schemas.openxmlformats.org/officeDocument/2006/relationships/image" Target="../media/image3193.gif"/><Relationship Id="rId4183" Type="http://schemas.openxmlformats.org/officeDocument/2006/relationships/image" Target="../media/image4408.gif"/><Relationship Id="rId1777" Type="http://schemas.openxmlformats.org/officeDocument/2006/relationships/image" Target="../media/image2002.gif"/><Relationship Id="rId1984" Type="http://schemas.openxmlformats.org/officeDocument/2006/relationships/image" Target="../media/image2209.gif"/><Relationship Id="rId2828" Type="http://schemas.openxmlformats.org/officeDocument/2006/relationships/image" Target="../media/image3053.gif"/><Relationship Id="rId4390" Type="http://schemas.openxmlformats.org/officeDocument/2006/relationships/image" Target="../media/image4615.gif"/><Relationship Id="rId69" Type="http://schemas.openxmlformats.org/officeDocument/2006/relationships/image" Target="../media/image294.gif"/><Relationship Id="rId1637" Type="http://schemas.openxmlformats.org/officeDocument/2006/relationships/image" Target="../media/image1862.gif"/><Relationship Id="rId1844" Type="http://schemas.openxmlformats.org/officeDocument/2006/relationships/image" Target="../media/image2069.gif"/><Relationship Id="rId4043" Type="http://schemas.openxmlformats.org/officeDocument/2006/relationships/image" Target="../media/image4268.gif"/><Relationship Id="rId4250" Type="http://schemas.openxmlformats.org/officeDocument/2006/relationships/image" Target="../media/image4475.gif"/><Relationship Id="rId1704" Type="http://schemas.openxmlformats.org/officeDocument/2006/relationships/image" Target="../media/image1929.gif"/><Relationship Id="rId4110" Type="http://schemas.openxmlformats.org/officeDocument/2006/relationships/image" Target="../media/image4335.gif"/><Relationship Id="rId1911" Type="http://schemas.openxmlformats.org/officeDocument/2006/relationships/image" Target="../media/image2136.gif"/><Relationship Id="rId3669" Type="http://schemas.openxmlformats.org/officeDocument/2006/relationships/image" Target="../media/image3894.gif"/><Relationship Id="rId797" Type="http://schemas.openxmlformats.org/officeDocument/2006/relationships/image" Target="../media/image1022.gif"/><Relationship Id="rId2478" Type="http://schemas.openxmlformats.org/officeDocument/2006/relationships/image" Target="../media/image2703.gif"/><Relationship Id="rId3876" Type="http://schemas.openxmlformats.org/officeDocument/2006/relationships/image" Target="../media/image4101.gif"/><Relationship Id="rId1287" Type="http://schemas.openxmlformats.org/officeDocument/2006/relationships/image" Target="../media/image1512.gif"/><Relationship Id="rId2685" Type="http://schemas.openxmlformats.org/officeDocument/2006/relationships/image" Target="../media/image2910.gif"/><Relationship Id="rId2892" Type="http://schemas.openxmlformats.org/officeDocument/2006/relationships/image" Target="../media/image3117.gif"/><Relationship Id="rId3529" Type="http://schemas.openxmlformats.org/officeDocument/2006/relationships/image" Target="../media/image3754.gif"/><Relationship Id="rId3736" Type="http://schemas.openxmlformats.org/officeDocument/2006/relationships/image" Target="../media/image3961.gif"/><Relationship Id="rId3943" Type="http://schemas.openxmlformats.org/officeDocument/2006/relationships/image" Target="../media/image4168.gif"/><Relationship Id="rId657" Type="http://schemas.openxmlformats.org/officeDocument/2006/relationships/image" Target="../media/image882.gif"/><Relationship Id="rId864" Type="http://schemas.openxmlformats.org/officeDocument/2006/relationships/image" Target="../media/image1089.gif"/><Relationship Id="rId1494" Type="http://schemas.openxmlformats.org/officeDocument/2006/relationships/image" Target="../media/image1719.gif"/><Relationship Id="rId2338" Type="http://schemas.openxmlformats.org/officeDocument/2006/relationships/image" Target="../media/image2563.gif"/><Relationship Id="rId2545" Type="http://schemas.openxmlformats.org/officeDocument/2006/relationships/image" Target="../media/image2770.gif"/><Relationship Id="rId2752" Type="http://schemas.openxmlformats.org/officeDocument/2006/relationships/image" Target="../media/image2977.gif"/><Relationship Id="rId3803" Type="http://schemas.openxmlformats.org/officeDocument/2006/relationships/image" Target="../media/image4028.gif"/><Relationship Id="rId517" Type="http://schemas.openxmlformats.org/officeDocument/2006/relationships/image" Target="../media/image742.gif"/><Relationship Id="rId724" Type="http://schemas.openxmlformats.org/officeDocument/2006/relationships/image" Target="../media/image949.gif"/><Relationship Id="rId931" Type="http://schemas.openxmlformats.org/officeDocument/2006/relationships/image" Target="../media/image1156.gif"/><Relationship Id="rId1147" Type="http://schemas.openxmlformats.org/officeDocument/2006/relationships/image" Target="../media/image1372.gif"/><Relationship Id="rId1354" Type="http://schemas.openxmlformats.org/officeDocument/2006/relationships/image" Target="../media/image1579.gif"/><Relationship Id="rId1561" Type="http://schemas.openxmlformats.org/officeDocument/2006/relationships/image" Target="../media/image1786.gif"/><Relationship Id="rId2405" Type="http://schemas.openxmlformats.org/officeDocument/2006/relationships/image" Target="../media/image2630.gif"/><Relationship Id="rId2612" Type="http://schemas.openxmlformats.org/officeDocument/2006/relationships/image" Target="../media/image2837.gif"/><Relationship Id="rId60" Type="http://schemas.openxmlformats.org/officeDocument/2006/relationships/image" Target="../media/image285.gif"/><Relationship Id="rId1007" Type="http://schemas.openxmlformats.org/officeDocument/2006/relationships/image" Target="../media/image1232.gif"/><Relationship Id="rId1214" Type="http://schemas.openxmlformats.org/officeDocument/2006/relationships/image" Target="../media/image1439.gif"/><Relationship Id="rId1421" Type="http://schemas.openxmlformats.org/officeDocument/2006/relationships/image" Target="../media/image1646.gif"/><Relationship Id="rId3179" Type="http://schemas.openxmlformats.org/officeDocument/2006/relationships/image" Target="../media/image3404.gif"/><Relationship Id="rId3386" Type="http://schemas.openxmlformats.org/officeDocument/2006/relationships/image" Target="../media/image3611.gif"/><Relationship Id="rId3593" Type="http://schemas.openxmlformats.org/officeDocument/2006/relationships/image" Target="../media/image3818.gif"/><Relationship Id="rId4437" Type="http://schemas.openxmlformats.org/officeDocument/2006/relationships/image" Target="../media/image4662.gif"/><Relationship Id="rId2195" Type="http://schemas.openxmlformats.org/officeDocument/2006/relationships/image" Target="../media/image2420.gif"/><Relationship Id="rId3039" Type="http://schemas.openxmlformats.org/officeDocument/2006/relationships/image" Target="../media/image3264.gif"/><Relationship Id="rId3246" Type="http://schemas.openxmlformats.org/officeDocument/2006/relationships/image" Target="../media/image3471.gif"/><Relationship Id="rId3453" Type="http://schemas.openxmlformats.org/officeDocument/2006/relationships/image" Target="../media/image3678.gif"/><Relationship Id="rId167" Type="http://schemas.openxmlformats.org/officeDocument/2006/relationships/image" Target="../media/image392.gif"/><Relationship Id="rId374" Type="http://schemas.openxmlformats.org/officeDocument/2006/relationships/image" Target="../media/image599.gif"/><Relationship Id="rId581" Type="http://schemas.openxmlformats.org/officeDocument/2006/relationships/image" Target="../media/image806.gif"/><Relationship Id="rId2055" Type="http://schemas.openxmlformats.org/officeDocument/2006/relationships/image" Target="../media/image2280.gif"/><Relationship Id="rId2262" Type="http://schemas.openxmlformats.org/officeDocument/2006/relationships/image" Target="../media/image2487.gif"/><Relationship Id="rId3106" Type="http://schemas.openxmlformats.org/officeDocument/2006/relationships/image" Target="../media/image3331.gif"/><Relationship Id="rId3660" Type="http://schemas.openxmlformats.org/officeDocument/2006/relationships/image" Target="../media/image3885.gif"/><Relationship Id="rId234" Type="http://schemas.openxmlformats.org/officeDocument/2006/relationships/image" Target="../media/image459.gif"/><Relationship Id="rId3313" Type="http://schemas.openxmlformats.org/officeDocument/2006/relationships/image" Target="../media/image3538.gif"/><Relationship Id="rId3520" Type="http://schemas.openxmlformats.org/officeDocument/2006/relationships/image" Target="../media/image3745.gif"/><Relationship Id="rId441" Type="http://schemas.openxmlformats.org/officeDocument/2006/relationships/image" Target="../media/image666.gif"/><Relationship Id="rId1071" Type="http://schemas.openxmlformats.org/officeDocument/2006/relationships/image" Target="../media/image1296.gif"/><Relationship Id="rId2122" Type="http://schemas.openxmlformats.org/officeDocument/2006/relationships/image" Target="../media/image2347.gif"/><Relationship Id="rId301" Type="http://schemas.openxmlformats.org/officeDocument/2006/relationships/image" Target="../media/image526.gif"/><Relationship Id="rId1888" Type="http://schemas.openxmlformats.org/officeDocument/2006/relationships/image" Target="../media/image2113.gif"/><Relationship Id="rId2939" Type="http://schemas.openxmlformats.org/officeDocument/2006/relationships/image" Target="../media/image3164.gif"/><Relationship Id="rId4087" Type="http://schemas.openxmlformats.org/officeDocument/2006/relationships/image" Target="../media/image4312.gif"/><Relationship Id="rId4294" Type="http://schemas.openxmlformats.org/officeDocument/2006/relationships/image" Target="../media/image4519.gif"/><Relationship Id="rId1748" Type="http://schemas.openxmlformats.org/officeDocument/2006/relationships/image" Target="../media/image1973.gif"/><Relationship Id="rId4154" Type="http://schemas.openxmlformats.org/officeDocument/2006/relationships/image" Target="../media/image4379.gif"/><Relationship Id="rId4361" Type="http://schemas.openxmlformats.org/officeDocument/2006/relationships/image" Target="../media/image4586.gif"/><Relationship Id="rId1955" Type="http://schemas.openxmlformats.org/officeDocument/2006/relationships/image" Target="../media/image2180.gif"/><Relationship Id="rId3170" Type="http://schemas.openxmlformats.org/officeDocument/2006/relationships/image" Target="../media/image3395.gif"/><Relationship Id="rId4014" Type="http://schemas.openxmlformats.org/officeDocument/2006/relationships/image" Target="../media/image4239.gif"/><Relationship Id="rId4221" Type="http://schemas.openxmlformats.org/officeDocument/2006/relationships/image" Target="../media/image4446.gif"/><Relationship Id="rId1608" Type="http://schemas.openxmlformats.org/officeDocument/2006/relationships/image" Target="../media/image1833.gif"/><Relationship Id="rId1815" Type="http://schemas.openxmlformats.org/officeDocument/2006/relationships/image" Target="../media/image2040.gif"/><Relationship Id="rId3030" Type="http://schemas.openxmlformats.org/officeDocument/2006/relationships/image" Target="../media/image3255.gif"/><Relationship Id="rId3987" Type="http://schemas.openxmlformats.org/officeDocument/2006/relationships/image" Target="../media/image4212.gif"/><Relationship Id="rId2589" Type="http://schemas.openxmlformats.org/officeDocument/2006/relationships/image" Target="../media/image2814.gif"/><Relationship Id="rId2796" Type="http://schemas.openxmlformats.org/officeDocument/2006/relationships/image" Target="../media/image3021.gif"/><Relationship Id="rId3847" Type="http://schemas.openxmlformats.org/officeDocument/2006/relationships/image" Target="../media/image4072.gif"/><Relationship Id="rId768" Type="http://schemas.openxmlformats.org/officeDocument/2006/relationships/image" Target="../media/image993.gif"/><Relationship Id="rId975" Type="http://schemas.openxmlformats.org/officeDocument/2006/relationships/image" Target="../media/image1200.gif"/><Relationship Id="rId1398" Type="http://schemas.openxmlformats.org/officeDocument/2006/relationships/image" Target="../media/image1623.gif"/><Relationship Id="rId2449" Type="http://schemas.openxmlformats.org/officeDocument/2006/relationships/image" Target="../media/image2674.gif"/><Relationship Id="rId2656" Type="http://schemas.openxmlformats.org/officeDocument/2006/relationships/image" Target="../media/image2881.gif"/><Relationship Id="rId2863" Type="http://schemas.openxmlformats.org/officeDocument/2006/relationships/image" Target="../media/image3088.gif"/><Relationship Id="rId3707" Type="http://schemas.openxmlformats.org/officeDocument/2006/relationships/image" Target="../media/image3932.gif"/><Relationship Id="rId3914" Type="http://schemas.openxmlformats.org/officeDocument/2006/relationships/image" Target="../media/image4139.gif"/><Relationship Id="rId628" Type="http://schemas.openxmlformats.org/officeDocument/2006/relationships/image" Target="../media/image853.gif"/><Relationship Id="rId835" Type="http://schemas.openxmlformats.org/officeDocument/2006/relationships/image" Target="../media/image1060.gif"/><Relationship Id="rId1258" Type="http://schemas.openxmlformats.org/officeDocument/2006/relationships/image" Target="../media/image1483.gif"/><Relationship Id="rId1465" Type="http://schemas.openxmlformats.org/officeDocument/2006/relationships/image" Target="../media/image1690.gif"/><Relationship Id="rId1672" Type="http://schemas.openxmlformats.org/officeDocument/2006/relationships/image" Target="../media/image1897.gif"/><Relationship Id="rId2309" Type="http://schemas.openxmlformats.org/officeDocument/2006/relationships/image" Target="../media/image2534.gif"/><Relationship Id="rId2516" Type="http://schemas.openxmlformats.org/officeDocument/2006/relationships/image" Target="../media/image2741.gif"/><Relationship Id="rId2723" Type="http://schemas.openxmlformats.org/officeDocument/2006/relationships/image" Target="../media/image2948.gif"/><Relationship Id="rId1118" Type="http://schemas.openxmlformats.org/officeDocument/2006/relationships/image" Target="../media/image1343.gif"/><Relationship Id="rId1325" Type="http://schemas.openxmlformats.org/officeDocument/2006/relationships/image" Target="../media/image1550.gif"/><Relationship Id="rId1532" Type="http://schemas.openxmlformats.org/officeDocument/2006/relationships/image" Target="../media/image1757.gif"/><Relationship Id="rId2930" Type="http://schemas.openxmlformats.org/officeDocument/2006/relationships/image" Target="../media/image3155.gif"/><Relationship Id="rId902" Type="http://schemas.openxmlformats.org/officeDocument/2006/relationships/image" Target="../media/image1127.gif"/><Relationship Id="rId3497" Type="http://schemas.openxmlformats.org/officeDocument/2006/relationships/image" Target="../media/image3722.gif"/><Relationship Id="rId31" Type="http://schemas.openxmlformats.org/officeDocument/2006/relationships/image" Target="../media/image256.gif"/><Relationship Id="rId2099" Type="http://schemas.openxmlformats.org/officeDocument/2006/relationships/image" Target="../media/image2324.gif"/><Relationship Id="rId278" Type="http://schemas.openxmlformats.org/officeDocument/2006/relationships/image" Target="../media/image503.gif"/><Relationship Id="rId3357" Type="http://schemas.openxmlformats.org/officeDocument/2006/relationships/image" Target="../media/image3582.gif"/><Relationship Id="rId3564" Type="http://schemas.openxmlformats.org/officeDocument/2006/relationships/image" Target="../media/image3789.gif"/><Relationship Id="rId3771" Type="http://schemas.openxmlformats.org/officeDocument/2006/relationships/image" Target="../media/image3996.gif"/><Relationship Id="rId4408" Type="http://schemas.openxmlformats.org/officeDocument/2006/relationships/image" Target="../media/image4633.gif"/><Relationship Id="rId485" Type="http://schemas.openxmlformats.org/officeDocument/2006/relationships/image" Target="../media/image710.gif"/><Relationship Id="rId692" Type="http://schemas.openxmlformats.org/officeDocument/2006/relationships/image" Target="../media/image917.gif"/><Relationship Id="rId2166" Type="http://schemas.openxmlformats.org/officeDocument/2006/relationships/image" Target="../media/image2391.gif"/><Relationship Id="rId2373" Type="http://schemas.openxmlformats.org/officeDocument/2006/relationships/image" Target="../media/image2598.gif"/><Relationship Id="rId2580" Type="http://schemas.openxmlformats.org/officeDocument/2006/relationships/image" Target="../media/image2805.gif"/><Relationship Id="rId3217" Type="http://schemas.openxmlformats.org/officeDocument/2006/relationships/image" Target="../media/image3442.gif"/><Relationship Id="rId3424" Type="http://schemas.openxmlformats.org/officeDocument/2006/relationships/image" Target="../media/image3649.gif"/><Relationship Id="rId3631" Type="http://schemas.openxmlformats.org/officeDocument/2006/relationships/image" Target="../media/image3856.gif"/><Relationship Id="rId138" Type="http://schemas.openxmlformats.org/officeDocument/2006/relationships/image" Target="../media/image363.gif"/><Relationship Id="rId345" Type="http://schemas.openxmlformats.org/officeDocument/2006/relationships/image" Target="../media/image570.gif"/><Relationship Id="rId552" Type="http://schemas.openxmlformats.org/officeDocument/2006/relationships/image" Target="../media/image777.gif"/><Relationship Id="rId1182" Type="http://schemas.openxmlformats.org/officeDocument/2006/relationships/image" Target="../media/image1407.gif"/><Relationship Id="rId2026" Type="http://schemas.openxmlformats.org/officeDocument/2006/relationships/image" Target="../media/image2251.gif"/><Relationship Id="rId2233" Type="http://schemas.openxmlformats.org/officeDocument/2006/relationships/image" Target="../media/image2458.gif"/><Relationship Id="rId2440" Type="http://schemas.openxmlformats.org/officeDocument/2006/relationships/image" Target="../media/image2665.gif"/><Relationship Id="rId205" Type="http://schemas.openxmlformats.org/officeDocument/2006/relationships/image" Target="../media/image430.gif"/><Relationship Id="rId412" Type="http://schemas.openxmlformats.org/officeDocument/2006/relationships/image" Target="../media/image637.gif"/><Relationship Id="rId1042" Type="http://schemas.openxmlformats.org/officeDocument/2006/relationships/image" Target="../media/image1267.gif"/><Relationship Id="rId2300" Type="http://schemas.openxmlformats.org/officeDocument/2006/relationships/image" Target="../media/image2525.gif"/><Relationship Id="rId4198" Type="http://schemas.openxmlformats.org/officeDocument/2006/relationships/image" Target="../media/image4423.gif"/><Relationship Id="rId1999" Type="http://schemas.openxmlformats.org/officeDocument/2006/relationships/image" Target="../media/image2224.gif"/><Relationship Id="rId4058" Type="http://schemas.openxmlformats.org/officeDocument/2006/relationships/image" Target="../media/image4283.gif"/><Relationship Id="rId4265" Type="http://schemas.openxmlformats.org/officeDocument/2006/relationships/image" Target="../media/image4490.gif"/><Relationship Id="rId4472" Type="http://schemas.openxmlformats.org/officeDocument/2006/relationships/image" Target="../media/image4697.gif"/><Relationship Id="rId1859" Type="http://schemas.openxmlformats.org/officeDocument/2006/relationships/image" Target="../media/image2084.gif"/><Relationship Id="rId3074" Type="http://schemas.openxmlformats.org/officeDocument/2006/relationships/image" Target="../media/image3299.gif"/><Relationship Id="rId4125" Type="http://schemas.openxmlformats.org/officeDocument/2006/relationships/image" Target="../media/image4350.gif"/><Relationship Id="rId1719" Type="http://schemas.openxmlformats.org/officeDocument/2006/relationships/image" Target="../media/image1944.gif"/><Relationship Id="rId1926" Type="http://schemas.openxmlformats.org/officeDocument/2006/relationships/image" Target="../media/image2151.gif"/><Relationship Id="rId3281" Type="http://schemas.openxmlformats.org/officeDocument/2006/relationships/image" Target="../media/image3506.gif"/><Relationship Id="rId4332" Type="http://schemas.openxmlformats.org/officeDocument/2006/relationships/image" Target="../media/image4557.gif"/><Relationship Id="rId2090" Type="http://schemas.openxmlformats.org/officeDocument/2006/relationships/image" Target="../media/image2315.gif"/><Relationship Id="rId3141" Type="http://schemas.openxmlformats.org/officeDocument/2006/relationships/image" Target="../media/image3366.gif"/><Relationship Id="rId3001" Type="http://schemas.openxmlformats.org/officeDocument/2006/relationships/image" Target="../media/image3226.gif"/><Relationship Id="rId3958" Type="http://schemas.openxmlformats.org/officeDocument/2006/relationships/image" Target="../media/image4183.gif"/><Relationship Id="rId879" Type="http://schemas.openxmlformats.org/officeDocument/2006/relationships/image" Target="../media/image1104.gif"/><Relationship Id="rId2767" Type="http://schemas.openxmlformats.org/officeDocument/2006/relationships/image" Target="../media/image2992.gif"/><Relationship Id="rId739" Type="http://schemas.openxmlformats.org/officeDocument/2006/relationships/image" Target="../media/image964.gif"/><Relationship Id="rId1369" Type="http://schemas.openxmlformats.org/officeDocument/2006/relationships/image" Target="../media/image1594.gif"/><Relationship Id="rId1576" Type="http://schemas.openxmlformats.org/officeDocument/2006/relationships/image" Target="../media/image1801.gif"/><Relationship Id="rId2974" Type="http://schemas.openxmlformats.org/officeDocument/2006/relationships/image" Target="../media/image3199.gif"/><Relationship Id="rId3818" Type="http://schemas.openxmlformats.org/officeDocument/2006/relationships/image" Target="../media/image4043.gif"/><Relationship Id="rId946" Type="http://schemas.openxmlformats.org/officeDocument/2006/relationships/image" Target="../media/image1171.gif"/><Relationship Id="rId1229" Type="http://schemas.openxmlformats.org/officeDocument/2006/relationships/image" Target="../media/image1454.gif"/><Relationship Id="rId1783" Type="http://schemas.openxmlformats.org/officeDocument/2006/relationships/image" Target="../media/image2008.gif"/><Relationship Id="rId1990" Type="http://schemas.openxmlformats.org/officeDocument/2006/relationships/image" Target="../media/image2215.gif"/><Relationship Id="rId2627" Type="http://schemas.openxmlformats.org/officeDocument/2006/relationships/image" Target="../media/image2852.gif"/><Relationship Id="rId2834" Type="http://schemas.openxmlformats.org/officeDocument/2006/relationships/image" Target="../media/image3059.gif"/><Relationship Id="rId75" Type="http://schemas.openxmlformats.org/officeDocument/2006/relationships/image" Target="../media/image300.gif"/><Relationship Id="rId806" Type="http://schemas.openxmlformats.org/officeDocument/2006/relationships/image" Target="../media/image1031.gif"/><Relationship Id="rId1436" Type="http://schemas.openxmlformats.org/officeDocument/2006/relationships/image" Target="../media/image1661.jpg"/><Relationship Id="rId1643" Type="http://schemas.openxmlformats.org/officeDocument/2006/relationships/image" Target="../media/image1868.gif"/><Relationship Id="rId1850" Type="http://schemas.openxmlformats.org/officeDocument/2006/relationships/image" Target="../media/image2075.gif"/><Relationship Id="rId2901" Type="http://schemas.openxmlformats.org/officeDocument/2006/relationships/image" Target="../media/image3126.gif"/><Relationship Id="rId1503" Type="http://schemas.openxmlformats.org/officeDocument/2006/relationships/image" Target="../media/image1728.gif"/><Relationship Id="rId1710" Type="http://schemas.openxmlformats.org/officeDocument/2006/relationships/image" Target="../media/image1935.gif"/><Relationship Id="rId3468" Type="http://schemas.openxmlformats.org/officeDocument/2006/relationships/image" Target="../media/image3693.gif"/><Relationship Id="rId3675" Type="http://schemas.openxmlformats.org/officeDocument/2006/relationships/image" Target="../media/image3900.gif"/><Relationship Id="rId3882" Type="http://schemas.openxmlformats.org/officeDocument/2006/relationships/image" Target="../media/image4107.gif"/><Relationship Id="rId389" Type="http://schemas.openxmlformats.org/officeDocument/2006/relationships/image" Target="../media/image614.gif"/><Relationship Id="rId596" Type="http://schemas.openxmlformats.org/officeDocument/2006/relationships/image" Target="../media/image821.gif"/><Relationship Id="rId2277" Type="http://schemas.openxmlformats.org/officeDocument/2006/relationships/image" Target="../media/image2502.gif"/><Relationship Id="rId2484" Type="http://schemas.openxmlformats.org/officeDocument/2006/relationships/image" Target="../media/image2709.gif"/><Relationship Id="rId2691" Type="http://schemas.openxmlformats.org/officeDocument/2006/relationships/image" Target="../media/image2916.gif"/><Relationship Id="rId3328" Type="http://schemas.openxmlformats.org/officeDocument/2006/relationships/image" Target="../media/image3553.gif"/><Relationship Id="rId3535" Type="http://schemas.openxmlformats.org/officeDocument/2006/relationships/image" Target="../media/image3760.gif"/><Relationship Id="rId3742" Type="http://schemas.openxmlformats.org/officeDocument/2006/relationships/image" Target="../media/image3967.gif"/><Relationship Id="rId249" Type="http://schemas.openxmlformats.org/officeDocument/2006/relationships/image" Target="../media/image474.gif"/><Relationship Id="rId456" Type="http://schemas.openxmlformats.org/officeDocument/2006/relationships/image" Target="../media/image681.gif"/><Relationship Id="rId663" Type="http://schemas.openxmlformats.org/officeDocument/2006/relationships/image" Target="../media/image888.gif"/><Relationship Id="rId870" Type="http://schemas.openxmlformats.org/officeDocument/2006/relationships/image" Target="../media/image1095.gif"/><Relationship Id="rId1086" Type="http://schemas.openxmlformats.org/officeDocument/2006/relationships/image" Target="../media/image1311.gif"/><Relationship Id="rId1293" Type="http://schemas.openxmlformats.org/officeDocument/2006/relationships/image" Target="../media/image1518.gif"/><Relationship Id="rId2137" Type="http://schemas.openxmlformats.org/officeDocument/2006/relationships/image" Target="../media/image2362.gif"/><Relationship Id="rId2344" Type="http://schemas.openxmlformats.org/officeDocument/2006/relationships/image" Target="../media/image2569.gif"/><Relationship Id="rId2551" Type="http://schemas.openxmlformats.org/officeDocument/2006/relationships/image" Target="../media/image2776.gif"/><Relationship Id="rId109" Type="http://schemas.openxmlformats.org/officeDocument/2006/relationships/image" Target="../media/image334.gif"/><Relationship Id="rId316" Type="http://schemas.openxmlformats.org/officeDocument/2006/relationships/image" Target="../media/image541.gif"/><Relationship Id="rId523" Type="http://schemas.openxmlformats.org/officeDocument/2006/relationships/image" Target="../media/image748.gif"/><Relationship Id="rId1153" Type="http://schemas.openxmlformats.org/officeDocument/2006/relationships/image" Target="../media/image1378.gif"/><Relationship Id="rId2204" Type="http://schemas.openxmlformats.org/officeDocument/2006/relationships/image" Target="../media/image2429.gif"/><Relationship Id="rId3602" Type="http://schemas.openxmlformats.org/officeDocument/2006/relationships/image" Target="../media/image3827.gif"/><Relationship Id="rId730" Type="http://schemas.openxmlformats.org/officeDocument/2006/relationships/image" Target="../media/image955.gif"/><Relationship Id="rId1013" Type="http://schemas.openxmlformats.org/officeDocument/2006/relationships/image" Target="../media/image1238.gif"/><Relationship Id="rId1360" Type="http://schemas.openxmlformats.org/officeDocument/2006/relationships/image" Target="../media/image1585.gif"/><Relationship Id="rId2411" Type="http://schemas.openxmlformats.org/officeDocument/2006/relationships/image" Target="../media/image2636.gif"/><Relationship Id="rId4169" Type="http://schemas.openxmlformats.org/officeDocument/2006/relationships/image" Target="../media/image4394.gif"/><Relationship Id="rId1220" Type="http://schemas.openxmlformats.org/officeDocument/2006/relationships/image" Target="../media/image1445.gif"/><Relationship Id="rId4376" Type="http://schemas.openxmlformats.org/officeDocument/2006/relationships/image" Target="../media/image4601.gif"/><Relationship Id="rId3185" Type="http://schemas.openxmlformats.org/officeDocument/2006/relationships/image" Target="../media/image3410.gif"/><Relationship Id="rId3392" Type="http://schemas.openxmlformats.org/officeDocument/2006/relationships/image" Target="../media/image3617.gif"/><Relationship Id="rId4029" Type="http://schemas.openxmlformats.org/officeDocument/2006/relationships/image" Target="../media/image4254.gif"/><Relationship Id="rId4236" Type="http://schemas.openxmlformats.org/officeDocument/2006/relationships/image" Target="../media/image4461.gif"/><Relationship Id="rId4443" Type="http://schemas.openxmlformats.org/officeDocument/2006/relationships/image" Target="../media/image4668.gif"/><Relationship Id="rId3045" Type="http://schemas.openxmlformats.org/officeDocument/2006/relationships/image" Target="../media/image3270.gif"/><Relationship Id="rId3252" Type="http://schemas.openxmlformats.org/officeDocument/2006/relationships/image" Target="../media/image3477.gif"/><Relationship Id="rId4303" Type="http://schemas.openxmlformats.org/officeDocument/2006/relationships/image" Target="../media/image4528.gif"/><Relationship Id="rId173" Type="http://schemas.openxmlformats.org/officeDocument/2006/relationships/image" Target="../media/image398.gif"/><Relationship Id="rId380" Type="http://schemas.openxmlformats.org/officeDocument/2006/relationships/image" Target="../media/image605.gif"/><Relationship Id="rId2061" Type="http://schemas.openxmlformats.org/officeDocument/2006/relationships/image" Target="../media/image2286.gif"/><Relationship Id="rId3112" Type="http://schemas.openxmlformats.org/officeDocument/2006/relationships/image" Target="../media/image3337.gif"/><Relationship Id="rId240" Type="http://schemas.openxmlformats.org/officeDocument/2006/relationships/image" Target="../media/image465.gif"/><Relationship Id="rId100" Type="http://schemas.openxmlformats.org/officeDocument/2006/relationships/image" Target="../media/image325.gif"/><Relationship Id="rId2878" Type="http://schemas.openxmlformats.org/officeDocument/2006/relationships/image" Target="../media/image3103.gif"/><Relationship Id="rId3929" Type="http://schemas.openxmlformats.org/officeDocument/2006/relationships/image" Target="../media/image4154.gif"/><Relationship Id="rId4093" Type="http://schemas.openxmlformats.org/officeDocument/2006/relationships/image" Target="../media/image4318.gif"/><Relationship Id="rId1687" Type="http://schemas.openxmlformats.org/officeDocument/2006/relationships/image" Target="../media/image1912.gif"/><Relationship Id="rId1894" Type="http://schemas.openxmlformats.org/officeDocument/2006/relationships/image" Target="../media/image2119.gif"/><Relationship Id="rId2738" Type="http://schemas.openxmlformats.org/officeDocument/2006/relationships/image" Target="../media/image2963.gif"/><Relationship Id="rId2945" Type="http://schemas.openxmlformats.org/officeDocument/2006/relationships/image" Target="../media/image3170.gif"/><Relationship Id="rId917" Type="http://schemas.openxmlformats.org/officeDocument/2006/relationships/image" Target="../media/image1142.gif"/><Relationship Id="rId1547" Type="http://schemas.openxmlformats.org/officeDocument/2006/relationships/image" Target="../media/image1772.gif"/><Relationship Id="rId1754" Type="http://schemas.openxmlformats.org/officeDocument/2006/relationships/image" Target="../media/image1979.gif"/><Relationship Id="rId1961" Type="http://schemas.openxmlformats.org/officeDocument/2006/relationships/image" Target="../media/image2186.gif"/><Relationship Id="rId2805" Type="http://schemas.openxmlformats.org/officeDocument/2006/relationships/image" Target="../media/image3030.gif"/><Relationship Id="rId4160" Type="http://schemas.openxmlformats.org/officeDocument/2006/relationships/image" Target="../media/image4385.gif"/><Relationship Id="rId46" Type="http://schemas.openxmlformats.org/officeDocument/2006/relationships/image" Target="../media/image271.gif"/><Relationship Id="rId1407" Type="http://schemas.openxmlformats.org/officeDocument/2006/relationships/image" Target="../media/image1632.gif"/><Relationship Id="rId1614" Type="http://schemas.openxmlformats.org/officeDocument/2006/relationships/image" Target="../media/image1839.gif"/><Relationship Id="rId1821" Type="http://schemas.openxmlformats.org/officeDocument/2006/relationships/image" Target="../media/image2046.gif"/><Relationship Id="rId4020" Type="http://schemas.openxmlformats.org/officeDocument/2006/relationships/image" Target="../media/image4245.gif"/><Relationship Id="rId3579" Type="http://schemas.openxmlformats.org/officeDocument/2006/relationships/image" Target="../media/image3804.gif"/><Relationship Id="rId3786" Type="http://schemas.openxmlformats.org/officeDocument/2006/relationships/image" Target="../media/image4011.gif"/><Relationship Id="rId2388" Type="http://schemas.openxmlformats.org/officeDocument/2006/relationships/image" Target="../media/image2613.gif"/><Relationship Id="rId2595" Type="http://schemas.openxmlformats.org/officeDocument/2006/relationships/image" Target="../media/image2820.gif"/><Relationship Id="rId3439" Type="http://schemas.openxmlformats.org/officeDocument/2006/relationships/image" Target="../media/image3664.gif"/><Relationship Id="rId3993" Type="http://schemas.openxmlformats.org/officeDocument/2006/relationships/image" Target="../media/image4218.gif"/><Relationship Id="rId567" Type="http://schemas.openxmlformats.org/officeDocument/2006/relationships/image" Target="../media/image792.gif"/><Relationship Id="rId1197" Type="http://schemas.openxmlformats.org/officeDocument/2006/relationships/image" Target="../media/image1422.gif"/><Relationship Id="rId2248" Type="http://schemas.openxmlformats.org/officeDocument/2006/relationships/image" Target="../media/image2473.gif"/><Relationship Id="rId3646" Type="http://schemas.openxmlformats.org/officeDocument/2006/relationships/image" Target="../media/image3871.gif"/><Relationship Id="rId3853" Type="http://schemas.openxmlformats.org/officeDocument/2006/relationships/image" Target="../media/image4078.gif"/><Relationship Id="rId774" Type="http://schemas.openxmlformats.org/officeDocument/2006/relationships/image" Target="../media/image999.gif"/><Relationship Id="rId981" Type="http://schemas.openxmlformats.org/officeDocument/2006/relationships/image" Target="../media/image1206.gif"/><Relationship Id="rId1057" Type="http://schemas.openxmlformats.org/officeDocument/2006/relationships/image" Target="../media/image1282.gif"/><Relationship Id="rId2455" Type="http://schemas.openxmlformats.org/officeDocument/2006/relationships/image" Target="../media/image2680.gif"/><Relationship Id="rId2662" Type="http://schemas.openxmlformats.org/officeDocument/2006/relationships/image" Target="../media/image2887.gif"/><Relationship Id="rId3506" Type="http://schemas.openxmlformats.org/officeDocument/2006/relationships/image" Target="../media/image3731.gif"/><Relationship Id="rId3713" Type="http://schemas.openxmlformats.org/officeDocument/2006/relationships/image" Target="../media/image3938.gif"/><Relationship Id="rId3920" Type="http://schemas.openxmlformats.org/officeDocument/2006/relationships/image" Target="../media/image4145.gif"/><Relationship Id="rId427" Type="http://schemas.openxmlformats.org/officeDocument/2006/relationships/image" Target="../media/image652.gif"/><Relationship Id="rId634" Type="http://schemas.openxmlformats.org/officeDocument/2006/relationships/image" Target="../media/image859.gif"/><Relationship Id="rId841" Type="http://schemas.openxmlformats.org/officeDocument/2006/relationships/image" Target="../media/image1066.gif"/><Relationship Id="rId1264" Type="http://schemas.openxmlformats.org/officeDocument/2006/relationships/image" Target="../media/image1489.gif"/><Relationship Id="rId1471" Type="http://schemas.openxmlformats.org/officeDocument/2006/relationships/image" Target="../media/image1696.gif"/><Relationship Id="rId2108" Type="http://schemas.openxmlformats.org/officeDocument/2006/relationships/image" Target="../media/image2333.gif"/><Relationship Id="rId2315" Type="http://schemas.openxmlformats.org/officeDocument/2006/relationships/image" Target="../media/image2540.gif"/><Relationship Id="rId2522" Type="http://schemas.openxmlformats.org/officeDocument/2006/relationships/image" Target="../media/image2747.gif"/><Relationship Id="rId701" Type="http://schemas.openxmlformats.org/officeDocument/2006/relationships/image" Target="../media/image926.gif"/><Relationship Id="rId1124" Type="http://schemas.openxmlformats.org/officeDocument/2006/relationships/image" Target="../media/image1349.gif"/><Relationship Id="rId1331" Type="http://schemas.openxmlformats.org/officeDocument/2006/relationships/image" Target="../media/image1556.gif"/><Relationship Id="rId3089" Type="http://schemas.openxmlformats.org/officeDocument/2006/relationships/image" Target="../media/image3314.gif"/><Relationship Id="rId3296" Type="http://schemas.openxmlformats.org/officeDocument/2006/relationships/image" Target="../media/image3521.gif"/><Relationship Id="rId4347" Type="http://schemas.openxmlformats.org/officeDocument/2006/relationships/image" Target="../media/image4572.gif"/><Relationship Id="rId3156" Type="http://schemas.openxmlformats.org/officeDocument/2006/relationships/image" Target="../media/image3381.gif"/><Relationship Id="rId3363" Type="http://schemas.openxmlformats.org/officeDocument/2006/relationships/image" Target="../media/image3588.gif"/><Relationship Id="rId4207" Type="http://schemas.openxmlformats.org/officeDocument/2006/relationships/image" Target="../media/image4432.gif"/><Relationship Id="rId4414" Type="http://schemas.openxmlformats.org/officeDocument/2006/relationships/image" Target="../media/image4639.gif"/><Relationship Id="rId284" Type="http://schemas.openxmlformats.org/officeDocument/2006/relationships/image" Target="../media/image509.gif"/><Relationship Id="rId491" Type="http://schemas.openxmlformats.org/officeDocument/2006/relationships/image" Target="../media/image716.gif"/><Relationship Id="rId2172" Type="http://schemas.openxmlformats.org/officeDocument/2006/relationships/image" Target="../media/image2397.gif"/><Relationship Id="rId3016" Type="http://schemas.openxmlformats.org/officeDocument/2006/relationships/image" Target="../media/image3241.gif"/><Relationship Id="rId3223" Type="http://schemas.openxmlformats.org/officeDocument/2006/relationships/image" Target="../media/image3448.gif"/><Relationship Id="rId3570" Type="http://schemas.openxmlformats.org/officeDocument/2006/relationships/image" Target="../media/image3795.gif"/><Relationship Id="rId144" Type="http://schemas.openxmlformats.org/officeDocument/2006/relationships/image" Target="../media/image369.gif"/><Relationship Id="rId3430" Type="http://schemas.openxmlformats.org/officeDocument/2006/relationships/image" Target="../media/image3655.gif"/><Relationship Id="rId351" Type="http://schemas.openxmlformats.org/officeDocument/2006/relationships/image" Target="../media/image576.gif"/><Relationship Id="rId2032" Type="http://schemas.openxmlformats.org/officeDocument/2006/relationships/image" Target="../media/image2257.gif"/><Relationship Id="rId2989" Type="http://schemas.openxmlformats.org/officeDocument/2006/relationships/image" Target="../media/image3214.gif"/><Relationship Id="rId211" Type="http://schemas.openxmlformats.org/officeDocument/2006/relationships/image" Target="../media/image436.gif"/><Relationship Id="rId1798" Type="http://schemas.openxmlformats.org/officeDocument/2006/relationships/image" Target="../media/image2023.gif"/><Relationship Id="rId2849" Type="http://schemas.openxmlformats.org/officeDocument/2006/relationships/image" Target="../media/image3074.gif"/><Relationship Id="rId1658" Type="http://schemas.openxmlformats.org/officeDocument/2006/relationships/image" Target="../media/image1883.gif"/><Relationship Id="rId1865" Type="http://schemas.openxmlformats.org/officeDocument/2006/relationships/image" Target="../media/image2090.gif"/><Relationship Id="rId2709" Type="http://schemas.openxmlformats.org/officeDocument/2006/relationships/image" Target="../media/image2934.gif"/><Relationship Id="rId4064" Type="http://schemas.openxmlformats.org/officeDocument/2006/relationships/image" Target="../media/image4289.gif"/><Relationship Id="rId4271" Type="http://schemas.openxmlformats.org/officeDocument/2006/relationships/image" Target="../media/image4496.gif"/><Relationship Id="rId1518" Type="http://schemas.openxmlformats.org/officeDocument/2006/relationships/image" Target="../media/image1743.gif"/><Relationship Id="rId2916" Type="http://schemas.openxmlformats.org/officeDocument/2006/relationships/image" Target="../media/image3141.gif"/><Relationship Id="rId3080" Type="http://schemas.openxmlformats.org/officeDocument/2006/relationships/image" Target="../media/image3305.gif"/><Relationship Id="rId4131" Type="http://schemas.openxmlformats.org/officeDocument/2006/relationships/image" Target="../media/image4356.gif"/><Relationship Id="rId1725" Type="http://schemas.openxmlformats.org/officeDocument/2006/relationships/image" Target="../media/image1950.gif"/><Relationship Id="rId1932" Type="http://schemas.openxmlformats.org/officeDocument/2006/relationships/image" Target="../media/image2157.gif"/><Relationship Id="rId17" Type="http://schemas.openxmlformats.org/officeDocument/2006/relationships/image" Target="../media/image242.gif"/><Relationship Id="rId3897" Type="http://schemas.openxmlformats.org/officeDocument/2006/relationships/image" Target="../media/image4122.gif"/><Relationship Id="rId2499" Type="http://schemas.openxmlformats.org/officeDocument/2006/relationships/image" Target="../media/image2724.gif"/><Relationship Id="rId3757" Type="http://schemas.openxmlformats.org/officeDocument/2006/relationships/image" Target="../media/image3982.gif"/><Relationship Id="rId3964" Type="http://schemas.openxmlformats.org/officeDocument/2006/relationships/image" Target="../media/image4189.gif"/><Relationship Id="rId1" Type="http://schemas.openxmlformats.org/officeDocument/2006/relationships/image" Target="../media/image226.gif"/><Relationship Id="rId678" Type="http://schemas.openxmlformats.org/officeDocument/2006/relationships/image" Target="../media/image903.gif"/><Relationship Id="rId885" Type="http://schemas.openxmlformats.org/officeDocument/2006/relationships/image" Target="../media/image1110.gif"/><Relationship Id="rId2359" Type="http://schemas.openxmlformats.org/officeDocument/2006/relationships/image" Target="../media/image2584.gif"/><Relationship Id="rId2566" Type="http://schemas.openxmlformats.org/officeDocument/2006/relationships/image" Target="../media/image2791.gif"/><Relationship Id="rId2773" Type="http://schemas.openxmlformats.org/officeDocument/2006/relationships/image" Target="../media/image2998.gif"/><Relationship Id="rId2980" Type="http://schemas.openxmlformats.org/officeDocument/2006/relationships/image" Target="../media/image3205.gif"/><Relationship Id="rId3617" Type="http://schemas.openxmlformats.org/officeDocument/2006/relationships/image" Target="../media/image3842.gif"/><Relationship Id="rId3824" Type="http://schemas.openxmlformats.org/officeDocument/2006/relationships/image" Target="../media/image4049.gif"/><Relationship Id="rId538" Type="http://schemas.openxmlformats.org/officeDocument/2006/relationships/image" Target="../media/image763.gif"/><Relationship Id="rId745" Type="http://schemas.openxmlformats.org/officeDocument/2006/relationships/image" Target="../media/image970.gif"/><Relationship Id="rId952" Type="http://schemas.openxmlformats.org/officeDocument/2006/relationships/image" Target="../media/image1177.gif"/><Relationship Id="rId1168" Type="http://schemas.openxmlformats.org/officeDocument/2006/relationships/image" Target="../media/image1393.gif"/><Relationship Id="rId1375" Type="http://schemas.openxmlformats.org/officeDocument/2006/relationships/image" Target="../media/image1600.gif"/><Relationship Id="rId1582" Type="http://schemas.openxmlformats.org/officeDocument/2006/relationships/image" Target="../media/image1807.gif"/><Relationship Id="rId2219" Type="http://schemas.openxmlformats.org/officeDocument/2006/relationships/image" Target="../media/image2444.gif"/><Relationship Id="rId2426" Type="http://schemas.openxmlformats.org/officeDocument/2006/relationships/image" Target="../media/image2651.gif"/><Relationship Id="rId2633" Type="http://schemas.openxmlformats.org/officeDocument/2006/relationships/image" Target="../media/image2858.gif"/><Relationship Id="rId81" Type="http://schemas.openxmlformats.org/officeDocument/2006/relationships/image" Target="../media/image306.gif"/><Relationship Id="rId605" Type="http://schemas.openxmlformats.org/officeDocument/2006/relationships/image" Target="../media/image830.gif"/><Relationship Id="rId812" Type="http://schemas.openxmlformats.org/officeDocument/2006/relationships/image" Target="../media/image1037.gif"/><Relationship Id="rId1028" Type="http://schemas.openxmlformats.org/officeDocument/2006/relationships/image" Target="../media/image1253.gif"/><Relationship Id="rId1235" Type="http://schemas.openxmlformats.org/officeDocument/2006/relationships/image" Target="../media/image1460.gif"/><Relationship Id="rId1442" Type="http://schemas.openxmlformats.org/officeDocument/2006/relationships/image" Target="../media/image1667.gif"/><Relationship Id="rId2840" Type="http://schemas.openxmlformats.org/officeDocument/2006/relationships/image" Target="../media/image3065.gif"/><Relationship Id="rId1302" Type="http://schemas.openxmlformats.org/officeDocument/2006/relationships/image" Target="../media/image1527.gif"/><Relationship Id="rId2700" Type="http://schemas.openxmlformats.org/officeDocument/2006/relationships/image" Target="../media/image2925.gif"/><Relationship Id="rId4458" Type="http://schemas.openxmlformats.org/officeDocument/2006/relationships/image" Target="../media/image4683.gif"/><Relationship Id="rId3267" Type="http://schemas.openxmlformats.org/officeDocument/2006/relationships/image" Target="../media/image3492.gif"/><Relationship Id="rId188" Type="http://schemas.openxmlformats.org/officeDocument/2006/relationships/image" Target="../media/image413.gif"/><Relationship Id="rId395" Type="http://schemas.openxmlformats.org/officeDocument/2006/relationships/image" Target="../media/image620.gif"/><Relationship Id="rId2076" Type="http://schemas.openxmlformats.org/officeDocument/2006/relationships/image" Target="../media/image2301.gif"/><Relationship Id="rId3474" Type="http://schemas.openxmlformats.org/officeDocument/2006/relationships/image" Target="../media/image3699.gif"/><Relationship Id="rId3681" Type="http://schemas.openxmlformats.org/officeDocument/2006/relationships/image" Target="../media/image3906.gif"/><Relationship Id="rId4318" Type="http://schemas.openxmlformats.org/officeDocument/2006/relationships/image" Target="../media/image4543.gif"/><Relationship Id="rId2283" Type="http://schemas.openxmlformats.org/officeDocument/2006/relationships/image" Target="../media/image2508.gif"/><Relationship Id="rId2490" Type="http://schemas.openxmlformats.org/officeDocument/2006/relationships/image" Target="../media/image2715.gif"/><Relationship Id="rId3127" Type="http://schemas.openxmlformats.org/officeDocument/2006/relationships/image" Target="../media/image3352.gif"/><Relationship Id="rId3334" Type="http://schemas.openxmlformats.org/officeDocument/2006/relationships/image" Target="../media/image3559.gif"/><Relationship Id="rId3541" Type="http://schemas.openxmlformats.org/officeDocument/2006/relationships/image" Target="../media/image3766.gif"/><Relationship Id="rId255" Type="http://schemas.openxmlformats.org/officeDocument/2006/relationships/image" Target="../media/image480.gif"/><Relationship Id="rId462" Type="http://schemas.openxmlformats.org/officeDocument/2006/relationships/image" Target="../media/image687.gif"/><Relationship Id="rId1092" Type="http://schemas.openxmlformats.org/officeDocument/2006/relationships/image" Target="../media/image1317.gif"/><Relationship Id="rId2143" Type="http://schemas.openxmlformats.org/officeDocument/2006/relationships/image" Target="../media/image2368.gif"/><Relationship Id="rId2350" Type="http://schemas.openxmlformats.org/officeDocument/2006/relationships/image" Target="../media/image2575.gif"/><Relationship Id="rId3401" Type="http://schemas.openxmlformats.org/officeDocument/2006/relationships/image" Target="../media/image3626.gif"/><Relationship Id="rId115" Type="http://schemas.openxmlformats.org/officeDocument/2006/relationships/image" Target="../media/image340.gif"/><Relationship Id="rId322" Type="http://schemas.openxmlformats.org/officeDocument/2006/relationships/image" Target="../media/image547.gif"/><Relationship Id="rId2003" Type="http://schemas.openxmlformats.org/officeDocument/2006/relationships/image" Target="../media/image2228.gif"/><Relationship Id="rId2210" Type="http://schemas.openxmlformats.org/officeDocument/2006/relationships/image" Target="../media/image2435.gif"/><Relationship Id="rId4175" Type="http://schemas.openxmlformats.org/officeDocument/2006/relationships/image" Target="../media/image4400.gif"/><Relationship Id="rId4382" Type="http://schemas.openxmlformats.org/officeDocument/2006/relationships/image" Target="../media/image4607.gif"/><Relationship Id="rId1769" Type="http://schemas.openxmlformats.org/officeDocument/2006/relationships/image" Target="../media/image1994.gif"/><Relationship Id="rId1976" Type="http://schemas.openxmlformats.org/officeDocument/2006/relationships/image" Target="../media/image2201.gif"/><Relationship Id="rId3191" Type="http://schemas.openxmlformats.org/officeDocument/2006/relationships/image" Target="../media/image3416.gif"/><Relationship Id="rId4035" Type="http://schemas.openxmlformats.org/officeDocument/2006/relationships/image" Target="../media/image4260.gif"/><Relationship Id="rId4242" Type="http://schemas.openxmlformats.org/officeDocument/2006/relationships/image" Target="../media/image4467.gif"/><Relationship Id="rId1629" Type="http://schemas.openxmlformats.org/officeDocument/2006/relationships/image" Target="../media/image1854.gif"/><Relationship Id="rId1836" Type="http://schemas.openxmlformats.org/officeDocument/2006/relationships/image" Target="../media/image2061.gif"/><Relationship Id="rId1903" Type="http://schemas.openxmlformats.org/officeDocument/2006/relationships/image" Target="../media/image2128.gif"/><Relationship Id="rId3051" Type="http://schemas.openxmlformats.org/officeDocument/2006/relationships/image" Target="../media/image3276.gif"/><Relationship Id="rId4102" Type="http://schemas.openxmlformats.org/officeDocument/2006/relationships/image" Target="../media/image4327.gif"/><Relationship Id="rId3868" Type="http://schemas.openxmlformats.org/officeDocument/2006/relationships/image" Target="../media/image4093.gif"/><Relationship Id="rId789" Type="http://schemas.openxmlformats.org/officeDocument/2006/relationships/image" Target="../media/image1014.gif"/><Relationship Id="rId996" Type="http://schemas.openxmlformats.org/officeDocument/2006/relationships/image" Target="../media/image1221.gif"/><Relationship Id="rId2677" Type="http://schemas.openxmlformats.org/officeDocument/2006/relationships/image" Target="../media/image2902.gif"/><Relationship Id="rId2884" Type="http://schemas.openxmlformats.org/officeDocument/2006/relationships/image" Target="../media/image3109.gif"/><Relationship Id="rId3728" Type="http://schemas.openxmlformats.org/officeDocument/2006/relationships/image" Target="../media/image3953.gif"/><Relationship Id="rId649" Type="http://schemas.openxmlformats.org/officeDocument/2006/relationships/image" Target="../media/image874.gif"/><Relationship Id="rId856" Type="http://schemas.openxmlformats.org/officeDocument/2006/relationships/image" Target="../media/image1081.gif"/><Relationship Id="rId1279" Type="http://schemas.openxmlformats.org/officeDocument/2006/relationships/image" Target="../media/image1504.gif"/><Relationship Id="rId1486" Type="http://schemas.openxmlformats.org/officeDocument/2006/relationships/image" Target="../media/image1711.gif"/><Relationship Id="rId2537" Type="http://schemas.openxmlformats.org/officeDocument/2006/relationships/image" Target="../media/image2762.gif"/><Relationship Id="rId3935" Type="http://schemas.openxmlformats.org/officeDocument/2006/relationships/image" Target="../media/image4160.gif"/><Relationship Id="rId509" Type="http://schemas.openxmlformats.org/officeDocument/2006/relationships/image" Target="../media/image734.gif"/><Relationship Id="rId1139" Type="http://schemas.openxmlformats.org/officeDocument/2006/relationships/image" Target="../media/image1364.gif"/><Relationship Id="rId1346" Type="http://schemas.openxmlformats.org/officeDocument/2006/relationships/image" Target="../media/image1571.gif"/><Relationship Id="rId1693" Type="http://schemas.openxmlformats.org/officeDocument/2006/relationships/image" Target="../media/image1918.gif"/><Relationship Id="rId2744" Type="http://schemas.openxmlformats.org/officeDocument/2006/relationships/image" Target="../media/image2969.gif"/><Relationship Id="rId2951" Type="http://schemas.openxmlformats.org/officeDocument/2006/relationships/image" Target="../media/image3176.gif"/><Relationship Id="rId716" Type="http://schemas.openxmlformats.org/officeDocument/2006/relationships/image" Target="../media/image941.gif"/><Relationship Id="rId923" Type="http://schemas.openxmlformats.org/officeDocument/2006/relationships/image" Target="../media/image1148.gif"/><Relationship Id="rId1553" Type="http://schemas.openxmlformats.org/officeDocument/2006/relationships/image" Target="../media/image1778.gif"/><Relationship Id="rId1760" Type="http://schemas.openxmlformats.org/officeDocument/2006/relationships/image" Target="../media/image1985.gif"/><Relationship Id="rId2604" Type="http://schemas.openxmlformats.org/officeDocument/2006/relationships/image" Target="../media/image2829.gif"/><Relationship Id="rId2811" Type="http://schemas.openxmlformats.org/officeDocument/2006/relationships/image" Target="../media/image3036.gif"/><Relationship Id="rId52" Type="http://schemas.openxmlformats.org/officeDocument/2006/relationships/image" Target="../media/image277.gif"/><Relationship Id="rId1206" Type="http://schemas.openxmlformats.org/officeDocument/2006/relationships/image" Target="../media/image1431.gif"/><Relationship Id="rId1413" Type="http://schemas.openxmlformats.org/officeDocument/2006/relationships/image" Target="../media/image1638.gif"/><Relationship Id="rId1620" Type="http://schemas.openxmlformats.org/officeDocument/2006/relationships/image" Target="../media/image1845.gif"/><Relationship Id="rId3378" Type="http://schemas.openxmlformats.org/officeDocument/2006/relationships/image" Target="../media/image3603.gif"/><Relationship Id="rId3585" Type="http://schemas.openxmlformats.org/officeDocument/2006/relationships/image" Target="../media/image3810.gif"/><Relationship Id="rId3792" Type="http://schemas.openxmlformats.org/officeDocument/2006/relationships/image" Target="../media/image4017.gif"/><Relationship Id="rId4429" Type="http://schemas.openxmlformats.org/officeDocument/2006/relationships/image" Target="../media/image4654.gif"/><Relationship Id="rId299" Type="http://schemas.openxmlformats.org/officeDocument/2006/relationships/image" Target="../media/image524.gif"/><Relationship Id="rId2187" Type="http://schemas.openxmlformats.org/officeDocument/2006/relationships/image" Target="../media/image2412.gif"/><Relationship Id="rId2394" Type="http://schemas.openxmlformats.org/officeDocument/2006/relationships/image" Target="../media/image2619.gif"/><Relationship Id="rId3238" Type="http://schemas.openxmlformats.org/officeDocument/2006/relationships/image" Target="../media/image3463.gif"/><Relationship Id="rId3445" Type="http://schemas.openxmlformats.org/officeDocument/2006/relationships/image" Target="../media/image3670.gif"/><Relationship Id="rId3652" Type="http://schemas.openxmlformats.org/officeDocument/2006/relationships/image" Target="../media/image3877.gif"/><Relationship Id="rId159" Type="http://schemas.openxmlformats.org/officeDocument/2006/relationships/image" Target="../media/image384.gif"/><Relationship Id="rId366" Type="http://schemas.openxmlformats.org/officeDocument/2006/relationships/image" Target="../media/image591.gif"/><Relationship Id="rId573" Type="http://schemas.openxmlformats.org/officeDocument/2006/relationships/image" Target="../media/image798.gif"/><Relationship Id="rId780" Type="http://schemas.openxmlformats.org/officeDocument/2006/relationships/image" Target="../media/image1005.gif"/><Relationship Id="rId2047" Type="http://schemas.openxmlformats.org/officeDocument/2006/relationships/image" Target="../media/image2272.gif"/><Relationship Id="rId2254" Type="http://schemas.openxmlformats.org/officeDocument/2006/relationships/image" Target="../media/image2479.gif"/><Relationship Id="rId2461" Type="http://schemas.openxmlformats.org/officeDocument/2006/relationships/image" Target="../media/image2686.gif"/><Relationship Id="rId3305" Type="http://schemas.openxmlformats.org/officeDocument/2006/relationships/image" Target="../media/image3530.gif"/><Relationship Id="rId3512" Type="http://schemas.openxmlformats.org/officeDocument/2006/relationships/image" Target="../media/image3737.gif"/><Relationship Id="rId226" Type="http://schemas.openxmlformats.org/officeDocument/2006/relationships/image" Target="../media/image451.gif"/><Relationship Id="rId433" Type="http://schemas.openxmlformats.org/officeDocument/2006/relationships/image" Target="../media/image658.gif"/><Relationship Id="rId1063" Type="http://schemas.openxmlformats.org/officeDocument/2006/relationships/image" Target="../media/image1288.gif"/><Relationship Id="rId1270" Type="http://schemas.openxmlformats.org/officeDocument/2006/relationships/image" Target="../media/image1495.gif"/><Relationship Id="rId2114" Type="http://schemas.openxmlformats.org/officeDocument/2006/relationships/image" Target="../media/image2339.gif"/><Relationship Id="rId640" Type="http://schemas.openxmlformats.org/officeDocument/2006/relationships/image" Target="../media/image865.gif"/><Relationship Id="rId2321" Type="http://schemas.openxmlformats.org/officeDocument/2006/relationships/image" Target="../media/image2546.gif"/><Relationship Id="rId4079" Type="http://schemas.openxmlformats.org/officeDocument/2006/relationships/image" Target="../media/image4304.gif"/><Relationship Id="rId4286" Type="http://schemas.openxmlformats.org/officeDocument/2006/relationships/image" Target="../media/image4511.gif"/><Relationship Id="rId500" Type="http://schemas.openxmlformats.org/officeDocument/2006/relationships/image" Target="../media/image725.gif"/><Relationship Id="rId1130" Type="http://schemas.openxmlformats.org/officeDocument/2006/relationships/image" Target="../media/image1355.gif"/><Relationship Id="rId1947" Type="http://schemas.openxmlformats.org/officeDocument/2006/relationships/image" Target="../media/image2172.gif"/><Relationship Id="rId3095" Type="http://schemas.openxmlformats.org/officeDocument/2006/relationships/image" Target="../media/image3320.gif"/><Relationship Id="rId4146" Type="http://schemas.openxmlformats.org/officeDocument/2006/relationships/image" Target="../media/image4371.gif"/><Relationship Id="rId4353" Type="http://schemas.openxmlformats.org/officeDocument/2006/relationships/image" Target="../media/image4578.gif"/><Relationship Id="rId1807" Type="http://schemas.openxmlformats.org/officeDocument/2006/relationships/image" Target="../media/image2032.gif"/><Relationship Id="rId3162" Type="http://schemas.openxmlformats.org/officeDocument/2006/relationships/image" Target="../media/image3387.gif"/><Relationship Id="rId4006" Type="http://schemas.openxmlformats.org/officeDocument/2006/relationships/image" Target="../media/image4231.gif"/><Relationship Id="rId4213" Type="http://schemas.openxmlformats.org/officeDocument/2006/relationships/image" Target="../media/image4438.gif"/><Relationship Id="rId4420" Type="http://schemas.openxmlformats.org/officeDocument/2006/relationships/image" Target="../media/image4645.gif"/><Relationship Id="rId290" Type="http://schemas.openxmlformats.org/officeDocument/2006/relationships/image" Target="../media/image515.gif"/><Relationship Id="rId3022" Type="http://schemas.openxmlformats.org/officeDocument/2006/relationships/image" Target="../media/image3247.gif"/><Relationship Id="rId150" Type="http://schemas.openxmlformats.org/officeDocument/2006/relationships/image" Target="../media/image375.gif"/><Relationship Id="rId3979" Type="http://schemas.openxmlformats.org/officeDocument/2006/relationships/image" Target="../media/image4204.gif"/><Relationship Id="rId2788" Type="http://schemas.openxmlformats.org/officeDocument/2006/relationships/image" Target="../media/image3013.gif"/><Relationship Id="rId2995" Type="http://schemas.openxmlformats.org/officeDocument/2006/relationships/image" Target="../media/image3220.gif"/><Relationship Id="rId3839" Type="http://schemas.openxmlformats.org/officeDocument/2006/relationships/image" Target="../media/image4064.gif"/><Relationship Id="rId967" Type="http://schemas.openxmlformats.org/officeDocument/2006/relationships/image" Target="../media/image1192.gif"/><Relationship Id="rId1597" Type="http://schemas.openxmlformats.org/officeDocument/2006/relationships/image" Target="../media/image1822.gif"/><Relationship Id="rId2648" Type="http://schemas.openxmlformats.org/officeDocument/2006/relationships/image" Target="../media/image2873.gif"/><Relationship Id="rId2855" Type="http://schemas.openxmlformats.org/officeDocument/2006/relationships/image" Target="../media/image3080.gif"/><Relationship Id="rId3906" Type="http://schemas.openxmlformats.org/officeDocument/2006/relationships/image" Target="../media/image4131.gif"/><Relationship Id="rId96" Type="http://schemas.openxmlformats.org/officeDocument/2006/relationships/image" Target="../media/image321.gif"/><Relationship Id="rId827" Type="http://schemas.openxmlformats.org/officeDocument/2006/relationships/image" Target="../media/image1052.gif"/><Relationship Id="rId1457" Type="http://schemas.openxmlformats.org/officeDocument/2006/relationships/image" Target="../media/image1682.gif"/><Relationship Id="rId1664" Type="http://schemas.openxmlformats.org/officeDocument/2006/relationships/image" Target="../media/image1889.gif"/><Relationship Id="rId1871" Type="http://schemas.openxmlformats.org/officeDocument/2006/relationships/image" Target="../media/image2096.gif"/><Relationship Id="rId2508" Type="http://schemas.openxmlformats.org/officeDocument/2006/relationships/image" Target="../media/image2733.gif"/><Relationship Id="rId2715" Type="http://schemas.openxmlformats.org/officeDocument/2006/relationships/image" Target="../media/image2940.gif"/><Relationship Id="rId2922" Type="http://schemas.openxmlformats.org/officeDocument/2006/relationships/image" Target="../media/image3147.gif"/><Relationship Id="rId4070" Type="http://schemas.openxmlformats.org/officeDocument/2006/relationships/image" Target="../media/image4295.gif"/><Relationship Id="rId1317" Type="http://schemas.openxmlformats.org/officeDocument/2006/relationships/image" Target="../media/image1542.gif"/><Relationship Id="rId1524" Type="http://schemas.openxmlformats.org/officeDocument/2006/relationships/image" Target="../media/image1749.gif"/><Relationship Id="rId1731" Type="http://schemas.openxmlformats.org/officeDocument/2006/relationships/image" Target="../media/image1956.gif"/><Relationship Id="rId23" Type="http://schemas.openxmlformats.org/officeDocument/2006/relationships/image" Target="../media/image248.gif"/><Relationship Id="rId3489" Type="http://schemas.openxmlformats.org/officeDocument/2006/relationships/image" Target="../media/image3714.gif"/><Relationship Id="rId3696" Type="http://schemas.openxmlformats.org/officeDocument/2006/relationships/image" Target="../media/image3921.gif"/><Relationship Id="rId2298" Type="http://schemas.openxmlformats.org/officeDocument/2006/relationships/image" Target="../media/image2523.gif"/><Relationship Id="rId3349" Type="http://schemas.openxmlformats.org/officeDocument/2006/relationships/image" Target="../media/image3574.gif"/><Relationship Id="rId3556" Type="http://schemas.openxmlformats.org/officeDocument/2006/relationships/image" Target="../media/image3781.gif"/><Relationship Id="rId477" Type="http://schemas.openxmlformats.org/officeDocument/2006/relationships/image" Target="../media/image702.gif"/><Relationship Id="rId684" Type="http://schemas.openxmlformats.org/officeDocument/2006/relationships/image" Target="../media/image909.gif"/><Relationship Id="rId2158" Type="http://schemas.openxmlformats.org/officeDocument/2006/relationships/image" Target="../media/image2383.gif"/><Relationship Id="rId2365" Type="http://schemas.openxmlformats.org/officeDocument/2006/relationships/image" Target="../media/image2590.gif"/><Relationship Id="rId3209" Type="http://schemas.openxmlformats.org/officeDocument/2006/relationships/image" Target="../media/image3434.gif"/><Relationship Id="rId3763" Type="http://schemas.openxmlformats.org/officeDocument/2006/relationships/image" Target="../media/image3988.gif"/><Relationship Id="rId3970" Type="http://schemas.openxmlformats.org/officeDocument/2006/relationships/image" Target="../media/image4195.gif"/><Relationship Id="rId337" Type="http://schemas.openxmlformats.org/officeDocument/2006/relationships/image" Target="../media/image562.gif"/><Relationship Id="rId891" Type="http://schemas.openxmlformats.org/officeDocument/2006/relationships/image" Target="../media/image1116.gif"/><Relationship Id="rId2018" Type="http://schemas.openxmlformats.org/officeDocument/2006/relationships/image" Target="../media/image2243.gif"/><Relationship Id="rId2572" Type="http://schemas.openxmlformats.org/officeDocument/2006/relationships/image" Target="../media/image2797.gif"/><Relationship Id="rId3416" Type="http://schemas.openxmlformats.org/officeDocument/2006/relationships/image" Target="../media/image3641.gif"/><Relationship Id="rId3623" Type="http://schemas.openxmlformats.org/officeDocument/2006/relationships/image" Target="../media/image3848.gif"/><Relationship Id="rId3830" Type="http://schemas.openxmlformats.org/officeDocument/2006/relationships/image" Target="../media/image4055.gif"/><Relationship Id="rId544" Type="http://schemas.openxmlformats.org/officeDocument/2006/relationships/image" Target="../media/image769.gif"/><Relationship Id="rId751" Type="http://schemas.openxmlformats.org/officeDocument/2006/relationships/image" Target="../media/image976.gif"/><Relationship Id="rId1174" Type="http://schemas.openxmlformats.org/officeDocument/2006/relationships/image" Target="../media/image1399.gif"/><Relationship Id="rId1381" Type="http://schemas.openxmlformats.org/officeDocument/2006/relationships/image" Target="../media/image1606.gif"/><Relationship Id="rId2225" Type="http://schemas.openxmlformats.org/officeDocument/2006/relationships/image" Target="../media/image2450.gif"/><Relationship Id="rId2432" Type="http://schemas.openxmlformats.org/officeDocument/2006/relationships/image" Target="../media/image2657.gif"/><Relationship Id="rId404" Type="http://schemas.openxmlformats.org/officeDocument/2006/relationships/image" Target="../media/image629.gif"/><Relationship Id="rId611" Type="http://schemas.openxmlformats.org/officeDocument/2006/relationships/image" Target="../media/image836.gif"/><Relationship Id="rId1034" Type="http://schemas.openxmlformats.org/officeDocument/2006/relationships/image" Target="../media/image1259.gif"/><Relationship Id="rId1241" Type="http://schemas.openxmlformats.org/officeDocument/2006/relationships/image" Target="../media/image1466.gif"/><Relationship Id="rId4397" Type="http://schemas.openxmlformats.org/officeDocument/2006/relationships/image" Target="../media/image4622.gif"/><Relationship Id="rId1101" Type="http://schemas.openxmlformats.org/officeDocument/2006/relationships/image" Target="../media/image1326.gif"/><Relationship Id="rId4257" Type="http://schemas.openxmlformats.org/officeDocument/2006/relationships/image" Target="../media/image4482.gif"/><Relationship Id="rId4464" Type="http://schemas.openxmlformats.org/officeDocument/2006/relationships/image" Target="../media/image4689.gif"/><Relationship Id="rId3066" Type="http://schemas.openxmlformats.org/officeDocument/2006/relationships/image" Target="../media/image3291.gif"/><Relationship Id="rId3273" Type="http://schemas.openxmlformats.org/officeDocument/2006/relationships/image" Target="../media/image3498.gif"/><Relationship Id="rId3480" Type="http://schemas.openxmlformats.org/officeDocument/2006/relationships/image" Target="../media/image3705.gif"/><Relationship Id="rId4117" Type="http://schemas.openxmlformats.org/officeDocument/2006/relationships/image" Target="../media/image4342.gif"/><Relationship Id="rId4324" Type="http://schemas.openxmlformats.org/officeDocument/2006/relationships/image" Target="../media/image4549.gif"/><Relationship Id="rId194" Type="http://schemas.openxmlformats.org/officeDocument/2006/relationships/image" Target="../media/image419.gif"/><Relationship Id="rId1918" Type="http://schemas.openxmlformats.org/officeDocument/2006/relationships/image" Target="../media/image2143.gif"/><Relationship Id="rId2082" Type="http://schemas.openxmlformats.org/officeDocument/2006/relationships/image" Target="../media/image2307.gif"/><Relationship Id="rId3133" Type="http://schemas.openxmlformats.org/officeDocument/2006/relationships/image" Target="../media/image3358.gif"/><Relationship Id="rId261" Type="http://schemas.openxmlformats.org/officeDocument/2006/relationships/image" Target="../media/image486.gif"/><Relationship Id="rId3340" Type="http://schemas.openxmlformats.org/officeDocument/2006/relationships/image" Target="../media/image3565.gif"/><Relationship Id="rId2899" Type="http://schemas.openxmlformats.org/officeDocument/2006/relationships/image" Target="../media/image3124.gif"/><Relationship Id="rId3200" Type="http://schemas.openxmlformats.org/officeDocument/2006/relationships/image" Target="../media/image3425.gif"/><Relationship Id="rId121" Type="http://schemas.openxmlformats.org/officeDocument/2006/relationships/image" Target="../media/image346.gif"/><Relationship Id="rId2759" Type="http://schemas.openxmlformats.org/officeDocument/2006/relationships/image" Target="../media/image2984.gif"/><Relationship Id="rId2966" Type="http://schemas.openxmlformats.org/officeDocument/2006/relationships/image" Target="../media/image3191.gif"/><Relationship Id="rId938" Type="http://schemas.openxmlformats.org/officeDocument/2006/relationships/image" Target="../media/image1163.gif"/><Relationship Id="rId1568" Type="http://schemas.openxmlformats.org/officeDocument/2006/relationships/image" Target="../media/image1793.gif"/><Relationship Id="rId1775" Type="http://schemas.openxmlformats.org/officeDocument/2006/relationships/image" Target="../media/image2000.gif"/><Relationship Id="rId2619" Type="http://schemas.openxmlformats.org/officeDocument/2006/relationships/image" Target="../media/image2844.gif"/><Relationship Id="rId2826" Type="http://schemas.openxmlformats.org/officeDocument/2006/relationships/image" Target="../media/image3051.gif"/><Relationship Id="rId4181" Type="http://schemas.openxmlformats.org/officeDocument/2006/relationships/image" Target="../media/image4406.gif"/><Relationship Id="rId67" Type="http://schemas.openxmlformats.org/officeDocument/2006/relationships/image" Target="../media/image292.gif"/><Relationship Id="rId1428" Type="http://schemas.openxmlformats.org/officeDocument/2006/relationships/image" Target="../media/image1653.gif"/><Relationship Id="rId1635" Type="http://schemas.openxmlformats.org/officeDocument/2006/relationships/image" Target="../media/image1860.gif"/><Relationship Id="rId1982" Type="http://schemas.openxmlformats.org/officeDocument/2006/relationships/image" Target="../media/image2207.gif"/><Relationship Id="rId4041" Type="http://schemas.openxmlformats.org/officeDocument/2006/relationships/image" Target="../media/image4266.gif"/><Relationship Id="rId1842" Type="http://schemas.openxmlformats.org/officeDocument/2006/relationships/image" Target="../media/image2067.gif"/><Relationship Id="rId1702" Type="http://schemas.openxmlformats.org/officeDocument/2006/relationships/image" Target="../media/image1927.gif"/><Relationship Id="rId3667" Type="http://schemas.openxmlformats.org/officeDocument/2006/relationships/image" Target="../media/image3892.gif"/><Relationship Id="rId3874" Type="http://schemas.openxmlformats.org/officeDocument/2006/relationships/image" Target="../media/image4099.gif"/><Relationship Id="rId588" Type="http://schemas.openxmlformats.org/officeDocument/2006/relationships/image" Target="../media/image813.gif"/><Relationship Id="rId795" Type="http://schemas.openxmlformats.org/officeDocument/2006/relationships/image" Target="../media/image1020.gif"/><Relationship Id="rId2269" Type="http://schemas.openxmlformats.org/officeDocument/2006/relationships/image" Target="../media/image2494.gif"/><Relationship Id="rId2476" Type="http://schemas.openxmlformats.org/officeDocument/2006/relationships/image" Target="../media/image2701.gif"/><Relationship Id="rId2683" Type="http://schemas.openxmlformats.org/officeDocument/2006/relationships/image" Target="../media/image2908.gif"/><Relationship Id="rId2890" Type="http://schemas.openxmlformats.org/officeDocument/2006/relationships/image" Target="../media/image3115.gif"/><Relationship Id="rId3527" Type="http://schemas.openxmlformats.org/officeDocument/2006/relationships/image" Target="../media/image3752.gif"/><Relationship Id="rId3734" Type="http://schemas.openxmlformats.org/officeDocument/2006/relationships/image" Target="../media/image3959.gif"/><Relationship Id="rId3941" Type="http://schemas.openxmlformats.org/officeDocument/2006/relationships/image" Target="../media/image4166.gif"/><Relationship Id="rId448" Type="http://schemas.openxmlformats.org/officeDocument/2006/relationships/image" Target="../media/image673.gif"/><Relationship Id="rId655" Type="http://schemas.openxmlformats.org/officeDocument/2006/relationships/image" Target="../media/image880.gif"/><Relationship Id="rId862" Type="http://schemas.openxmlformats.org/officeDocument/2006/relationships/image" Target="../media/image1087.gif"/><Relationship Id="rId1078" Type="http://schemas.openxmlformats.org/officeDocument/2006/relationships/image" Target="../media/image1303.gif"/><Relationship Id="rId1285" Type="http://schemas.openxmlformats.org/officeDocument/2006/relationships/image" Target="../media/image1510.gif"/><Relationship Id="rId1492" Type="http://schemas.openxmlformats.org/officeDocument/2006/relationships/image" Target="../media/image1717.gif"/><Relationship Id="rId2129" Type="http://schemas.openxmlformats.org/officeDocument/2006/relationships/image" Target="../media/image2354.gif"/><Relationship Id="rId2336" Type="http://schemas.openxmlformats.org/officeDocument/2006/relationships/image" Target="../media/image2561.gif"/><Relationship Id="rId2543" Type="http://schemas.openxmlformats.org/officeDocument/2006/relationships/image" Target="../media/image2768.gif"/><Relationship Id="rId2750" Type="http://schemas.openxmlformats.org/officeDocument/2006/relationships/image" Target="../media/image2975.gif"/><Relationship Id="rId3801" Type="http://schemas.openxmlformats.org/officeDocument/2006/relationships/image" Target="../media/image4026.gif"/><Relationship Id="rId308" Type="http://schemas.openxmlformats.org/officeDocument/2006/relationships/image" Target="../media/image533.gif"/><Relationship Id="rId515" Type="http://schemas.openxmlformats.org/officeDocument/2006/relationships/image" Target="../media/image740.gif"/><Relationship Id="rId722" Type="http://schemas.openxmlformats.org/officeDocument/2006/relationships/image" Target="../media/image947.gif"/><Relationship Id="rId1145" Type="http://schemas.openxmlformats.org/officeDocument/2006/relationships/image" Target="../media/image1370.gif"/><Relationship Id="rId1352" Type="http://schemas.openxmlformats.org/officeDocument/2006/relationships/image" Target="../media/image1577.gif"/><Relationship Id="rId2403" Type="http://schemas.openxmlformats.org/officeDocument/2006/relationships/image" Target="../media/image2628.gif"/><Relationship Id="rId1005" Type="http://schemas.openxmlformats.org/officeDocument/2006/relationships/image" Target="../media/image1230.gif"/><Relationship Id="rId1212" Type="http://schemas.openxmlformats.org/officeDocument/2006/relationships/image" Target="../media/image1437.gif"/><Relationship Id="rId2610" Type="http://schemas.openxmlformats.org/officeDocument/2006/relationships/image" Target="../media/image2835.gif"/><Relationship Id="rId4368" Type="http://schemas.openxmlformats.org/officeDocument/2006/relationships/image" Target="../media/image4593.gif"/><Relationship Id="rId3177" Type="http://schemas.openxmlformats.org/officeDocument/2006/relationships/image" Target="../media/image3402.gif"/><Relationship Id="rId4228" Type="http://schemas.openxmlformats.org/officeDocument/2006/relationships/image" Target="../media/image4453.gif"/><Relationship Id="rId3037" Type="http://schemas.openxmlformats.org/officeDocument/2006/relationships/image" Target="../media/image3262.gif"/><Relationship Id="rId3384" Type="http://schemas.openxmlformats.org/officeDocument/2006/relationships/image" Target="../media/image3609.gif"/><Relationship Id="rId3591" Type="http://schemas.openxmlformats.org/officeDocument/2006/relationships/image" Target="../media/image3816.gif"/><Relationship Id="rId4435" Type="http://schemas.openxmlformats.org/officeDocument/2006/relationships/image" Target="../media/image4660.gif"/><Relationship Id="rId2193" Type="http://schemas.openxmlformats.org/officeDocument/2006/relationships/image" Target="../media/image2418.gif"/><Relationship Id="rId3244" Type="http://schemas.openxmlformats.org/officeDocument/2006/relationships/image" Target="../media/image3469.gif"/><Relationship Id="rId3451" Type="http://schemas.openxmlformats.org/officeDocument/2006/relationships/image" Target="../media/image3676.gif"/><Relationship Id="rId165" Type="http://schemas.openxmlformats.org/officeDocument/2006/relationships/image" Target="../media/image390.gif"/><Relationship Id="rId372" Type="http://schemas.openxmlformats.org/officeDocument/2006/relationships/image" Target="../media/image597.gif"/><Relationship Id="rId2053" Type="http://schemas.openxmlformats.org/officeDocument/2006/relationships/image" Target="../media/image2278.gif"/><Relationship Id="rId2260" Type="http://schemas.openxmlformats.org/officeDocument/2006/relationships/image" Target="../media/image2485.gif"/><Relationship Id="rId3104" Type="http://schemas.openxmlformats.org/officeDocument/2006/relationships/image" Target="../media/image3329.gif"/><Relationship Id="rId3311" Type="http://schemas.openxmlformats.org/officeDocument/2006/relationships/image" Target="../media/image3536.gif"/><Relationship Id="rId232" Type="http://schemas.openxmlformats.org/officeDocument/2006/relationships/image" Target="../media/image457.gif"/><Relationship Id="rId2120" Type="http://schemas.openxmlformats.org/officeDocument/2006/relationships/image" Target="../media/image2345.gif"/><Relationship Id="rId1679" Type="http://schemas.openxmlformats.org/officeDocument/2006/relationships/image" Target="../media/image1904.gif"/><Relationship Id="rId4085" Type="http://schemas.openxmlformats.org/officeDocument/2006/relationships/image" Target="../media/image4310.gif"/><Relationship Id="rId4292" Type="http://schemas.openxmlformats.org/officeDocument/2006/relationships/image" Target="../media/image4517.gif"/><Relationship Id="rId1886" Type="http://schemas.openxmlformats.org/officeDocument/2006/relationships/image" Target="../media/image2111.gif"/><Relationship Id="rId2937" Type="http://schemas.openxmlformats.org/officeDocument/2006/relationships/image" Target="../media/image3162.gif"/><Relationship Id="rId4152" Type="http://schemas.openxmlformats.org/officeDocument/2006/relationships/image" Target="../media/image4377.gif"/><Relationship Id="rId909" Type="http://schemas.openxmlformats.org/officeDocument/2006/relationships/image" Target="../media/image1134.gif"/><Relationship Id="rId1539" Type="http://schemas.openxmlformats.org/officeDocument/2006/relationships/image" Target="../media/image1764.gif"/><Relationship Id="rId1746" Type="http://schemas.openxmlformats.org/officeDocument/2006/relationships/image" Target="../media/image1971.gif"/><Relationship Id="rId1953" Type="http://schemas.openxmlformats.org/officeDocument/2006/relationships/image" Target="../media/image2178.gif"/><Relationship Id="rId38" Type="http://schemas.openxmlformats.org/officeDocument/2006/relationships/image" Target="../media/image263.gif"/><Relationship Id="rId1606" Type="http://schemas.openxmlformats.org/officeDocument/2006/relationships/image" Target="../media/image1831.gif"/><Relationship Id="rId1813" Type="http://schemas.openxmlformats.org/officeDocument/2006/relationships/image" Target="../media/image2038.gif"/><Relationship Id="rId4012" Type="http://schemas.openxmlformats.org/officeDocument/2006/relationships/image" Target="../media/image4237.gif"/><Relationship Id="rId3778" Type="http://schemas.openxmlformats.org/officeDocument/2006/relationships/image" Target="../media/image4003.gif"/><Relationship Id="rId3985" Type="http://schemas.openxmlformats.org/officeDocument/2006/relationships/image" Target="../media/image4210.gif"/><Relationship Id="rId699" Type="http://schemas.openxmlformats.org/officeDocument/2006/relationships/image" Target="../media/image924.gif"/><Relationship Id="rId2587" Type="http://schemas.openxmlformats.org/officeDocument/2006/relationships/image" Target="../media/image2812.gif"/><Relationship Id="rId2794" Type="http://schemas.openxmlformats.org/officeDocument/2006/relationships/image" Target="../media/image3019.gif"/><Relationship Id="rId3638" Type="http://schemas.openxmlformats.org/officeDocument/2006/relationships/image" Target="../media/image3863.gif"/><Relationship Id="rId3845" Type="http://schemas.openxmlformats.org/officeDocument/2006/relationships/image" Target="../media/image4070.gif"/><Relationship Id="rId559" Type="http://schemas.openxmlformats.org/officeDocument/2006/relationships/image" Target="../media/image784.gif"/><Relationship Id="rId766" Type="http://schemas.openxmlformats.org/officeDocument/2006/relationships/image" Target="../media/image991.gif"/><Relationship Id="rId1189" Type="http://schemas.openxmlformats.org/officeDocument/2006/relationships/image" Target="../media/image1414.gif"/><Relationship Id="rId1396" Type="http://schemas.openxmlformats.org/officeDocument/2006/relationships/image" Target="../media/image1621.gif"/><Relationship Id="rId2447" Type="http://schemas.openxmlformats.org/officeDocument/2006/relationships/image" Target="../media/image2672.gif"/><Relationship Id="rId419" Type="http://schemas.openxmlformats.org/officeDocument/2006/relationships/image" Target="../media/image644.gif"/><Relationship Id="rId626" Type="http://schemas.openxmlformats.org/officeDocument/2006/relationships/image" Target="../media/image851.gif"/><Relationship Id="rId973" Type="http://schemas.openxmlformats.org/officeDocument/2006/relationships/image" Target="../media/image1198.gif"/><Relationship Id="rId1049" Type="http://schemas.openxmlformats.org/officeDocument/2006/relationships/image" Target="../media/image1274.gif"/><Relationship Id="rId1256" Type="http://schemas.openxmlformats.org/officeDocument/2006/relationships/image" Target="../media/image1481.gif"/><Relationship Id="rId2307" Type="http://schemas.openxmlformats.org/officeDocument/2006/relationships/image" Target="../media/image2532.gif"/><Relationship Id="rId2654" Type="http://schemas.openxmlformats.org/officeDocument/2006/relationships/image" Target="../media/image2879.gif"/><Relationship Id="rId2861" Type="http://schemas.openxmlformats.org/officeDocument/2006/relationships/image" Target="../media/image3086.gif"/><Relationship Id="rId3705" Type="http://schemas.openxmlformats.org/officeDocument/2006/relationships/image" Target="../media/image3930.gif"/><Relationship Id="rId3912" Type="http://schemas.openxmlformats.org/officeDocument/2006/relationships/image" Target="../media/image4137.gif"/><Relationship Id="rId833" Type="http://schemas.openxmlformats.org/officeDocument/2006/relationships/image" Target="../media/image1058.gif"/><Relationship Id="rId1116" Type="http://schemas.openxmlformats.org/officeDocument/2006/relationships/image" Target="../media/image1341.gif"/><Relationship Id="rId1463" Type="http://schemas.openxmlformats.org/officeDocument/2006/relationships/image" Target="../media/image1688.gif"/><Relationship Id="rId1670" Type="http://schemas.openxmlformats.org/officeDocument/2006/relationships/image" Target="../media/image1895.gif"/><Relationship Id="rId2514" Type="http://schemas.openxmlformats.org/officeDocument/2006/relationships/image" Target="../media/image2739.gif"/><Relationship Id="rId2721" Type="http://schemas.openxmlformats.org/officeDocument/2006/relationships/image" Target="../media/image2946.gif"/><Relationship Id="rId900" Type="http://schemas.openxmlformats.org/officeDocument/2006/relationships/image" Target="../media/image1125.gif"/><Relationship Id="rId1323" Type="http://schemas.openxmlformats.org/officeDocument/2006/relationships/image" Target="../media/image1548.gif"/><Relationship Id="rId1530" Type="http://schemas.openxmlformats.org/officeDocument/2006/relationships/image" Target="../media/image1755.gif"/><Relationship Id="rId4479" Type="http://schemas.openxmlformats.org/officeDocument/2006/relationships/image" Target="../media/image4704.gif"/><Relationship Id="rId3288" Type="http://schemas.openxmlformats.org/officeDocument/2006/relationships/image" Target="../media/image3513.gif"/><Relationship Id="rId3495" Type="http://schemas.openxmlformats.org/officeDocument/2006/relationships/image" Target="../media/image3720.gif"/><Relationship Id="rId4339" Type="http://schemas.openxmlformats.org/officeDocument/2006/relationships/image" Target="../media/image4564.gif"/><Relationship Id="rId2097" Type="http://schemas.openxmlformats.org/officeDocument/2006/relationships/image" Target="../media/image2322.gif"/><Relationship Id="rId3148" Type="http://schemas.openxmlformats.org/officeDocument/2006/relationships/image" Target="../media/image3373.gif"/><Relationship Id="rId3355" Type="http://schemas.openxmlformats.org/officeDocument/2006/relationships/image" Target="../media/image3580.gif"/><Relationship Id="rId3562" Type="http://schemas.openxmlformats.org/officeDocument/2006/relationships/image" Target="../media/image3787.gif"/><Relationship Id="rId4406" Type="http://schemas.openxmlformats.org/officeDocument/2006/relationships/image" Target="../media/image4631.gif"/><Relationship Id="rId276" Type="http://schemas.openxmlformats.org/officeDocument/2006/relationships/image" Target="../media/image501.gif"/><Relationship Id="rId483" Type="http://schemas.openxmlformats.org/officeDocument/2006/relationships/image" Target="../media/image708.gif"/><Relationship Id="rId690" Type="http://schemas.openxmlformats.org/officeDocument/2006/relationships/image" Target="../media/image915.gif"/><Relationship Id="rId2164" Type="http://schemas.openxmlformats.org/officeDocument/2006/relationships/image" Target="../media/image2389.gif"/><Relationship Id="rId2371" Type="http://schemas.openxmlformats.org/officeDocument/2006/relationships/image" Target="../media/image2596.gif"/><Relationship Id="rId3008" Type="http://schemas.openxmlformats.org/officeDocument/2006/relationships/image" Target="../media/image3233.gif"/><Relationship Id="rId3215" Type="http://schemas.openxmlformats.org/officeDocument/2006/relationships/image" Target="../media/image3440.gif"/><Relationship Id="rId3422" Type="http://schemas.openxmlformats.org/officeDocument/2006/relationships/image" Target="../media/image3647.gif"/><Relationship Id="rId136" Type="http://schemas.openxmlformats.org/officeDocument/2006/relationships/image" Target="../media/image361.gif"/><Relationship Id="rId343" Type="http://schemas.openxmlformats.org/officeDocument/2006/relationships/image" Target="../media/image568.gif"/><Relationship Id="rId550" Type="http://schemas.openxmlformats.org/officeDocument/2006/relationships/image" Target="../media/image775.gif"/><Relationship Id="rId1180" Type="http://schemas.openxmlformats.org/officeDocument/2006/relationships/image" Target="../media/image1405.gif"/><Relationship Id="rId2024" Type="http://schemas.openxmlformats.org/officeDocument/2006/relationships/image" Target="../media/image2249.gif"/><Relationship Id="rId2231" Type="http://schemas.openxmlformats.org/officeDocument/2006/relationships/image" Target="../media/image2456.gif"/><Relationship Id="rId203" Type="http://schemas.openxmlformats.org/officeDocument/2006/relationships/image" Target="../media/image428.gif"/><Relationship Id="rId1040" Type="http://schemas.openxmlformats.org/officeDocument/2006/relationships/image" Target="../media/image1265.gif"/><Relationship Id="rId4196" Type="http://schemas.openxmlformats.org/officeDocument/2006/relationships/image" Target="../media/image4421.gif"/><Relationship Id="rId410" Type="http://schemas.openxmlformats.org/officeDocument/2006/relationships/image" Target="../media/image635.gif"/><Relationship Id="rId1997" Type="http://schemas.openxmlformats.org/officeDocument/2006/relationships/image" Target="../media/image2222.gif"/><Relationship Id="rId4056" Type="http://schemas.openxmlformats.org/officeDocument/2006/relationships/image" Target="../media/image4281.gif"/><Relationship Id="rId1857" Type="http://schemas.openxmlformats.org/officeDocument/2006/relationships/image" Target="../media/image2082.gif"/><Relationship Id="rId2908" Type="http://schemas.openxmlformats.org/officeDocument/2006/relationships/image" Target="../media/image3133.gif"/><Relationship Id="rId4263" Type="http://schemas.openxmlformats.org/officeDocument/2006/relationships/image" Target="../media/image4488.gif"/><Relationship Id="rId4470" Type="http://schemas.openxmlformats.org/officeDocument/2006/relationships/image" Target="../media/image4695.gif"/><Relationship Id="rId1717" Type="http://schemas.openxmlformats.org/officeDocument/2006/relationships/image" Target="../media/image1942.gif"/><Relationship Id="rId1924" Type="http://schemas.openxmlformats.org/officeDocument/2006/relationships/image" Target="../media/image2149.gif"/><Relationship Id="rId3072" Type="http://schemas.openxmlformats.org/officeDocument/2006/relationships/image" Target="../media/image3297.gif"/><Relationship Id="rId4123" Type="http://schemas.openxmlformats.org/officeDocument/2006/relationships/image" Target="../media/image4348.gif"/><Relationship Id="rId4330" Type="http://schemas.openxmlformats.org/officeDocument/2006/relationships/image" Target="../media/image4555.gif"/><Relationship Id="rId3889" Type="http://schemas.openxmlformats.org/officeDocument/2006/relationships/image" Target="../media/image4114.gif"/><Relationship Id="rId2698" Type="http://schemas.openxmlformats.org/officeDocument/2006/relationships/image" Target="../media/image2923.gif"/><Relationship Id="rId3749" Type="http://schemas.openxmlformats.org/officeDocument/2006/relationships/image" Target="../media/image3974.gif"/><Relationship Id="rId3956" Type="http://schemas.openxmlformats.org/officeDocument/2006/relationships/image" Target="../media/image4181.gif"/><Relationship Id="rId877" Type="http://schemas.openxmlformats.org/officeDocument/2006/relationships/image" Target="../media/image1102.gif"/><Relationship Id="rId2558" Type="http://schemas.openxmlformats.org/officeDocument/2006/relationships/image" Target="../media/image2783.gif"/><Relationship Id="rId2765" Type="http://schemas.openxmlformats.org/officeDocument/2006/relationships/image" Target="../media/image2990.gif"/><Relationship Id="rId2972" Type="http://schemas.openxmlformats.org/officeDocument/2006/relationships/image" Target="../media/image3197.gif"/><Relationship Id="rId3609" Type="http://schemas.openxmlformats.org/officeDocument/2006/relationships/image" Target="../media/image3834.gif"/><Relationship Id="rId3816" Type="http://schemas.openxmlformats.org/officeDocument/2006/relationships/image" Target="../media/image4041.gif"/><Relationship Id="rId737" Type="http://schemas.openxmlformats.org/officeDocument/2006/relationships/image" Target="../media/image962.gif"/><Relationship Id="rId944" Type="http://schemas.openxmlformats.org/officeDocument/2006/relationships/image" Target="../media/image1169.gif"/><Relationship Id="rId1367" Type="http://schemas.openxmlformats.org/officeDocument/2006/relationships/image" Target="../media/image1592.gif"/><Relationship Id="rId1574" Type="http://schemas.openxmlformats.org/officeDocument/2006/relationships/image" Target="../media/image1799.gif"/><Relationship Id="rId1781" Type="http://schemas.openxmlformats.org/officeDocument/2006/relationships/image" Target="../media/image2006.gif"/><Relationship Id="rId2418" Type="http://schemas.openxmlformats.org/officeDocument/2006/relationships/image" Target="../media/image2643.gif"/><Relationship Id="rId2625" Type="http://schemas.openxmlformats.org/officeDocument/2006/relationships/image" Target="../media/image2850.gif"/><Relationship Id="rId2832" Type="http://schemas.openxmlformats.org/officeDocument/2006/relationships/image" Target="../media/image3057.gif"/><Relationship Id="rId73" Type="http://schemas.openxmlformats.org/officeDocument/2006/relationships/image" Target="../media/image298.gif"/><Relationship Id="rId804" Type="http://schemas.openxmlformats.org/officeDocument/2006/relationships/image" Target="../media/image1029.gif"/><Relationship Id="rId1227" Type="http://schemas.openxmlformats.org/officeDocument/2006/relationships/image" Target="../media/image1452.gif"/><Relationship Id="rId1434" Type="http://schemas.openxmlformats.org/officeDocument/2006/relationships/image" Target="../media/image1659.gif"/><Relationship Id="rId1641" Type="http://schemas.openxmlformats.org/officeDocument/2006/relationships/image" Target="../media/image1866.gif"/><Relationship Id="rId1501" Type="http://schemas.openxmlformats.org/officeDocument/2006/relationships/image" Target="../media/image1726.gif"/><Relationship Id="rId3399" Type="http://schemas.openxmlformats.org/officeDocument/2006/relationships/image" Target="../media/image3624.gif"/><Relationship Id="rId3259" Type="http://schemas.openxmlformats.org/officeDocument/2006/relationships/image" Target="../media/image3484.gif"/><Relationship Id="rId3466" Type="http://schemas.openxmlformats.org/officeDocument/2006/relationships/image" Target="../media/image3691.gif"/><Relationship Id="rId387" Type="http://schemas.openxmlformats.org/officeDocument/2006/relationships/image" Target="../media/image612.gif"/><Relationship Id="rId594" Type="http://schemas.openxmlformats.org/officeDocument/2006/relationships/image" Target="../media/image819.gif"/><Relationship Id="rId2068" Type="http://schemas.openxmlformats.org/officeDocument/2006/relationships/image" Target="../media/image2293.gif"/><Relationship Id="rId2275" Type="http://schemas.openxmlformats.org/officeDocument/2006/relationships/image" Target="../media/image2500.gif"/><Relationship Id="rId3119" Type="http://schemas.openxmlformats.org/officeDocument/2006/relationships/image" Target="../media/image3344.gif"/><Relationship Id="rId3326" Type="http://schemas.openxmlformats.org/officeDocument/2006/relationships/image" Target="../media/image3551.gif"/><Relationship Id="rId3673" Type="http://schemas.openxmlformats.org/officeDocument/2006/relationships/image" Target="../media/image3898.gif"/><Relationship Id="rId3880" Type="http://schemas.openxmlformats.org/officeDocument/2006/relationships/image" Target="../media/image4105.gif"/><Relationship Id="rId247" Type="http://schemas.openxmlformats.org/officeDocument/2006/relationships/image" Target="../media/image472.gif"/><Relationship Id="rId1084" Type="http://schemas.openxmlformats.org/officeDocument/2006/relationships/image" Target="../media/image1309.gif"/><Relationship Id="rId2482" Type="http://schemas.openxmlformats.org/officeDocument/2006/relationships/image" Target="../media/image2707.gif"/><Relationship Id="rId3533" Type="http://schemas.openxmlformats.org/officeDocument/2006/relationships/image" Target="../media/image3758.gif"/><Relationship Id="rId3740" Type="http://schemas.openxmlformats.org/officeDocument/2006/relationships/image" Target="../media/image3965.gif"/><Relationship Id="rId107" Type="http://schemas.openxmlformats.org/officeDocument/2006/relationships/image" Target="../media/image332.gif"/><Relationship Id="rId454" Type="http://schemas.openxmlformats.org/officeDocument/2006/relationships/image" Target="../media/image679.gif"/><Relationship Id="rId661" Type="http://schemas.openxmlformats.org/officeDocument/2006/relationships/image" Target="../media/image886.gif"/><Relationship Id="rId1291" Type="http://schemas.openxmlformats.org/officeDocument/2006/relationships/image" Target="../media/image1516.gif"/><Relationship Id="rId2135" Type="http://schemas.openxmlformats.org/officeDocument/2006/relationships/image" Target="../media/image2360.gif"/><Relationship Id="rId2342" Type="http://schemas.openxmlformats.org/officeDocument/2006/relationships/image" Target="../media/image2567.gif"/><Relationship Id="rId3600" Type="http://schemas.openxmlformats.org/officeDocument/2006/relationships/image" Target="../media/image3825.gif"/><Relationship Id="rId314" Type="http://schemas.openxmlformats.org/officeDocument/2006/relationships/image" Target="../media/image539.gif"/><Relationship Id="rId521" Type="http://schemas.openxmlformats.org/officeDocument/2006/relationships/image" Target="../media/image746.gif"/><Relationship Id="rId1151" Type="http://schemas.openxmlformats.org/officeDocument/2006/relationships/image" Target="../media/image1376.gif"/><Relationship Id="rId2202" Type="http://schemas.openxmlformats.org/officeDocument/2006/relationships/image" Target="../media/image2427.gif"/><Relationship Id="rId1011" Type="http://schemas.openxmlformats.org/officeDocument/2006/relationships/image" Target="../media/image1236.gif"/><Relationship Id="rId1968" Type="http://schemas.openxmlformats.org/officeDocument/2006/relationships/image" Target="../media/image2193.gif"/><Relationship Id="rId4167" Type="http://schemas.openxmlformats.org/officeDocument/2006/relationships/image" Target="../media/image4392.gif"/><Relationship Id="rId4374" Type="http://schemas.openxmlformats.org/officeDocument/2006/relationships/image" Target="../media/image4599.gif"/><Relationship Id="rId3183" Type="http://schemas.openxmlformats.org/officeDocument/2006/relationships/image" Target="../media/image3408.gif"/><Relationship Id="rId3390" Type="http://schemas.openxmlformats.org/officeDocument/2006/relationships/image" Target="../media/image3615.gif"/><Relationship Id="rId4027" Type="http://schemas.openxmlformats.org/officeDocument/2006/relationships/image" Target="../media/image4252.gif"/><Relationship Id="rId4234" Type="http://schemas.openxmlformats.org/officeDocument/2006/relationships/image" Target="../media/image4459.gif"/><Relationship Id="rId4441" Type="http://schemas.openxmlformats.org/officeDocument/2006/relationships/image" Target="../media/image4666.gif"/><Relationship Id="rId1828" Type="http://schemas.openxmlformats.org/officeDocument/2006/relationships/image" Target="../media/image2053.gif"/><Relationship Id="rId3043" Type="http://schemas.openxmlformats.org/officeDocument/2006/relationships/image" Target="../media/image3268.gif"/><Relationship Id="rId3250" Type="http://schemas.openxmlformats.org/officeDocument/2006/relationships/image" Target="../media/image3475.gif"/><Relationship Id="rId171" Type="http://schemas.openxmlformats.org/officeDocument/2006/relationships/image" Target="../media/image396.gif"/><Relationship Id="rId4301" Type="http://schemas.openxmlformats.org/officeDocument/2006/relationships/image" Target="../media/image4526.gif"/><Relationship Id="rId3110" Type="http://schemas.openxmlformats.org/officeDocument/2006/relationships/image" Target="../media/image3335.gif"/><Relationship Id="rId988" Type="http://schemas.openxmlformats.org/officeDocument/2006/relationships/image" Target="../media/image1213.gif"/><Relationship Id="rId2669" Type="http://schemas.openxmlformats.org/officeDocument/2006/relationships/image" Target="../media/image2894.gif"/><Relationship Id="rId2876" Type="http://schemas.openxmlformats.org/officeDocument/2006/relationships/image" Target="../media/image3101.gif"/><Relationship Id="rId3927" Type="http://schemas.openxmlformats.org/officeDocument/2006/relationships/image" Target="../media/image4152.gif"/><Relationship Id="rId848" Type="http://schemas.openxmlformats.org/officeDocument/2006/relationships/image" Target="../media/image1073.gif"/><Relationship Id="rId1478" Type="http://schemas.openxmlformats.org/officeDocument/2006/relationships/image" Target="../media/image1703.gif"/><Relationship Id="rId1685" Type="http://schemas.openxmlformats.org/officeDocument/2006/relationships/image" Target="../media/image1910.gif"/><Relationship Id="rId1892" Type="http://schemas.openxmlformats.org/officeDocument/2006/relationships/image" Target="../media/image2117.gif"/><Relationship Id="rId2529" Type="http://schemas.openxmlformats.org/officeDocument/2006/relationships/image" Target="../media/image2754.gif"/><Relationship Id="rId2736" Type="http://schemas.openxmlformats.org/officeDocument/2006/relationships/image" Target="../media/image2961.gif"/><Relationship Id="rId4091" Type="http://schemas.openxmlformats.org/officeDocument/2006/relationships/image" Target="../media/image4316.gif"/><Relationship Id="rId708" Type="http://schemas.openxmlformats.org/officeDocument/2006/relationships/image" Target="../media/image933.gif"/><Relationship Id="rId915" Type="http://schemas.openxmlformats.org/officeDocument/2006/relationships/image" Target="../media/image1140.gif"/><Relationship Id="rId1338" Type="http://schemas.openxmlformats.org/officeDocument/2006/relationships/image" Target="../media/image1563.gif"/><Relationship Id="rId1545" Type="http://schemas.openxmlformats.org/officeDocument/2006/relationships/image" Target="../media/image1770.gif"/><Relationship Id="rId2943" Type="http://schemas.openxmlformats.org/officeDocument/2006/relationships/image" Target="../media/image3168.gif"/><Relationship Id="rId1405" Type="http://schemas.openxmlformats.org/officeDocument/2006/relationships/image" Target="../media/image1630.gif"/><Relationship Id="rId1752" Type="http://schemas.openxmlformats.org/officeDocument/2006/relationships/image" Target="../media/image1977.gif"/><Relationship Id="rId2803" Type="http://schemas.openxmlformats.org/officeDocument/2006/relationships/image" Target="../media/image3028.gif"/><Relationship Id="rId44" Type="http://schemas.openxmlformats.org/officeDocument/2006/relationships/image" Target="../media/image269.gif"/><Relationship Id="rId1612" Type="http://schemas.openxmlformats.org/officeDocument/2006/relationships/image" Target="../media/image1837.gif"/><Relationship Id="rId498" Type="http://schemas.openxmlformats.org/officeDocument/2006/relationships/image" Target="../media/image723.gif"/><Relationship Id="rId2179" Type="http://schemas.openxmlformats.org/officeDocument/2006/relationships/image" Target="../media/image2404.gif"/><Relationship Id="rId3577" Type="http://schemas.openxmlformats.org/officeDocument/2006/relationships/image" Target="../media/image3802.gif"/><Relationship Id="rId3784" Type="http://schemas.openxmlformats.org/officeDocument/2006/relationships/image" Target="../media/image4009.gif"/><Relationship Id="rId3991" Type="http://schemas.openxmlformats.org/officeDocument/2006/relationships/image" Target="../media/image4216.gif"/><Relationship Id="rId2386" Type="http://schemas.openxmlformats.org/officeDocument/2006/relationships/image" Target="../media/image2611.gif"/><Relationship Id="rId2593" Type="http://schemas.openxmlformats.org/officeDocument/2006/relationships/image" Target="../media/image2818.gif"/><Relationship Id="rId3437" Type="http://schemas.openxmlformats.org/officeDocument/2006/relationships/image" Target="../media/image3662.gif"/><Relationship Id="rId3644" Type="http://schemas.openxmlformats.org/officeDocument/2006/relationships/image" Target="../media/image3869.gif"/><Relationship Id="rId3851" Type="http://schemas.openxmlformats.org/officeDocument/2006/relationships/image" Target="../media/image4076.gif"/><Relationship Id="rId358" Type="http://schemas.openxmlformats.org/officeDocument/2006/relationships/image" Target="../media/image583.gif"/><Relationship Id="rId565" Type="http://schemas.openxmlformats.org/officeDocument/2006/relationships/image" Target="../media/image790.gif"/><Relationship Id="rId772" Type="http://schemas.openxmlformats.org/officeDocument/2006/relationships/image" Target="../media/image997.gif"/><Relationship Id="rId1195" Type="http://schemas.openxmlformats.org/officeDocument/2006/relationships/image" Target="../media/image1420.gif"/><Relationship Id="rId2039" Type="http://schemas.openxmlformats.org/officeDocument/2006/relationships/image" Target="../media/image2264.gif"/><Relationship Id="rId2246" Type="http://schemas.openxmlformats.org/officeDocument/2006/relationships/image" Target="../media/image2471.gif"/><Relationship Id="rId2453" Type="http://schemas.openxmlformats.org/officeDocument/2006/relationships/image" Target="../media/image2678.gif"/><Relationship Id="rId2660" Type="http://schemas.openxmlformats.org/officeDocument/2006/relationships/image" Target="../media/image2885.gif"/><Relationship Id="rId3504" Type="http://schemas.openxmlformats.org/officeDocument/2006/relationships/image" Target="../media/image3729.gif"/><Relationship Id="rId3711" Type="http://schemas.openxmlformats.org/officeDocument/2006/relationships/image" Target="../media/image3936.gif"/><Relationship Id="rId218" Type="http://schemas.openxmlformats.org/officeDocument/2006/relationships/image" Target="../media/image443.gif"/><Relationship Id="rId425" Type="http://schemas.openxmlformats.org/officeDocument/2006/relationships/image" Target="../media/image650.gif"/><Relationship Id="rId632" Type="http://schemas.openxmlformats.org/officeDocument/2006/relationships/image" Target="../media/image857.gif"/><Relationship Id="rId1055" Type="http://schemas.openxmlformats.org/officeDocument/2006/relationships/image" Target="../media/image1280.gif"/><Relationship Id="rId1262" Type="http://schemas.openxmlformats.org/officeDocument/2006/relationships/image" Target="../media/image1487.gif"/><Relationship Id="rId2106" Type="http://schemas.openxmlformats.org/officeDocument/2006/relationships/image" Target="../media/image2331.gif"/><Relationship Id="rId2313" Type="http://schemas.openxmlformats.org/officeDocument/2006/relationships/image" Target="../media/image2538.gif"/><Relationship Id="rId2520" Type="http://schemas.openxmlformats.org/officeDocument/2006/relationships/image" Target="../media/image2745.gif"/><Relationship Id="rId1122" Type="http://schemas.openxmlformats.org/officeDocument/2006/relationships/image" Target="../media/image1347.gif"/><Relationship Id="rId4278" Type="http://schemas.openxmlformats.org/officeDocument/2006/relationships/image" Target="../media/image4503.gif"/><Relationship Id="rId3087" Type="http://schemas.openxmlformats.org/officeDocument/2006/relationships/image" Target="../media/image3312.gif"/><Relationship Id="rId3294" Type="http://schemas.openxmlformats.org/officeDocument/2006/relationships/image" Target="../media/image3519.gif"/><Relationship Id="rId4138" Type="http://schemas.openxmlformats.org/officeDocument/2006/relationships/image" Target="../media/image4363.gif"/><Relationship Id="rId4345" Type="http://schemas.openxmlformats.org/officeDocument/2006/relationships/image" Target="../media/image4570.gif"/><Relationship Id="rId1939" Type="http://schemas.openxmlformats.org/officeDocument/2006/relationships/image" Target="../media/image2164.gif"/><Relationship Id="rId3154" Type="http://schemas.openxmlformats.org/officeDocument/2006/relationships/image" Target="../media/image3379.gif"/><Relationship Id="rId3361" Type="http://schemas.openxmlformats.org/officeDocument/2006/relationships/image" Target="../media/image3586.gif"/><Relationship Id="rId4205" Type="http://schemas.openxmlformats.org/officeDocument/2006/relationships/image" Target="../media/image4430.gif"/><Relationship Id="rId4412" Type="http://schemas.openxmlformats.org/officeDocument/2006/relationships/image" Target="../media/image4637.gif"/><Relationship Id="rId282" Type="http://schemas.openxmlformats.org/officeDocument/2006/relationships/image" Target="../media/image507.gif"/><Relationship Id="rId2170" Type="http://schemas.openxmlformats.org/officeDocument/2006/relationships/image" Target="../media/image2395.gif"/><Relationship Id="rId3014" Type="http://schemas.openxmlformats.org/officeDocument/2006/relationships/image" Target="../media/image3239.gif"/><Relationship Id="rId3221" Type="http://schemas.openxmlformats.org/officeDocument/2006/relationships/image" Target="../media/image3446.gif"/><Relationship Id="rId8" Type="http://schemas.openxmlformats.org/officeDocument/2006/relationships/image" Target="../media/image233.gif"/><Relationship Id="rId142" Type="http://schemas.openxmlformats.org/officeDocument/2006/relationships/image" Target="../media/image367.gif"/><Relationship Id="rId2030" Type="http://schemas.openxmlformats.org/officeDocument/2006/relationships/image" Target="../media/image2255.gif"/><Relationship Id="rId2987" Type="http://schemas.openxmlformats.org/officeDocument/2006/relationships/image" Target="../media/image3212.gif"/><Relationship Id="rId959" Type="http://schemas.openxmlformats.org/officeDocument/2006/relationships/image" Target="../media/image1184.gif"/><Relationship Id="rId1589" Type="http://schemas.openxmlformats.org/officeDocument/2006/relationships/image" Target="../media/image1814.gif"/><Relationship Id="rId1449" Type="http://schemas.openxmlformats.org/officeDocument/2006/relationships/image" Target="../media/image1674.gif"/><Relationship Id="rId1796" Type="http://schemas.openxmlformats.org/officeDocument/2006/relationships/image" Target="../media/image2021.gif"/><Relationship Id="rId2847" Type="http://schemas.openxmlformats.org/officeDocument/2006/relationships/image" Target="../media/image3072.gif"/><Relationship Id="rId4062" Type="http://schemas.openxmlformats.org/officeDocument/2006/relationships/image" Target="../media/image4287.gif"/><Relationship Id="rId88" Type="http://schemas.openxmlformats.org/officeDocument/2006/relationships/image" Target="../media/image313.gif"/><Relationship Id="rId819" Type="http://schemas.openxmlformats.org/officeDocument/2006/relationships/image" Target="../media/image1044.gif"/><Relationship Id="rId1656" Type="http://schemas.openxmlformats.org/officeDocument/2006/relationships/image" Target="../media/image1881.gif"/><Relationship Id="rId1863" Type="http://schemas.openxmlformats.org/officeDocument/2006/relationships/image" Target="../media/image2088.gif"/><Relationship Id="rId2707" Type="http://schemas.openxmlformats.org/officeDocument/2006/relationships/image" Target="../media/image2932.gif"/><Relationship Id="rId2914" Type="http://schemas.openxmlformats.org/officeDocument/2006/relationships/image" Target="../media/image3139.gif"/><Relationship Id="rId1309" Type="http://schemas.openxmlformats.org/officeDocument/2006/relationships/image" Target="../media/image1534.gif"/><Relationship Id="rId1516" Type="http://schemas.openxmlformats.org/officeDocument/2006/relationships/image" Target="../media/image1741.gif"/><Relationship Id="rId1723" Type="http://schemas.openxmlformats.org/officeDocument/2006/relationships/image" Target="../media/image1948.gif"/><Relationship Id="rId1930" Type="http://schemas.openxmlformats.org/officeDocument/2006/relationships/image" Target="../media/image2155.gif"/><Relationship Id="rId15" Type="http://schemas.openxmlformats.org/officeDocument/2006/relationships/image" Target="../media/image240.gif"/><Relationship Id="rId3688" Type="http://schemas.openxmlformats.org/officeDocument/2006/relationships/image" Target="../media/image3913.gif"/><Relationship Id="rId3895" Type="http://schemas.openxmlformats.org/officeDocument/2006/relationships/image" Target="../media/image4120.gif"/><Relationship Id="rId2497" Type="http://schemas.openxmlformats.org/officeDocument/2006/relationships/image" Target="../media/image2722.gif"/><Relationship Id="rId3548" Type="http://schemas.openxmlformats.org/officeDocument/2006/relationships/image" Target="../media/image3773.gif"/><Relationship Id="rId3755" Type="http://schemas.openxmlformats.org/officeDocument/2006/relationships/image" Target="../media/image3980.gif"/><Relationship Id="rId469" Type="http://schemas.openxmlformats.org/officeDocument/2006/relationships/image" Target="../media/image694.gif"/><Relationship Id="rId676" Type="http://schemas.openxmlformats.org/officeDocument/2006/relationships/image" Target="../media/image901.gif"/><Relationship Id="rId883" Type="http://schemas.openxmlformats.org/officeDocument/2006/relationships/image" Target="../media/image1108.gif"/><Relationship Id="rId1099" Type="http://schemas.openxmlformats.org/officeDocument/2006/relationships/image" Target="../media/image1324.gif"/><Relationship Id="rId2357" Type="http://schemas.openxmlformats.org/officeDocument/2006/relationships/image" Target="../media/image2582.gif"/><Relationship Id="rId2564" Type="http://schemas.openxmlformats.org/officeDocument/2006/relationships/image" Target="../media/image2789.gif"/><Relationship Id="rId3408" Type="http://schemas.openxmlformats.org/officeDocument/2006/relationships/image" Target="../media/image3633.gif"/><Relationship Id="rId3615" Type="http://schemas.openxmlformats.org/officeDocument/2006/relationships/image" Target="../media/image3840.gif"/><Relationship Id="rId3962" Type="http://schemas.openxmlformats.org/officeDocument/2006/relationships/image" Target="../media/image4187.gif"/><Relationship Id="rId329" Type="http://schemas.openxmlformats.org/officeDocument/2006/relationships/image" Target="../media/image554.gif"/><Relationship Id="rId536" Type="http://schemas.openxmlformats.org/officeDocument/2006/relationships/image" Target="../media/image761.gif"/><Relationship Id="rId1166" Type="http://schemas.openxmlformats.org/officeDocument/2006/relationships/image" Target="../media/image1391.gif"/><Relationship Id="rId1373" Type="http://schemas.openxmlformats.org/officeDocument/2006/relationships/image" Target="../media/image1598.gif"/><Relationship Id="rId2217" Type="http://schemas.openxmlformats.org/officeDocument/2006/relationships/image" Target="../media/image2442.gif"/><Relationship Id="rId2771" Type="http://schemas.openxmlformats.org/officeDocument/2006/relationships/image" Target="../media/image2996.gif"/><Relationship Id="rId3822" Type="http://schemas.openxmlformats.org/officeDocument/2006/relationships/image" Target="../media/image4047.gif"/><Relationship Id="rId743" Type="http://schemas.openxmlformats.org/officeDocument/2006/relationships/image" Target="../media/image968.gif"/><Relationship Id="rId950" Type="http://schemas.openxmlformats.org/officeDocument/2006/relationships/image" Target="../media/image1175.gif"/><Relationship Id="rId1026" Type="http://schemas.openxmlformats.org/officeDocument/2006/relationships/image" Target="../media/image1251.gif"/><Relationship Id="rId1580" Type="http://schemas.openxmlformats.org/officeDocument/2006/relationships/image" Target="../media/image1805.gif"/><Relationship Id="rId2424" Type="http://schemas.openxmlformats.org/officeDocument/2006/relationships/image" Target="../media/image2649.gif"/><Relationship Id="rId2631" Type="http://schemas.openxmlformats.org/officeDocument/2006/relationships/image" Target="../media/image2856.gif"/><Relationship Id="rId4389" Type="http://schemas.openxmlformats.org/officeDocument/2006/relationships/image" Target="../media/image4614.gif"/><Relationship Id="rId603" Type="http://schemas.openxmlformats.org/officeDocument/2006/relationships/image" Target="../media/image828.gif"/><Relationship Id="rId810" Type="http://schemas.openxmlformats.org/officeDocument/2006/relationships/image" Target="../media/image1035.gif"/><Relationship Id="rId1233" Type="http://schemas.openxmlformats.org/officeDocument/2006/relationships/image" Target="../media/image1458.gif"/><Relationship Id="rId1440" Type="http://schemas.openxmlformats.org/officeDocument/2006/relationships/image" Target="../media/image1665.gif"/><Relationship Id="rId1300" Type="http://schemas.openxmlformats.org/officeDocument/2006/relationships/image" Target="../media/image1525.gif"/><Relationship Id="rId3198" Type="http://schemas.openxmlformats.org/officeDocument/2006/relationships/image" Target="../media/image3423.gif"/><Relationship Id="rId4249" Type="http://schemas.openxmlformats.org/officeDocument/2006/relationships/image" Target="../media/image4474.gif"/><Relationship Id="rId4456" Type="http://schemas.openxmlformats.org/officeDocument/2006/relationships/image" Target="../media/image4681.gif"/><Relationship Id="rId3058" Type="http://schemas.openxmlformats.org/officeDocument/2006/relationships/image" Target="../media/image3283.gif"/><Relationship Id="rId3265" Type="http://schemas.openxmlformats.org/officeDocument/2006/relationships/image" Target="../media/image3490.gif"/><Relationship Id="rId3472" Type="http://schemas.openxmlformats.org/officeDocument/2006/relationships/image" Target="../media/image3697.gif"/><Relationship Id="rId4109" Type="http://schemas.openxmlformats.org/officeDocument/2006/relationships/image" Target="../media/image4334.gif"/><Relationship Id="rId4316" Type="http://schemas.openxmlformats.org/officeDocument/2006/relationships/image" Target="../media/image4541.gif"/><Relationship Id="rId186" Type="http://schemas.openxmlformats.org/officeDocument/2006/relationships/image" Target="../media/image411.gif"/><Relationship Id="rId393" Type="http://schemas.openxmlformats.org/officeDocument/2006/relationships/image" Target="../media/image618.gif"/><Relationship Id="rId2074" Type="http://schemas.openxmlformats.org/officeDocument/2006/relationships/image" Target="../media/image2299.gif"/><Relationship Id="rId2281" Type="http://schemas.openxmlformats.org/officeDocument/2006/relationships/image" Target="../media/image2506.gif"/><Relationship Id="rId3125" Type="http://schemas.openxmlformats.org/officeDocument/2006/relationships/image" Target="../media/image3350.gif"/><Relationship Id="rId3332" Type="http://schemas.openxmlformats.org/officeDocument/2006/relationships/image" Target="../media/image3557.gif"/><Relationship Id="rId253" Type="http://schemas.openxmlformats.org/officeDocument/2006/relationships/image" Target="../media/image478.gif"/><Relationship Id="rId460" Type="http://schemas.openxmlformats.org/officeDocument/2006/relationships/image" Target="../media/image685.gif"/><Relationship Id="rId1090" Type="http://schemas.openxmlformats.org/officeDocument/2006/relationships/image" Target="../media/image1315.gif"/><Relationship Id="rId2141" Type="http://schemas.openxmlformats.org/officeDocument/2006/relationships/image" Target="../media/image2366.gif"/><Relationship Id="rId113" Type="http://schemas.openxmlformats.org/officeDocument/2006/relationships/image" Target="../media/image338.gif"/><Relationship Id="rId320" Type="http://schemas.openxmlformats.org/officeDocument/2006/relationships/image" Target="../media/image545.gif"/><Relationship Id="rId2001" Type="http://schemas.openxmlformats.org/officeDocument/2006/relationships/image" Target="../media/image2226.gif"/><Relationship Id="rId2958" Type="http://schemas.openxmlformats.org/officeDocument/2006/relationships/image" Target="../media/image3183.gif"/><Relationship Id="rId1767" Type="http://schemas.openxmlformats.org/officeDocument/2006/relationships/image" Target="../media/image1992.gif"/><Relationship Id="rId1974" Type="http://schemas.openxmlformats.org/officeDocument/2006/relationships/image" Target="../media/image2199.gif"/><Relationship Id="rId2818" Type="http://schemas.openxmlformats.org/officeDocument/2006/relationships/image" Target="../media/image3043.gif"/><Relationship Id="rId4173" Type="http://schemas.openxmlformats.org/officeDocument/2006/relationships/image" Target="../media/image4398.gif"/><Relationship Id="rId4380" Type="http://schemas.openxmlformats.org/officeDocument/2006/relationships/image" Target="../media/image4605.gif"/><Relationship Id="rId59" Type="http://schemas.openxmlformats.org/officeDocument/2006/relationships/image" Target="../media/image284.gif"/><Relationship Id="rId1627" Type="http://schemas.openxmlformats.org/officeDocument/2006/relationships/image" Target="../media/image1852.gif"/><Relationship Id="rId1834" Type="http://schemas.openxmlformats.org/officeDocument/2006/relationships/image" Target="../media/image2059.gif"/><Relationship Id="rId4033" Type="http://schemas.openxmlformats.org/officeDocument/2006/relationships/image" Target="../media/image4258.gif"/><Relationship Id="rId4240" Type="http://schemas.openxmlformats.org/officeDocument/2006/relationships/image" Target="../media/image4465.gif"/><Relationship Id="rId3799" Type="http://schemas.openxmlformats.org/officeDocument/2006/relationships/image" Target="../media/image4024.gif"/><Relationship Id="rId4100" Type="http://schemas.openxmlformats.org/officeDocument/2006/relationships/image" Target="../media/image4325.gif"/><Relationship Id="rId1901" Type="http://schemas.openxmlformats.org/officeDocument/2006/relationships/image" Target="../media/image2126.gif"/><Relationship Id="rId3659" Type="http://schemas.openxmlformats.org/officeDocument/2006/relationships/image" Target="../media/image3884.gif"/><Relationship Id="rId3866" Type="http://schemas.openxmlformats.org/officeDocument/2006/relationships/image" Target="../media/image4091.gif"/><Relationship Id="rId787" Type="http://schemas.openxmlformats.org/officeDocument/2006/relationships/image" Target="../media/image1012.gif"/><Relationship Id="rId994" Type="http://schemas.openxmlformats.org/officeDocument/2006/relationships/image" Target="../media/image1219.gif"/><Relationship Id="rId2468" Type="http://schemas.openxmlformats.org/officeDocument/2006/relationships/image" Target="../media/image2693.gif"/><Relationship Id="rId2675" Type="http://schemas.openxmlformats.org/officeDocument/2006/relationships/image" Target="../media/image2900.gif"/><Relationship Id="rId2882" Type="http://schemas.openxmlformats.org/officeDocument/2006/relationships/image" Target="../media/image3107.gif"/><Relationship Id="rId3519" Type="http://schemas.openxmlformats.org/officeDocument/2006/relationships/image" Target="../media/image3744.gif"/><Relationship Id="rId3726" Type="http://schemas.openxmlformats.org/officeDocument/2006/relationships/image" Target="../media/image3951.gif"/><Relationship Id="rId3933" Type="http://schemas.openxmlformats.org/officeDocument/2006/relationships/image" Target="../media/image4158.gif"/><Relationship Id="rId647" Type="http://schemas.openxmlformats.org/officeDocument/2006/relationships/image" Target="../media/image872.gif"/><Relationship Id="rId854" Type="http://schemas.openxmlformats.org/officeDocument/2006/relationships/image" Target="../media/image1079.gif"/><Relationship Id="rId1277" Type="http://schemas.openxmlformats.org/officeDocument/2006/relationships/image" Target="../media/image1502.gif"/><Relationship Id="rId1484" Type="http://schemas.openxmlformats.org/officeDocument/2006/relationships/image" Target="../media/image1709.gif"/><Relationship Id="rId1691" Type="http://schemas.openxmlformats.org/officeDocument/2006/relationships/image" Target="../media/image1916.gif"/><Relationship Id="rId2328" Type="http://schemas.openxmlformats.org/officeDocument/2006/relationships/image" Target="../media/image2553.gif"/><Relationship Id="rId2535" Type="http://schemas.openxmlformats.org/officeDocument/2006/relationships/image" Target="../media/image2760.gif"/><Relationship Id="rId2742" Type="http://schemas.openxmlformats.org/officeDocument/2006/relationships/image" Target="../media/image2967.gif"/><Relationship Id="rId507" Type="http://schemas.openxmlformats.org/officeDocument/2006/relationships/image" Target="../media/image732.gif"/><Relationship Id="rId714" Type="http://schemas.openxmlformats.org/officeDocument/2006/relationships/image" Target="../media/image939.gif"/><Relationship Id="rId921" Type="http://schemas.openxmlformats.org/officeDocument/2006/relationships/image" Target="../media/image1146.gif"/><Relationship Id="rId1137" Type="http://schemas.openxmlformats.org/officeDocument/2006/relationships/image" Target="../media/image1362.gif"/><Relationship Id="rId1344" Type="http://schemas.openxmlformats.org/officeDocument/2006/relationships/image" Target="../media/image1569.gif"/><Relationship Id="rId1551" Type="http://schemas.openxmlformats.org/officeDocument/2006/relationships/image" Target="../media/image1776.gif"/><Relationship Id="rId2602" Type="http://schemas.openxmlformats.org/officeDocument/2006/relationships/image" Target="../media/image2827.gif"/><Relationship Id="rId50" Type="http://schemas.openxmlformats.org/officeDocument/2006/relationships/image" Target="../media/image275.gif"/><Relationship Id="rId1204" Type="http://schemas.openxmlformats.org/officeDocument/2006/relationships/image" Target="../media/image1429.gif"/><Relationship Id="rId1411" Type="http://schemas.openxmlformats.org/officeDocument/2006/relationships/image" Target="../media/image1636.gif"/><Relationship Id="rId3169" Type="http://schemas.openxmlformats.org/officeDocument/2006/relationships/image" Target="../media/image3394.gif"/><Relationship Id="rId3376" Type="http://schemas.openxmlformats.org/officeDocument/2006/relationships/image" Target="../media/image3601.gif"/><Relationship Id="rId3583" Type="http://schemas.openxmlformats.org/officeDocument/2006/relationships/image" Target="../media/image3808.gif"/><Relationship Id="rId4427" Type="http://schemas.openxmlformats.org/officeDocument/2006/relationships/image" Target="../media/image4652.gif"/><Relationship Id="rId297" Type="http://schemas.openxmlformats.org/officeDocument/2006/relationships/image" Target="../media/image522.gif"/><Relationship Id="rId2185" Type="http://schemas.openxmlformats.org/officeDocument/2006/relationships/image" Target="../media/image2410.gif"/><Relationship Id="rId2392" Type="http://schemas.openxmlformats.org/officeDocument/2006/relationships/image" Target="../media/image2617.gif"/><Relationship Id="rId3029" Type="http://schemas.openxmlformats.org/officeDocument/2006/relationships/image" Target="../media/image3254.gif"/><Relationship Id="rId3236" Type="http://schemas.openxmlformats.org/officeDocument/2006/relationships/image" Target="../media/image3461.gif"/><Relationship Id="rId3790" Type="http://schemas.openxmlformats.org/officeDocument/2006/relationships/image" Target="../media/image4015.gif"/><Relationship Id="rId157" Type="http://schemas.openxmlformats.org/officeDocument/2006/relationships/image" Target="../media/image382.gif"/><Relationship Id="rId364" Type="http://schemas.openxmlformats.org/officeDocument/2006/relationships/image" Target="../media/image589.gif"/><Relationship Id="rId2045" Type="http://schemas.openxmlformats.org/officeDocument/2006/relationships/image" Target="../media/image2270.gif"/><Relationship Id="rId3443" Type="http://schemas.openxmlformats.org/officeDocument/2006/relationships/image" Target="../media/image3668.gif"/><Relationship Id="rId3650" Type="http://schemas.openxmlformats.org/officeDocument/2006/relationships/image" Target="../media/image3875.gif"/><Relationship Id="rId571" Type="http://schemas.openxmlformats.org/officeDocument/2006/relationships/image" Target="../media/image796.gif"/><Relationship Id="rId2252" Type="http://schemas.openxmlformats.org/officeDocument/2006/relationships/image" Target="../media/image2477.gif"/><Relationship Id="rId3303" Type="http://schemas.openxmlformats.org/officeDocument/2006/relationships/image" Target="../media/image3528.gif"/><Relationship Id="rId3510" Type="http://schemas.openxmlformats.org/officeDocument/2006/relationships/image" Target="../media/image3735.gif"/><Relationship Id="rId224" Type="http://schemas.openxmlformats.org/officeDocument/2006/relationships/image" Target="../media/image449.gif"/><Relationship Id="rId431" Type="http://schemas.openxmlformats.org/officeDocument/2006/relationships/image" Target="../media/image656.gif"/><Relationship Id="rId1061" Type="http://schemas.openxmlformats.org/officeDocument/2006/relationships/image" Target="../media/image1286.gif"/><Relationship Id="rId2112" Type="http://schemas.openxmlformats.org/officeDocument/2006/relationships/image" Target="../media/image2337.gif"/><Relationship Id="rId1878" Type="http://schemas.openxmlformats.org/officeDocument/2006/relationships/image" Target="../media/image2103.gif"/><Relationship Id="rId2929" Type="http://schemas.openxmlformats.org/officeDocument/2006/relationships/image" Target="../media/image3154.gif"/><Relationship Id="rId4077" Type="http://schemas.openxmlformats.org/officeDocument/2006/relationships/image" Target="../media/image4302.gif"/><Relationship Id="rId4284" Type="http://schemas.openxmlformats.org/officeDocument/2006/relationships/image" Target="../media/image4509.gif"/><Relationship Id="rId1738" Type="http://schemas.openxmlformats.org/officeDocument/2006/relationships/image" Target="../media/image1963.gif"/><Relationship Id="rId3093" Type="http://schemas.openxmlformats.org/officeDocument/2006/relationships/image" Target="../media/image3318.gif"/><Relationship Id="rId4144" Type="http://schemas.openxmlformats.org/officeDocument/2006/relationships/image" Target="../media/image4369.gif"/><Relationship Id="rId4351" Type="http://schemas.openxmlformats.org/officeDocument/2006/relationships/image" Target="../media/image4576.gif"/><Relationship Id="rId1945" Type="http://schemas.openxmlformats.org/officeDocument/2006/relationships/image" Target="../media/image2170.gif"/><Relationship Id="rId3160" Type="http://schemas.openxmlformats.org/officeDocument/2006/relationships/image" Target="../media/image3385.gif"/><Relationship Id="rId4004" Type="http://schemas.openxmlformats.org/officeDocument/2006/relationships/image" Target="../media/image4229.gif"/><Relationship Id="rId4211" Type="http://schemas.openxmlformats.org/officeDocument/2006/relationships/image" Target="../media/image4436.gif"/><Relationship Id="rId1805" Type="http://schemas.openxmlformats.org/officeDocument/2006/relationships/image" Target="../media/image2030.gif"/><Relationship Id="rId3020" Type="http://schemas.openxmlformats.org/officeDocument/2006/relationships/image" Target="../media/image3245.gif"/><Relationship Id="rId3977" Type="http://schemas.openxmlformats.org/officeDocument/2006/relationships/image" Target="../media/image4202.gif"/><Relationship Id="rId898" Type="http://schemas.openxmlformats.org/officeDocument/2006/relationships/image" Target="../media/image1123.gif"/><Relationship Id="rId2579" Type="http://schemas.openxmlformats.org/officeDocument/2006/relationships/image" Target="../media/image2804.gif"/><Relationship Id="rId2786" Type="http://schemas.openxmlformats.org/officeDocument/2006/relationships/image" Target="../media/image3011.gif"/><Relationship Id="rId2993" Type="http://schemas.openxmlformats.org/officeDocument/2006/relationships/image" Target="../media/image3218.gif"/><Relationship Id="rId3837" Type="http://schemas.openxmlformats.org/officeDocument/2006/relationships/image" Target="../media/image4062.gif"/><Relationship Id="rId758" Type="http://schemas.openxmlformats.org/officeDocument/2006/relationships/image" Target="../media/image983.gif"/><Relationship Id="rId965" Type="http://schemas.openxmlformats.org/officeDocument/2006/relationships/image" Target="../media/image1190.gif"/><Relationship Id="rId1388" Type="http://schemas.openxmlformats.org/officeDocument/2006/relationships/image" Target="../media/image1613.gif"/><Relationship Id="rId1595" Type="http://schemas.openxmlformats.org/officeDocument/2006/relationships/image" Target="../media/image1820.gif"/><Relationship Id="rId2439" Type="http://schemas.openxmlformats.org/officeDocument/2006/relationships/image" Target="../media/image2664.gif"/><Relationship Id="rId2646" Type="http://schemas.openxmlformats.org/officeDocument/2006/relationships/image" Target="../media/image2871.gif"/><Relationship Id="rId2853" Type="http://schemas.openxmlformats.org/officeDocument/2006/relationships/image" Target="../media/image3078.gif"/><Relationship Id="rId3904" Type="http://schemas.openxmlformats.org/officeDocument/2006/relationships/image" Target="../media/image4129.gif"/><Relationship Id="rId94" Type="http://schemas.openxmlformats.org/officeDocument/2006/relationships/image" Target="../media/image319.gif"/><Relationship Id="rId618" Type="http://schemas.openxmlformats.org/officeDocument/2006/relationships/image" Target="../media/image843.gif"/><Relationship Id="rId825" Type="http://schemas.openxmlformats.org/officeDocument/2006/relationships/image" Target="../media/image1050.gif"/><Relationship Id="rId1248" Type="http://schemas.openxmlformats.org/officeDocument/2006/relationships/image" Target="../media/image1473.gif"/><Relationship Id="rId1455" Type="http://schemas.openxmlformats.org/officeDocument/2006/relationships/image" Target="../media/image1680.gif"/><Relationship Id="rId1662" Type="http://schemas.openxmlformats.org/officeDocument/2006/relationships/image" Target="../media/image1887.gif"/><Relationship Id="rId2506" Type="http://schemas.openxmlformats.org/officeDocument/2006/relationships/image" Target="../media/image2731.gif"/><Relationship Id="rId1108" Type="http://schemas.openxmlformats.org/officeDocument/2006/relationships/image" Target="../media/image1333.gif"/><Relationship Id="rId1315" Type="http://schemas.openxmlformats.org/officeDocument/2006/relationships/image" Target="../media/image1540.gif"/><Relationship Id="rId2713" Type="http://schemas.openxmlformats.org/officeDocument/2006/relationships/image" Target="../media/image2938.gif"/><Relationship Id="rId2920" Type="http://schemas.openxmlformats.org/officeDocument/2006/relationships/image" Target="../media/image3145.gif"/><Relationship Id="rId1522" Type="http://schemas.openxmlformats.org/officeDocument/2006/relationships/image" Target="../media/image1747.gif"/><Relationship Id="rId21" Type="http://schemas.openxmlformats.org/officeDocument/2006/relationships/image" Target="../media/image246.gif"/><Relationship Id="rId2089" Type="http://schemas.openxmlformats.org/officeDocument/2006/relationships/image" Target="../media/image2314.gif"/><Relationship Id="rId3487" Type="http://schemas.openxmlformats.org/officeDocument/2006/relationships/image" Target="../media/image3712.gif"/><Relationship Id="rId3694" Type="http://schemas.openxmlformats.org/officeDocument/2006/relationships/image" Target="../media/image3919.gif"/><Relationship Id="rId2296" Type="http://schemas.openxmlformats.org/officeDocument/2006/relationships/image" Target="../media/image2521.gif"/><Relationship Id="rId3347" Type="http://schemas.openxmlformats.org/officeDocument/2006/relationships/image" Target="../media/image3572.gif"/><Relationship Id="rId3554" Type="http://schemas.openxmlformats.org/officeDocument/2006/relationships/image" Target="../media/image3779.gif"/><Relationship Id="rId3761" Type="http://schemas.openxmlformats.org/officeDocument/2006/relationships/image" Target="../media/image3986.gif"/><Relationship Id="rId268" Type="http://schemas.openxmlformats.org/officeDocument/2006/relationships/image" Target="../media/image493.gif"/><Relationship Id="rId475" Type="http://schemas.openxmlformats.org/officeDocument/2006/relationships/image" Target="../media/image700.gif"/><Relationship Id="rId682" Type="http://schemas.openxmlformats.org/officeDocument/2006/relationships/image" Target="../media/image907.gif"/><Relationship Id="rId2156" Type="http://schemas.openxmlformats.org/officeDocument/2006/relationships/image" Target="../media/image2381.gif"/><Relationship Id="rId2363" Type="http://schemas.openxmlformats.org/officeDocument/2006/relationships/image" Target="../media/image2588.gif"/><Relationship Id="rId2570" Type="http://schemas.openxmlformats.org/officeDocument/2006/relationships/image" Target="../media/image2795.gif"/><Relationship Id="rId3207" Type="http://schemas.openxmlformats.org/officeDocument/2006/relationships/image" Target="../media/image3432.gif"/><Relationship Id="rId3414" Type="http://schemas.openxmlformats.org/officeDocument/2006/relationships/image" Target="../media/image3639.gif"/><Relationship Id="rId3621" Type="http://schemas.openxmlformats.org/officeDocument/2006/relationships/image" Target="../media/image3846.gif"/><Relationship Id="rId128" Type="http://schemas.openxmlformats.org/officeDocument/2006/relationships/image" Target="../media/image353.gif"/><Relationship Id="rId335" Type="http://schemas.openxmlformats.org/officeDocument/2006/relationships/image" Target="../media/image560.gif"/><Relationship Id="rId542" Type="http://schemas.openxmlformats.org/officeDocument/2006/relationships/image" Target="../media/image767.gif"/><Relationship Id="rId1172" Type="http://schemas.openxmlformats.org/officeDocument/2006/relationships/image" Target="../media/image1397.gif"/><Relationship Id="rId2016" Type="http://schemas.openxmlformats.org/officeDocument/2006/relationships/image" Target="../media/image2241.gif"/><Relationship Id="rId2223" Type="http://schemas.openxmlformats.org/officeDocument/2006/relationships/image" Target="../media/image2448.gif"/><Relationship Id="rId2430" Type="http://schemas.openxmlformats.org/officeDocument/2006/relationships/image" Target="../media/image2655.gif"/><Relationship Id="rId402" Type="http://schemas.openxmlformats.org/officeDocument/2006/relationships/image" Target="../media/image627.gif"/><Relationship Id="rId1032" Type="http://schemas.openxmlformats.org/officeDocument/2006/relationships/image" Target="../media/image1257.gif"/><Relationship Id="rId4188" Type="http://schemas.openxmlformats.org/officeDocument/2006/relationships/image" Target="../media/image4413.gif"/><Relationship Id="rId4395" Type="http://schemas.openxmlformats.org/officeDocument/2006/relationships/image" Target="../media/image4620.gif"/><Relationship Id="rId1989" Type="http://schemas.openxmlformats.org/officeDocument/2006/relationships/image" Target="../media/image2214.gif"/><Relationship Id="rId4048" Type="http://schemas.openxmlformats.org/officeDocument/2006/relationships/image" Target="../media/image4273.gif"/><Relationship Id="rId4255" Type="http://schemas.openxmlformats.org/officeDocument/2006/relationships/image" Target="../media/image4480.gif"/><Relationship Id="rId1849" Type="http://schemas.openxmlformats.org/officeDocument/2006/relationships/image" Target="../media/image2074.gif"/><Relationship Id="rId3064" Type="http://schemas.openxmlformats.org/officeDocument/2006/relationships/image" Target="../media/image3289.gif"/><Relationship Id="rId4462" Type="http://schemas.openxmlformats.org/officeDocument/2006/relationships/image" Target="../media/image4687.gif"/><Relationship Id="rId192" Type="http://schemas.openxmlformats.org/officeDocument/2006/relationships/image" Target="../media/image417.gif"/><Relationship Id="rId1709" Type="http://schemas.openxmlformats.org/officeDocument/2006/relationships/image" Target="../media/image1934.gif"/><Relationship Id="rId1916" Type="http://schemas.openxmlformats.org/officeDocument/2006/relationships/image" Target="../media/image2141.gif"/><Relationship Id="rId3271" Type="http://schemas.openxmlformats.org/officeDocument/2006/relationships/image" Target="../media/image3496.gif"/><Relationship Id="rId4115" Type="http://schemas.openxmlformats.org/officeDocument/2006/relationships/image" Target="../media/image4340.gif"/><Relationship Id="rId4322" Type="http://schemas.openxmlformats.org/officeDocument/2006/relationships/image" Target="../media/image4547.gif"/><Relationship Id="rId2080" Type="http://schemas.openxmlformats.org/officeDocument/2006/relationships/image" Target="../media/image2305.gif"/><Relationship Id="rId3131" Type="http://schemas.openxmlformats.org/officeDocument/2006/relationships/image" Target="../media/image3356.gif"/><Relationship Id="rId2897" Type="http://schemas.openxmlformats.org/officeDocument/2006/relationships/image" Target="../media/image3122.gif"/><Relationship Id="rId3948" Type="http://schemas.openxmlformats.org/officeDocument/2006/relationships/image" Target="../media/image4173.gif"/><Relationship Id="rId869" Type="http://schemas.openxmlformats.org/officeDocument/2006/relationships/image" Target="../media/image1094.gif"/><Relationship Id="rId1499" Type="http://schemas.openxmlformats.org/officeDocument/2006/relationships/image" Target="../media/image1724.gif"/><Relationship Id="rId729" Type="http://schemas.openxmlformats.org/officeDocument/2006/relationships/image" Target="../media/image954.gif"/><Relationship Id="rId1359" Type="http://schemas.openxmlformats.org/officeDocument/2006/relationships/image" Target="../media/image1584.gif"/><Relationship Id="rId2757" Type="http://schemas.openxmlformats.org/officeDocument/2006/relationships/image" Target="../media/image2982.gif"/><Relationship Id="rId2964" Type="http://schemas.openxmlformats.org/officeDocument/2006/relationships/image" Target="../media/image3189.gif"/><Relationship Id="rId3808" Type="http://schemas.openxmlformats.org/officeDocument/2006/relationships/image" Target="../media/image4033.gif"/><Relationship Id="rId936" Type="http://schemas.openxmlformats.org/officeDocument/2006/relationships/image" Target="../media/image1161.gif"/><Relationship Id="rId1219" Type="http://schemas.openxmlformats.org/officeDocument/2006/relationships/image" Target="../media/image1444.gif"/><Relationship Id="rId1566" Type="http://schemas.openxmlformats.org/officeDocument/2006/relationships/image" Target="../media/image1791.gif"/><Relationship Id="rId1773" Type="http://schemas.openxmlformats.org/officeDocument/2006/relationships/image" Target="../media/image1998.gif"/><Relationship Id="rId1980" Type="http://schemas.openxmlformats.org/officeDocument/2006/relationships/image" Target="../media/image2205.gif"/><Relationship Id="rId2617" Type="http://schemas.openxmlformats.org/officeDocument/2006/relationships/image" Target="../media/image2842.gif"/><Relationship Id="rId2824" Type="http://schemas.openxmlformats.org/officeDocument/2006/relationships/image" Target="../media/image3049.gif"/><Relationship Id="rId65" Type="http://schemas.openxmlformats.org/officeDocument/2006/relationships/image" Target="../media/image290.gif"/><Relationship Id="rId1426" Type="http://schemas.openxmlformats.org/officeDocument/2006/relationships/image" Target="../media/image1651.gif"/><Relationship Id="rId1633" Type="http://schemas.openxmlformats.org/officeDocument/2006/relationships/image" Target="../media/image1858.gif"/><Relationship Id="rId1840" Type="http://schemas.openxmlformats.org/officeDocument/2006/relationships/image" Target="../media/image2065.gif"/><Relationship Id="rId1700" Type="http://schemas.openxmlformats.org/officeDocument/2006/relationships/image" Target="../media/image1925.gif"/><Relationship Id="rId3598" Type="http://schemas.openxmlformats.org/officeDocument/2006/relationships/image" Target="../media/image3823.gif"/><Relationship Id="rId3458" Type="http://schemas.openxmlformats.org/officeDocument/2006/relationships/image" Target="../media/image3683.gif"/><Relationship Id="rId3665" Type="http://schemas.openxmlformats.org/officeDocument/2006/relationships/image" Target="../media/image3890.gif"/><Relationship Id="rId3872" Type="http://schemas.openxmlformats.org/officeDocument/2006/relationships/image" Target="../media/image4097.gif"/><Relationship Id="rId379" Type="http://schemas.openxmlformats.org/officeDocument/2006/relationships/image" Target="../media/image604.gif"/><Relationship Id="rId586" Type="http://schemas.openxmlformats.org/officeDocument/2006/relationships/image" Target="../media/image811.gif"/><Relationship Id="rId793" Type="http://schemas.openxmlformats.org/officeDocument/2006/relationships/image" Target="../media/image1018.gif"/><Relationship Id="rId2267" Type="http://schemas.openxmlformats.org/officeDocument/2006/relationships/image" Target="../media/image2492.gif"/><Relationship Id="rId2474" Type="http://schemas.openxmlformats.org/officeDocument/2006/relationships/image" Target="../media/image2699.gif"/><Relationship Id="rId2681" Type="http://schemas.openxmlformats.org/officeDocument/2006/relationships/image" Target="../media/image2906.gif"/><Relationship Id="rId3318" Type="http://schemas.openxmlformats.org/officeDocument/2006/relationships/image" Target="../media/image3543.gif"/><Relationship Id="rId3525" Type="http://schemas.openxmlformats.org/officeDocument/2006/relationships/image" Target="../media/image3750.gif"/><Relationship Id="rId239" Type="http://schemas.openxmlformats.org/officeDocument/2006/relationships/image" Target="../media/image464.gif"/><Relationship Id="rId446" Type="http://schemas.openxmlformats.org/officeDocument/2006/relationships/image" Target="../media/image671.gif"/><Relationship Id="rId653" Type="http://schemas.openxmlformats.org/officeDocument/2006/relationships/image" Target="../media/image878.gif"/><Relationship Id="rId1076" Type="http://schemas.openxmlformats.org/officeDocument/2006/relationships/image" Target="../media/image1301.gif"/><Relationship Id="rId1283" Type="http://schemas.openxmlformats.org/officeDocument/2006/relationships/image" Target="../media/image1508.gif"/><Relationship Id="rId1490" Type="http://schemas.openxmlformats.org/officeDocument/2006/relationships/image" Target="../media/image1715.gif"/><Relationship Id="rId2127" Type="http://schemas.openxmlformats.org/officeDocument/2006/relationships/image" Target="../media/image2352.gif"/><Relationship Id="rId2334" Type="http://schemas.openxmlformats.org/officeDocument/2006/relationships/image" Target="../media/image2559.gif"/><Relationship Id="rId3732" Type="http://schemas.openxmlformats.org/officeDocument/2006/relationships/image" Target="../media/image3957.gif"/><Relationship Id="rId306" Type="http://schemas.openxmlformats.org/officeDocument/2006/relationships/image" Target="../media/image531.gif"/><Relationship Id="rId860" Type="http://schemas.openxmlformats.org/officeDocument/2006/relationships/image" Target="../media/image1085.gif"/><Relationship Id="rId1143" Type="http://schemas.openxmlformats.org/officeDocument/2006/relationships/image" Target="../media/image1368.gif"/><Relationship Id="rId2541" Type="http://schemas.openxmlformats.org/officeDocument/2006/relationships/image" Target="../media/image2766.gif"/><Relationship Id="rId4299" Type="http://schemas.openxmlformats.org/officeDocument/2006/relationships/image" Target="../media/image4524.gif"/><Relationship Id="rId513" Type="http://schemas.openxmlformats.org/officeDocument/2006/relationships/image" Target="../media/image738.gif"/><Relationship Id="rId720" Type="http://schemas.openxmlformats.org/officeDocument/2006/relationships/image" Target="../media/image945.gif"/><Relationship Id="rId1350" Type="http://schemas.openxmlformats.org/officeDocument/2006/relationships/image" Target="../media/image1575.gif"/><Relationship Id="rId2401" Type="http://schemas.openxmlformats.org/officeDocument/2006/relationships/image" Target="../media/image2626.gif"/><Relationship Id="rId4159" Type="http://schemas.openxmlformats.org/officeDocument/2006/relationships/image" Target="../media/image4384.gif"/><Relationship Id="rId1003" Type="http://schemas.openxmlformats.org/officeDocument/2006/relationships/image" Target="../media/image1228.gif"/><Relationship Id="rId1210" Type="http://schemas.openxmlformats.org/officeDocument/2006/relationships/image" Target="../media/image1435.gif"/><Relationship Id="rId4366" Type="http://schemas.openxmlformats.org/officeDocument/2006/relationships/image" Target="../media/image4591.gif"/><Relationship Id="rId3175" Type="http://schemas.openxmlformats.org/officeDocument/2006/relationships/image" Target="../media/image3400.gif"/><Relationship Id="rId3382" Type="http://schemas.openxmlformats.org/officeDocument/2006/relationships/image" Target="../media/image3607.gif"/><Relationship Id="rId4019" Type="http://schemas.openxmlformats.org/officeDocument/2006/relationships/image" Target="../media/image4244.gif"/><Relationship Id="rId4226" Type="http://schemas.openxmlformats.org/officeDocument/2006/relationships/image" Target="../media/image4451.gif"/><Relationship Id="rId4433" Type="http://schemas.openxmlformats.org/officeDocument/2006/relationships/image" Target="../media/image4658.gif"/><Relationship Id="rId2191" Type="http://schemas.openxmlformats.org/officeDocument/2006/relationships/image" Target="../media/image2416.gif"/><Relationship Id="rId3035" Type="http://schemas.openxmlformats.org/officeDocument/2006/relationships/image" Target="../media/image3260.gif"/><Relationship Id="rId3242" Type="http://schemas.openxmlformats.org/officeDocument/2006/relationships/image" Target="../media/image3467.gif"/><Relationship Id="rId163" Type="http://schemas.openxmlformats.org/officeDocument/2006/relationships/image" Target="../media/image388.gif"/><Relationship Id="rId370" Type="http://schemas.openxmlformats.org/officeDocument/2006/relationships/image" Target="../media/image595.gif"/><Relationship Id="rId2051" Type="http://schemas.openxmlformats.org/officeDocument/2006/relationships/image" Target="../media/image2276.gif"/><Relationship Id="rId3102" Type="http://schemas.openxmlformats.org/officeDocument/2006/relationships/image" Target="../media/image3327.gif"/><Relationship Id="rId230" Type="http://schemas.openxmlformats.org/officeDocument/2006/relationships/image" Target="../media/image455.gif"/><Relationship Id="rId2868" Type="http://schemas.openxmlformats.org/officeDocument/2006/relationships/image" Target="../media/image3093.gif"/><Relationship Id="rId3919" Type="http://schemas.openxmlformats.org/officeDocument/2006/relationships/image" Target="../media/image4144.gif"/><Relationship Id="rId4083" Type="http://schemas.openxmlformats.org/officeDocument/2006/relationships/image" Target="../media/image4308.gif"/><Relationship Id="rId1677" Type="http://schemas.openxmlformats.org/officeDocument/2006/relationships/image" Target="../media/image1902.gif"/><Relationship Id="rId1884" Type="http://schemas.openxmlformats.org/officeDocument/2006/relationships/image" Target="../media/image2109.gif"/><Relationship Id="rId2728" Type="http://schemas.openxmlformats.org/officeDocument/2006/relationships/image" Target="../media/image2953.gif"/><Relationship Id="rId2935" Type="http://schemas.openxmlformats.org/officeDocument/2006/relationships/image" Target="../media/image3160.gif"/><Relationship Id="rId4290" Type="http://schemas.openxmlformats.org/officeDocument/2006/relationships/image" Target="../media/image4515.gif"/><Relationship Id="rId907" Type="http://schemas.openxmlformats.org/officeDocument/2006/relationships/image" Target="../media/image1132.gif"/><Relationship Id="rId1537" Type="http://schemas.openxmlformats.org/officeDocument/2006/relationships/image" Target="../media/image1762.gif"/><Relationship Id="rId1744" Type="http://schemas.openxmlformats.org/officeDocument/2006/relationships/image" Target="../media/image1969.gif"/><Relationship Id="rId1951" Type="http://schemas.openxmlformats.org/officeDocument/2006/relationships/image" Target="../media/image2176.gif"/><Relationship Id="rId4150" Type="http://schemas.openxmlformats.org/officeDocument/2006/relationships/image" Target="../media/image4375.gif"/><Relationship Id="rId36" Type="http://schemas.openxmlformats.org/officeDocument/2006/relationships/image" Target="../media/image261.gif"/><Relationship Id="rId1604" Type="http://schemas.openxmlformats.org/officeDocument/2006/relationships/image" Target="../media/image1829.gif"/><Relationship Id="rId4010" Type="http://schemas.openxmlformats.org/officeDocument/2006/relationships/image" Target="../media/image4235.gif"/><Relationship Id="rId1811" Type="http://schemas.openxmlformats.org/officeDocument/2006/relationships/image" Target="../media/image2036.gif"/><Relationship Id="rId3569" Type="http://schemas.openxmlformats.org/officeDocument/2006/relationships/image" Target="../media/image3794.gif"/><Relationship Id="rId697" Type="http://schemas.openxmlformats.org/officeDocument/2006/relationships/image" Target="../media/image922.gif"/><Relationship Id="rId2378" Type="http://schemas.openxmlformats.org/officeDocument/2006/relationships/image" Target="../media/image2603.gif"/><Relationship Id="rId3429" Type="http://schemas.openxmlformats.org/officeDocument/2006/relationships/image" Target="../media/image3654.gif"/><Relationship Id="rId3776" Type="http://schemas.openxmlformats.org/officeDocument/2006/relationships/image" Target="../media/image4001.gif"/><Relationship Id="rId3983" Type="http://schemas.openxmlformats.org/officeDocument/2006/relationships/image" Target="../media/image4208.gif"/><Relationship Id="rId1187" Type="http://schemas.openxmlformats.org/officeDocument/2006/relationships/image" Target="../media/image1412.gif"/><Relationship Id="rId2585" Type="http://schemas.openxmlformats.org/officeDocument/2006/relationships/image" Target="../media/image2810.gif"/><Relationship Id="rId2792" Type="http://schemas.openxmlformats.org/officeDocument/2006/relationships/image" Target="../media/image3017.gif"/><Relationship Id="rId3636" Type="http://schemas.openxmlformats.org/officeDocument/2006/relationships/image" Target="../media/image3861.gif"/><Relationship Id="rId3843" Type="http://schemas.openxmlformats.org/officeDocument/2006/relationships/image" Target="../media/image4068.gif"/><Relationship Id="rId557" Type="http://schemas.openxmlformats.org/officeDocument/2006/relationships/image" Target="../media/image782.gif"/><Relationship Id="rId764" Type="http://schemas.openxmlformats.org/officeDocument/2006/relationships/image" Target="../media/image989.gif"/><Relationship Id="rId971" Type="http://schemas.openxmlformats.org/officeDocument/2006/relationships/image" Target="../media/image1196.gif"/><Relationship Id="rId1394" Type="http://schemas.openxmlformats.org/officeDocument/2006/relationships/image" Target="../media/image1619.gif"/><Relationship Id="rId2238" Type="http://schemas.openxmlformats.org/officeDocument/2006/relationships/image" Target="../media/image2463.gif"/><Relationship Id="rId2445" Type="http://schemas.openxmlformats.org/officeDocument/2006/relationships/image" Target="../media/image2670.gif"/><Relationship Id="rId2652" Type="http://schemas.openxmlformats.org/officeDocument/2006/relationships/image" Target="../media/image2877.gif"/><Relationship Id="rId3703" Type="http://schemas.openxmlformats.org/officeDocument/2006/relationships/image" Target="../media/image3928.gif"/><Relationship Id="rId3910" Type="http://schemas.openxmlformats.org/officeDocument/2006/relationships/image" Target="../media/image4135.gif"/><Relationship Id="rId417" Type="http://schemas.openxmlformats.org/officeDocument/2006/relationships/image" Target="../media/image642.gif"/><Relationship Id="rId624" Type="http://schemas.openxmlformats.org/officeDocument/2006/relationships/image" Target="../media/image849.gif"/><Relationship Id="rId831" Type="http://schemas.openxmlformats.org/officeDocument/2006/relationships/image" Target="../media/image1056.gif"/><Relationship Id="rId1047" Type="http://schemas.openxmlformats.org/officeDocument/2006/relationships/image" Target="../media/image1272.gif"/><Relationship Id="rId1254" Type="http://schemas.openxmlformats.org/officeDocument/2006/relationships/image" Target="../media/image1479.gif"/><Relationship Id="rId1461" Type="http://schemas.openxmlformats.org/officeDocument/2006/relationships/image" Target="../media/image1686.gif"/><Relationship Id="rId2305" Type="http://schemas.openxmlformats.org/officeDocument/2006/relationships/image" Target="../media/image2530.gif"/><Relationship Id="rId2512" Type="http://schemas.openxmlformats.org/officeDocument/2006/relationships/image" Target="../media/image2737.gif"/><Relationship Id="rId1114" Type="http://schemas.openxmlformats.org/officeDocument/2006/relationships/image" Target="../media/image1339.gif"/><Relationship Id="rId1321" Type="http://schemas.openxmlformats.org/officeDocument/2006/relationships/image" Target="../media/image1546.gif"/><Relationship Id="rId4477" Type="http://schemas.openxmlformats.org/officeDocument/2006/relationships/image" Target="../media/image4702.gif"/><Relationship Id="rId3079" Type="http://schemas.openxmlformats.org/officeDocument/2006/relationships/image" Target="../media/image3304.gif"/><Relationship Id="rId3286" Type="http://schemas.openxmlformats.org/officeDocument/2006/relationships/image" Target="../media/image3511.gif"/><Relationship Id="rId3493" Type="http://schemas.openxmlformats.org/officeDocument/2006/relationships/image" Target="../media/image3718.gif"/><Relationship Id="rId4337" Type="http://schemas.openxmlformats.org/officeDocument/2006/relationships/image" Target="../media/image4562.gif"/><Relationship Id="rId2095" Type="http://schemas.openxmlformats.org/officeDocument/2006/relationships/image" Target="../media/image2320.gif"/><Relationship Id="rId3146" Type="http://schemas.openxmlformats.org/officeDocument/2006/relationships/image" Target="../media/image3371.gif"/><Relationship Id="rId3353" Type="http://schemas.openxmlformats.org/officeDocument/2006/relationships/image" Target="../media/image3578.gif"/><Relationship Id="rId274" Type="http://schemas.openxmlformats.org/officeDocument/2006/relationships/image" Target="../media/image499.gif"/><Relationship Id="rId481" Type="http://schemas.openxmlformats.org/officeDocument/2006/relationships/image" Target="../media/image706.gif"/><Relationship Id="rId2162" Type="http://schemas.openxmlformats.org/officeDocument/2006/relationships/image" Target="../media/image2387.gif"/><Relationship Id="rId3006" Type="http://schemas.openxmlformats.org/officeDocument/2006/relationships/image" Target="../media/image3231.gif"/><Relationship Id="rId3560" Type="http://schemas.openxmlformats.org/officeDocument/2006/relationships/image" Target="../media/image3785.gif"/><Relationship Id="rId4404" Type="http://schemas.openxmlformats.org/officeDocument/2006/relationships/image" Target="../media/image4629.gif"/><Relationship Id="rId134" Type="http://schemas.openxmlformats.org/officeDocument/2006/relationships/image" Target="../media/image359.gif"/><Relationship Id="rId3213" Type="http://schemas.openxmlformats.org/officeDocument/2006/relationships/image" Target="../media/image3438.gif"/><Relationship Id="rId3420" Type="http://schemas.openxmlformats.org/officeDocument/2006/relationships/image" Target="../media/image3645.gif"/><Relationship Id="rId341" Type="http://schemas.openxmlformats.org/officeDocument/2006/relationships/image" Target="../media/image566.gif"/><Relationship Id="rId2022" Type="http://schemas.openxmlformats.org/officeDocument/2006/relationships/image" Target="../media/image2247.gif"/><Relationship Id="rId2979" Type="http://schemas.openxmlformats.org/officeDocument/2006/relationships/image" Target="../media/image3204.gif"/><Relationship Id="rId201" Type="http://schemas.openxmlformats.org/officeDocument/2006/relationships/image" Target="../media/image426.gif"/><Relationship Id="rId1788" Type="http://schemas.openxmlformats.org/officeDocument/2006/relationships/image" Target="../media/image2013.gif"/><Relationship Id="rId1995" Type="http://schemas.openxmlformats.org/officeDocument/2006/relationships/image" Target="../media/image2220.gif"/><Relationship Id="rId2839" Type="http://schemas.openxmlformats.org/officeDocument/2006/relationships/image" Target="../media/image3064.gif"/><Relationship Id="rId4194" Type="http://schemas.openxmlformats.org/officeDocument/2006/relationships/image" Target="../media/image4419.gif"/><Relationship Id="rId1648" Type="http://schemas.openxmlformats.org/officeDocument/2006/relationships/image" Target="../media/image1873.gif"/><Relationship Id="rId4054" Type="http://schemas.openxmlformats.org/officeDocument/2006/relationships/image" Target="../media/image4279.gif"/><Relationship Id="rId4261" Type="http://schemas.openxmlformats.org/officeDocument/2006/relationships/image" Target="../media/image4486.gif"/><Relationship Id="rId1508" Type="http://schemas.openxmlformats.org/officeDocument/2006/relationships/image" Target="../media/image1733.gif"/><Relationship Id="rId1855" Type="http://schemas.openxmlformats.org/officeDocument/2006/relationships/image" Target="../media/image2080.gif"/><Relationship Id="rId2906" Type="http://schemas.openxmlformats.org/officeDocument/2006/relationships/image" Target="../media/image3131.gif"/><Relationship Id="rId3070" Type="http://schemas.openxmlformats.org/officeDocument/2006/relationships/image" Target="../media/image3295.gif"/><Relationship Id="rId4121" Type="http://schemas.openxmlformats.org/officeDocument/2006/relationships/image" Target="../media/image4346.gif"/><Relationship Id="rId1715" Type="http://schemas.openxmlformats.org/officeDocument/2006/relationships/image" Target="../media/image1940.gif"/><Relationship Id="rId1922" Type="http://schemas.openxmlformats.org/officeDocument/2006/relationships/image" Target="../media/image2147.gif"/><Relationship Id="rId3887" Type="http://schemas.openxmlformats.org/officeDocument/2006/relationships/image" Target="../media/image4112.gif"/><Relationship Id="rId2489" Type="http://schemas.openxmlformats.org/officeDocument/2006/relationships/image" Target="../media/image2714.gif"/><Relationship Id="rId2696" Type="http://schemas.openxmlformats.org/officeDocument/2006/relationships/image" Target="../media/image2921.gif"/><Relationship Id="rId3747" Type="http://schemas.openxmlformats.org/officeDocument/2006/relationships/image" Target="../media/image3972.gif"/><Relationship Id="rId3954" Type="http://schemas.openxmlformats.org/officeDocument/2006/relationships/image" Target="../media/image4179.gif"/><Relationship Id="rId668" Type="http://schemas.openxmlformats.org/officeDocument/2006/relationships/image" Target="../media/image893.gif"/><Relationship Id="rId875" Type="http://schemas.openxmlformats.org/officeDocument/2006/relationships/image" Target="../media/image1100.gif"/><Relationship Id="rId1298" Type="http://schemas.openxmlformats.org/officeDocument/2006/relationships/image" Target="../media/image1523.gif"/><Relationship Id="rId2349" Type="http://schemas.openxmlformats.org/officeDocument/2006/relationships/image" Target="../media/image2574.gif"/><Relationship Id="rId2556" Type="http://schemas.openxmlformats.org/officeDocument/2006/relationships/image" Target="../media/image2781.gif"/><Relationship Id="rId2763" Type="http://schemas.openxmlformats.org/officeDocument/2006/relationships/image" Target="../media/image2988.gif"/><Relationship Id="rId2970" Type="http://schemas.openxmlformats.org/officeDocument/2006/relationships/image" Target="../media/image3195.gif"/><Relationship Id="rId3607" Type="http://schemas.openxmlformats.org/officeDocument/2006/relationships/image" Target="../media/image3832.gif"/><Relationship Id="rId3814" Type="http://schemas.openxmlformats.org/officeDocument/2006/relationships/image" Target="../media/image4039.gif"/><Relationship Id="rId528" Type="http://schemas.openxmlformats.org/officeDocument/2006/relationships/image" Target="../media/image753.gif"/><Relationship Id="rId735" Type="http://schemas.openxmlformats.org/officeDocument/2006/relationships/image" Target="../media/image960.gif"/><Relationship Id="rId942" Type="http://schemas.openxmlformats.org/officeDocument/2006/relationships/image" Target="../media/image1167.gif"/><Relationship Id="rId1158" Type="http://schemas.openxmlformats.org/officeDocument/2006/relationships/image" Target="../media/image1383.gif"/><Relationship Id="rId1365" Type="http://schemas.openxmlformats.org/officeDocument/2006/relationships/image" Target="../media/image1590.gif"/><Relationship Id="rId1572" Type="http://schemas.openxmlformats.org/officeDocument/2006/relationships/image" Target="../media/image1797.gif"/><Relationship Id="rId2209" Type="http://schemas.openxmlformats.org/officeDocument/2006/relationships/image" Target="../media/image2434.gif"/><Relationship Id="rId2416" Type="http://schemas.openxmlformats.org/officeDocument/2006/relationships/image" Target="../media/image2641.gif"/><Relationship Id="rId2623" Type="http://schemas.openxmlformats.org/officeDocument/2006/relationships/image" Target="../media/image2848.gif"/><Relationship Id="rId1018" Type="http://schemas.openxmlformats.org/officeDocument/2006/relationships/image" Target="../media/image1243.gif"/><Relationship Id="rId1225" Type="http://schemas.openxmlformats.org/officeDocument/2006/relationships/image" Target="../media/image1450.gif"/><Relationship Id="rId1432" Type="http://schemas.openxmlformats.org/officeDocument/2006/relationships/image" Target="../media/image1657.gif"/><Relationship Id="rId2830" Type="http://schemas.openxmlformats.org/officeDocument/2006/relationships/image" Target="../media/image3055.gif"/><Relationship Id="rId71" Type="http://schemas.openxmlformats.org/officeDocument/2006/relationships/image" Target="../media/image296.gif"/><Relationship Id="rId802" Type="http://schemas.openxmlformats.org/officeDocument/2006/relationships/image" Target="../media/image1027.gif"/><Relationship Id="rId3397" Type="http://schemas.openxmlformats.org/officeDocument/2006/relationships/image" Target="../media/image3622.gif"/><Relationship Id="rId4448" Type="http://schemas.openxmlformats.org/officeDocument/2006/relationships/image" Target="../media/image4673.gif"/><Relationship Id="rId178" Type="http://schemas.openxmlformats.org/officeDocument/2006/relationships/image" Target="../media/image403.gif"/><Relationship Id="rId3257" Type="http://schemas.openxmlformats.org/officeDocument/2006/relationships/image" Target="../media/image3482.gif"/><Relationship Id="rId3464" Type="http://schemas.openxmlformats.org/officeDocument/2006/relationships/image" Target="../media/image3689.gif"/><Relationship Id="rId3671" Type="http://schemas.openxmlformats.org/officeDocument/2006/relationships/image" Target="../media/image3896.gif"/><Relationship Id="rId4308" Type="http://schemas.openxmlformats.org/officeDocument/2006/relationships/image" Target="../media/image4533.gif"/><Relationship Id="rId385" Type="http://schemas.openxmlformats.org/officeDocument/2006/relationships/image" Target="../media/image610.gif"/><Relationship Id="rId592" Type="http://schemas.openxmlformats.org/officeDocument/2006/relationships/image" Target="../media/image817.gif"/><Relationship Id="rId2066" Type="http://schemas.openxmlformats.org/officeDocument/2006/relationships/image" Target="../media/image2291.gif"/><Relationship Id="rId2273" Type="http://schemas.openxmlformats.org/officeDocument/2006/relationships/image" Target="../media/image2498.gif"/><Relationship Id="rId2480" Type="http://schemas.openxmlformats.org/officeDocument/2006/relationships/image" Target="../media/image2705.gif"/><Relationship Id="rId3117" Type="http://schemas.openxmlformats.org/officeDocument/2006/relationships/image" Target="../media/image3342.gif"/><Relationship Id="rId3324" Type="http://schemas.openxmlformats.org/officeDocument/2006/relationships/image" Target="../media/image3549.gif"/><Relationship Id="rId3531" Type="http://schemas.openxmlformats.org/officeDocument/2006/relationships/image" Target="../media/image3756.gif"/><Relationship Id="rId245" Type="http://schemas.openxmlformats.org/officeDocument/2006/relationships/image" Target="../media/image470.gif"/><Relationship Id="rId452" Type="http://schemas.openxmlformats.org/officeDocument/2006/relationships/image" Target="../media/image677.gif"/><Relationship Id="rId1082" Type="http://schemas.openxmlformats.org/officeDocument/2006/relationships/image" Target="../media/image1307.gif"/><Relationship Id="rId2133" Type="http://schemas.openxmlformats.org/officeDocument/2006/relationships/image" Target="../media/image2358.gif"/><Relationship Id="rId2340" Type="http://schemas.openxmlformats.org/officeDocument/2006/relationships/image" Target="../media/image2565.gif"/><Relationship Id="rId105" Type="http://schemas.openxmlformats.org/officeDocument/2006/relationships/image" Target="../media/image330.gif"/><Relationship Id="rId312" Type="http://schemas.openxmlformats.org/officeDocument/2006/relationships/image" Target="../media/image537.gif"/><Relationship Id="rId2200" Type="http://schemas.openxmlformats.org/officeDocument/2006/relationships/image" Target="../media/image2425.gif"/><Relationship Id="rId4098" Type="http://schemas.openxmlformats.org/officeDocument/2006/relationships/image" Target="../media/image4323.gif"/><Relationship Id="rId1899" Type="http://schemas.openxmlformats.org/officeDocument/2006/relationships/image" Target="../media/image2124.gif"/><Relationship Id="rId4165" Type="http://schemas.openxmlformats.org/officeDocument/2006/relationships/image" Target="../media/image4390.gif"/><Relationship Id="rId4372" Type="http://schemas.openxmlformats.org/officeDocument/2006/relationships/image" Target="../media/image4597.gif"/><Relationship Id="rId1759" Type="http://schemas.openxmlformats.org/officeDocument/2006/relationships/image" Target="../media/image1984.gif"/><Relationship Id="rId1966" Type="http://schemas.openxmlformats.org/officeDocument/2006/relationships/image" Target="../media/image2191.gif"/><Relationship Id="rId3181" Type="http://schemas.openxmlformats.org/officeDocument/2006/relationships/image" Target="../media/image3406.gif"/><Relationship Id="rId4025" Type="http://schemas.openxmlformats.org/officeDocument/2006/relationships/image" Target="../media/image4250.gif"/><Relationship Id="rId1619" Type="http://schemas.openxmlformats.org/officeDocument/2006/relationships/image" Target="../media/image1844.gif"/><Relationship Id="rId1826" Type="http://schemas.openxmlformats.org/officeDocument/2006/relationships/image" Target="../media/image2051.gif"/><Relationship Id="rId4232" Type="http://schemas.openxmlformats.org/officeDocument/2006/relationships/image" Target="../media/image4457.gif"/><Relationship Id="rId3041" Type="http://schemas.openxmlformats.org/officeDocument/2006/relationships/image" Target="../media/image3266.gif"/><Relationship Id="rId3998" Type="http://schemas.openxmlformats.org/officeDocument/2006/relationships/image" Target="../media/image4223.gif"/><Relationship Id="rId3858" Type="http://schemas.openxmlformats.org/officeDocument/2006/relationships/image" Target="../media/image4083.gif"/><Relationship Id="rId779" Type="http://schemas.openxmlformats.org/officeDocument/2006/relationships/image" Target="../media/image1004.gif"/><Relationship Id="rId986" Type="http://schemas.openxmlformats.org/officeDocument/2006/relationships/image" Target="../media/image1211.gif"/><Relationship Id="rId2667" Type="http://schemas.openxmlformats.org/officeDocument/2006/relationships/image" Target="../media/image2892.gif"/><Relationship Id="rId3718" Type="http://schemas.openxmlformats.org/officeDocument/2006/relationships/image" Target="../media/image3943.gif"/><Relationship Id="rId639" Type="http://schemas.openxmlformats.org/officeDocument/2006/relationships/image" Target="../media/image864.gif"/><Relationship Id="rId1269" Type="http://schemas.openxmlformats.org/officeDocument/2006/relationships/image" Target="../media/image1494.gif"/><Relationship Id="rId1476" Type="http://schemas.openxmlformats.org/officeDocument/2006/relationships/image" Target="../media/image1701.gif"/><Relationship Id="rId2874" Type="http://schemas.openxmlformats.org/officeDocument/2006/relationships/image" Target="../media/image3099.gif"/><Relationship Id="rId3925" Type="http://schemas.openxmlformats.org/officeDocument/2006/relationships/image" Target="../media/image4150.gif"/><Relationship Id="rId846" Type="http://schemas.openxmlformats.org/officeDocument/2006/relationships/image" Target="../media/image1071.gif"/><Relationship Id="rId1129" Type="http://schemas.openxmlformats.org/officeDocument/2006/relationships/image" Target="../media/image1354.gif"/><Relationship Id="rId1683" Type="http://schemas.openxmlformats.org/officeDocument/2006/relationships/image" Target="../media/image1908.gif"/><Relationship Id="rId1890" Type="http://schemas.openxmlformats.org/officeDocument/2006/relationships/image" Target="../media/image2115.gif"/><Relationship Id="rId2527" Type="http://schemas.openxmlformats.org/officeDocument/2006/relationships/image" Target="../media/image2752.gif"/><Relationship Id="rId2734" Type="http://schemas.openxmlformats.org/officeDocument/2006/relationships/image" Target="../media/image2959.gif"/><Relationship Id="rId2941" Type="http://schemas.openxmlformats.org/officeDocument/2006/relationships/image" Target="../media/image3166.gif"/><Relationship Id="rId706" Type="http://schemas.openxmlformats.org/officeDocument/2006/relationships/image" Target="../media/image931.gif"/><Relationship Id="rId913" Type="http://schemas.openxmlformats.org/officeDocument/2006/relationships/image" Target="../media/image1138.gif"/><Relationship Id="rId1336" Type="http://schemas.openxmlformats.org/officeDocument/2006/relationships/image" Target="../media/image1561.gif"/><Relationship Id="rId1543" Type="http://schemas.openxmlformats.org/officeDocument/2006/relationships/image" Target="../media/image1768.gif"/><Relationship Id="rId1750" Type="http://schemas.openxmlformats.org/officeDocument/2006/relationships/image" Target="../media/image1975.gif"/><Relationship Id="rId2801" Type="http://schemas.openxmlformats.org/officeDocument/2006/relationships/image" Target="../media/image3026.gif"/><Relationship Id="rId42" Type="http://schemas.openxmlformats.org/officeDocument/2006/relationships/image" Target="../media/image267.gif"/><Relationship Id="rId1403" Type="http://schemas.openxmlformats.org/officeDocument/2006/relationships/image" Target="../media/image1628.gif"/><Relationship Id="rId1610" Type="http://schemas.openxmlformats.org/officeDocument/2006/relationships/image" Target="../media/image1835.gif"/><Relationship Id="rId3368" Type="http://schemas.openxmlformats.org/officeDocument/2006/relationships/image" Target="../media/image3593.gif"/><Relationship Id="rId3575" Type="http://schemas.openxmlformats.org/officeDocument/2006/relationships/image" Target="../media/image3800.gif"/><Relationship Id="rId3782" Type="http://schemas.openxmlformats.org/officeDocument/2006/relationships/image" Target="../media/image4007.gif"/><Relationship Id="rId4419" Type="http://schemas.openxmlformats.org/officeDocument/2006/relationships/image" Target="../media/image4644.gif"/><Relationship Id="rId289" Type="http://schemas.openxmlformats.org/officeDocument/2006/relationships/image" Target="../media/image514.gif"/><Relationship Id="rId496" Type="http://schemas.openxmlformats.org/officeDocument/2006/relationships/image" Target="../media/image721.gif"/><Relationship Id="rId2177" Type="http://schemas.openxmlformats.org/officeDocument/2006/relationships/image" Target="../media/image2402.gif"/><Relationship Id="rId2384" Type="http://schemas.openxmlformats.org/officeDocument/2006/relationships/image" Target="../media/image2609.gif"/><Relationship Id="rId2591" Type="http://schemas.openxmlformats.org/officeDocument/2006/relationships/image" Target="../media/image2816.gif"/><Relationship Id="rId3228" Type="http://schemas.openxmlformats.org/officeDocument/2006/relationships/image" Target="../media/image3453.gif"/><Relationship Id="rId3435" Type="http://schemas.openxmlformats.org/officeDocument/2006/relationships/image" Target="../media/image3660.gif"/><Relationship Id="rId3642" Type="http://schemas.openxmlformats.org/officeDocument/2006/relationships/image" Target="../media/image3867.gif"/><Relationship Id="rId149" Type="http://schemas.openxmlformats.org/officeDocument/2006/relationships/image" Target="../media/image374.gif"/><Relationship Id="rId356" Type="http://schemas.openxmlformats.org/officeDocument/2006/relationships/image" Target="../media/image581.gif"/><Relationship Id="rId563" Type="http://schemas.openxmlformats.org/officeDocument/2006/relationships/image" Target="../media/image788.gif"/><Relationship Id="rId770" Type="http://schemas.openxmlformats.org/officeDocument/2006/relationships/image" Target="../media/image995.gif"/><Relationship Id="rId1193" Type="http://schemas.openxmlformats.org/officeDocument/2006/relationships/image" Target="../media/image1418.gif"/><Relationship Id="rId2037" Type="http://schemas.openxmlformats.org/officeDocument/2006/relationships/image" Target="../media/image2262.gif"/><Relationship Id="rId2244" Type="http://schemas.openxmlformats.org/officeDocument/2006/relationships/image" Target="../media/image2469.gif"/><Relationship Id="rId2451" Type="http://schemas.openxmlformats.org/officeDocument/2006/relationships/image" Target="../media/image2676.gif"/><Relationship Id="rId216" Type="http://schemas.openxmlformats.org/officeDocument/2006/relationships/image" Target="../media/image441.gif"/><Relationship Id="rId423" Type="http://schemas.openxmlformats.org/officeDocument/2006/relationships/image" Target="../media/image648.gif"/><Relationship Id="rId1053" Type="http://schemas.openxmlformats.org/officeDocument/2006/relationships/image" Target="../media/image1278.gif"/><Relationship Id="rId1260" Type="http://schemas.openxmlformats.org/officeDocument/2006/relationships/image" Target="../media/image1485.gif"/><Relationship Id="rId2104" Type="http://schemas.openxmlformats.org/officeDocument/2006/relationships/image" Target="../media/image2329.gif"/><Relationship Id="rId3502" Type="http://schemas.openxmlformats.org/officeDocument/2006/relationships/image" Target="../media/image3727.gif"/><Relationship Id="rId630" Type="http://schemas.openxmlformats.org/officeDocument/2006/relationships/image" Target="../media/image855.gif"/><Relationship Id="rId2311" Type="http://schemas.openxmlformats.org/officeDocument/2006/relationships/image" Target="../media/image2536.gif"/><Relationship Id="rId4069" Type="http://schemas.openxmlformats.org/officeDocument/2006/relationships/image" Target="../media/image4294.gif"/><Relationship Id="rId1120" Type="http://schemas.openxmlformats.org/officeDocument/2006/relationships/image" Target="../media/image1345.gif"/><Relationship Id="rId4276" Type="http://schemas.openxmlformats.org/officeDocument/2006/relationships/image" Target="../media/image4501.gif"/><Relationship Id="rId4483" Type="http://schemas.openxmlformats.org/officeDocument/2006/relationships/image" Target="../media/image33.png"/><Relationship Id="rId1937" Type="http://schemas.openxmlformats.org/officeDocument/2006/relationships/image" Target="../media/image2162.gif"/><Relationship Id="rId3085" Type="http://schemas.openxmlformats.org/officeDocument/2006/relationships/image" Target="../media/image3310.gif"/><Relationship Id="rId3292" Type="http://schemas.openxmlformats.org/officeDocument/2006/relationships/image" Target="../media/image3517.gif"/><Relationship Id="rId4136" Type="http://schemas.openxmlformats.org/officeDocument/2006/relationships/image" Target="../media/image4361.gif"/><Relationship Id="rId4343" Type="http://schemas.openxmlformats.org/officeDocument/2006/relationships/image" Target="../media/image4568.gif"/><Relationship Id="rId3152" Type="http://schemas.openxmlformats.org/officeDocument/2006/relationships/image" Target="../media/image3377.gif"/><Relationship Id="rId4203" Type="http://schemas.openxmlformats.org/officeDocument/2006/relationships/image" Target="../media/image4428.gif"/><Relationship Id="rId4410" Type="http://schemas.openxmlformats.org/officeDocument/2006/relationships/image" Target="../media/image4635.gif"/><Relationship Id="rId280" Type="http://schemas.openxmlformats.org/officeDocument/2006/relationships/image" Target="../media/image505.gif"/><Relationship Id="rId3012" Type="http://schemas.openxmlformats.org/officeDocument/2006/relationships/image" Target="../media/image3237.gif"/><Relationship Id="rId140" Type="http://schemas.openxmlformats.org/officeDocument/2006/relationships/image" Target="../media/image365.gif"/><Relationship Id="rId3969" Type="http://schemas.openxmlformats.org/officeDocument/2006/relationships/image" Target="../media/image4194.gif"/><Relationship Id="rId6" Type="http://schemas.openxmlformats.org/officeDocument/2006/relationships/image" Target="../media/image231.gif"/><Relationship Id="rId2778" Type="http://schemas.openxmlformats.org/officeDocument/2006/relationships/image" Target="../media/image3003.gif"/><Relationship Id="rId2985" Type="http://schemas.openxmlformats.org/officeDocument/2006/relationships/image" Target="../media/image3210.gif"/><Relationship Id="rId3829" Type="http://schemas.openxmlformats.org/officeDocument/2006/relationships/image" Target="../media/image4054.gif"/><Relationship Id="rId957" Type="http://schemas.openxmlformats.org/officeDocument/2006/relationships/image" Target="../media/image1182.gif"/><Relationship Id="rId1587" Type="http://schemas.openxmlformats.org/officeDocument/2006/relationships/image" Target="../media/image1812.gif"/><Relationship Id="rId1794" Type="http://schemas.openxmlformats.org/officeDocument/2006/relationships/image" Target="../media/image2019.gif"/><Relationship Id="rId2638" Type="http://schemas.openxmlformats.org/officeDocument/2006/relationships/image" Target="../media/image2863.gif"/><Relationship Id="rId2845" Type="http://schemas.openxmlformats.org/officeDocument/2006/relationships/image" Target="../media/image3070.gif"/><Relationship Id="rId86" Type="http://schemas.openxmlformats.org/officeDocument/2006/relationships/image" Target="../media/image311.gif"/><Relationship Id="rId817" Type="http://schemas.openxmlformats.org/officeDocument/2006/relationships/image" Target="../media/image1042.gif"/><Relationship Id="rId1447" Type="http://schemas.openxmlformats.org/officeDocument/2006/relationships/image" Target="../media/image1672.gif"/><Relationship Id="rId1654" Type="http://schemas.openxmlformats.org/officeDocument/2006/relationships/image" Target="../media/image1879.gif"/><Relationship Id="rId1861" Type="http://schemas.openxmlformats.org/officeDocument/2006/relationships/image" Target="../media/image2086.gif"/><Relationship Id="rId2705" Type="http://schemas.openxmlformats.org/officeDocument/2006/relationships/image" Target="../media/image2930.gif"/><Relationship Id="rId2912" Type="http://schemas.openxmlformats.org/officeDocument/2006/relationships/image" Target="../media/image3137.gif"/><Relationship Id="rId4060" Type="http://schemas.openxmlformats.org/officeDocument/2006/relationships/image" Target="../media/image4285.gif"/><Relationship Id="rId1307" Type="http://schemas.openxmlformats.org/officeDocument/2006/relationships/image" Target="../media/image1532.gif"/><Relationship Id="rId1514" Type="http://schemas.openxmlformats.org/officeDocument/2006/relationships/image" Target="../media/image1739.gif"/><Relationship Id="rId1721" Type="http://schemas.openxmlformats.org/officeDocument/2006/relationships/image" Target="../media/image1946.gif"/><Relationship Id="rId13" Type="http://schemas.openxmlformats.org/officeDocument/2006/relationships/image" Target="../media/image238.gif"/><Relationship Id="rId3479" Type="http://schemas.openxmlformats.org/officeDocument/2006/relationships/image" Target="../media/image3704.gif"/><Relationship Id="rId3686" Type="http://schemas.openxmlformats.org/officeDocument/2006/relationships/image" Target="../media/image3911.gif"/><Relationship Id="rId2288" Type="http://schemas.openxmlformats.org/officeDocument/2006/relationships/image" Target="../media/image2513.gif"/><Relationship Id="rId2495" Type="http://schemas.openxmlformats.org/officeDocument/2006/relationships/image" Target="../media/image2720.gif"/><Relationship Id="rId3339" Type="http://schemas.openxmlformats.org/officeDocument/2006/relationships/image" Target="../media/image3564.gif"/><Relationship Id="rId3893" Type="http://schemas.openxmlformats.org/officeDocument/2006/relationships/image" Target="../media/image4118.gif"/><Relationship Id="rId467" Type="http://schemas.openxmlformats.org/officeDocument/2006/relationships/image" Target="../media/image692.gif"/><Relationship Id="rId1097" Type="http://schemas.openxmlformats.org/officeDocument/2006/relationships/image" Target="../media/image1322.gif"/><Relationship Id="rId2148" Type="http://schemas.openxmlformats.org/officeDocument/2006/relationships/image" Target="../media/image2373.gif"/><Relationship Id="rId3546" Type="http://schemas.openxmlformats.org/officeDocument/2006/relationships/image" Target="../media/image3771.gif"/><Relationship Id="rId3753" Type="http://schemas.openxmlformats.org/officeDocument/2006/relationships/image" Target="../media/image3978.gif"/><Relationship Id="rId3960" Type="http://schemas.openxmlformats.org/officeDocument/2006/relationships/image" Target="../media/image4185.gif"/><Relationship Id="rId674" Type="http://schemas.openxmlformats.org/officeDocument/2006/relationships/image" Target="../media/image899.gif"/><Relationship Id="rId881" Type="http://schemas.openxmlformats.org/officeDocument/2006/relationships/image" Target="../media/image1106.gif"/><Relationship Id="rId2355" Type="http://schemas.openxmlformats.org/officeDocument/2006/relationships/image" Target="../media/image2580.gif"/><Relationship Id="rId2562" Type="http://schemas.openxmlformats.org/officeDocument/2006/relationships/image" Target="../media/image2787.gif"/><Relationship Id="rId3406" Type="http://schemas.openxmlformats.org/officeDocument/2006/relationships/image" Target="../media/image3631.gif"/><Relationship Id="rId3613" Type="http://schemas.openxmlformats.org/officeDocument/2006/relationships/image" Target="../media/image3838.gif"/><Relationship Id="rId3820" Type="http://schemas.openxmlformats.org/officeDocument/2006/relationships/image" Target="../media/image4045.gif"/><Relationship Id="rId327" Type="http://schemas.openxmlformats.org/officeDocument/2006/relationships/image" Target="../media/image552.gif"/><Relationship Id="rId534" Type="http://schemas.openxmlformats.org/officeDocument/2006/relationships/image" Target="../media/image759.gif"/><Relationship Id="rId741" Type="http://schemas.openxmlformats.org/officeDocument/2006/relationships/image" Target="../media/image966.gif"/><Relationship Id="rId1164" Type="http://schemas.openxmlformats.org/officeDocument/2006/relationships/image" Target="../media/image1389.gif"/><Relationship Id="rId1371" Type="http://schemas.openxmlformats.org/officeDocument/2006/relationships/image" Target="../media/image1596.gif"/><Relationship Id="rId2008" Type="http://schemas.openxmlformats.org/officeDocument/2006/relationships/image" Target="../media/image2233.gif"/><Relationship Id="rId2215" Type="http://schemas.openxmlformats.org/officeDocument/2006/relationships/image" Target="../media/image2440.gif"/><Relationship Id="rId2422" Type="http://schemas.openxmlformats.org/officeDocument/2006/relationships/image" Target="../media/image2647.gif"/><Relationship Id="rId601" Type="http://schemas.openxmlformats.org/officeDocument/2006/relationships/image" Target="../media/image826.gif"/><Relationship Id="rId1024" Type="http://schemas.openxmlformats.org/officeDocument/2006/relationships/image" Target="../media/image1249.gif"/><Relationship Id="rId1231" Type="http://schemas.openxmlformats.org/officeDocument/2006/relationships/image" Target="../media/image1456.gif"/><Relationship Id="rId4387" Type="http://schemas.openxmlformats.org/officeDocument/2006/relationships/image" Target="../media/image4612.gif"/><Relationship Id="rId3196" Type="http://schemas.openxmlformats.org/officeDocument/2006/relationships/image" Target="../media/image3421.gif"/><Relationship Id="rId4247" Type="http://schemas.openxmlformats.org/officeDocument/2006/relationships/image" Target="../media/image4472.gif"/><Relationship Id="rId4454" Type="http://schemas.openxmlformats.org/officeDocument/2006/relationships/image" Target="../media/image4679.gif"/><Relationship Id="rId3056" Type="http://schemas.openxmlformats.org/officeDocument/2006/relationships/image" Target="../media/image3281.gif"/><Relationship Id="rId3263" Type="http://schemas.openxmlformats.org/officeDocument/2006/relationships/image" Target="../media/image3488.gif"/><Relationship Id="rId3470" Type="http://schemas.openxmlformats.org/officeDocument/2006/relationships/image" Target="../media/image3695.gif"/><Relationship Id="rId4107" Type="http://schemas.openxmlformats.org/officeDocument/2006/relationships/image" Target="../media/image4332.gif"/><Relationship Id="rId4314" Type="http://schemas.openxmlformats.org/officeDocument/2006/relationships/image" Target="../media/image4539.gif"/><Relationship Id="rId184" Type="http://schemas.openxmlformats.org/officeDocument/2006/relationships/image" Target="../media/image409.gif"/><Relationship Id="rId391" Type="http://schemas.openxmlformats.org/officeDocument/2006/relationships/image" Target="../media/image616.gif"/><Relationship Id="rId1908" Type="http://schemas.openxmlformats.org/officeDocument/2006/relationships/image" Target="../media/image2133.gif"/><Relationship Id="rId2072" Type="http://schemas.openxmlformats.org/officeDocument/2006/relationships/image" Target="../media/image2297.gif"/><Relationship Id="rId3123" Type="http://schemas.openxmlformats.org/officeDocument/2006/relationships/image" Target="../media/image3348.gif"/><Relationship Id="rId251" Type="http://schemas.openxmlformats.org/officeDocument/2006/relationships/image" Target="../media/image476.gif"/><Relationship Id="rId3330" Type="http://schemas.openxmlformats.org/officeDocument/2006/relationships/image" Target="../media/image3555.gif"/><Relationship Id="rId2889" Type="http://schemas.openxmlformats.org/officeDocument/2006/relationships/image" Target="../media/image3114.gif"/><Relationship Id="rId111" Type="http://schemas.openxmlformats.org/officeDocument/2006/relationships/image" Target="../media/image336.gif"/><Relationship Id="rId1698" Type="http://schemas.openxmlformats.org/officeDocument/2006/relationships/image" Target="../media/image1923.gif"/><Relationship Id="rId2749" Type="http://schemas.openxmlformats.org/officeDocument/2006/relationships/image" Target="../media/image2974.gif"/><Relationship Id="rId2956" Type="http://schemas.openxmlformats.org/officeDocument/2006/relationships/image" Target="../media/image3181.gif"/><Relationship Id="rId928" Type="http://schemas.openxmlformats.org/officeDocument/2006/relationships/image" Target="../media/image1153.gif"/><Relationship Id="rId1558" Type="http://schemas.openxmlformats.org/officeDocument/2006/relationships/image" Target="../media/image1783.gif"/><Relationship Id="rId1765" Type="http://schemas.openxmlformats.org/officeDocument/2006/relationships/image" Target="../media/image1990.gif"/><Relationship Id="rId2609" Type="http://schemas.openxmlformats.org/officeDocument/2006/relationships/image" Target="../media/image2834.gif"/><Relationship Id="rId4171" Type="http://schemas.openxmlformats.org/officeDocument/2006/relationships/image" Target="../media/image4396.gif"/><Relationship Id="rId57" Type="http://schemas.openxmlformats.org/officeDocument/2006/relationships/image" Target="../media/image282.gif"/><Relationship Id="rId1418" Type="http://schemas.openxmlformats.org/officeDocument/2006/relationships/image" Target="../media/image1643.gif"/><Relationship Id="rId1972" Type="http://schemas.openxmlformats.org/officeDocument/2006/relationships/image" Target="../media/image2197.gif"/><Relationship Id="rId2816" Type="http://schemas.openxmlformats.org/officeDocument/2006/relationships/image" Target="../media/image3041.gif"/><Relationship Id="rId4031" Type="http://schemas.openxmlformats.org/officeDocument/2006/relationships/image" Target="../media/image4256.gif"/><Relationship Id="rId1625" Type="http://schemas.openxmlformats.org/officeDocument/2006/relationships/image" Target="../media/image1850.gif"/><Relationship Id="rId1832" Type="http://schemas.openxmlformats.org/officeDocument/2006/relationships/image" Target="../media/image2057.gif"/><Relationship Id="rId3797" Type="http://schemas.openxmlformats.org/officeDocument/2006/relationships/image" Target="../media/image4022.gif"/><Relationship Id="rId2399" Type="http://schemas.openxmlformats.org/officeDocument/2006/relationships/image" Target="../media/image2624.gif"/><Relationship Id="rId3657" Type="http://schemas.openxmlformats.org/officeDocument/2006/relationships/image" Target="../media/image3882.gif"/><Relationship Id="rId3864" Type="http://schemas.openxmlformats.org/officeDocument/2006/relationships/image" Target="../media/image4089.gif"/><Relationship Id="rId578" Type="http://schemas.openxmlformats.org/officeDocument/2006/relationships/image" Target="../media/image803.gif"/><Relationship Id="rId785" Type="http://schemas.openxmlformats.org/officeDocument/2006/relationships/image" Target="../media/image1010.gif"/><Relationship Id="rId992" Type="http://schemas.openxmlformats.org/officeDocument/2006/relationships/image" Target="../media/image1217.gif"/><Relationship Id="rId2259" Type="http://schemas.openxmlformats.org/officeDocument/2006/relationships/image" Target="../media/image2484.gif"/><Relationship Id="rId2466" Type="http://schemas.openxmlformats.org/officeDocument/2006/relationships/image" Target="../media/image2691.gif"/><Relationship Id="rId2673" Type="http://schemas.openxmlformats.org/officeDocument/2006/relationships/image" Target="../media/image2898.gif"/><Relationship Id="rId2880" Type="http://schemas.openxmlformats.org/officeDocument/2006/relationships/image" Target="../media/image3105.gif"/><Relationship Id="rId3517" Type="http://schemas.openxmlformats.org/officeDocument/2006/relationships/image" Target="../media/image3742.gif"/><Relationship Id="rId3724" Type="http://schemas.openxmlformats.org/officeDocument/2006/relationships/image" Target="../media/image3949.gif"/><Relationship Id="rId3931" Type="http://schemas.openxmlformats.org/officeDocument/2006/relationships/image" Target="../media/image4156.gif"/><Relationship Id="rId438" Type="http://schemas.openxmlformats.org/officeDocument/2006/relationships/image" Target="../media/image663.gif"/><Relationship Id="rId645" Type="http://schemas.openxmlformats.org/officeDocument/2006/relationships/image" Target="../media/image870.gif"/><Relationship Id="rId852" Type="http://schemas.openxmlformats.org/officeDocument/2006/relationships/image" Target="../media/image1077.gif"/><Relationship Id="rId1068" Type="http://schemas.openxmlformats.org/officeDocument/2006/relationships/image" Target="../media/image1293.gif"/><Relationship Id="rId1275" Type="http://schemas.openxmlformats.org/officeDocument/2006/relationships/image" Target="../media/image1500.gif"/><Relationship Id="rId1482" Type="http://schemas.openxmlformats.org/officeDocument/2006/relationships/image" Target="../media/image1707.gif"/><Relationship Id="rId2119" Type="http://schemas.openxmlformats.org/officeDocument/2006/relationships/image" Target="../media/image2344.gif"/><Relationship Id="rId2326" Type="http://schemas.openxmlformats.org/officeDocument/2006/relationships/image" Target="../media/image2551.gif"/><Relationship Id="rId2533" Type="http://schemas.openxmlformats.org/officeDocument/2006/relationships/image" Target="../media/image2758.gif"/><Relationship Id="rId2740" Type="http://schemas.openxmlformats.org/officeDocument/2006/relationships/image" Target="../media/image2965.gif"/><Relationship Id="rId505" Type="http://schemas.openxmlformats.org/officeDocument/2006/relationships/image" Target="../media/image730.gif"/><Relationship Id="rId712" Type="http://schemas.openxmlformats.org/officeDocument/2006/relationships/image" Target="../media/image937.gif"/><Relationship Id="rId1135" Type="http://schemas.openxmlformats.org/officeDocument/2006/relationships/image" Target="../media/image1360.gif"/><Relationship Id="rId1342" Type="http://schemas.openxmlformats.org/officeDocument/2006/relationships/image" Target="../media/image1567.gif"/><Relationship Id="rId1202" Type="http://schemas.openxmlformats.org/officeDocument/2006/relationships/image" Target="../media/image1427.gif"/><Relationship Id="rId2600" Type="http://schemas.openxmlformats.org/officeDocument/2006/relationships/image" Target="../media/image2825.gif"/><Relationship Id="rId4358" Type="http://schemas.openxmlformats.org/officeDocument/2006/relationships/image" Target="../media/image4583.gif"/><Relationship Id="rId3167" Type="http://schemas.openxmlformats.org/officeDocument/2006/relationships/image" Target="../media/image3392.gif"/><Relationship Id="rId295" Type="http://schemas.openxmlformats.org/officeDocument/2006/relationships/image" Target="../media/image520.gif"/><Relationship Id="rId3374" Type="http://schemas.openxmlformats.org/officeDocument/2006/relationships/image" Target="../media/image3599.gif"/><Relationship Id="rId3581" Type="http://schemas.openxmlformats.org/officeDocument/2006/relationships/image" Target="../media/image3806.gif"/><Relationship Id="rId4218" Type="http://schemas.openxmlformats.org/officeDocument/2006/relationships/image" Target="../media/image4443.gif"/><Relationship Id="rId4425" Type="http://schemas.openxmlformats.org/officeDocument/2006/relationships/image" Target="../media/image4650.gif"/><Relationship Id="rId2183" Type="http://schemas.openxmlformats.org/officeDocument/2006/relationships/image" Target="../media/image2408.gif"/><Relationship Id="rId2390" Type="http://schemas.openxmlformats.org/officeDocument/2006/relationships/image" Target="../media/image2615.gif"/><Relationship Id="rId3027" Type="http://schemas.openxmlformats.org/officeDocument/2006/relationships/image" Target="../media/image3252.gif"/><Relationship Id="rId3234" Type="http://schemas.openxmlformats.org/officeDocument/2006/relationships/image" Target="../media/image3459.gif"/><Relationship Id="rId3441" Type="http://schemas.openxmlformats.org/officeDocument/2006/relationships/image" Target="../media/image3666.gif"/><Relationship Id="rId155" Type="http://schemas.openxmlformats.org/officeDocument/2006/relationships/image" Target="../media/image380.gif"/><Relationship Id="rId362" Type="http://schemas.openxmlformats.org/officeDocument/2006/relationships/image" Target="../media/image587.gif"/><Relationship Id="rId2043" Type="http://schemas.openxmlformats.org/officeDocument/2006/relationships/image" Target="../media/image2268.gif"/><Relationship Id="rId2250" Type="http://schemas.openxmlformats.org/officeDocument/2006/relationships/image" Target="../media/image2475.gif"/><Relationship Id="rId3301" Type="http://schemas.openxmlformats.org/officeDocument/2006/relationships/image" Target="../media/image3526.gif"/><Relationship Id="rId222" Type="http://schemas.openxmlformats.org/officeDocument/2006/relationships/image" Target="../media/image447.gif"/><Relationship Id="rId2110" Type="http://schemas.openxmlformats.org/officeDocument/2006/relationships/image" Target="../media/image2335.gif"/><Relationship Id="rId4075" Type="http://schemas.openxmlformats.org/officeDocument/2006/relationships/image" Target="../media/image4300.gif"/><Relationship Id="rId4282" Type="http://schemas.openxmlformats.org/officeDocument/2006/relationships/image" Target="../media/image4507.gif"/><Relationship Id="rId1669" Type="http://schemas.openxmlformats.org/officeDocument/2006/relationships/image" Target="../media/image1894.gif"/><Relationship Id="rId1876" Type="http://schemas.openxmlformats.org/officeDocument/2006/relationships/image" Target="../media/image2101.gif"/><Relationship Id="rId2927" Type="http://schemas.openxmlformats.org/officeDocument/2006/relationships/image" Target="../media/image3152.gif"/><Relationship Id="rId3091" Type="http://schemas.openxmlformats.org/officeDocument/2006/relationships/image" Target="../media/image3316.gif"/><Relationship Id="rId4142" Type="http://schemas.openxmlformats.org/officeDocument/2006/relationships/image" Target="../media/image4367.gif"/><Relationship Id="rId1529" Type="http://schemas.openxmlformats.org/officeDocument/2006/relationships/image" Target="../media/image1754.gif"/><Relationship Id="rId1736" Type="http://schemas.openxmlformats.org/officeDocument/2006/relationships/image" Target="../media/image1961.gif"/><Relationship Id="rId1943" Type="http://schemas.openxmlformats.org/officeDocument/2006/relationships/image" Target="../media/image2168.gif"/><Relationship Id="rId28" Type="http://schemas.openxmlformats.org/officeDocument/2006/relationships/image" Target="../media/image253.gif"/><Relationship Id="rId1803" Type="http://schemas.openxmlformats.org/officeDocument/2006/relationships/image" Target="../media/image2028.gif"/><Relationship Id="rId4002" Type="http://schemas.openxmlformats.org/officeDocument/2006/relationships/image" Target="../media/image4227.gif"/><Relationship Id="rId3768" Type="http://schemas.openxmlformats.org/officeDocument/2006/relationships/image" Target="../media/image3993.gif"/><Relationship Id="rId3975" Type="http://schemas.openxmlformats.org/officeDocument/2006/relationships/image" Target="../media/image4200.gif"/><Relationship Id="rId689" Type="http://schemas.openxmlformats.org/officeDocument/2006/relationships/image" Target="../media/image914.gif"/><Relationship Id="rId896" Type="http://schemas.openxmlformats.org/officeDocument/2006/relationships/image" Target="../media/image1121.gif"/><Relationship Id="rId2577" Type="http://schemas.openxmlformats.org/officeDocument/2006/relationships/image" Target="../media/image2802.gif"/><Relationship Id="rId2784" Type="http://schemas.openxmlformats.org/officeDocument/2006/relationships/image" Target="../media/image3009.gif"/><Relationship Id="rId3628" Type="http://schemas.openxmlformats.org/officeDocument/2006/relationships/image" Target="../media/image3853.gif"/><Relationship Id="rId549" Type="http://schemas.openxmlformats.org/officeDocument/2006/relationships/image" Target="../media/image774.gif"/><Relationship Id="rId756" Type="http://schemas.openxmlformats.org/officeDocument/2006/relationships/image" Target="../media/image981.gif"/><Relationship Id="rId1179" Type="http://schemas.openxmlformats.org/officeDocument/2006/relationships/image" Target="../media/image1404.gif"/><Relationship Id="rId1386" Type="http://schemas.openxmlformats.org/officeDocument/2006/relationships/image" Target="../media/image1611.gif"/><Relationship Id="rId1593" Type="http://schemas.openxmlformats.org/officeDocument/2006/relationships/image" Target="../media/image1818.gif"/><Relationship Id="rId2437" Type="http://schemas.openxmlformats.org/officeDocument/2006/relationships/image" Target="../media/image2662.gif"/><Relationship Id="rId2991" Type="http://schemas.openxmlformats.org/officeDocument/2006/relationships/image" Target="../media/image3216.gif"/><Relationship Id="rId3835" Type="http://schemas.openxmlformats.org/officeDocument/2006/relationships/image" Target="../media/image4060.gif"/><Relationship Id="rId409" Type="http://schemas.openxmlformats.org/officeDocument/2006/relationships/image" Target="../media/image634.gif"/><Relationship Id="rId963" Type="http://schemas.openxmlformats.org/officeDocument/2006/relationships/image" Target="../media/image1188.gif"/><Relationship Id="rId1039" Type="http://schemas.openxmlformats.org/officeDocument/2006/relationships/image" Target="../media/image1264.gif"/><Relationship Id="rId1246" Type="http://schemas.openxmlformats.org/officeDocument/2006/relationships/image" Target="../media/image1471.gif"/><Relationship Id="rId2644" Type="http://schemas.openxmlformats.org/officeDocument/2006/relationships/image" Target="../media/image2869.gif"/><Relationship Id="rId2851" Type="http://schemas.openxmlformats.org/officeDocument/2006/relationships/image" Target="../media/image3076.gif"/><Relationship Id="rId3902" Type="http://schemas.openxmlformats.org/officeDocument/2006/relationships/image" Target="../media/image4127.gif"/><Relationship Id="rId92" Type="http://schemas.openxmlformats.org/officeDocument/2006/relationships/image" Target="../media/image317.gif"/><Relationship Id="rId616" Type="http://schemas.openxmlformats.org/officeDocument/2006/relationships/image" Target="../media/image841.gif"/><Relationship Id="rId823" Type="http://schemas.openxmlformats.org/officeDocument/2006/relationships/image" Target="../media/image1048.gif"/><Relationship Id="rId1453" Type="http://schemas.openxmlformats.org/officeDocument/2006/relationships/image" Target="../media/image1678.gif"/><Relationship Id="rId1660" Type="http://schemas.openxmlformats.org/officeDocument/2006/relationships/image" Target="../media/image1885.gif"/><Relationship Id="rId2504" Type="http://schemas.openxmlformats.org/officeDocument/2006/relationships/image" Target="../media/image2729.gif"/><Relationship Id="rId2711" Type="http://schemas.openxmlformats.org/officeDocument/2006/relationships/image" Target="../media/image2936.gif"/><Relationship Id="rId1106" Type="http://schemas.openxmlformats.org/officeDocument/2006/relationships/image" Target="../media/image1331.gif"/><Relationship Id="rId1313" Type="http://schemas.openxmlformats.org/officeDocument/2006/relationships/image" Target="../media/image1538.gif"/><Relationship Id="rId1520" Type="http://schemas.openxmlformats.org/officeDocument/2006/relationships/image" Target="../media/image1745.gif"/><Relationship Id="rId4469" Type="http://schemas.openxmlformats.org/officeDocument/2006/relationships/image" Target="../media/image4694.gif"/><Relationship Id="rId3278" Type="http://schemas.openxmlformats.org/officeDocument/2006/relationships/image" Target="../media/image3503.gif"/><Relationship Id="rId3485" Type="http://schemas.openxmlformats.org/officeDocument/2006/relationships/image" Target="../media/image3710.gif"/><Relationship Id="rId3692" Type="http://schemas.openxmlformats.org/officeDocument/2006/relationships/image" Target="../media/image3917.gif"/><Relationship Id="rId4329" Type="http://schemas.openxmlformats.org/officeDocument/2006/relationships/image" Target="../media/image4554.gif"/><Relationship Id="rId199" Type="http://schemas.openxmlformats.org/officeDocument/2006/relationships/image" Target="../media/image424.gif"/><Relationship Id="rId2087" Type="http://schemas.openxmlformats.org/officeDocument/2006/relationships/image" Target="../media/image2312.gif"/><Relationship Id="rId2294" Type="http://schemas.openxmlformats.org/officeDocument/2006/relationships/image" Target="../media/image2519.gif"/><Relationship Id="rId3138" Type="http://schemas.openxmlformats.org/officeDocument/2006/relationships/image" Target="../media/image3363.gif"/><Relationship Id="rId3345" Type="http://schemas.openxmlformats.org/officeDocument/2006/relationships/image" Target="../media/image3570.gif"/><Relationship Id="rId3552" Type="http://schemas.openxmlformats.org/officeDocument/2006/relationships/image" Target="../media/image3777.gif"/><Relationship Id="rId266" Type="http://schemas.openxmlformats.org/officeDocument/2006/relationships/image" Target="../media/image491.gif"/><Relationship Id="rId473" Type="http://schemas.openxmlformats.org/officeDocument/2006/relationships/image" Target="../media/image698.gif"/><Relationship Id="rId680" Type="http://schemas.openxmlformats.org/officeDocument/2006/relationships/image" Target="../media/image905.gif"/><Relationship Id="rId2154" Type="http://schemas.openxmlformats.org/officeDocument/2006/relationships/image" Target="../media/image2379.gif"/><Relationship Id="rId2361" Type="http://schemas.openxmlformats.org/officeDocument/2006/relationships/image" Target="../media/image2586.gif"/><Relationship Id="rId3205" Type="http://schemas.openxmlformats.org/officeDocument/2006/relationships/image" Target="../media/image3430.gif"/><Relationship Id="rId3412" Type="http://schemas.openxmlformats.org/officeDocument/2006/relationships/image" Target="../media/image3637.gif"/><Relationship Id="rId126" Type="http://schemas.openxmlformats.org/officeDocument/2006/relationships/image" Target="../media/image351.gif"/><Relationship Id="rId333" Type="http://schemas.openxmlformats.org/officeDocument/2006/relationships/image" Target="../media/image558.gif"/><Relationship Id="rId540" Type="http://schemas.openxmlformats.org/officeDocument/2006/relationships/image" Target="../media/image765.gif"/><Relationship Id="rId1170" Type="http://schemas.openxmlformats.org/officeDocument/2006/relationships/image" Target="../media/image1395.gif"/><Relationship Id="rId2014" Type="http://schemas.openxmlformats.org/officeDocument/2006/relationships/image" Target="../media/image2239.gif"/><Relationship Id="rId2221" Type="http://schemas.openxmlformats.org/officeDocument/2006/relationships/image" Target="../media/image2446.gif"/><Relationship Id="rId1030" Type="http://schemas.openxmlformats.org/officeDocument/2006/relationships/image" Target="../media/image1255.gif"/><Relationship Id="rId4186" Type="http://schemas.openxmlformats.org/officeDocument/2006/relationships/image" Target="../media/image4411.gif"/><Relationship Id="rId400" Type="http://schemas.openxmlformats.org/officeDocument/2006/relationships/image" Target="../media/image625.gif"/><Relationship Id="rId1987" Type="http://schemas.openxmlformats.org/officeDocument/2006/relationships/image" Target="../media/image2212.gif"/><Relationship Id="rId4393" Type="http://schemas.openxmlformats.org/officeDocument/2006/relationships/image" Target="../media/image4618.gif"/><Relationship Id="rId1847" Type="http://schemas.openxmlformats.org/officeDocument/2006/relationships/image" Target="../media/image2072.gif"/><Relationship Id="rId4046" Type="http://schemas.openxmlformats.org/officeDocument/2006/relationships/image" Target="../media/image4271.gif"/><Relationship Id="rId4253" Type="http://schemas.openxmlformats.org/officeDocument/2006/relationships/image" Target="../media/image4478.gif"/><Relationship Id="rId4460" Type="http://schemas.openxmlformats.org/officeDocument/2006/relationships/image" Target="../media/image4685.gif"/><Relationship Id="rId1707" Type="http://schemas.openxmlformats.org/officeDocument/2006/relationships/image" Target="../media/image1932.gif"/><Relationship Id="rId3062" Type="http://schemas.openxmlformats.org/officeDocument/2006/relationships/image" Target="../media/image3287.gif"/><Relationship Id="rId4113" Type="http://schemas.openxmlformats.org/officeDocument/2006/relationships/image" Target="../media/image4338.gif"/><Relationship Id="rId4320" Type="http://schemas.openxmlformats.org/officeDocument/2006/relationships/image" Target="../media/image4545.gif"/><Relationship Id="rId190" Type="http://schemas.openxmlformats.org/officeDocument/2006/relationships/image" Target="../media/image415.gif"/><Relationship Id="rId1914" Type="http://schemas.openxmlformats.org/officeDocument/2006/relationships/image" Target="../media/image2139.gif"/><Relationship Id="rId3879" Type="http://schemas.openxmlformats.org/officeDocument/2006/relationships/image" Target="../media/image4104.gif"/><Relationship Id="rId2688" Type="http://schemas.openxmlformats.org/officeDocument/2006/relationships/image" Target="../media/image2913.gif"/><Relationship Id="rId2895" Type="http://schemas.openxmlformats.org/officeDocument/2006/relationships/image" Target="../media/image3120.gif"/><Relationship Id="rId3739" Type="http://schemas.openxmlformats.org/officeDocument/2006/relationships/image" Target="../media/image3964.gif"/><Relationship Id="rId3946" Type="http://schemas.openxmlformats.org/officeDocument/2006/relationships/image" Target="../media/image4171.gif"/><Relationship Id="rId867" Type="http://schemas.openxmlformats.org/officeDocument/2006/relationships/image" Target="../media/image1092.gif"/><Relationship Id="rId1497" Type="http://schemas.openxmlformats.org/officeDocument/2006/relationships/image" Target="../media/image1722.gif"/><Relationship Id="rId2548" Type="http://schemas.openxmlformats.org/officeDocument/2006/relationships/image" Target="../media/image2773.gif"/><Relationship Id="rId2755" Type="http://schemas.openxmlformats.org/officeDocument/2006/relationships/image" Target="../media/image2980.gif"/><Relationship Id="rId2962" Type="http://schemas.openxmlformats.org/officeDocument/2006/relationships/image" Target="../media/image3187.gif"/><Relationship Id="rId3806" Type="http://schemas.openxmlformats.org/officeDocument/2006/relationships/image" Target="../media/image4031.gif"/><Relationship Id="rId727" Type="http://schemas.openxmlformats.org/officeDocument/2006/relationships/image" Target="../media/image952.gif"/><Relationship Id="rId934" Type="http://schemas.openxmlformats.org/officeDocument/2006/relationships/image" Target="../media/image1159.gif"/><Relationship Id="rId1357" Type="http://schemas.openxmlformats.org/officeDocument/2006/relationships/image" Target="../media/image1582.gif"/><Relationship Id="rId1564" Type="http://schemas.openxmlformats.org/officeDocument/2006/relationships/image" Target="../media/image1789.gif"/><Relationship Id="rId1771" Type="http://schemas.openxmlformats.org/officeDocument/2006/relationships/image" Target="../media/image1996.gif"/><Relationship Id="rId2408" Type="http://schemas.openxmlformats.org/officeDocument/2006/relationships/image" Target="../media/image2633.gif"/><Relationship Id="rId2615" Type="http://schemas.openxmlformats.org/officeDocument/2006/relationships/image" Target="../media/image2840.gif"/><Relationship Id="rId2822" Type="http://schemas.openxmlformats.org/officeDocument/2006/relationships/image" Target="../media/image3047.gif"/><Relationship Id="rId63" Type="http://schemas.openxmlformats.org/officeDocument/2006/relationships/image" Target="../media/image288.gif"/><Relationship Id="rId1217" Type="http://schemas.openxmlformats.org/officeDocument/2006/relationships/image" Target="../media/image1442.gif"/><Relationship Id="rId1424" Type="http://schemas.openxmlformats.org/officeDocument/2006/relationships/image" Target="../media/image1649.gif"/><Relationship Id="rId1631" Type="http://schemas.openxmlformats.org/officeDocument/2006/relationships/image" Target="../media/image1856.gif"/><Relationship Id="rId3389" Type="http://schemas.openxmlformats.org/officeDocument/2006/relationships/image" Target="../media/image3614.gif"/><Relationship Id="rId3596" Type="http://schemas.openxmlformats.org/officeDocument/2006/relationships/image" Target="../media/image3821.gif"/><Relationship Id="rId2198" Type="http://schemas.openxmlformats.org/officeDocument/2006/relationships/image" Target="../media/image2423.gif"/><Relationship Id="rId3249" Type="http://schemas.openxmlformats.org/officeDocument/2006/relationships/image" Target="../media/image3474.gif"/><Relationship Id="rId3456" Type="http://schemas.openxmlformats.org/officeDocument/2006/relationships/image" Target="../media/image3681.gif"/><Relationship Id="rId377" Type="http://schemas.openxmlformats.org/officeDocument/2006/relationships/image" Target="../media/image602.gif"/><Relationship Id="rId584" Type="http://schemas.openxmlformats.org/officeDocument/2006/relationships/image" Target="../media/image809.gif"/><Relationship Id="rId2058" Type="http://schemas.openxmlformats.org/officeDocument/2006/relationships/image" Target="../media/image2283.gif"/><Relationship Id="rId2265" Type="http://schemas.openxmlformats.org/officeDocument/2006/relationships/image" Target="../media/image2490.gif"/><Relationship Id="rId3109" Type="http://schemas.openxmlformats.org/officeDocument/2006/relationships/image" Target="../media/image3334.gif"/><Relationship Id="rId3663" Type="http://schemas.openxmlformats.org/officeDocument/2006/relationships/image" Target="../media/image3888.gif"/><Relationship Id="rId3870" Type="http://schemas.openxmlformats.org/officeDocument/2006/relationships/image" Target="../media/image4095.gif"/><Relationship Id="rId237" Type="http://schemas.openxmlformats.org/officeDocument/2006/relationships/image" Target="../media/image462.gif"/><Relationship Id="rId791" Type="http://schemas.openxmlformats.org/officeDocument/2006/relationships/image" Target="../media/image1016.gif"/><Relationship Id="rId1074" Type="http://schemas.openxmlformats.org/officeDocument/2006/relationships/image" Target="../media/image1299.gif"/><Relationship Id="rId2472" Type="http://schemas.openxmlformats.org/officeDocument/2006/relationships/image" Target="../media/image2697.gif"/><Relationship Id="rId3316" Type="http://schemas.openxmlformats.org/officeDocument/2006/relationships/image" Target="../media/image3541.gif"/><Relationship Id="rId3523" Type="http://schemas.openxmlformats.org/officeDocument/2006/relationships/image" Target="../media/image3748.gif"/><Relationship Id="rId3730" Type="http://schemas.openxmlformats.org/officeDocument/2006/relationships/image" Target="../media/image3955.gif"/><Relationship Id="rId444" Type="http://schemas.openxmlformats.org/officeDocument/2006/relationships/image" Target="../media/image669.gif"/><Relationship Id="rId651" Type="http://schemas.openxmlformats.org/officeDocument/2006/relationships/image" Target="../media/image876.gif"/><Relationship Id="rId1281" Type="http://schemas.openxmlformats.org/officeDocument/2006/relationships/image" Target="../media/image1506.gif"/><Relationship Id="rId2125" Type="http://schemas.openxmlformats.org/officeDocument/2006/relationships/image" Target="../media/image2350.gif"/><Relationship Id="rId2332" Type="http://schemas.openxmlformats.org/officeDocument/2006/relationships/image" Target="../media/image2557.gif"/><Relationship Id="rId304" Type="http://schemas.openxmlformats.org/officeDocument/2006/relationships/image" Target="../media/image529.gif"/><Relationship Id="rId511" Type="http://schemas.openxmlformats.org/officeDocument/2006/relationships/image" Target="../media/image736.gif"/><Relationship Id="rId1141" Type="http://schemas.openxmlformats.org/officeDocument/2006/relationships/image" Target="../media/image1366.gif"/><Relationship Id="rId4297" Type="http://schemas.openxmlformats.org/officeDocument/2006/relationships/image" Target="../media/image4522.gif"/><Relationship Id="rId1001" Type="http://schemas.openxmlformats.org/officeDocument/2006/relationships/image" Target="../media/image1226.gif"/><Relationship Id="rId4157" Type="http://schemas.openxmlformats.org/officeDocument/2006/relationships/image" Target="../media/image4382.gif"/><Relationship Id="rId4364" Type="http://schemas.openxmlformats.org/officeDocument/2006/relationships/image" Target="../media/image4589.gif"/><Relationship Id="rId1958" Type="http://schemas.openxmlformats.org/officeDocument/2006/relationships/image" Target="../media/image2183.gif"/><Relationship Id="rId3173" Type="http://schemas.openxmlformats.org/officeDocument/2006/relationships/image" Target="../media/image3398.gif"/><Relationship Id="rId3380" Type="http://schemas.openxmlformats.org/officeDocument/2006/relationships/image" Target="../media/image3605.gif"/><Relationship Id="rId4017" Type="http://schemas.openxmlformats.org/officeDocument/2006/relationships/image" Target="../media/image4242.gif"/><Relationship Id="rId4224" Type="http://schemas.openxmlformats.org/officeDocument/2006/relationships/image" Target="../media/image4449.gif"/><Relationship Id="rId4431" Type="http://schemas.openxmlformats.org/officeDocument/2006/relationships/image" Target="../media/image4656.gif"/><Relationship Id="rId1818" Type="http://schemas.openxmlformats.org/officeDocument/2006/relationships/image" Target="../media/image2043.gif"/><Relationship Id="rId3033" Type="http://schemas.openxmlformats.org/officeDocument/2006/relationships/image" Target="../media/image3258.gif"/><Relationship Id="rId3240" Type="http://schemas.openxmlformats.org/officeDocument/2006/relationships/image" Target="../media/image3465.gif"/><Relationship Id="rId161" Type="http://schemas.openxmlformats.org/officeDocument/2006/relationships/image" Target="../media/image386.gif"/><Relationship Id="rId2799" Type="http://schemas.openxmlformats.org/officeDocument/2006/relationships/image" Target="../media/image3024.gif"/><Relationship Id="rId3100" Type="http://schemas.openxmlformats.org/officeDocument/2006/relationships/image" Target="../media/image3325.gif"/><Relationship Id="rId978" Type="http://schemas.openxmlformats.org/officeDocument/2006/relationships/image" Target="../media/image1203.gif"/><Relationship Id="rId2659" Type="http://schemas.openxmlformats.org/officeDocument/2006/relationships/image" Target="../media/image2884.gif"/><Relationship Id="rId2866" Type="http://schemas.openxmlformats.org/officeDocument/2006/relationships/image" Target="../media/image3091.gif"/><Relationship Id="rId3917" Type="http://schemas.openxmlformats.org/officeDocument/2006/relationships/image" Target="../media/image4142.gif"/><Relationship Id="rId838" Type="http://schemas.openxmlformats.org/officeDocument/2006/relationships/image" Target="../media/image1063.gif"/><Relationship Id="rId1468" Type="http://schemas.openxmlformats.org/officeDocument/2006/relationships/image" Target="../media/image1693.gif"/><Relationship Id="rId1675" Type="http://schemas.openxmlformats.org/officeDocument/2006/relationships/image" Target="../media/image1900.gif"/><Relationship Id="rId1882" Type="http://schemas.openxmlformats.org/officeDocument/2006/relationships/image" Target="../media/image2107.gif"/><Relationship Id="rId2519" Type="http://schemas.openxmlformats.org/officeDocument/2006/relationships/image" Target="../media/image2744.gif"/><Relationship Id="rId2726" Type="http://schemas.openxmlformats.org/officeDocument/2006/relationships/image" Target="../media/image2951.gif"/><Relationship Id="rId4081" Type="http://schemas.openxmlformats.org/officeDocument/2006/relationships/image" Target="../media/image4306.gif"/><Relationship Id="rId1328" Type="http://schemas.openxmlformats.org/officeDocument/2006/relationships/image" Target="../media/image1553.gif"/><Relationship Id="rId1535" Type="http://schemas.openxmlformats.org/officeDocument/2006/relationships/image" Target="../media/image1760.gif"/><Relationship Id="rId2933" Type="http://schemas.openxmlformats.org/officeDocument/2006/relationships/image" Target="../media/image3158.gif"/><Relationship Id="rId905" Type="http://schemas.openxmlformats.org/officeDocument/2006/relationships/image" Target="../media/image1130.gif"/><Relationship Id="rId1742" Type="http://schemas.openxmlformats.org/officeDocument/2006/relationships/image" Target="../media/image1967.gif"/><Relationship Id="rId34" Type="http://schemas.openxmlformats.org/officeDocument/2006/relationships/image" Target="../media/image259.gif"/><Relationship Id="rId1602" Type="http://schemas.openxmlformats.org/officeDocument/2006/relationships/image" Target="../media/image1827.gif"/><Relationship Id="rId3567" Type="http://schemas.openxmlformats.org/officeDocument/2006/relationships/image" Target="../media/image3792.gif"/><Relationship Id="rId3774" Type="http://schemas.openxmlformats.org/officeDocument/2006/relationships/image" Target="../media/image3999.gif"/><Relationship Id="rId3981" Type="http://schemas.openxmlformats.org/officeDocument/2006/relationships/image" Target="../media/image4206.gif"/><Relationship Id="rId488" Type="http://schemas.openxmlformats.org/officeDocument/2006/relationships/image" Target="../media/image713.gif"/><Relationship Id="rId695" Type="http://schemas.openxmlformats.org/officeDocument/2006/relationships/image" Target="../media/image920.gif"/><Relationship Id="rId2169" Type="http://schemas.openxmlformats.org/officeDocument/2006/relationships/image" Target="../media/image2394.gif"/><Relationship Id="rId2376" Type="http://schemas.openxmlformats.org/officeDocument/2006/relationships/image" Target="../media/image2601.gif"/><Relationship Id="rId2583" Type="http://schemas.openxmlformats.org/officeDocument/2006/relationships/image" Target="../media/image2808.gif"/><Relationship Id="rId2790" Type="http://schemas.openxmlformats.org/officeDocument/2006/relationships/image" Target="../media/image3015.gif"/><Relationship Id="rId3427" Type="http://schemas.openxmlformats.org/officeDocument/2006/relationships/image" Target="../media/image3652.gif"/><Relationship Id="rId3634" Type="http://schemas.openxmlformats.org/officeDocument/2006/relationships/image" Target="../media/image3859.gif"/><Relationship Id="rId3841" Type="http://schemas.openxmlformats.org/officeDocument/2006/relationships/image" Target="../media/image4066.gif"/><Relationship Id="rId348" Type="http://schemas.openxmlformats.org/officeDocument/2006/relationships/image" Target="../media/image573.gif"/><Relationship Id="rId555" Type="http://schemas.openxmlformats.org/officeDocument/2006/relationships/image" Target="../media/image780.gif"/><Relationship Id="rId762" Type="http://schemas.openxmlformats.org/officeDocument/2006/relationships/image" Target="../media/image987.gif"/><Relationship Id="rId1185" Type="http://schemas.openxmlformats.org/officeDocument/2006/relationships/image" Target="../media/image1410.gif"/><Relationship Id="rId1392" Type="http://schemas.openxmlformats.org/officeDocument/2006/relationships/image" Target="../media/image1617.gif"/><Relationship Id="rId2029" Type="http://schemas.openxmlformats.org/officeDocument/2006/relationships/image" Target="../media/image2254.gif"/><Relationship Id="rId2236" Type="http://schemas.openxmlformats.org/officeDocument/2006/relationships/image" Target="../media/image2461.gif"/><Relationship Id="rId2443" Type="http://schemas.openxmlformats.org/officeDocument/2006/relationships/image" Target="../media/image2668.gif"/><Relationship Id="rId2650" Type="http://schemas.openxmlformats.org/officeDocument/2006/relationships/image" Target="../media/image2875.gif"/><Relationship Id="rId3701" Type="http://schemas.openxmlformats.org/officeDocument/2006/relationships/image" Target="../media/image3926.gif"/><Relationship Id="rId208" Type="http://schemas.openxmlformats.org/officeDocument/2006/relationships/image" Target="../media/image433.gif"/><Relationship Id="rId415" Type="http://schemas.openxmlformats.org/officeDocument/2006/relationships/image" Target="../media/image640.gif"/><Relationship Id="rId622" Type="http://schemas.openxmlformats.org/officeDocument/2006/relationships/image" Target="../media/image847.gif"/><Relationship Id="rId1045" Type="http://schemas.openxmlformats.org/officeDocument/2006/relationships/image" Target="../media/image1270.gif"/><Relationship Id="rId1252" Type="http://schemas.openxmlformats.org/officeDocument/2006/relationships/image" Target="../media/image1477.gif"/><Relationship Id="rId2303" Type="http://schemas.openxmlformats.org/officeDocument/2006/relationships/image" Target="../media/image2528.gif"/><Relationship Id="rId2510" Type="http://schemas.openxmlformats.org/officeDocument/2006/relationships/image" Target="../media/image2735.gif"/><Relationship Id="rId1112" Type="http://schemas.openxmlformats.org/officeDocument/2006/relationships/image" Target="../media/image1337.gif"/><Relationship Id="rId4268" Type="http://schemas.openxmlformats.org/officeDocument/2006/relationships/image" Target="../media/image4493.gif"/><Relationship Id="rId4475" Type="http://schemas.openxmlformats.org/officeDocument/2006/relationships/image" Target="../media/image4700.gif"/><Relationship Id="rId3077" Type="http://schemas.openxmlformats.org/officeDocument/2006/relationships/image" Target="../media/image3302.gif"/><Relationship Id="rId3284" Type="http://schemas.openxmlformats.org/officeDocument/2006/relationships/image" Target="../media/image3509.gif"/><Relationship Id="rId4128" Type="http://schemas.openxmlformats.org/officeDocument/2006/relationships/image" Target="../media/image4353.gif"/><Relationship Id="rId1929" Type="http://schemas.openxmlformats.org/officeDocument/2006/relationships/image" Target="../media/image2154.gif"/><Relationship Id="rId2093" Type="http://schemas.openxmlformats.org/officeDocument/2006/relationships/image" Target="../media/image2318.gif"/><Relationship Id="rId3491" Type="http://schemas.openxmlformats.org/officeDocument/2006/relationships/image" Target="../media/image3716.gif"/><Relationship Id="rId4335" Type="http://schemas.openxmlformats.org/officeDocument/2006/relationships/image" Target="../media/image4560.gif"/><Relationship Id="rId3144" Type="http://schemas.openxmlformats.org/officeDocument/2006/relationships/image" Target="../media/image3369.gif"/><Relationship Id="rId3351" Type="http://schemas.openxmlformats.org/officeDocument/2006/relationships/image" Target="../media/image3576.gif"/><Relationship Id="rId4402" Type="http://schemas.openxmlformats.org/officeDocument/2006/relationships/image" Target="../media/image4627.gif"/><Relationship Id="rId272" Type="http://schemas.openxmlformats.org/officeDocument/2006/relationships/image" Target="../media/image497.gif"/><Relationship Id="rId2160" Type="http://schemas.openxmlformats.org/officeDocument/2006/relationships/image" Target="../media/image2385.gif"/><Relationship Id="rId3004" Type="http://schemas.openxmlformats.org/officeDocument/2006/relationships/image" Target="../media/image3229.gif"/><Relationship Id="rId3211" Type="http://schemas.openxmlformats.org/officeDocument/2006/relationships/image" Target="../media/image3436.gif"/><Relationship Id="rId132" Type="http://schemas.openxmlformats.org/officeDocument/2006/relationships/image" Target="../media/image357.gif"/><Relationship Id="rId2020" Type="http://schemas.openxmlformats.org/officeDocument/2006/relationships/image" Target="../media/image2245.gif"/><Relationship Id="rId1579" Type="http://schemas.openxmlformats.org/officeDocument/2006/relationships/image" Target="../media/image1804.gif"/><Relationship Id="rId2977" Type="http://schemas.openxmlformats.org/officeDocument/2006/relationships/image" Target="../media/image3202.gif"/><Relationship Id="rId4192" Type="http://schemas.openxmlformats.org/officeDocument/2006/relationships/image" Target="../media/image4417.gif"/><Relationship Id="rId949" Type="http://schemas.openxmlformats.org/officeDocument/2006/relationships/image" Target="../media/image1174.gif"/><Relationship Id="rId1786" Type="http://schemas.openxmlformats.org/officeDocument/2006/relationships/image" Target="../media/image2011.gif"/><Relationship Id="rId1993" Type="http://schemas.openxmlformats.org/officeDocument/2006/relationships/image" Target="../media/image2218.gif"/><Relationship Id="rId2837" Type="http://schemas.openxmlformats.org/officeDocument/2006/relationships/image" Target="../media/image3062.gif"/><Relationship Id="rId4052" Type="http://schemas.openxmlformats.org/officeDocument/2006/relationships/image" Target="../media/image4277.gif"/><Relationship Id="rId78" Type="http://schemas.openxmlformats.org/officeDocument/2006/relationships/image" Target="../media/image303.gif"/><Relationship Id="rId809" Type="http://schemas.openxmlformats.org/officeDocument/2006/relationships/image" Target="../media/image1034.gif"/><Relationship Id="rId1439" Type="http://schemas.openxmlformats.org/officeDocument/2006/relationships/image" Target="../media/image1664.gif"/><Relationship Id="rId1646" Type="http://schemas.openxmlformats.org/officeDocument/2006/relationships/image" Target="../media/image1871.gif"/><Relationship Id="rId1853" Type="http://schemas.openxmlformats.org/officeDocument/2006/relationships/image" Target="../media/image2078.gif"/><Relationship Id="rId2904" Type="http://schemas.openxmlformats.org/officeDocument/2006/relationships/image" Target="../media/image3129.gif"/><Relationship Id="rId1506" Type="http://schemas.openxmlformats.org/officeDocument/2006/relationships/image" Target="../media/image1731.gif"/><Relationship Id="rId1713" Type="http://schemas.openxmlformats.org/officeDocument/2006/relationships/image" Target="../media/image1938.gif"/><Relationship Id="rId1920" Type="http://schemas.openxmlformats.org/officeDocument/2006/relationships/image" Target="../media/image2145.gif"/><Relationship Id="rId3678" Type="http://schemas.openxmlformats.org/officeDocument/2006/relationships/image" Target="../media/image3903.gif"/><Relationship Id="rId3885" Type="http://schemas.openxmlformats.org/officeDocument/2006/relationships/image" Target="../media/image4110.gif"/><Relationship Id="rId599" Type="http://schemas.openxmlformats.org/officeDocument/2006/relationships/image" Target="../media/image824.gif"/><Relationship Id="rId2487" Type="http://schemas.openxmlformats.org/officeDocument/2006/relationships/image" Target="../media/image2712.gif"/><Relationship Id="rId2694" Type="http://schemas.openxmlformats.org/officeDocument/2006/relationships/image" Target="../media/image2919.gif"/><Relationship Id="rId3538" Type="http://schemas.openxmlformats.org/officeDocument/2006/relationships/image" Target="../media/image3763.gif"/><Relationship Id="rId3745" Type="http://schemas.openxmlformats.org/officeDocument/2006/relationships/image" Target="../media/image3970.gif"/><Relationship Id="rId459" Type="http://schemas.openxmlformats.org/officeDocument/2006/relationships/image" Target="../media/image684.gif"/><Relationship Id="rId666" Type="http://schemas.openxmlformats.org/officeDocument/2006/relationships/image" Target="../media/image891.gif"/><Relationship Id="rId873" Type="http://schemas.openxmlformats.org/officeDocument/2006/relationships/image" Target="../media/image1098.gif"/><Relationship Id="rId1089" Type="http://schemas.openxmlformats.org/officeDocument/2006/relationships/image" Target="../media/image1314.gif"/><Relationship Id="rId1296" Type="http://schemas.openxmlformats.org/officeDocument/2006/relationships/image" Target="../media/image1521.gif"/><Relationship Id="rId2347" Type="http://schemas.openxmlformats.org/officeDocument/2006/relationships/image" Target="../media/image2572.gif"/><Relationship Id="rId2554" Type="http://schemas.openxmlformats.org/officeDocument/2006/relationships/image" Target="../media/image2779.gif"/><Relationship Id="rId3952" Type="http://schemas.openxmlformats.org/officeDocument/2006/relationships/image" Target="../media/image4177.gif"/><Relationship Id="rId319" Type="http://schemas.openxmlformats.org/officeDocument/2006/relationships/image" Target="../media/image544.gif"/><Relationship Id="rId526" Type="http://schemas.openxmlformats.org/officeDocument/2006/relationships/image" Target="../media/image751.gif"/><Relationship Id="rId1156" Type="http://schemas.openxmlformats.org/officeDocument/2006/relationships/image" Target="../media/image1381.gif"/><Relationship Id="rId1363" Type="http://schemas.openxmlformats.org/officeDocument/2006/relationships/image" Target="../media/image1588.gif"/><Relationship Id="rId2207" Type="http://schemas.openxmlformats.org/officeDocument/2006/relationships/image" Target="../media/image2432.gif"/><Relationship Id="rId2761" Type="http://schemas.openxmlformats.org/officeDocument/2006/relationships/image" Target="../media/image2986.gif"/><Relationship Id="rId3605" Type="http://schemas.openxmlformats.org/officeDocument/2006/relationships/image" Target="../media/image3830.gif"/><Relationship Id="rId3812" Type="http://schemas.openxmlformats.org/officeDocument/2006/relationships/image" Target="../media/image4037.gif"/><Relationship Id="rId733" Type="http://schemas.openxmlformats.org/officeDocument/2006/relationships/image" Target="../media/image958.gif"/><Relationship Id="rId940" Type="http://schemas.openxmlformats.org/officeDocument/2006/relationships/image" Target="../media/image1165.gif"/><Relationship Id="rId1016" Type="http://schemas.openxmlformats.org/officeDocument/2006/relationships/image" Target="../media/image1241.gif"/><Relationship Id="rId1570" Type="http://schemas.openxmlformats.org/officeDocument/2006/relationships/image" Target="../media/image1795.gif"/><Relationship Id="rId2414" Type="http://schemas.openxmlformats.org/officeDocument/2006/relationships/image" Target="../media/image2639.gif"/><Relationship Id="rId2621" Type="http://schemas.openxmlformats.org/officeDocument/2006/relationships/image" Target="../media/image2846.gif"/><Relationship Id="rId800" Type="http://schemas.openxmlformats.org/officeDocument/2006/relationships/image" Target="../media/image1025.gif"/><Relationship Id="rId1223" Type="http://schemas.openxmlformats.org/officeDocument/2006/relationships/image" Target="../media/image1448.gif"/><Relationship Id="rId1430" Type="http://schemas.openxmlformats.org/officeDocument/2006/relationships/image" Target="../media/image1655.gif"/><Relationship Id="rId4379" Type="http://schemas.openxmlformats.org/officeDocument/2006/relationships/image" Target="../media/image4604.gif"/><Relationship Id="rId3188" Type="http://schemas.openxmlformats.org/officeDocument/2006/relationships/image" Target="../media/image3413.gif"/><Relationship Id="rId3395" Type="http://schemas.openxmlformats.org/officeDocument/2006/relationships/image" Target="../media/image3620.gif"/><Relationship Id="rId4239" Type="http://schemas.openxmlformats.org/officeDocument/2006/relationships/image" Target="../media/image4464.gif"/><Relationship Id="rId4446" Type="http://schemas.openxmlformats.org/officeDocument/2006/relationships/image" Target="../media/image4671.gif"/><Relationship Id="rId3048" Type="http://schemas.openxmlformats.org/officeDocument/2006/relationships/image" Target="../media/image3273.gif"/><Relationship Id="rId3255" Type="http://schemas.openxmlformats.org/officeDocument/2006/relationships/image" Target="../media/image3480.gif"/><Relationship Id="rId3462" Type="http://schemas.openxmlformats.org/officeDocument/2006/relationships/image" Target="../media/image3687.gif"/><Relationship Id="rId4306" Type="http://schemas.openxmlformats.org/officeDocument/2006/relationships/image" Target="../media/image4531.gif"/><Relationship Id="rId176" Type="http://schemas.openxmlformats.org/officeDocument/2006/relationships/image" Target="../media/image401.gif"/><Relationship Id="rId383" Type="http://schemas.openxmlformats.org/officeDocument/2006/relationships/image" Target="../media/image608.gif"/><Relationship Id="rId590" Type="http://schemas.openxmlformats.org/officeDocument/2006/relationships/image" Target="../media/image815.gif"/><Relationship Id="rId2064" Type="http://schemas.openxmlformats.org/officeDocument/2006/relationships/image" Target="../media/image2289.gif"/><Relationship Id="rId2271" Type="http://schemas.openxmlformats.org/officeDocument/2006/relationships/image" Target="../media/image2496.gif"/><Relationship Id="rId3115" Type="http://schemas.openxmlformats.org/officeDocument/2006/relationships/image" Target="../media/image3340.gif"/><Relationship Id="rId3322" Type="http://schemas.openxmlformats.org/officeDocument/2006/relationships/image" Target="../media/image3547.gif"/><Relationship Id="rId243" Type="http://schemas.openxmlformats.org/officeDocument/2006/relationships/image" Target="../media/image468.gif"/><Relationship Id="rId450" Type="http://schemas.openxmlformats.org/officeDocument/2006/relationships/image" Target="../media/image675.gif"/><Relationship Id="rId1080" Type="http://schemas.openxmlformats.org/officeDocument/2006/relationships/image" Target="../media/image1305.gif"/><Relationship Id="rId2131" Type="http://schemas.openxmlformats.org/officeDocument/2006/relationships/image" Target="../media/image2356.gif"/><Relationship Id="rId103" Type="http://schemas.openxmlformats.org/officeDocument/2006/relationships/image" Target="../media/image328.gif"/><Relationship Id="rId310" Type="http://schemas.openxmlformats.org/officeDocument/2006/relationships/image" Target="../media/image535.gif"/><Relationship Id="rId4096" Type="http://schemas.openxmlformats.org/officeDocument/2006/relationships/image" Target="../media/image4321.gif"/><Relationship Id="rId1897" Type="http://schemas.openxmlformats.org/officeDocument/2006/relationships/image" Target="../media/image2122.gif"/><Relationship Id="rId2948" Type="http://schemas.openxmlformats.org/officeDocument/2006/relationships/image" Target="../media/image3173.gif"/><Relationship Id="rId1757" Type="http://schemas.openxmlformats.org/officeDocument/2006/relationships/image" Target="../media/image1982.gif"/><Relationship Id="rId1964" Type="http://schemas.openxmlformats.org/officeDocument/2006/relationships/image" Target="../media/image2189.gif"/><Relationship Id="rId2808" Type="http://schemas.openxmlformats.org/officeDocument/2006/relationships/image" Target="../media/image3033.gif"/><Relationship Id="rId4163" Type="http://schemas.openxmlformats.org/officeDocument/2006/relationships/image" Target="../media/image4388.gif"/><Relationship Id="rId4370" Type="http://schemas.openxmlformats.org/officeDocument/2006/relationships/image" Target="../media/image4595.gif"/><Relationship Id="rId49" Type="http://schemas.openxmlformats.org/officeDocument/2006/relationships/image" Target="../media/image274.gif"/><Relationship Id="rId1617" Type="http://schemas.openxmlformats.org/officeDocument/2006/relationships/image" Target="../media/image1842.gif"/><Relationship Id="rId1824" Type="http://schemas.openxmlformats.org/officeDocument/2006/relationships/image" Target="../media/image2049.gif"/><Relationship Id="rId4023" Type="http://schemas.openxmlformats.org/officeDocument/2006/relationships/image" Target="../media/image4248.gif"/><Relationship Id="rId4230" Type="http://schemas.openxmlformats.org/officeDocument/2006/relationships/image" Target="../media/image4455.gif"/><Relationship Id="rId3789" Type="http://schemas.openxmlformats.org/officeDocument/2006/relationships/image" Target="../media/image4014.gif"/><Relationship Id="rId2598" Type="http://schemas.openxmlformats.org/officeDocument/2006/relationships/image" Target="../media/image2823.gif"/><Relationship Id="rId3996" Type="http://schemas.openxmlformats.org/officeDocument/2006/relationships/image" Target="../media/image4221.gif"/><Relationship Id="rId3649" Type="http://schemas.openxmlformats.org/officeDocument/2006/relationships/image" Target="../media/image3874.gif"/><Relationship Id="rId3856" Type="http://schemas.openxmlformats.org/officeDocument/2006/relationships/image" Target="../media/image4081.gif"/><Relationship Id="rId777" Type="http://schemas.openxmlformats.org/officeDocument/2006/relationships/image" Target="../media/image1002.gif"/><Relationship Id="rId984" Type="http://schemas.openxmlformats.org/officeDocument/2006/relationships/image" Target="../media/image1209.gif"/><Relationship Id="rId2458" Type="http://schemas.openxmlformats.org/officeDocument/2006/relationships/image" Target="../media/image2683.gif"/><Relationship Id="rId2665" Type="http://schemas.openxmlformats.org/officeDocument/2006/relationships/image" Target="../media/image2890.gif"/><Relationship Id="rId2872" Type="http://schemas.openxmlformats.org/officeDocument/2006/relationships/image" Target="../media/image3097.gif"/><Relationship Id="rId3509" Type="http://schemas.openxmlformats.org/officeDocument/2006/relationships/image" Target="../media/image3734.gif"/><Relationship Id="rId3716" Type="http://schemas.openxmlformats.org/officeDocument/2006/relationships/image" Target="../media/image3941.gif"/><Relationship Id="rId3923" Type="http://schemas.openxmlformats.org/officeDocument/2006/relationships/image" Target="../media/image4148.gif"/><Relationship Id="rId637" Type="http://schemas.openxmlformats.org/officeDocument/2006/relationships/image" Target="../media/image862.gif"/><Relationship Id="rId844" Type="http://schemas.openxmlformats.org/officeDocument/2006/relationships/image" Target="../media/image1069.gif"/><Relationship Id="rId1267" Type="http://schemas.openxmlformats.org/officeDocument/2006/relationships/image" Target="../media/image1492.gif"/><Relationship Id="rId1474" Type="http://schemas.openxmlformats.org/officeDocument/2006/relationships/image" Target="../media/image1699.gif"/><Relationship Id="rId1681" Type="http://schemas.openxmlformats.org/officeDocument/2006/relationships/image" Target="../media/image1906.gif"/><Relationship Id="rId2318" Type="http://schemas.openxmlformats.org/officeDocument/2006/relationships/image" Target="../media/image2543.gif"/><Relationship Id="rId2525" Type="http://schemas.openxmlformats.org/officeDocument/2006/relationships/image" Target="../media/image2750.gif"/><Relationship Id="rId2732" Type="http://schemas.openxmlformats.org/officeDocument/2006/relationships/image" Target="../media/image2957.gif"/><Relationship Id="rId704" Type="http://schemas.openxmlformats.org/officeDocument/2006/relationships/image" Target="../media/image929.gif"/><Relationship Id="rId911" Type="http://schemas.openxmlformats.org/officeDocument/2006/relationships/image" Target="../media/image1136.gif"/><Relationship Id="rId1127" Type="http://schemas.openxmlformats.org/officeDocument/2006/relationships/image" Target="../media/image1352.gif"/><Relationship Id="rId1334" Type="http://schemas.openxmlformats.org/officeDocument/2006/relationships/image" Target="../media/image1559.gif"/><Relationship Id="rId1541" Type="http://schemas.openxmlformats.org/officeDocument/2006/relationships/image" Target="../media/image1766.gif"/><Relationship Id="rId40" Type="http://schemas.openxmlformats.org/officeDocument/2006/relationships/image" Target="../media/image265.gif"/><Relationship Id="rId1401" Type="http://schemas.openxmlformats.org/officeDocument/2006/relationships/image" Target="../media/image1626.gif"/><Relationship Id="rId3299" Type="http://schemas.openxmlformats.org/officeDocument/2006/relationships/image" Target="../media/image3524.gif"/><Relationship Id="rId3159" Type="http://schemas.openxmlformats.org/officeDocument/2006/relationships/image" Target="../media/image3384.gif"/><Relationship Id="rId3366" Type="http://schemas.openxmlformats.org/officeDocument/2006/relationships/image" Target="../media/image3591.gif"/><Relationship Id="rId3573" Type="http://schemas.openxmlformats.org/officeDocument/2006/relationships/image" Target="../media/image3798.gif"/><Relationship Id="rId4417" Type="http://schemas.openxmlformats.org/officeDocument/2006/relationships/image" Target="../media/image4642.gif"/><Relationship Id="rId287" Type="http://schemas.openxmlformats.org/officeDocument/2006/relationships/image" Target="../media/image512.gif"/><Relationship Id="rId494" Type="http://schemas.openxmlformats.org/officeDocument/2006/relationships/image" Target="../media/image719.gif"/><Relationship Id="rId2175" Type="http://schemas.openxmlformats.org/officeDocument/2006/relationships/image" Target="../media/image2400.gif"/><Relationship Id="rId2382" Type="http://schemas.openxmlformats.org/officeDocument/2006/relationships/image" Target="../media/image2607.gif"/><Relationship Id="rId3019" Type="http://schemas.openxmlformats.org/officeDocument/2006/relationships/image" Target="../media/image3244.gif"/><Relationship Id="rId3226" Type="http://schemas.openxmlformats.org/officeDocument/2006/relationships/image" Target="../media/image3451.gif"/><Relationship Id="rId3780" Type="http://schemas.openxmlformats.org/officeDocument/2006/relationships/image" Target="../media/image4005.gif"/><Relationship Id="rId147" Type="http://schemas.openxmlformats.org/officeDocument/2006/relationships/image" Target="../media/image372.gif"/><Relationship Id="rId354" Type="http://schemas.openxmlformats.org/officeDocument/2006/relationships/image" Target="../media/image579.gif"/><Relationship Id="rId1191" Type="http://schemas.openxmlformats.org/officeDocument/2006/relationships/image" Target="../media/image1416.gif"/><Relationship Id="rId2035" Type="http://schemas.openxmlformats.org/officeDocument/2006/relationships/image" Target="../media/image2260.gif"/><Relationship Id="rId3433" Type="http://schemas.openxmlformats.org/officeDocument/2006/relationships/image" Target="../media/image3658.gif"/><Relationship Id="rId3640" Type="http://schemas.openxmlformats.org/officeDocument/2006/relationships/image" Target="../media/image3865.gif"/><Relationship Id="rId561" Type="http://schemas.openxmlformats.org/officeDocument/2006/relationships/image" Target="../media/image786.gif"/><Relationship Id="rId2242" Type="http://schemas.openxmlformats.org/officeDocument/2006/relationships/image" Target="../media/image2467.gif"/><Relationship Id="rId3500" Type="http://schemas.openxmlformats.org/officeDocument/2006/relationships/image" Target="../media/image3725.gif"/><Relationship Id="rId214" Type="http://schemas.openxmlformats.org/officeDocument/2006/relationships/image" Target="../media/image439.gif"/><Relationship Id="rId421" Type="http://schemas.openxmlformats.org/officeDocument/2006/relationships/image" Target="../media/image646.gif"/><Relationship Id="rId1051" Type="http://schemas.openxmlformats.org/officeDocument/2006/relationships/image" Target="../media/image1276.gif"/><Relationship Id="rId2102" Type="http://schemas.openxmlformats.org/officeDocument/2006/relationships/image" Target="../media/image2327.gif"/><Relationship Id="rId1868" Type="http://schemas.openxmlformats.org/officeDocument/2006/relationships/image" Target="../media/image2093.gif"/><Relationship Id="rId4067" Type="http://schemas.openxmlformats.org/officeDocument/2006/relationships/image" Target="../media/image4292.gif"/><Relationship Id="rId4274" Type="http://schemas.openxmlformats.org/officeDocument/2006/relationships/image" Target="../media/image4499.gif"/><Relationship Id="rId4481" Type="http://schemas.openxmlformats.org/officeDocument/2006/relationships/image" Target="../media/image4706.gif"/><Relationship Id="rId2919" Type="http://schemas.openxmlformats.org/officeDocument/2006/relationships/image" Target="../media/image3144.gif"/><Relationship Id="rId3083" Type="http://schemas.openxmlformats.org/officeDocument/2006/relationships/image" Target="../media/image3308.gif"/><Relationship Id="rId3290" Type="http://schemas.openxmlformats.org/officeDocument/2006/relationships/image" Target="../media/image3515.gif"/><Relationship Id="rId4134" Type="http://schemas.openxmlformats.org/officeDocument/2006/relationships/image" Target="../media/image4359.gif"/><Relationship Id="rId4341" Type="http://schemas.openxmlformats.org/officeDocument/2006/relationships/image" Target="../media/image4566.gif"/><Relationship Id="rId1728" Type="http://schemas.openxmlformats.org/officeDocument/2006/relationships/image" Target="../media/image1953.gif"/><Relationship Id="rId1935" Type="http://schemas.openxmlformats.org/officeDocument/2006/relationships/image" Target="../media/image2160.gif"/><Relationship Id="rId3150" Type="http://schemas.openxmlformats.org/officeDocument/2006/relationships/image" Target="../media/image3375.gif"/><Relationship Id="rId4201" Type="http://schemas.openxmlformats.org/officeDocument/2006/relationships/image" Target="../media/image4426.gif"/><Relationship Id="rId3010" Type="http://schemas.openxmlformats.org/officeDocument/2006/relationships/image" Target="../media/image3235.gif"/><Relationship Id="rId3967" Type="http://schemas.openxmlformats.org/officeDocument/2006/relationships/image" Target="../media/image4192.gif"/><Relationship Id="rId4" Type="http://schemas.openxmlformats.org/officeDocument/2006/relationships/image" Target="../media/image229.gif"/><Relationship Id="rId888" Type="http://schemas.openxmlformats.org/officeDocument/2006/relationships/image" Target="../media/image1113.gif"/><Relationship Id="rId2569" Type="http://schemas.openxmlformats.org/officeDocument/2006/relationships/image" Target="../media/image2794.gif"/><Relationship Id="rId2776" Type="http://schemas.openxmlformats.org/officeDocument/2006/relationships/image" Target="../media/image3001.gif"/><Relationship Id="rId2983" Type="http://schemas.openxmlformats.org/officeDocument/2006/relationships/image" Target="../media/image3208.gif"/><Relationship Id="rId3827" Type="http://schemas.openxmlformats.org/officeDocument/2006/relationships/image" Target="../media/image4052.gif"/><Relationship Id="rId748" Type="http://schemas.openxmlformats.org/officeDocument/2006/relationships/image" Target="../media/image973.gif"/><Relationship Id="rId955" Type="http://schemas.openxmlformats.org/officeDocument/2006/relationships/image" Target="../media/image1180.gif"/><Relationship Id="rId1378" Type="http://schemas.openxmlformats.org/officeDocument/2006/relationships/image" Target="../media/image1603.gif"/><Relationship Id="rId1585" Type="http://schemas.openxmlformats.org/officeDocument/2006/relationships/image" Target="../media/image1810.gif"/><Relationship Id="rId1792" Type="http://schemas.openxmlformats.org/officeDocument/2006/relationships/image" Target="../media/image2017.gif"/><Relationship Id="rId2429" Type="http://schemas.openxmlformats.org/officeDocument/2006/relationships/image" Target="../media/image2654.gif"/><Relationship Id="rId2636" Type="http://schemas.openxmlformats.org/officeDocument/2006/relationships/image" Target="../media/image2861.gif"/><Relationship Id="rId2843" Type="http://schemas.openxmlformats.org/officeDocument/2006/relationships/image" Target="../media/image3068.gif"/><Relationship Id="rId84" Type="http://schemas.openxmlformats.org/officeDocument/2006/relationships/image" Target="../media/image309.gif"/><Relationship Id="rId608" Type="http://schemas.openxmlformats.org/officeDocument/2006/relationships/image" Target="../media/image833.gif"/><Relationship Id="rId815" Type="http://schemas.openxmlformats.org/officeDocument/2006/relationships/image" Target="../media/image1040.gif"/><Relationship Id="rId1238" Type="http://schemas.openxmlformats.org/officeDocument/2006/relationships/image" Target="../media/image1463.gif"/><Relationship Id="rId1445" Type="http://schemas.openxmlformats.org/officeDocument/2006/relationships/image" Target="../media/image1670.gif"/><Relationship Id="rId1652" Type="http://schemas.openxmlformats.org/officeDocument/2006/relationships/image" Target="../media/image1877.gif"/><Relationship Id="rId1305" Type="http://schemas.openxmlformats.org/officeDocument/2006/relationships/image" Target="../media/image1530.gif"/><Relationship Id="rId2703" Type="http://schemas.openxmlformats.org/officeDocument/2006/relationships/image" Target="../media/image2928.gif"/><Relationship Id="rId2910" Type="http://schemas.openxmlformats.org/officeDocument/2006/relationships/image" Target="../media/image3135.gif"/><Relationship Id="rId1512" Type="http://schemas.openxmlformats.org/officeDocument/2006/relationships/image" Target="../media/image1737.gif"/><Relationship Id="rId11" Type="http://schemas.openxmlformats.org/officeDocument/2006/relationships/image" Target="../media/image236.gif"/><Relationship Id="rId398" Type="http://schemas.openxmlformats.org/officeDocument/2006/relationships/image" Target="../media/image623.gif"/><Relationship Id="rId2079" Type="http://schemas.openxmlformats.org/officeDocument/2006/relationships/image" Target="../media/image2304.gif"/><Relationship Id="rId3477" Type="http://schemas.openxmlformats.org/officeDocument/2006/relationships/image" Target="../media/image3702.gif"/><Relationship Id="rId3684" Type="http://schemas.openxmlformats.org/officeDocument/2006/relationships/image" Target="../media/image3909.gif"/><Relationship Id="rId3891" Type="http://schemas.openxmlformats.org/officeDocument/2006/relationships/image" Target="../media/image4116.gif"/><Relationship Id="rId2286" Type="http://schemas.openxmlformats.org/officeDocument/2006/relationships/image" Target="../media/image2511.gif"/><Relationship Id="rId2493" Type="http://schemas.openxmlformats.org/officeDocument/2006/relationships/image" Target="../media/image2718.gif"/><Relationship Id="rId3337" Type="http://schemas.openxmlformats.org/officeDocument/2006/relationships/image" Target="../media/image3562.gif"/><Relationship Id="rId3544" Type="http://schemas.openxmlformats.org/officeDocument/2006/relationships/image" Target="../media/image3769.gif"/><Relationship Id="rId3751" Type="http://schemas.openxmlformats.org/officeDocument/2006/relationships/image" Target="../media/image3976.gif"/><Relationship Id="rId258" Type="http://schemas.openxmlformats.org/officeDocument/2006/relationships/image" Target="../media/image483.gif"/><Relationship Id="rId465" Type="http://schemas.openxmlformats.org/officeDocument/2006/relationships/image" Target="../media/image690.gif"/><Relationship Id="rId672" Type="http://schemas.openxmlformats.org/officeDocument/2006/relationships/image" Target="../media/image897.gif"/><Relationship Id="rId1095" Type="http://schemas.openxmlformats.org/officeDocument/2006/relationships/image" Target="../media/image1320.gif"/><Relationship Id="rId2146" Type="http://schemas.openxmlformats.org/officeDocument/2006/relationships/image" Target="../media/image2371.gif"/><Relationship Id="rId2353" Type="http://schemas.openxmlformats.org/officeDocument/2006/relationships/image" Target="../media/image2578.gif"/><Relationship Id="rId2560" Type="http://schemas.openxmlformats.org/officeDocument/2006/relationships/image" Target="../media/image2785.gif"/><Relationship Id="rId3404" Type="http://schemas.openxmlformats.org/officeDocument/2006/relationships/image" Target="../media/image3629.gif"/><Relationship Id="rId3611" Type="http://schemas.openxmlformats.org/officeDocument/2006/relationships/image" Target="../media/image3836.gif"/><Relationship Id="rId118" Type="http://schemas.openxmlformats.org/officeDocument/2006/relationships/image" Target="../media/image343.gif"/><Relationship Id="rId325" Type="http://schemas.openxmlformats.org/officeDocument/2006/relationships/image" Target="../media/image550.gif"/><Relationship Id="rId532" Type="http://schemas.openxmlformats.org/officeDocument/2006/relationships/image" Target="../media/image757.gif"/><Relationship Id="rId1162" Type="http://schemas.openxmlformats.org/officeDocument/2006/relationships/image" Target="../media/image1387.gif"/><Relationship Id="rId2006" Type="http://schemas.openxmlformats.org/officeDocument/2006/relationships/image" Target="../media/image2231.gif"/><Relationship Id="rId2213" Type="http://schemas.openxmlformats.org/officeDocument/2006/relationships/image" Target="../media/image2438.gif"/><Relationship Id="rId2420" Type="http://schemas.openxmlformats.org/officeDocument/2006/relationships/image" Target="../media/image2645.gif"/><Relationship Id="rId1022" Type="http://schemas.openxmlformats.org/officeDocument/2006/relationships/image" Target="../media/image1247.gif"/><Relationship Id="rId4178" Type="http://schemas.openxmlformats.org/officeDocument/2006/relationships/image" Target="../media/image4403.gif"/><Relationship Id="rId4385" Type="http://schemas.openxmlformats.org/officeDocument/2006/relationships/image" Target="../media/image4610.gif"/><Relationship Id="rId1979" Type="http://schemas.openxmlformats.org/officeDocument/2006/relationships/image" Target="../media/image2204.gif"/><Relationship Id="rId3194" Type="http://schemas.openxmlformats.org/officeDocument/2006/relationships/image" Target="../media/image3419.gif"/><Relationship Id="rId4038" Type="http://schemas.openxmlformats.org/officeDocument/2006/relationships/image" Target="../media/image4263.gif"/><Relationship Id="rId4245" Type="http://schemas.openxmlformats.org/officeDocument/2006/relationships/image" Target="../media/image4470.gif"/><Relationship Id="rId1839" Type="http://schemas.openxmlformats.org/officeDocument/2006/relationships/image" Target="../media/image2064.gif"/><Relationship Id="rId3054" Type="http://schemas.openxmlformats.org/officeDocument/2006/relationships/image" Target="../media/image3279.gif"/><Relationship Id="rId4452" Type="http://schemas.openxmlformats.org/officeDocument/2006/relationships/image" Target="../media/image4677.gif"/><Relationship Id="rId182" Type="http://schemas.openxmlformats.org/officeDocument/2006/relationships/image" Target="../media/image407.gif"/><Relationship Id="rId1906" Type="http://schemas.openxmlformats.org/officeDocument/2006/relationships/image" Target="../media/image2131.gif"/><Relationship Id="rId3261" Type="http://schemas.openxmlformats.org/officeDocument/2006/relationships/image" Target="../media/image3486.gif"/><Relationship Id="rId4105" Type="http://schemas.openxmlformats.org/officeDocument/2006/relationships/image" Target="../media/image4330.gif"/><Relationship Id="rId4312" Type="http://schemas.openxmlformats.org/officeDocument/2006/relationships/image" Target="../media/image4537.gif"/><Relationship Id="rId2070" Type="http://schemas.openxmlformats.org/officeDocument/2006/relationships/image" Target="../media/image2295.gif"/><Relationship Id="rId3121" Type="http://schemas.openxmlformats.org/officeDocument/2006/relationships/image" Target="../media/image3346.gif"/><Relationship Id="rId999" Type="http://schemas.openxmlformats.org/officeDocument/2006/relationships/image" Target="../media/image1224.gif"/><Relationship Id="rId2887" Type="http://schemas.openxmlformats.org/officeDocument/2006/relationships/image" Target="../media/image3112.gif"/><Relationship Id="rId859" Type="http://schemas.openxmlformats.org/officeDocument/2006/relationships/image" Target="../media/image1084.gif"/><Relationship Id="rId1489" Type="http://schemas.openxmlformats.org/officeDocument/2006/relationships/image" Target="../media/image1714.gif"/><Relationship Id="rId1696" Type="http://schemas.openxmlformats.org/officeDocument/2006/relationships/image" Target="../media/image1921.gif"/><Relationship Id="rId3938" Type="http://schemas.openxmlformats.org/officeDocument/2006/relationships/image" Target="../media/image4163.gif"/><Relationship Id="rId1349" Type="http://schemas.openxmlformats.org/officeDocument/2006/relationships/image" Target="../media/image1574.gif"/><Relationship Id="rId2747" Type="http://schemas.openxmlformats.org/officeDocument/2006/relationships/image" Target="../media/image2972.gif"/><Relationship Id="rId2954" Type="http://schemas.openxmlformats.org/officeDocument/2006/relationships/image" Target="../media/image3179.gif"/><Relationship Id="rId719" Type="http://schemas.openxmlformats.org/officeDocument/2006/relationships/image" Target="../media/image944.gif"/><Relationship Id="rId926" Type="http://schemas.openxmlformats.org/officeDocument/2006/relationships/image" Target="../media/image1151.gif"/><Relationship Id="rId1556" Type="http://schemas.openxmlformats.org/officeDocument/2006/relationships/image" Target="../media/image1781.gif"/><Relationship Id="rId1763" Type="http://schemas.openxmlformats.org/officeDocument/2006/relationships/image" Target="../media/image1988.gif"/><Relationship Id="rId1970" Type="http://schemas.openxmlformats.org/officeDocument/2006/relationships/image" Target="../media/image2195.gif"/><Relationship Id="rId2607" Type="http://schemas.openxmlformats.org/officeDocument/2006/relationships/image" Target="../media/image2832.gif"/><Relationship Id="rId2814" Type="http://schemas.openxmlformats.org/officeDocument/2006/relationships/image" Target="../media/image3039.gif"/><Relationship Id="rId55" Type="http://schemas.openxmlformats.org/officeDocument/2006/relationships/image" Target="../media/image280.gif"/><Relationship Id="rId1209" Type="http://schemas.openxmlformats.org/officeDocument/2006/relationships/image" Target="../media/image1434.gif"/><Relationship Id="rId1416" Type="http://schemas.openxmlformats.org/officeDocument/2006/relationships/image" Target="../media/image1641.gif"/><Relationship Id="rId1623" Type="http://schemas.openxmlformats.org/officeDocument/2006/relationships/image" Target="../media/image1848.gif"/><Relationship Id="rId1830" Type="http://schemas.openxmlformats.org/officeDocument/2006/relationships/image" Target="../media/image2055.gif"/><Relationship Id="rId3588" Type="http://schemas.openxmlformats.org/officeDocument/2006/relationships/image" Target="../media/image3813.gif"/><Relationship Id="rId3795" Type="http://schemas.openxmlformats.org/officeDocument/2006/relationships/image" Target="../media/image4020.gif"/><Relationship Id="rId2397" Type="http://schemas.openxmlformats.org/officeDocument/2006/relationships/image" Target="../media/image2622.gif"/><Relationship Id="rId3448" Type="http://schemas.openxmlformats.org/officeDocument/2006/relationships/image" Target="../media/image3673.gif"/><Relationship Id="rId3655" Type="http://schemas.openxmlformats.org/officeDocument/2006/relationships/image" Target="../media/image3880.gif"/><Relationship Id="rId3862" Type="http://schemas.openxmlformats.org/officeDocument/2006/relationships/image" Target="../media/image4087.gif"/><Relationship Id="rId369" Type="http://schemas.openxmlformats.org/officeDocument/2006/relationships/image" Target="../media/image594.gif"/><Relationship Id="rId576" Type="http://schemas.openxmlformats.org/officeDocument/2006/relationships/image" Target="../media/image801.gif"/><Relationship Id="rId783" Type="http://schemas.openxmlformats.org/officeDocument/2006/relationships/image" Target="../media/image1008.gif"/><Relationship Id="rId990" Type="http://schemas.openxmlformats.org/officeDocument/2006/relationships/image" Target="../media/image1215.gif"/><Relationship Id="rId2257" Type="http://schemas.openxmlformats.org/officeDocument/2006/relationships/image" Target="../media/image2482.gif"/><Relationship Id="rId2464" Type="http://schemas.openxmlformats.org/officeDocument/2006/relationships/image" Target="../media/image2689.gif"/><Relationship Id="rId2671" Type="http://schemas.openxmlformats.org/officeDocument/2006/relationships/image" Target="../media/image2896.gif"/><Relationship Id="rId3308" Type="http://schemas.openxmlformats.org/officeDocument/2006/relationships/image" Target="../media/image3533.gif"/><Relationship Id="rId3515" Type="http://schemas.openxmlformats.org/officeDocument/2006/relationships/image" Target="../media/image3740.gif"/><Relationship Id="rId229" Type="http://schemas.openxmlformats.org/officeDocument/2006/relationships/image" Target="../media/image454.gif"/><Relationship Id="rId436" Type="http://schemas.openxmlformats.org/officeDocument/2006/relationships/image" Target="../media/image661.gif"/><Relationship Id="rId643" Type="http://schemas.openxmlformats.org/officeDocument/2006/relationships/image" Target="../media/image868.gif"/><Relationship Id="rId1066" Type="http://schemas.openxmlformats.org/officeDocument/2006/relationships/image" Target="../media/image1291.gif"/><Relationship Id="rId1273" Type="http://schemas.openxmlformats.org/officeDocument/2006/relationships/image" Target="../media/image1498.gif"/><Relationship Id="rId1480" Type="http://schemas.openxmlformats.org/officeDocument/2006/relationships/image" Target="../media/image1705.gif"/><Relationship Id="rId2117" Type="http://schemas.openxmlformats.org/officeDocument/2006/relationships/image" Target="../media/image2342.gif"/><Relationship Id="rId2324" Type="http://schemas.openxmlformats.org/officeDocument/2006/relationships/image" Target="../media/image2549.gif"/><Relationship Id="rId3722" Type="http://schemas.openxmlformats.org/officeDocument/2006/relationships/image" Target="../media/image3947.gif"/><Relationship Id="rId850" Type="http://schemas.openxmlformats.org/officeDocument/2006/relationships/image" Target="../media/image1075.gif"/><Relationship Id="rId1133" Type="http://schemas.openxmlformats.org/officeDocument/2006/relationships/image" Target="../media/image1358.gif"/><Relationship Id="rId2531" Type="http://schemas.openxmlformats.org/officeDocument/2006/relationships/image" Target="../media/image2756.gif"/><Relationship Id="rId4289" Type="http://schemas.openxmlformats.org/officeDocument/2006/relationships/image" Target="../media/image4514.gif"/><Relationship Id="rId503" Type="http://schemas.openxmlformats.org/officeDocument/2006/relationships/image" Target="../media/image728.gif"/><Relationship Id="rId710" Type="http://schemas.openxmlformats.org/officeDocument/2006/relationships/image" Target="../media/image935.gif"/><Relationship Id="rId1340" Type="http://schemas.openxmlformats.org/officeDocument/2006/relationships/image" Target="../media/image1565.gif"/><Relationship Id="rId3098" Type="http://schemas.openxmlformats.org/officeDocument/2006/relationships/image" Target="../media/image3323.gif"/><Relationship Id="rId1200" Type="http://schemas.openxmlformats.org/officeDocument/2006/relationships/image" Target="../media/image1425.gif"/><Relationship Id="rId4149" Type="http://schemas.openxmlformats.org/officeDocument/2006/relationships/image" Target="../media/image4374.gif"/><Relationship Id="rId4356" Type="http://schemas.openxmlformats.org/officeDocument/2006/relationships/image" Target="../media/image4581.gif"/><Relationship Id="rId3165" Type="http://schemas.openxmlformats.org/officeDocument/2006/relationships/image" Target="../media/image3390.gif"/><Relationship Id="rId3372" Type="http://schemas.openxmlformats.org/officeDocument/2006/relationships/image" Target="../media/image3597.gif"/><Relationship Id="rId4009" Type="http://schemas.openxmlformats.org/officeDocument/2006/relationships/image" Target="../media/image4234.gif"/><Relationship Id="rId4216" Type="http://schemas.openxmlformats.org/officeDocument/2006/relationships/image" Target="../media/image4441.gif"/><Relationship Id="rId4423" Type="http://schemas.openxmlformats.org/officeDocument/2006/relationships/image" Target="../media/image4648.gif"/><Relationship Id="rId293" Type="http://schemas.openxmlformats.org/officeDocument/2006/relationships/image" Target="../media/image518.gif"/><Relationship Id="rId2181" Type="http://schemas.openxmlformats.org/officeDocument/2006/relationships/image" Target="../media/image2406.gif"/><Relationship Id="rId3025" Type="http://schemas.openxmlformats.org/officeDocument/2006/relationships/image" Target="../media/image3250.gif"/><Relationship Id="rId3232" Type="http://schemas.openxmlformats.org/officeDocument/2006/relationships/image" Target="../media/image3457.gif"/><Relationship Id="rId153" Type="http://schemas.openxmlformats.org/officeDocument/2006/relationships/image" Target="../media/image378.gif"/><Relationship Id="rId360" Type="http://schemas.openxmlformats.org/officeDocument/2006/relationships/image" Target="../media/image585.gif"/><Relationship Id="rId2041" Type="http://schemas.openxmlformats.org/officeDocument/2006/relationships/image" Target="../media/image2266.gif"/><Relationship Id="rId220" Type="http://schemas.openxmlformats.org/officeDocument/2006/relationships/image" Target="../media/image445.gif"/><Relationship Id="rId2998" Type="http://schemas.openxmlformats.org/officeDocument/2006/relationships/image" Target="../media/image3223.gif"/><Relationship Id="rId2858" Type="http://schemas.openxmlformats.org/officeDocument/2006/relationships/image" Target="../media/image3083.gif"/><Relationship Id="rId3909" Type="http://schemas.openxmlformats.org/officeDocument/2006/relationships/image" Target="../media/image4134.gif"/><Relationship Id="rId4073" Type="http://schemas.openxmlformats.org/officeDocument/2006/relationships/image" Target="../media/image4298.gif"/><Relationship Id="rId99" Type="http://schemas.openxmlformats.org/officeDocument/2006/relationships/image" Target="../media/image324.gif"/><Relationship Id="rId1667" Type="http://schemas.openxmlformats.org/officeDocument/2006/relationships/image" Target="../media/image1892.gif"/><Relationship Id="rId1874" Type="http://schemas.openxmlformats.org/officeDocument/2006/relationships/image" Target="../media/image2099.gif"/><Relationship Id="rId2718" Type="http://schemas.openxmlformats.org/officeDocument/2006/relationships/image" Target="../media/image2943.gif"/><Relationship Id="rId2925" Type="http://schemas.openxmlformats.org/officeDocument/2006/relationships/image" Target="../media/image3150.gif"/><Relationship Id="rId4280" Type="http://schemas.openxmlformats.org/officeDocument/2006/relationships/image" Target="../media/image4505.gif"/><Relationship Id="rId1527" Type="http://schemas.openxmlformats.org/officeDocument/2006/relationships/image" Target="../media/image1752.gif"/><Relationship Id="rId1734" Type="http://schemas.openxmlformats.org/officeDocument/2006/relationships/image" Target="../media/image1959.gif"/><Relationship Id="rId1941" Type="http://schemas.openxmlformats.org/officeDocument/2006/relationships/image" Target="../media/image2166.gif"/><Relationship Id="rId4140" Type="http://schemas.openxmlformats.org/officeDocument/2006/relationships/image" Target="../media/image4365.gif"/><Relationship Id="rId26" Type="http://schemas.openxmlformats.org/officeDocument/2006/relationships/image" Target="../media/image251.gif"/><Relationship Id="rId3699" Type="http://schemas.openxmlformats.org/officeDocument/2006/relationships/image" Target="../media/image3924.gif"/><Relationship Id="rId4000" Type="http://schemas.openxmlformats.org/officeDocument/2006/relationships/image" Target="../media/image4225.gif"/><Relationship Id="rId1801" Type="http://schemas.openxmlformats.org/officeDocument/2006/relationships/image" Target="../media/image2026.gif"/><Relationship Id="rId3559" Type="http://schemas.openxmlformats.org/officeDocument/2006/relationships/image" Target="../media/image3784.gif"/><Relationship Id="rId687" Type="http://schemas.openxmlformats.org/officeDocument/2006/relationships/image" Target="../media/image912.gif"/><Relationship Id="rId2368" Type="http://schemas.openxmlformats.org/officeDocument/2006/relationships/image" Target="../media/image2593.gif"/><Relationship Id="rId3766" Type="http://schemas.openxmlformats.org/officeDocument/2006/relationships/image" Target="../media/image3991.gif"/><Relationship Id="rId3973" Type="http://schemas.openxmlformats.org/officeDocument/2006/relationships/image" Target="../media/image4198.gif"/><Relationship Id="rId894" Type="http://schemas.openxmlformats.org/officeDocument/2006/relationships/image" Target="../media/image1119.gif"/><Relationship Id="rId1177" Type="http://schemas.openxmlformats.org/officeDocument/2006/relationships/image" Target="../media/image1402.gif"/><Relationship Id="rId2575" Type="http://schemas.openxmlformats.org/officeDocument/2006/relationships/image" Target="../media/image2800.gif"/><Relationship Id="rId2782" Type="http://schemas.openxmlformats.org/officeDocument/2006/relationships/image" Target="../media/image3007.gif"/><Relationship Id="rId3419" Type="http://schemas.openxmlformats.org/officeDocument/2006/relationships/image" Target="../media/image3644.gif"/><Relationship Id="rId3626" Type="http://schemas.openxmlformats.org/officeDocument/2006/relationships/image" Target="../media/image3851.gif"/><Relationship Id="rId3833" Type="http://schemas.openxmlformats.org/officeDocument/2006/relationships/image" Target="../media/image4058.gif"/><Relationship Id="rId547" Type="http://schemas.openxmlformats.org/officeDocument/2006/relationships/image" Target="../media/image772.gif"/><Relationship Id="rId754" Type="http://schemas.openxmlformats.org/officeDocument/2006/relationships/image" Target="../media/image979.gif"/><Relationship Id="rId961" Type="http://schemas.openxmlformats.org/officeDocument/2006/relationships/image" Target="../media/image1186.gif"/><Relationship Id="rId1384" Type="http://schemas.openxmlformats.org/officeDocument/2006/relationships/image" Target="../media/image1609.gif"/><Relationship Id="rId1591" Type="http://schemas.openxmlformats.org/officeDocument/2006/relationships/image" Target="../media/image1816.gif"/><Relationship Id="rId2228" Type="http://schemas.openxmlformats.org/officeDocument/2006/relationships/image" Target="../media/image2453.gif"/><Relationship Id="rId2435" Type="http://schemas.openxmlformats.org/officeDocument/2006/relationships/image" Target="../media/image2660.gif"/><Relationship Id="rId2642" Type="http://schemas.openxmlformats.org/officeDocument/2006/relationships/image" Target="../media/image2867.gif"/><Relationship Id="rId3900" Type="http://schemas.openxmlformats.org/officeDocument/2006/relationships/image" Target="../media/image4125.gif"/><Relationship Id="rId90" Type="http://schemas.openxmlformats.org/officeDocument/2006/relationships/image" Target="../media/image315.gif"/><Relationship Id="rId407" Type="http://schemas.openxmlformats.org/officeDocument/2006/relationships/image" Target="../media/image632.gif"/><Relationship Id="rId614" Type="http://schemas.openxmlformats.org/officeDocument/2006/relationships/image" Target="../media/image839.gif"/><Relationship Id="rId821" Type="http://schemas.openxmlformats.org/officeDocument/2006/relationships/image" Target="../media/image1046.gif"/><Relationship Id="rId1037" Type="http://schemas.openxmlformats.org/officeDocument/2006/relationships/image" Target="../media/image1262.gif"/><Relationship Id="rId1244" Type="http://schemas.openxmlformats.org/officeDocument/2006/relationships/image" Target="../media/image1469.gif"/><Relationship Id="rId1451" Type="http://schemas.openxmlformats.org/officeDocument/2006/relationships/image" Target="../media/image1676.gif"/><Relationship Id="rId2502" Type="http://schemas.openxmlformats.org/officeDocument/2006/relationships/image" Target="../media/image2727.gif"/><Relationship Id="rId1104" Type="http://schemas.openxmlformats.org/officeDocument/2006/relationships/image" Target="../media/image1329.gif"/><Relationship Id="rId1311" Type="http://schemas.openxmlformats.org/officeDocument/2006/relationships/image" Target="../media/image1536.gif"/><Relationship Id="rId4467" Type="http://schemas.openxmlformats.org/officeDocument/2006/relationships/image" Target="../media/image4692.gif"/><Relationship Id="rId3069" Type="http://schemas.openxmlformats.org/officeDocument/2006/relationships/image" Target="../media/image3294.gif"/><Relationship Id="rId3276" Type="http://schemas.openxmlformats.org/officeDocument/2006/relationships/image" Target="../media/image3501.gif"/><Relationship Id="rId3483" Type="http://schemas.openxmlformats.org/officeDocument/2006/relationships/image" Target="../media/image3708.gif"/><Relationship Id="rId3690" Type="http://schemas.openxmlformats.org/officeDocument/2006/relationships/image" Target="../media/image3915.gif"/><Relationship Id="rId4327" Type="http://schemas.openxmlformats.org/officeDocument/2006/relationships/image" Target="../media/image4552.gif"/><Relationship Id="rId197" Type="http://schemas.openxmlformats.org/officeDocument/2006/relationships/image" Target="../media/image422.gif"/><Relationship Id="rId2085" Type="http://schemas.openxmlformats.org/officeDocument/2006/relationships/image" Target="../media/image2310.gif"/><Relationship Id="rId2292" Type="http://schemas.openxmlformats.org/officeDocument/2006/relationships/image" Target="../media/image2517.gif"/><Relationship Id="rId3136" Type="http://schemas.openxmlformats.org/officeDocument/2006/relationships/image" Target="../media/image3361.gif"/><Relationship Id="rId3343" Type="http://schemas.openxmlformats.org/officeDocument/2006/relationships/image" Target="../media/image3568.gif"/><Relationship Id="rId264" Type="http://schemas.openxmlformats.org/officeDocument/2006/relationships/image" Target="../media/image489.gif"/><Relationship Id="rId471" Type="http://schemas.openxmlformats.org/officeDocument/2006/relationships/image" Target="../media/image696.gif"/><Relationship Id="rId2152" Type="http://schemas.openxmlformats.org/officeDocument/2006/relationships/image" Target="../media/image2377.gif"/><Relationship Id="rId3550" Type="http://schemas.openxmlformats.org/officeDocument/2006/relationships/image" Target="../media/image3775.gif"/><Relationship Id="rId124" Type="http://schemas.openxmlformats.org/officeDocument/2006/relationships/image" Target="../media/image349.gif"/><Relationship Id="rId3203" Type="http://schemas.openxmlformats.org/officeDocument/2006/relationships/image" Target="../media/image3428.gif"/><Relationship Id="rId3410" Type="http://schemas.openxmlformats.org/officeDocument/2006/relationships/image" Target="../media/image3635.gif"/><Relationship Id="rId331" Type="http://schemas.openxmlformats.org/officeDocument/2006/relationships/image" Target="../media/image556.gif"/><Relationship Id="rId2012" Type="http://schemas.openxmlformats.org/officeDocument/2006/relationships/image" Target="../media/image2237.gif"/><Relationship Id="rId2969" Type="http://schemas.openxmlformats.org/officeDocument/2006/relationships/image" Target="../media/image3194.gif"/><Relationship Id="rId1778" Type="http://schemas.openxmlformats.org/officeDocument/2006/relationships/image" Target="../media/image2003.gif"/><Relationship Id="rId1985" Type="http://schemas.openxmlformats.org/officeDocument/2006/relationships/image" Target="../media/image2210.gif"/><Relationship Id="rId2829" Type="http://schemas.openxmlformats.org/officeDocument/2006/relationships/image" Target="../media/image3054.gif"/><Relationship Id="rId4184" Type="http://schemas.openxmlformats.org/officeDocument/2006/relationships/image" Target="../media/image4409.gif"/><Relationship Id="rId4391" Type="http://schemas.openxmlformats.org/officeDocument/2006/relationships/image" Target="../media/image4616.gif"/><Relationship Id="rId1638" Type="http://schemas.openxmlformats.org/officeDocument/2006/relationships/image" Target="../media/image1863.gif"/><Relationship Id="rId4044" Type="http://schemas.openxmlformats.org/officeDocument/2006/relationships/image" Target="../media/image4269.gif"/><Relationship Id="rId4251" Type="http://schemas.openxmlformats.org/officeDocument/2006/relationships/image" Target="../media/image4476.gif"/><Relationship Id="rId1845" Type="http://schemas.openxmlformats.org/officeDocument/2006/relationships/image" Target="../media/image2070.gif"/><Relationship Id="rId3060" Type="http://schemas.openxmlformats.org/officeDocument/2006/relationships/image" Target="../media/image3285.gif"/><Relationship Id="rId4111" Type="http://schemas.openxmlformats.org/officeDocument/2006/relationships/image" Target="../media/image4336.gif"/><Relationship Id="rId1705" Type="http://schemas.openxmlformats.org/officeDocument/2006/relationships/image" Target="../media/image1930.gif"/><Relationship Id="rId1912" Type="http://schemas.openxmlformats.org/officeDocument/2006/relationships/image" Target="../media/image2137.gif"/><Relationship Id="rId3877" Type="http://schemas.openxmlformats.org/officeDocument/2006/relationships/image" Target="../media/image4102.gif"/><Relationship Id="rId798" Type="http://schemas.openxmlformats.org/officeDocument/2006/relationships/image" Target="../media/image1023.gif"/><Relationship Id="rId2479" Type="http://schemas.openxmlformats.org/officeDocument/2006/relationships/image" Target="../media/image2704.gif"/><Relationship Id="rId2686" Type="http://schemas.openxmlformats.org/officeDocument/2006/relationships/image" Target="../media/image2911.gif"/><Relationship Id="rId2893" Type="http://schemas.openxmlformats.org/officeDocument/2006/relationships/image" Target="../media/image3118.gif"/><Relationship Id="rId3737" Type="http://schemas.openxmlformats.org/officeDocument/2006/relationships/image" Target="../media/image3962.gif"/><Relationship Id="rId3944" Type="http://schemas.openxmlformats.org/officeDocument/2006/relationships/image" Target="../media/image4169.gif"/><Relationship Id="rId658" Type="http://schemas.openxmlformats.org/officeDocument/2006/relationships/image" Target="../media/image883.gif"/><Relationship Id="rId865" Type="http://schemas.openxmlformats.org/officeDocument/2006/relationships/image" Target="../media/image1090.gif"/><Relationship Id="rId1288" Type="http://schemas.openxmlformats.org/officeDocument/2006/relationships/image" Target="../media/image1513.gif"/><Relationship Id="rId1495" Type="http://schemas.openxmlformats.org/officeDocument/2006/relationships/image" Target="../media/image1720.gif"/><Relationship Id="rId2339" Type="http://schemas.openxmlformats.org/officeDocument/2006/relationships/image" Target="../media/image2564.gif"/><Relationship Id="rId2546" Type="http://schemas.openxmlformats.org/officeDocument/2006/relationships/image" Target="../media/image2771.gif"/><Relationship Id="rId2753" Type="http://schemas.openxmlformats.org/officeDocument/2006/relationships/image" Target="../media/image2978.gif"/><Relationship Id="rId2960" Type="http://schemas.openxmlformats.org/officeDocument/2006/relationships/image" Target="../media/image3185.gif"/><Relationship Id="rId3804" Type="http://schemas.openxmlformats.org/officeDocument/2006/relationships/image" Target="../media/image4029.gif"/><Relationship Id="rId518" Type="http://schemas.openxmlformats.org/officeDocument/2006/relationships/image" Target="../media/image743.gif"/><Relationship Id="rId725" Type="http://schemas.openxmlformats.org/officeDocument/2006/relationships/image" Target="../media/image950.gif"/><Relationship Id="rId932" Type="http://schemas.openxmlformats.org/officeDocument/2006/relationships/image" Target="../media/image1157.gif"/><Relationship Id="rId1148" Type="http://schemas.openxmlformats.org/officeDocument/2006/relationships/image" Target="../media/image1373.gif"/><Relationship Id="rId1355" Type="http://schemas.openxmlformats.org/officeDocument/2006/relationships/image" Target="../media/image1580.gif"/><Relationship Id="rId1562" Type="http://schemas.openxmlformats.org/officeDocument/2006/relationships/image" Target="../media/image1787.gif"/><Relationship Id="rId2406" Type="http://schemas.openxmlformats.org/officeDocument/2006/relationships/image" Target="../media/image2631.gif"/><Relationship Id="rId2613" Type="http://schemas.openxmlformats.org/officeDocument/2006/relationships/image" Target="../media/image2838.gif"/><Relationship Id="rId1008" Type="http://schemas.openxmlformats.org/officeDocument/2006/relationships/image" Target="../media/image1233.gif"/><Relationship Id="rId1215" Type="http://schemas.openxmlformats.org/officeDocument/2006/relationships/image" Target="../media/image1440.gif"/><Relationship Id="rId1422" Type="http://schemas.openxmlformats.org/officeDocument/2006/relationships/image" Target="../media/image1647.gif"/><Relationship Id="rId2820" Type="http://schemas.openxmlformats.org/officeDocument/2006/relationships/image" Target="../media/image3045.gif"/><Relationship Id="rId61" Type="http://schemas.openxmlformats.org/officeDocument/2006/relationships/image" Target="../media/image286.gif"/><Relationship Id="rId3387" Type="http://schemas.openxmlformats.org/officeDocument/2006/relationships/image" Target="../media/image3612.gif"/><Relationship Id="rId2196" Type="http://schemas.openxmlformats.org/officeDocument/2006/relationships/image" Target="../media/image2421.gif"/><Relationship Id="rId3594" Type="http://schemas.openxmlformats.org/officeDocument/2006/relationships/image" Target="../media/image3819.gif"/><Relationship Id="rId4438" Type="http://schemas.openxmlformats.org/officeDocument/2006/relationships/image" Target="../media/image4663.gif"/><Relationship Id="rId168" Type="http://schemas.openxmlformats.org/officeDocument/2006/relationships/image" Target="../media/image393.gif"/><Relationship Id="rId3247" Type="http://schemas.openxmlformats.org/officeDocument/2006/relationships/image" Target="../media/image3472.gif"/><Relationship Id="rId3454" Type="http://schemas.openxmlformats.org/officeDocument/2006/relationships/image" Target="../media/image3679.gif"/><Relationship Id="rId3661" Type="http://schemas.openxmlformats.org/officeDocument/2006/relationships/image" Target="../media/image3886.gif"/><Relationship Id="rId375" Type="http://schemas.openxmlformats.org/officeDocument/2006/relationships/image" Target="../media/image600.gif"/><Relationship Id="rId582" Type="http://schemas.openxmlformats.org/officeDocument/2006/relationships/image" Target="../media/image807.gif"/><Relationship Id="rId2056" Type="http://schemas.openxmlformats.org/officeDocument/2006/relationships/image" Target="../media/image2281.gif"/><Relationship Id="rId2263" Type="http://schemas.openxmlformats.org/officeDocument/2006/relationships/image" Target="../media/image2488.gif"/><Relationship Id="rId2470" Type="http://schemas.openxmlformats.org/officeDocument/2006/relationships/image" Target="../media/image2695.gif"/><Relationship Id="rId3107" Type="http://schemas.openxmlformats.org/officeDocument/2006/relationships/image" Target="../media/image3332.gif"/><Relationship Id="rId3314" Type="http://schemas.openxmlformats.org/officeDocument/2006/relationships/image" Target="../media/image3539.gif"/><Relationship Id="rId3521" Type="http://schemas.openxmlformats.org/officeDocument/2006/relationships/image" Target="../media/image3746.gif"/><Relationship Id="rId235" Type="http://schemas.openxmlformats.org/officeDocument/2006/relationships/image" Target="../media/image460.gif"/><Relationship Id="rId442" Type="http://schemas.openxmlformats.org/officeDocument/2006/relationships/image" Target="../media/image667.gif"/><Relationship Id="rId1072" Type="http://schemas.openxmlformats.org/officeDocument/2006/relationships/image" Target="../media/image1297.gif"/><Relationship Id="rId2123" Type="http://schemas.openxmlformats.org/officeDocument/2006/relationships/image" Target="../media/image2348.gif"/><Relationship Id="rId2330" Type="http://schemas.openxmlformats.org/officeDocument/2006/relationships/image" Target="../media/image2555.gif"/><Relationship Id="rId302" Type="http://schemas.openxmlformats.org/officeDocument/2006/relationships/image" Target="../media/image527.gif"/><Relationship Id="rId4088" Type="http://schemas.openxmlformats.org/officeDocument/2006/relationships/image" Target="../media/image4313.gif"/><Relationship Id="rId4295" Type="http://schemas.openxmlformats.org/officeDocument/2006/relationships/image" Target="../media/image4520.gif"/><Relationship Id="rId1889" Type="http://schemas.openxmlformats.org/officeDocument/2006/relationships/image" Target="../media/image2114.gif"/><Relationship Id="rId4155" Type="http://schemas.openxmlformats.org/officeDocument/2006/relationships/image" Target="../media/image4380.gif"/><Relationship Id="rId4362" Type="http://schemas.openxmlformats.org/officeDocument/2006/relationships/image" Target="../media/image4587.gif"/><Relationship Id="rId1749" Type="http://schemas.openxmlformats.org/officeDocument/2006/relationships/image" Target="../media/image1974.gif"/><Relationship Id="rId1956" Type="http://schemas.openxmlformats.org/officeDocument/2006/relationships/image" Target="../media/image2181.gif"/><Relationship Id="rId3171" Type="http://schemas.openxmlformats.org/officeDocument/2006/relationships/image" Target="../media/image3396.gif"/><Relationship Id="rId4015" Type="http://schemas.openxmlformats.org/officeDocument/2006/relationships/image" Target="../media/image4240.gif"/><Relationship Id="rId1609" Type="http://schemas.openxmlformats.org/officeDocument/2006/relationships/image" Target="../media/image1834.gif"/><Relationship Id="rId1816" Type="http://schemas.openxmlformats.org/officeDocument/2006/relationships/image" Target="../media/image2041.gif"/><Relationship Id="rId4222" Type="http://schemas.openxmlformats.org/officeDocument/2006/relationships/image" Target="../media/image4447.gif"/><Relationship Id="rId3031" Type="http://schemas.openxmlformats.org/officeDocument/2006/relationships/image" Target="../media/image3256.gif"/><Relationship Id="rId3988" Type="http://schemas.openxmlformats.org/officeDocument/2006/relationships/image" Target="../media/image4213.gif"/><Relationship Id="rId2797" Type="http://schemas.openxmlformats.org/officeDocument/2006/relationships/image" Target="../media/image3022.gif"/><Relationship Id="rId3848" Type="http://schemas.openxmlformats.org/officeDocument/2006/relationships/image" Target="../media/image4073.gif"/><Relationship Id="rId769" Type="http://schemas.openxmlformats.org/officeDocument/2006/relationships/image" Target="../media/image994.gif"/><Relationship Id="rId976" Type="http://schemas.openxmlformats.org/officeDocument/2006/relationships/image" Target="../media/image1201.gif"/><Relationship Id="rId1399" Type="http://schemas.openxmlformats.org/officeDocument/2006/relationships/image" Target="../media/image1624.gif"/><Relationship Id="rId2657" Type="http://schemas.openxmlformats.org/officeDocument/2006/relationships/image" Target="../media/image2882.gif"/><Relationship Id="rId629" Type="http://schemas.openxmlformats.org/officeDocument/2006/relationships/image" Target="../media/image854.gif"/><Relationship Id="rId1259" Type="http://schemas.openxmlformats.org/officeDocument/2006/relationships/image" Target="../media/image1484.gif"/><Relationship Id="rId1466" Type="http://schemas.openxmlformats.org/officeDocument/2006/relationships/image" Target="../media/image1691.gif"/><Relationship Id="rId2864" Type="http://schemas.openxmlformats.org/officeDocument/2006/relationships/image" Target="../media/image3089.gif"/><Relationship Id="rId3708" Type="http://schemas.openxmlformats.org/officeDocument/2006/relationships/image" Target="../media/image3933.gif"/><Relationship Id="rId3915" Type="http://schemas.openxmlformats.org/officeDocument/2006/relationships/image" Target="../media/image4140.gif"/><Relationship Id="rId836" Type="http://schemas.openxmlformats.org/officeDocument/2006/relationships/image" Target="../media/image1061.gif"/><Relationship Id="rId1119" Type="http://schemas.openxmlformats.org/officeDocument/2006/relationships/image" Target="../media/image1344.gif"/><Relationship Id="rId1673" Type="http://schemas.openxmlformats.org/officeDocument/2006/relationships/image" Target="../media/image1898.gif"/><Relationship Id="rId1880" Type="http://schemas.openxmlformats.org/officeDocument/2006/relationships/image" Target="../media/image2105.gif"/><Relationship Id="rId2517" Type="http://schemas.openxmlformats.org/officeDocument/2006/relationships/image" Target="../media/image2742.gif"/><Relationship Id="rId2724" Type="http://schemas.openxmlformats.org/officeDocument/2006/relationships/image" Target="../media/image2949.gif"/><Relationship Id="rId2931" Type="http://schemas.openxmlformats.org/officeDocument/2006/relationships/image" Target="../media/image3156.gif"/><Relationship Id="rId903" Type="http://schemas.openxmlformats.org/officeDocument/2006/relationships/image" Target="../media/image1128.gif"/><Relationship Id="rId1326" Type="http://schemas.openxmlformats.org/officeDocument/2006/relationships/image" Target="../media/image1551.gif"/><Relationship Id="rId1533" Type="http://schemas.openxmlformats.org/officeDocument/2006/relationships/image" Target="../media/image1758.gif"/><Relationship Id="rId1740" Type="http://schemas.openxmlformats.org/officeDocument/2006/relationships/image" Target="../media/image1965.gif"/><Relationship Id="rId32" Type="http://schemas.openxmlformats.org/officeDocument/2006/relationships/image" Target="../media/image257.gif"/><Relationship Id="rId1600" Type="http://schemas.openxmlformats.org/officeDocument/2006/relationships/image" Target="../media/image1825.gif"/><Relationship Id="rId3498" Type="http://schemas.openxmlformats.org/officeDocument/2006/relationships/image" Target="../media/image3723.gif"/><Relationship Id="rId3358" Type="http://schemas.openxmlformats.org/officeDocument/2006/relationships/image" Target="../media/image3583.gif"/><Relationship Id="rId3565" Type="http://schemas.openxmlformats.org/officeDocument/2006/relationships/image" Target="../media/image3790.gif"/><Relationship Id="rId3772" Type="http://schemas.openxmlformats.org/officeDocument/2006/relationships/image" Target="../media/image3997.gif"/><Relationship Id="rId4409" Type="http://schemas.openxmlformats.org/officeDocument/2006/relationships/image" Target="../media/image4634.gif"/><Relationship Id="rId279" Type="http://schemas.openxmlformats.org/officeDocument/2006/relationships/image" Target="../media/image504.gif"/><Relationship Id="rId486" Type="http://schemas.openxmlformats.org/officeDocument/2006/relationships/image" Target="../media/image711.gif"/><Relationship Id="rId693" Type="http://schemas.openxmlformats.org/officeDocument/2006/relationships/image" Target="../media/image918.gif"/><Relationship Id="rId2167" Type="http://schemas.openxmlformats.org/officeDocument/2006/relationships/image" Target="../media/image2392.gif"/><Relationship Id="rId2374" Type="http://schemas.openxmlformats.org/officeDocument/2006/relationships/image" Target="../media/image2599.gif"/><Relationship Id="rId2581" Type="http://schemas.openxmlformats.org/officeDocument/2006/relationships/image" Target="../media/image2806.gif"/><Relationship Id="rId3218" Type="http://schemas.openxmlformats.org/officeDocument/2006/relationships/image" Target="../media/image3443.gif"/><Relationship Id="rId3425" Type="http://schemas.openxmlformats.org/officeDocument/2006/relationships/image" Target="../media/image3650.gif"/><Relationship Id="rId3632" Type="http://schemas.openxmlformats.org/officeDocument/2006/relationships/image" Target="../media/image3857.gif"/><Relationship Id="rId139" Type="http://schemas.openxmlformats.org/officeDocument/2006/relationships/image" Target="../media/image364.gif"/><Relationship Id="rId346" Type="http://schemas.openxmlformats.org/officeDocument/2006/relationships/image" Target="../media/image571.gif"/><Relationship Id="rId553" Type="http://schemas.openxmlformats.org/officeDocument/2006/relationships/image" Target="../media/image778.gif"/><Relationship Id="rId760" Type="http://schemas.openxmlformats.org/officeDocument/2006/relationships/image" Target="../media/image985.gif"/><Relationship Id="rId1183" Type="http://schemas.openxmlformats.org/officeDocument/2006/relationships/image" Target="../media/image1408.gif"/><Relationship Id="rId1390" Type="http://schemas.openxmlformats.org/officeDocument/2006/relationships/image" Target="../media/image1615.gif"/><Relationship Id="rId2027" Type="http://schemas.openxmlformats.org/officeDocument/2006/relationships/image" Target="../media/image2252.gif"/><Relationship Id="rId2234" Type="http://schemas.openxmlformats.org/officeDocument/2006/relationships/image" Target="../media/image2459.gif"/><Relationship Id="rId2441" Type="http://schemas.openxmlformats.org/officeDocument/2006/relationships/image" Target="../media/image2666.gif"/><Relationship Id="rId206" Type="http://schemas.openxmlformats.org/officeDocument/2006/relationships/image" Target="../media/image431.gif"/><Relationship Id="rId413" Type="http://schemas.openxmlformats.org/officeDocument/2006/relationships/image" Target="../media/image638.gif"/><Relationship Id="rId1043" Type="http://schemas.openxmlformats.org/officeDocument/2006/relationships/image" Target="../media/image1268.gif"/><Relationship Id="rId4199" Type="http://schemas.openxmlformats.org/officeDocument/2006/relationships/image" Target="../media/image4424.gif"/><Relationship Id="rId620" Type="http://schemas.openxmlformats.org/officeDocument/2006/relationships/image" Target="../media/image845.gif"/><Relationship Id="rId1250" Type="http://schemas.openxmlformats.org/officeDocument/2006/relationships/image" Target="../media/image1475.gif"/><Relationship Id="rId2301" Type="http://schemas.openxmlformats.org/officeDocument/2006/relationships/image" Target="../media/image2526.gif"/><Relationship Id="rId4059" Type="http://schemas.openxmlformats.org/officeDocument/2006/relationships/image" Target="../media/image4284.gif"/><Relationship Id="rId1110" Type="http://schemas.openxmlformats.org/officeDocument/2006/relationships/image" Target="../media/image1335.gif"/><Relationship Id="rId4266" Type="http://schemas.openxmlformats.org/officeDocument/2006/relationships/image" Target="../media/image4491.gif"/><Relationship Id="rId4473" Type="http://schemas.openxmlformats.org/officeDocument/2006/relationships/image" Target="../media/image4698.gif"/><Relationship Id="rId1927" Type="http://schemas.openxmlformats.org/officeDocument/2006/relationships/image" Target="../media/image2152.gif"/><Relationship Id="rId3075" Type="http://schemas.openxmlformats.org/officeDocument/2006/relationships/image" Target="../media/image3300.gif"/><Relationship Id="rId3282" Type="http://schemas.openxmlformats.org/officeDocument/2006/relationships/image" Target="../media/image3507.gif"/><Relationship Id="rId4126" Type="http://schemas.openxmlformats.org/officeDocument/2006/relationships/image" Target="../media/image4351.gif"/><Relationship Id="rId4333" Type="http://schemas.openxmlformats.org/officeDocument/2006/relationships/image" Target="../media/image4558.gif"/><Relationship Id="rId2091" Type="http://schemas.openxmlformats.org/officeDocument/2006/relationships/image" Target="../media/image2316.gif"/><Relationship Id="rId3142" Type="http://schemas.openxmlformats.org/officeDocument/2006/relationships/image" Target="../media/image3367.gif"/><Relationship Id="rId4400" Type="http://schemas.openxmlformats.org/officeDocument/2006/relationships/image" Target="../media/image4625.gif"/><Relationship Id="rId270" Type="http://schemas.openxmlformats.org/officeDocument/2006/relationships/image" Target="../media/image495.gif"/><Relationship Id="rId3002" Type="http://schemas.openxmlformats.org/officeDocument/2006/relationships/image" Target="../media/image3227.gif"/><Relationship Id="rId130" Type="http://schemas.openxmlformats.org/officeDocument/2006/relationships/image" Target="../media/image355.gif"/><Relationship Id="rId3959" Type="http://schemas.openxmlformats.org/officeDocument/2006/relationships/image" Target="../media/image4184.gif"/><Relationship Id="rId2768" Type="http://schemas.openxmlformats.org/officeDocument/2006/relationships/image" Target="../media/image2993.gif"/><Relationship Id="rId2975" Type="http://schemas.openxmlformats.org/officeDocument/2006/relationships/image" Target="../media/image3200.gif"/><Relationship Id="rId3819" Type="http://schemas.openxmlformats.org/officeDocument/2006/relationships/image" Target="../media/image4044.gif"/><Relationship Id="rId947" Type="http://schemas.openxmlformats.org/officeDocument/2006/relationships/image" Target="../media/image1172.gif"/><Relationship Id="rId1577" Type="http://schemas.openxmlformats.org/officeDocument/2006/relationships/image" Target="../media/image1802.gif"/><Relationship Id="rId1784" Type="http://schemas.openxmlformats.org/officeDocument/2006/relationships/image" Target="../media/image2009.gif"/><Relationship Id="rId1991" Type="http://schemas.openxmlformats.org/officeDocument/2006/relationships/image" Target="../media/image2216.gif"/><Relationship Id="rId2628" Type="http://schemas.openxmlformats.org/officeDocument/2006/relationships/image" Target="../media/image2853.gif"/><Relationship Id="rId2835" Type="http://schemas.openxmlformats.org/officeDocument/2006/relationships/image" Target="../media/image3060.gif"/><Relationship Id="rId4190" Type="http://schemas.openxmlformats.org/officeDocument/2006/relationships/image" Target="../media/image4415.gif"/><Relationship Id="rId76" Type="http://schemas.openxmlformats.org/officeDocument/2006/relationships/image" Target="../media/image301.gif"/><Relationship Id="rId807" Type="http://schemas.openxmlformats.org/officeDocument/2006/relationships/image" Target="../media/image1032.gif"/><Relationship Id="rId1437" Type="http://schemas.openxmlformats.org/officeDocument/2006/relationships/image" Target="../media/image1662.jpg"/><Relationship Id="rId1644" Type="http://schemas.openxmlformats.org/officeDocument/2006/relationships/image" Target="../media/image1869.gif"/><Relationship Id="rId1851" Type="http://schemas.openxmlformats.org/officeDocument/2006/relationships/image" Target="../media/image2076.gif"/><Relationship Id="rId2902" Type="http://schemas.openxmlformats.org/officeDocument/2006/relationships/image" Target="../media/image3127.gif"/><Relationship Id="rId4050" Type="http://schemas.openxmlformats.org/officeDocument/2006/relationships/image" Target="../media/image4275.gif"/><Relationship Id="rId1504" Type="http://schemas.openxmlformats.org/officeDocument/2006/relationships/image" Target="../media/image1729.gif"/><Relationship Id="rId1711" Type="http://schemas.openxmlformats.org/officeDocument/2006/relationships/image" Target="../media/image1936.gif"/><Relationship Id="rId3469" Type="http://schemas.openxmlformats.org/officeDocument/2006/relationships/image" Target="../media/image3694.gif"/><Relationship Id="rId3676" Type="http://schemas.openxmlformats.org/officeDocument/2006/relationships/image" Target="../media/image3901.gif"/><Relationship Id="rId597" Type="http://schemas.openxmlformats.org/officeDocument/2006/relationships/image" Target="../media/image822.gif"/><Relationship Id="rId2278" Type="http://schemas.openxmlformats.org/officeDocument/2006/relationships/image" Target="../media/image2503.gif"/><Relationship Id="rId2485" Type="http://schemas.openxmlformats.org/officeDocument/2006/relationships/image" Target="../media/image2710.gif"/><Relationship Id="rId3329" Type="http://schemas.openxmlformats.org/officeDocument/2006/relationships/image" Target="../media/image3554.gif"/><Relationship Id="rId3883" Type="http://schemas.openxmlformats.org/officeDocument/2006/relationships/image" Target="../media/image4108.gif"/><Relationship Id="rId457" Type="http://schemas.openxmlformats.org/officeDocument/2006/relationships/image" Target="../media/image682.gif"/><Relationship Id="rId1087" Type="http://schemas.openxmlformats.org/officeDocument/2006/relationships/image" Target="../media/image1312.gif"/><Relationship Id="rId1294" Type="http://schemas.openxmlformats.org/officeDocument/2006/relationships/image" Target="../media/image1519.gif"/><Relationship Id="rId2138" Type="http://schemas.openxmlformats.org/officeDocument/2006/relationships/image" Target="../media/image2363.gif"/><Relationship Id="rId2692" Type="http://schemas.openxmlformats.org/officeDocument/2006/relationships/image" Target="../media/image2917.gif"/><Relationship Id="rId3536" Type="http://schemas.openxmlformats.org/officeDocument/2006/relationships/image" Target="../media/image3761.gif"/><Relationship Id="rId3743" Type="http://schemas.openxmlformats.org/officeDocument/2006/relationships/image" Target="../media/image3968.gif"/><Relationship Id="rId3950" Type="http://schemas.openxmlformats.org/officeDocument/2006/relationships/image" Target="../media/image4175.gif"/><Relationship Id="rId664" Type="http://schemas.openxmlformats.org/officeDocument/2006/relationships/image" Target="../media/image889.gif"/><Relationship Id="rId871" Type="http://schemas.openxmlformats.org/officeDocument/2006/relationships/image" Target="../media/image1096.gif"/><Relationship Id="rId2345" Type="http://schemas.openxmlformats.org/officeDocument/2006/relationships/image" Target="../media/image2570.gif"/><Relationship Id="rId2552" Type="http://schemas.openxmlformats.org/officeDocument/2006/relationships/image" Target="../media/image2777.gif"/><Relationship Id="rId3603" Type="http://schemas.openxmlformats.org/officeDocument/2006/relationships/image" Target="../media/image3828.gif"/><Relationship Id="rId3810" Type="http://schemas.openxmlformats.org/officeDocument/2006/relationships/image" Target="../media/image4035.gif"/><Relationship Id="rId317" Type="http://schemas.openxmlformats.org/officeDocument/2006/relationships/image" Target="../media/image542.gif"/><Relationship Id="rId524" Type="http://schemas.openxmlformats.org/officeDocument/2006/relationships/image" Target="../media/image749.gif"/><Relationship Id="rId731" Type="http://schemas.openxmlformats.org/officeDocument/2006/relationships/image" Target="../media/image956.gif"/><Relationship Id="rId1154" Type="http://schemas.openxmlformats.org/officeDocument/2006/relationships/image" Target="../media/image1379.gif"/><Relationship Id="rId1361" Type="http://schemas.openxmlformats.org/officeDocument/2006/relationships/image" Target="../media/image1586.gif"/><Relationship Id="rId2205" Type="http://schemas.openxmlformats.org/officeDocument/2006/relationships/image" Target="../media/image2430.gif"/><Relationship Id="rId2412" Type="http://schemas.openxmlformats.org/officeDocument/2006/relationships/image" Target="../media/image2637.gif"/><Relationship Id="rId1014" Type="http://schemas.openxmlformats.org/officeDocument/2006/relationships/image" Target="../media/image1239.gif"/><Relationship Id="rId1221" Type="http://schemas.openxmlformats.org/officeDocument/2006/relationships/image" Target="../media/image1446.gif"/><Relationship Id="rId4377" Type="http://schemas.openxmlformats.org/officeDocument/2006/relationships/image" Target="../media/image4602.gif"/><Relationship Id="rId3186" Type="http://schemas.openxmlformats.org/officeDocument/2006/relationships/image" Target="../media/image3411.gif"/><Relationship Id="rId3393" Type="http://schemas.openxmlformats.org/officeDocument/2006/relationships/image" Target="../media/image3618.gif"/><Relationship Id="rId4237" Type="http://schemas.openxmlformats.org/officeDocument/2006/relationships/image" Target="../media/image4462.gif"/><Relationship Id="rId4444" Type="http://schemas.openxmlformats.org/officeDocument/2006/relationships/image" Target="../media/image4669.gif"/><Relationship Id="rId3046" Type="http://schemas.openxmlformats.org/officeDocument/2006/relationships/image" Target="../media/image3271.gif"/><Relationship Id="rId3253" Type="http://schemas.openxmlformats.org/officeDocument/2006/relationships/image" Target="../media/image3478.gif"/><Relationship Id="rId3460" Type="http://schemas.openxmlformats.org/officeDocument/2006/relationships/image" Target="../media/image3685.gif"/><Relationship Id="rId4304" Type="http://schemas.openxmlformats.org/officeDocument/2006/relationships/image" Target="../media/image4529.gif"/><Relationship Id="rId174" Type="http://schemas.openxmlformats.org/officeDocument/2006/relationships/image" Target="../media/image399.gif"/><Relationship Id="rId381" Type="http://schemas.openxmlformats.org/officeDocument/2006/relationships/image" Target="../media/image606.gif"/><Relationship Id="rId2062" Type="http://schemas.openxmlformats.org/officeDocument/2006/relationships/image" Target="../media/image2287.gif"/><Relationship Id="rId3113" Type="http://schemas.openxmlformats.org/officeDocument/2006/relationships/image" Target="../media/image3338.gif"/><Relationship Id="rId241" Type="http://schemas.openxmlformats.org/officeDocument/2006/relationships/image" Target="../media/image466.gif"/><Relationship Id="rId3320" Type="http://schemas.openxmlformats.org/officeDocument/2006/relationships/image" Target="../media/image3545.gif"/><Relationship Id="rId2879" Type="http://schemas.openxmlformats.org/officeDocument/2006/relationships/image" Target="../media/image3104.gif"/><Relationship Id="rId101" Type="http://schemas.openxmlformats.org/officeDocument/2006/relationships/image" Target="../media/image326.gif"/><Relationship Id="rId1688" Type="http://schemas.openxmlformats.org/officeDocument/2006/relationships/image" Target="../media/image1913.gif"/><Relationship Id="rId1895" Type="http://schemas.openxmlformats.org/officeDocument/2006/relationships/image" Target="../media/image2120.gif"/><Relationship Id="rId2739" Type="http://schemas.openxmlformats.org/officeDocument/2006/relationships/image" Target="../media/image2964.gif"/><Relationship Id="rId2946" Type="http://schemas.openxmlformats.org/officeDocument/2006/relationships/image" Target="../media/image3171.gif"/><Relationship Id="rId4094" Type="http://schemas.openxmlformats.org/officeDocument/2006/relationships/image" Target="../media/image4319.gif"/><Relationship Id="rId918" Type="http://schemas.openxmlformats.org/officeDocument/2006/relationships/image" Target="../media/image1143.gif"/><Relationship Id="rId1548" Type="http://schemas.openxmlformats.org/officeDocument/2006/relationships/image" Target="../media/image1773.gif"/><Relationship Id="rId1755" Type="http://schemas.openxmlformats.org/officeDocument/2006/relationships/image" Target="../media/image1980.gif"/><Relationship Id="rId4161" Type="http://schemas.openxmlformats.org/officeDocument/2006/relationships/image" Target="../media/image4386.gif"/><Relationship Id="rId1408" Type="http://schemas.openxmlformats.org/officeDocument/2006/relationships/image" Target="../media/image1633.gif"/><Relationship Id="rId1962" Type="http://schemas.openxmlformats.org/officeDocument/2006/relationships/image" Target="../media/image2187.gif"/><Relationship Id="rId2806" Type="http://schemas.openxmlformats.org/officeDocument/2006/relationships/image" Target="../media/image3031.gif"/><Relationship Id="rId4021" Type="http://schemas.openxmlformats.org/officeDocument/2006/relationships/image" Target="../media/image4246.gif"/><Relationship Id="rId47" Type="http://schemas.openxmlformats.org/officeDocument/2006/relationships/image" Target="../media/image272.gif"/><Relationship Id="rId1615" Type="http://schemas.openxmlformats.org/officeDocument/2006/relationships/image" Target="../media/image1840.gif"/><Relationship Id="rId1822" Type="http://schemas.openxmlformats.org/officeDocument/2006/relationships/image" Target="../media/image2047.gif"/><Relationship Id="rId3787" Type="http://schemas.openxmlformats.org/officeDocument/2006/relationships/image" Target="../media/image4012.gif"/><Relationship Id="rId3994" Type="http://schemas.openxmlformats.org/officeDocument/2006/relationships/image" Target="../media/image4219.gif"/><Relationship Id="rId2389" Type="http://schemas.openxmlformats.org/officeDocument/2006/relationships/image" Target="../media/image2614.gif"/><Relationship Id="rId2596" Type="http://schemas.openxmlformats.org/officeDocument/2006/relationships/image" Target="../media/image2821.gif"/><Relationship Id="rId3647" Type="http://schemas.openxmlformats.org/officeDocument/2006/relationships/image" Target="../media/image3872.gif"/><Relationship Id="rId3854" Type="http://schemas.openxmlformats.org/officeDocument/2006/relationships/image" Target="../media/image4079.gif"/><Relationship Id="rId568" Type="http://schemas.openxmlformats.org/officeDocument/2006/relationships/image" Target="../media/image793.gif"/><Relationship Id="rId775" Type="http://schemas.openxmlformats.org/officeDocument/2006/relationships/image" Target="../media/image1000.gif"/><Relationship Id="rId982" Type="http://schemas.openxmlformats.org/officeDocument/2006/relationships/image" Target="../media/image1207.gif"/><Relationship Id="rId1198" Type="http://schemas.openxmlformats.org/officeDocument/2006/relationships/image" Target="../media/image1423.gif"/><Relationship Id="rId2249" Type="http://schemas.openxmlformats.org/officeDocument/2006/relationships/image" Target="../media/image2474.gif"/><Relationship Id="rId2456" Type="http://schemas.openxmlformats.org/officeDocument/2006/relationships/image" Target="../media/image2681.gif"/><Relationship Id="rId2663" Type="http://schemas.openxmlformats.org/officeDocument/2006/relationships/image" Target="../media/image2888.gif"/><Relationship Id="rId2870" Type="http://schemas.openxmlformats.org/officeDocument/2006/relationships/image" Target="../media/image3095.gif"/><Relationship Id="rId3507" Type="http://schemas.openxmlformats.org/officeDocument/2006/relationships/image" Target="../media/image3732.gif"/><Relationship Id="rId3714" Type="http://schemas.openxmlformats.org/officeDocument/2006/relationships/image" Target="../media/image3939.gif"/><Relationship Id="rId3921" Type="http://schemas.openxmlformats.org/officeDocument/2006/relationships/image" Target="../media/image4146.gif"/><Relationship Id="rId428" Type="http://schemas.openxmlformats.org/officeDocument/2006/relationships/image" Target="../media/image653.gif"/><Relationship Id="rId635" Type="http://schemas.openxmlformats.org/officeDocument/2006/relationships/image" Target="../media/image860.gif"/><Relationship Id="rId842" Type="http://schemas.openxmlformats.org/officeDocument/2006/relationships/image" Target="../media/image1067.gif"/><Relationship Id="rId1058" Type="http://schemas.openxmlformats.org/officeDocument/2006/relationships/image" Target="../media/image1283.gif"/><Relationship Id="rId1265" Type="http://schemas.openxmlformats.org/officeDocument/2006/relationships/image" Target="../media/image1490.gif"/><Relationship Id="rId1472" Type="http://schemas.openxmlformats.org/officeDocument/2006/relationships/image" Target="../media/image1697.gif"/><Relationship Id="rId2109" Type="http://schemas.openxmlformats.org/officeDocument/2006/relationships/image" Target="../media/image2334.gif"/><Relationship Id="rId2316" Type="http://schemas.openxmlformats.org/officeDocument/2006/relationships/image" Target="../media/image2541.gif"/><Relationship Id="rId2523" Type="http://schemas.openxmlformats.org/officeDocument/2006/relationships/image" Target="../media/image2748.gif"/><Relationship Id="rId2730" Type="http://schemas.openxmlformats.org/officeDocument/2006/relationships/image" Target="../media/image2955.gif"/><Relationship Id="rId702" Type="http://schemas.openxmlformats.org/officeDocument/2006/relationships/image" Target="../media/image927.gif"/><Relationship Id="rId1125" Type="http://schemas.openxmlformats.org/officeDocument/2006/relationships/image" Target="../media/image1350.gif"/><Relationship Id="rId1332" Type="http://schemas.openxmlformats.org/officeDocument/2006/relationships/image" Target="../media/image1557.gif"/><Relationship Id="rId3297" Type="http://schemas.openxmlformats.org/officeDocument/2006/relationships/image" Target="../media/image3522.gif"/><Relationship Id="rId4348" Type="http://schemas.openxmlformats.org/officeDocument/2006/relationships/image" Target="../media/image4573.gif"/><Relationship Id="rId3157" Type="http://schemas.openxmlformats.org/officeDocument/2006/relationships/image" Target="../media/image3382.gif"/><Relationship Id="rId285" Type="http://schemas.openxmlformats.org/officeDocument/2006/relationships/image" Target="../media/image510.gif"/><Relationship Id="rId3364" Type="http://schemas.openxmlformats.org/officeDocument/2006/relationships/image" Target="../media/image3589.gif"/><Relationship Id="rId3571" Type="http://schemas.openxmlformats.org/officeDocument/2006/relationships/image" Target="../media/image3796.gif"/><Relationship Id="rId4208" Type="http://schemas.openxmlformats.org/officeDocument/2006/relationships/image" Target="../media/image4433.gif"/><Relationship Id="rId4415" Type="http://schemas.openxmlformats.org/officeDocument/2006/relationships/image" Target="../media/image4640.gif"/><Relationship Id="rId492" Type="http://schemas.openxmlformats.org/officeDocument/2006/relationships/image" Target="../media/image717.gif"/><Relationship Id="rId2173" Type="http://schemas.openxmlformats.org/officeDocument/2006/relationships/image" Target="../media/image2398.gif"/><Relationship Id="rId2380" Type="http://schemas.openxmlformats.org/officeDocument/2006/relationships/image" Target="../media/image2605.gif"/><Relationship Id="rId3017" Type="http://schemas.openxmlformats.org/officeDocument/2006/relationships/image" Target="../media/image3242.gif"/><Relationship Id="rId3224" Type="http://schemas.openxmlformats.org/officeDocument/2006/relationships/image" Target="../media/image3449.gif"/><Relationship Id="rId3431" Type="http://schemas.openxmlformats.org/officeDocument/2006/relationships/image" Target="../media/image3656.gif"/><Relationship Id="rId145" Type="http://schemas.openxmlformats.org/officeDocument/2006/relationships/image" Target="../media/image370.gif"/><Relationship Id="rId352" Type="http://schemas.openxmlformats.org/officeDocument/2006/relationships/image" Target="../media/image577.gif"/><Relationship Id="rId2033" Type="http://schemas.openxmlformats.org/officeDocument/2006/relationships/image" Target="../media/image2258.gif"/><Relationship Id="rId2240" Type="http://schemas.openxmlformats.org/officeDocument/2006/relationships/image" Target="../media/image2465.gif"/><Relationship Id="rId212" Type="http://schemas.openxmlformats.org/officeDocument/2006/relationships/image" Target="../media/image437.gif"/><Relationship Id="rId1799" Type="http://schemas.openxmlformats.org/officeDocument/2006/relationships/image" Target="../media/image2024.gif"/><Relationship Id="rId2100" Type="http://schemas.openxmlformats.org/officeDocument/2006/relationships/image" Target="../media/image2325.gif"/><Relationship Id="rId4065" Type="http://schemas.openxmlformats.org/officeDocument/2006/relationships/image" Target="../media/image4290.gif"/><Relationship Id="rId4272" Type="http://schemas.openxmlformats.org/officeDocument/2006/relationships/image" Target="../media/image4497.gif"/><Relationship Id="rId1659" Type="http://schemas.openxmlformats.org/officeDocument/2006/relationships/image" Target="../media/image1884.gif"/><Relationship Id="rId1866" Type="http://schemas.openxmlformats.org/officeDocument/2006/relationships/image" Target="../media/image2091.gif"/><Relationship Id="rId2917" Type="http://schemas.openxmlformats.org/officeDocument/2006/relationships/image" Target="../media/image3142.gif"/><Relationship Id="rId3081" Type="http://schemas.openxmlformats.org/officeDocument/2006/relationships/image" Target="../media/image3306.gif"/><Relationship Id="rId4132" Type="http://schemas.openxmlformats.org/officeDocument/2006/relationships/image" Target="../media/image4357.gif"/><Relationship Id="rId1519" Type="http://schemas.openxmlformats.org/officeDocument/2006/relationships/image" Target="../media/image1744.gif"/><Relationship Id="rId1726" Type="http://schemas.openxmlformats.org/officeDocument/2006/relationships/image" Target="../media/image1951.gif"/><Relationship Id="rId1933" Type="http://schemas.openxmlformats.org/officeDocument/2006/relationships/image" Target="../media/image2158.gif"/><Relationship Id="rId18" Type="http://schemas.openxmlformats.org/officeDocument/2006/relationships/image" Target="../media/image243.gif"/><Relationship Id="rId3898" Type="http://schemas.openxmlformats.org/officeDocument/2006/relationships/image" Target="../media/image4123.gif"/><Relationship Id="rId3758" Type="http://schemas.openxmlformats.org/officeDocument/2006/relationships/image" Target="../media/image3983.gif"/><Relationship Id="rId3965" Type="http://schemas.openxmlformats.org/officeDocument/2006/relationships/image" Target="../media/image4190.gif"/><Relationship Id="rId679" Type="http://schemas.openxmlformats.org/officeDocument/2006/relationships/image" Target="../media/image904.gif"/><Relationship Id="rId886" Type="http://schemas.openxmlformats.org/officeDocument/2006/relationships/image" Target="../media/image1111.gif"/><Relationship Id="rId2567" Type="http://schemas.openxmlformats.org/officeDocument/2006/relationships/image" Target="../media/image2792.gif"/><Relationship Id="rId2774" Type="http://schemas.openxmlformats.org/officeDocument/2006/relationships/image" Target="../media/image2999.gif"/><Relationship Id="rId3618" Type="http://schemas.openxmlformats.org/officeDocument/2006/relationships/image" Target="../media/image3843.gif"/><Relationship Id="rId2" Type="http://schemas.openxmlformats.org/officeDocument/2006/relationships/image" Target="../media/image227.gif"/><Relationship Id="rId539" Type="http://schemas.openxmlformats.org/officeDocument/2006/relationships/image" Target="../media/image764.gif"/><Relationship Id="rId746" Type="http://schemas.openxmlformats.org/officeDocument/2006/relationships/image" Target="../media/image971.gif"/><Relationship Id="rId1169" Type="http://schemas.openxmlformats.org/officeDocument/2006/relationships/image" Target="../media/image1394.gif"/><Relationship Id="rId1376" Type="http://schemas.openxmlformats.org/officeDocument/2006/relationships/image" Target="../media/image1601.gif"/><Relationship Id="rId1583" Type="http://schemas.openxmlformats.org/officeDocument/2006/relationships/image" Target="../media/image1808.gif"/><Relationship Id="rId2427" Type="http://schemas.openxmlformats.org/officeDocument/2006/relationships/image" Target="../media/image2652.gif"/><Relationship Id="rId2981" Type="http://schemas.openxmlformats.org/officeDocument/2006/relationships/image" Target="../media/image3206.gif"/><Relationship Id="rId3825" Type="http://schemas.openxmlformats.org/officeDocument/2006/relationships/image" Target="../media/image4050.gif"/><Relationship Id="rId953" Type="http://schemas.openxmlformats.org/officeDocument/2006/relationships/image" Target="../media/image1178.gif"/><Relationship Id="rId1029" Type="http://schemas.openxmlformats.org/officeDocument/2006/relationships/image" Target="../media/image1254.gif"/><Relationship Id="rId1236" Type="http://schemas.openxmlformats.org/officeDocument/2006/relationships/image" Target="../media/image1461.gif"/><Relationship Id="rId1790" Type="http://schemas.openxmlformats.org/officeDocument/2006/relationships/image" Target="../media/image2015.gif"/><Relationship Id="rId2634" Type="http://schemas.openxmlformats.org/officeDocument/2006/relationships/image" Target="../media/image2859.gif"/><Relationship Id="rId2841" Type="http://schemas.openxmlformats.org/officeDocument/2006/relationships/image" Target="../media/image3066.gif"/><Relationship Id="rId82" Type="http://schemas.openxmlformats.org/officeDocument/2006/relationships/image" Target="../media/image307.gif"/><Relationship Id="rId606" Type="http://schemas.openxmlformats.org/officeDocument/2006/relationships/image" Target="../media/image831.gif"/><Relationship Id="rId813" Type="http://schemas.openxmlformats.org/officeDocument/2006/relationships/image" Target="../media/image1038.gif"/><Relationship Id="rId1443" Type="http://schemas.openxmlformats.org/officeDocument/2006/relationships/image" Target="../media/image1668.gif"/><Relationship Id="rId1650" Type="http://schemas.openxmlformats.org/officeDocument/2006/relationships/image" Target="../media/image1875.gif"/><Relationship Id="rId2701" Type="http://schemas.openxmlformats.org/officeDocument/2006/relationships/image" Target="../media/image2926.gif"/><Relationship Id="rId1303" Type="http://schemas.openxmlformats.org/officeDocument/2006/relationships/image" Target="../media/image1528.gif"/><Relationship Id="rId1510" Type="http://schemas.openxmlformats.org/officeDocument/2006/relationships/image" Target="../media/image1735.gif"/><Relationship Id="rId4459" Type="http://schemas.openxmlformats.org/officeDocument/2006/relationships/image" Target="../media/image4684.gif"/><Relationship Id="rId3268" Type="http://schemas.openxmlformats.org/officeDocument/2006/relationships/image" Target="../media/image3493.gif"/><Relationship Id="rId3475" Type="http://schemas.openxmlformats.org/officeDocument/2006/relationships/image" Target="../media/image3700.gif"/><Relationship Id="rId3682" Type="http://schemas.openxmlformats.org/officeDocument/2006/relationships/image" Target="../media/image3907.gif"/><Relationship Id="rId4319" Type="http://schemas.openxmlformats.org/officeDocument/2006/relationships/image" Target="../media/image4544.gif"/><Relationship Id="rId189" Type="http://schemas.openxmlformats.org/officeDocument/2006/relationships/image" Target="../media/image414.gif"/><Relationship Id="rId396" Type="http://schemas.openxmlformats.org/officeDocument/2006/relationships/image" Target="../media/image621.gif"/><Relationship Id="rId2077" Type="http://schemas.openxmlformats.org/officeDocument/2006/relationships/image" Target="../media/image2302.gif"/><Relationship Id="rId2284" Type="http://schemas.openxmlformats.org/officeDocument/2006/relationships/image" Target="../media/image2509.gif"/><Relationship Id="rId2491" Type="http://schemas.openxmlformats.org/officeDocument/2006/relationships/image" Target="../media/image2716.gif"/><Relationship Id="rId3128" Type="http://schemas.openxmlformats.org/officeDocument/2006/relationships/image" Target="../media/image3353.gif"/><Relationship Id="rId3335" Type="http://schemas.openxmlformats.org/officeDocument/2006/relationships/image" Target="../media/image3560.gif"/><Relationship Id="rId3542" Type="http://schemas.openxmlformats.org/officeDocument/2006/relationships/image" Target="../media/image3767.gif"/><Relationship Id="rId256" Type="http://schemas.openxmlformats.org/officeDocument/2006/relationships/image" Target="../media/image481.gif"/><Relationship Id="rId463" Type="http://schemas.openxmlformats.org/officeDocument/2006/relationships/image" Target="../media/image688.gif"/><Relationship Id="rId670" Type="http://schemas.openxmlformats.org/officeDocument/2006/relationships/image" Target="../media/image895.gif"/><Relationship Id="rId1093" Type="http://schemas.openxmlformats.org/officeDocument/2006/relationships/image" Target="../media/image1318.gif"/><Relationship Id="rId2144" Type="http://schemas.openxmlformats.org/officeDocument/2006/relationships/image" Target="../media/image2369.gif"/><Relationship Id="rId2351" Type="http://schemas.openxmlformats.org/officeDocument/2006/relationships/image" Target="../media/image2576.gif"/><Relationship Id="rId3402" Type="http://schemas.openxmlformats.org/officeDocument/2006/relationships/image" Target="../media/image3627.gif"/><Relationship Id="rId116" Type="http://schemas.openxmlformats.org/officeDocument/2006/relationships/image" Target="../media/image341.gif"/><Relationship Id="rId323" Type="http://schemas.openxmlformats.org/officeDocument/2006/relationships/image" Target="../media/image548.gif"/><Relationship Id="rId530" Type="http://schemas.openxmlformats.org/officeDocument/2006/relationships/image" Target="../media/image755.gif"/><Relationship Id="rId1160" Type="http://schemas.openxmlformats.org/officeDocument/2006/relationships/image" Target="../media/image1385.gif"/><Relationship Id="rId2004" Type="http://schemas.openxmlformats.org/officeDocument/2006/relationships/image" Target="../media/image2229.gif"/><Relationship Id="rId2211" Type="http://schemas.openxmlformats.org/officeDocument/2006/relationships/image" Target="../media/image2436.gif"/><Relationship Id="rId4176" Type="http://schemas.openxmlformats.org/officeDocument/2006/relationships/image" Target="../media/image4401.gif"/><Relationship Id="rId1020" Type="http://schemas.openxmlformats.org/officeDocument/2006/relationships/image" Target="../media/image1245.gif"/><Relationship Id="rId1977" Type="http://schemas.openxmlformats.org/officeDocument/2006/relationships/image" Target="../media/image2202.gif"/><Relationship Id="rId4383" Type="http://schemas.openxmlformats.org/officeDocument/2006/relationships/image" Target="../media/image4608.gif"/><Relationship Id="rId1837" Type="http://schemas.openxmlformats.org/officeDocument/2006/relationships/image" Target="../media/image2062.gif"/><Relationship Id="rId3192" Type="http://schemas.openxmlformats.org/officeDocument/2006/relationships/image" Target="../media/image3417.gif"/><Relationship Id="rId4036" Type="http://schemas.openxmlformats.org/officeDocument/2006/relationships/image" Target="../media/image4261.gif"/><Relationship Id="rId4243" Type="http://schemas.openxmlformats.org/officeDocument/2006/relationships/image" Target="../media/image4468.gif"/><Relationship Id="rId4450" Type="http://schemas.openxmlformats.org/officeDocument/2006/relationships/image" Target="../media/image4675.gif"/><Relationship Id="rId3052" Type="http://schemas.openxmlformats.org/officeDocument/2006/relationships/image" Target="../media/image3277.gif"/><Relationship Id="rId4103" Type="http://schemas.openxmlformats.org/officeDocument/2006/relationships/image" Target="../media/image4328.gif"/><Relationship Id="rId4310" Type="http://schemas.openxmlformats.org/officeDocument/2006/relationships/image" Target="../media/image4535.gif"/><Relationship Id="rId180" Type="http://schemas.openxmlformats.org/officeDocument/2006/relationships/image" Target="../media/image405.gif"/><Relationship Id="rId1904" Type="http://schemas.openxmlformats.org/officeDocument/2006/relationships/image" Target="../media/image2129.gif"/><Relationship Id="rId3869" Type="http://schemas.openxmlformats.org/officeDocument/2006/relationships/image" Target="../media/image4094.gif"/><Relationship Id="rId997" Type="http://schemas.openxmlformats.org/officeDocument/2006/relationships/image" Target="../media/image1222.gif"/><Relationship Id="rId2678" Type="http://schemas.openxmlformats.org/officeDocument/2006/relationships/image" Target="../media/image2903.gif"/><Relationship Id="rId2885" Type="http://schemas.openxmlformats.org/officeDocument/2006/relationships/image" Target="../media/image3110.gif"/><Relationship Id="rId3729" Type="http://schemas.openxmlformats.org/officeDocument/2006/relationships/image" Target="../media/image3954.gif"/><Relationship Id="rId3936" Type="http://schemas.openxmlformats.org/officeDocument/2006/relationships/image" Target="../media/image4161.gif"/><Relationship Id="rId857" Type="http://schemas.openxmlformats.org/officeDocument/2006/relationships/image" Target="../media/image1082.gif"/><Relationship Id="rId1487" Type="http://schemas.openxmlformats.org/officeDocument/2006/relationships/image" Target="../media/image1712.gif"/><Relationship Id="rId1694" Type="http://schemas.openxmlformats.org/officeDocument/2006/relationships/image" Target="../media/image1919.gif"/><Relationship Id="rId2538" Type="http://schemas.openxmlformats.org/officeDocument/2006/relationships/image" Target="../media/image2763.gif"/><Relationship Id="rId2745" Type="http://schemas.openxmlformats.org/officeDocument/2006/relationships/image" Target="../media/image2970.gif"/><Relationship Id="rId2952" Type="http://schemas.openxmlformats.org/officeDocument/2006/relationships/image" Target="../media/image3177.gif"/><Relationship Id="rId717" Type="http://schemas.openxmlformats.org/officeDocument/2006/relationships/image" Target="../media/image942.gif"/><Relationship Id="rId924" Type="http://schemas.openxmlformats.org/officeDocument/2006/relationships/image" Target="../media/image1149.gif"/><Relationship Id="rId1347" Type="http://schemas.openxmlformats.org/officeDocument/2006/relationships/image" Target="../media/image1572.gif"/><Relationship Id="rId1554" Type="http://schemas.openxmlformats.org/officeDocument/2006/relationships/image" Target="../media/image1779.gif"/><Relationship Id="rId1761" Type="http://schemas.openxmlformats.org/officeDocument/2006/relationships/image" Target="../media/image1986.gif"/><Relationship Id="rId2605" Type="http://schemas.openxmlformats.org/officeDocument/2006/relationships/image" Target="../media/image2830.gif"/><Relationship Id="rId2812" Type="http://schemas.openxmlformats.org/officeDocument/2006/relationships/image" Target="../media/image3037.gif"/><Relationship Id="rId53" Type="http://schemas.openxmlformats.org/officeDocument/2006/relationships/image" Target="../media/image278.gif"/><Relationship Id="rId1207" Type="http://schemas.openxmlformats.org/officeDocument/2006/relationships/image" Target="../media/image1432.gif"/><Relationship Id="rId1414" Type="http://schemas.openxmlformats.org/officeDocument/2006/relationships/image" Target="../media/image1639.gif"/><Relationship Id="rId1621" Type="http://schemas.openxmlformats.org/officeDocument/2006/relationships/image" Target="../media/image1846.gif"/><Relationship Id="rId3379" Type="http://schemas.openxmlformats.org/officeDocument/2006/relationships/image" Target="../media/image3604.gif"/><Relationship Id="rId3586" Type="http://schemas.openxmlformats.org/officeDocument/2006/relationships/image" Target="../media/image3811.gif"/><Relationship Id="rId3793" Type="http://schemas.openxmlformats.org/officeDocument/2006/relationships/image" Target="../media/image4018.gif"/><Relationship Id="rId2188" Type="http://schemas.openxmlformats.org/officeDocument/2006/relationships/image" Target="../media/image2413.gif"/><Relationship Id="rId2395" Type="http://schemas.openxmlformats.org/officeDocument/2006/relationships/image" Target="../media/image2620.gif"/><Relationship Id="rId3239" Type="http://schemas.openxmlformats.org/officeDocument/2006/relationships/image" Target="../media/image3464.gif"/><Relationship Id="rId3446" Type="http://schemas.openxmlformats.org/officeDocument/2006/relationships/image" Target="../media/image3671.gif"/><Relationship Id="rId367" Type="http://schemas.openxmlformats.org/officeDocument/2006/relationships/image" Target="../media/image592.gif"/><Relationship Id="rId574" Type="http://schemas.openxmlformats.org/officeDocument/2006/relationships/image" Target="../media/image799.gif"/><Relationship Id="rId2048" Type="http://schemas.openxmlformats.org/officeDocument/2006/relationships/image" Target="../media/image2273.gif"/><Relationship Id="rId2255" Type="http://schemas.openxmlformats.org/officeDocument/2006/relationships/image" Target="../media/image2480.gif"/><Relationship Id="rId3653" Type="http://schemas.openxmlformats.org/officeDocument/2006/relationships/image" Target="../media/image3878.gif"/><Relationship Id="rId3860" Type="http://schemas.openxmlformats.org/officeDocument/2006/relationships/image" Target="../media/image4085.gif"/><Relationship Id="rId227" Type="http://schemas.openxmlformats.org/officeDocument/2006/relationships/image" Target="../media/image452.gif"/><Relationship Id="rId781" Type="http://schemas.openxmlformats.org/officeDocument/2006/relationships/image" Target="../media/image1006.gif"/><Relationship Id="rId2462" Type="http://schemas.openxmlformats.org/officeDocument/2006/relationships/image" Target="../media/image2687.gif"/><Relationship Id="rId3306" Type="http://schemas.openxmlformats.org/officeDocument/2006/relationships/image" Target="../media/image3531.gif"/><Relationship Id="rId3513" Type="http://schemas.openxmlformats.org/officeDocument/2006/relationships/image" Target="../media/image3738.gif"/><Relationship Id="rId3720" Type="http://schemas.openxmlformats.org/officeDocument/2006/relationships/image" Target="../media/image3945.gif"/><Relationship Id="rId434" Type="http://schemas.openxmlformats.org/officeDocument/2006/relationships/image" Target="../media/image659.gif"/><Relationship Id="rId641" Type="http://schemas.openxmlformats.org/officeDocument/2006/relationships/image" Target="../media/image866.gif"/><Relationship Id="rId1064" Type="http://schemas.openxmlformats.org/officeDocument/2006/relationships/image" Target="../media/image1289.gif"/><Relationship Id="rId1271" Type="http://schemas.openxmlformats.org/officeDocument/2006/relationships/image" Target="../media/image1496.gif"/><Relationship Id="rId2115" Type="http://schemas.openxmlformats.org/officeDocument/2006/relationships/image" Target="../media/image2340.gif"/><Relationship Id="rId2322" Type="http://schemas.openxmlformats.org/officeDocument/2006/relationships/image" Target="../media/image2547.gif"/><Relationship Id="rId501" Type="http://schemas.openxmlformats.org/officeDocument/2006/relationships/image" Target="../media/image726.gif"/><Relationship Id="rId1131" Type="http://schemas.openxmlformats.org/officeDocument/2006/relationships/image" Target="../media/image1356.jpg"/><Relationship Id="rId4287" Type="http://schemas.openxmlformats.org/officeDocument/2006/relationships/image" Target="../media/image4512.gif"/><Relationship Id="rId3096" Type="http://schemas.openxmlformats.org/officeDocument/2006/relationships/image" Target="../media/image3321.gif"/><Relationship Id="rId4147" Type="http://schemas.openxmlformats.org/officeDocument/2006/relationships/image" Target="../media/image4372.gif"/><Relationship Id="rId4354" Type="http://schemas.openxmlformats.org/officeDocument/2006/relationships/image" Target="../media/image4579.gif"/><Relationship Id="rId1948" Type="http://schemas.openxmlformats.org/officeDocument/2006/relationships/image" Target="../media/image2173.gif"/><Relationship Id="rId3163" Type="http://schemas.openxmlformats.org/officeDocument/2006/relationships/image" Target="../media/image3388.gif"/><Relationship Id="rId3370" Type="http://schemas.openxmlformats.org/officeDocument/2006/relationships/image" Target="../media/image3595.gif"/><Relationship Id="rId4007" Type="http://schemas.openxmlformats.org/officeDocument/2006/relationships/image" Target="../media/image4232.gif"/><Relationship Id="rId4214" Type="http://schemas.openxmlformats.org/officeDocument/2006/relationships/image" Target="../media/image4439.gif"/><Relationship Id="rId4421" Type="http://schemas.openxmlformats.org/officeDocument/2006/relationships/image" Target="../media/image4646.gif"/><Relationship Id="rId291" Type="http://schemas.openxmlformats.org/officeDocument/2006/relationships/image" Target="../media/image516.gif"/><Relationship Id="rId1808" Type="http://schemas.openxmlformats.org/officeDocument/2006/relationships/image" Target="../media/image2033.gif"/><Relationship Id="rId3023" Type="http://schemas.openxmlformats.org/officeDocument/2006/relationships/image" Target="../media/image3248.gif"/><Relationship Id="rId151" Type="http://schemas.openxmlformats.org/officeDocument/2006/relationships/image" Target="../media/image376.gif"/><Relationship Id="rId3230" Type="http://schemas.openxmlformats.org/officeDocument/2006/relationships/image" Target="../media/image3455.gif"/><Relationship Id="rId2789" Type="http://schemas.openxmlformats.org/officeDocument/2006/relationships/image" Target="../media/image3014.gif"/><Relationship Id="rId2996" Type="http://schemas.openxmlformats.org/officeDocument/2006/relationships/image" Target="../media/image3221.gif"/><Relationship Id="rId968" Type="http://schemas.openxmlformats.org/officeDocument/2006/relationships/image" Target="../media/image1193.gif"/><Relationship Id="rId1598" Type="http://schemas.openxmlformats.org/officeDocument/2006/relationships/image" Target="../media/image1823.gif"/><Relationship Id="rId2649" Type="http://schemas.openxmlformats.org/officeDocument/2006/relationships/image" Target="../media/image2874.gif"/><Relationship Id="rId2856" Type="http://schemas.openxmlformats.org/officeDocument/2006/relationships/image" Target="../media/image3081.gif"/><Relationship Id="rId3907" Type="http://schemas.openxmlformats.org/officeDocument/2006/relationships/image" Target="../media/image4132.gif"/><Relationship Id="rId97" Type="http://schemas.openxmlformats.org/officeDocument/2006/relationships/image" Target="../media/image322.gif"/><Relationship Id="rId828" Type="http://schemas.openxmlformats.org/officeDocument/2006/relationships/image" Target="../media/image1053.gif"/><Relationship Id="rId1458" Type="http://schemas.openxmlformats.org/officeDocument/2006/relationships/image" Target="../media/image1683.gif"/><Relationship Id="rId1665" Type="http://schemas.openxmlformats.org/officeDocument/2006/relationships/image" Target="../media/image1890.gif"/><Relationship Id="rId1872" Type="http://schemas.openxmlformats.org/officeDocument/2006/relationships/image" Target="../media/image2097.gif"/><Relationship Id="rId2509" Type="http://schemas.openxmlformats.org/officeDocument/2006/relationships/image" Target="../media/image2734.gif"/><Relationship Id="rId2716" Type="http://schemas.openxmlformats.org/officeDocument/2006/relationships/image" Target="../media/image2941.gif"/><Relationship Id="rId4071" Type="http://schemas.openxmlformats.org/officeDocument/2006/relationships/image" Target="../media/image4296.gif"/><Relationship Id="rId1318" Type="http://schemas.openxmlformats.org/officeDocument/2006/relationships/image" Target="../media/image1543.gif"/><Relationship Id="rId1525" Type="http://schemas.openxmlformats.org/officeDocument/2006/relationships/image" Target="../media/image1750.gif"/><Relationship Id="rId2923" Type="http://schemas.openxmlformats.org/officeDocument/2006/relationships/image" Target="../media/image3148.gif"/><Relationship Id="rId1732" Type="http://schemas.openxmlformats.org/officeDocument/2006/relationships/image" Target="../media/image1957.gif"/><Relationship Id="rId24" Type="http://schemas.openxmlformats.org/officeDocument/2006/relationships/image" Target="../media/image249.gif"/><Relationship Id="rId2299" Type="http://schemas.openxmlformats.org/officeDocument/2006/relationships/image" Target="../media/image2524.gif"/><Relationship Id="rId3697" Type="http://schemas.openxmlformats.org/officeDocument/2006/relationships/image" Target="../media/image3922.gif"/><Relationship Id="rId3557" Type="http://schemas.openxmlformats.org/officeDocument/2006/relationships/image" Target="../media/image3782.gif"/><Relationship Id="rId3764" Type="http://schemas.openxmlformats.org/officeDocument/2006/relationships/image" Target="../media/image3989.gif"/><Relationship Id="rId3971" Type="http://schemas.openxmlformats.org/officeDocument/2006/relationships/image" Target="../media/image4196.gif"/><Relationship Id="rId478" Type="http://schemas.openxmlformats.org/officeDocument/2006/relationships/image" Target="../media/image703.gif"/><Relationship Id="rId685" Type="http://schemas.openxmlformats.org/officeDocument/2006/relationships/image" Target="../media/image910.gif"/><Relationship Id="rId892" Type="http://schemas.openxmlformats.org/officeDocument/2006/relationships/image" Target="../media/image1117.gif"/><Relationship Id="rId2159" Type="http://schemas.openxmlformats.org/officeDocument/2006/relationships/image" Target="../media/image2384.gif"/><Relationship Id="rId2366" Type="http://schemas.openxmlformats.org/officeDocument/2006/relationships/image" Target="../media/image2591.gif"/><Relationship Id="rId2573" Type="http://schemas.openxmlformats.org/officeDocument/2006/relationships/image" Target="../media/image2798.gif"/><Relationship Id="rId2780" Type="http://schemas.openxmlformats.org/officeDocument/2006/relationships/image" Target="../media/image3005.gif"/><Relationship Id="rId3417" Type="http://schemas.openxmlformats.org/officeDocument/2006/relationships/image" Target="../media/image3642.gif"/><Relationship Id="rId3624" Type="http://schemas.openxmlformats.org/officeDocument/2006/relationships/image" Target="../media/image3849.gif"/><Relationship Id="rId3831" Type="http://schemas.openxmlformats.org/officeDocument/2006/relationships/image" Target="../media/image4056.gif"/><Relationship Id="rId338" Type="http://schemas.openxmlformats.org/officeDocument/2006/relationships/image" Target="../media/image563.gif"/><Relationship Id="rId545" Type="http://schemas.openxmlformats.org/officeDocument/2006/relationships/image" Target="../media/image770.gif"/><Relationship Id="rId752" Type="http://schemas.openxmlformats.org/officeDocument/2006/relationships/image" Target="../media/image977.gif"/><Relationship Id="rId1175" Type="http://schemas.openxmlformats.org/officeDocument/2006/relationships/image" Target="../media/image1400.gif"/><Relationship Id="rId1382" Type="http://schemas.openxmlformats.org/officeDocument/2006/relationships/image" Target="../media/image1607.gif"/><Relationship Id="rId2019" Type="http://schemas.openxmlformats.org/officeDocument/2006/relationships/image" Target="../media/image2244.gif"/><Relationship Id="rId2226" Type="http://schemas.openxmlformats.org/officeDocument/2006/relationships/image" Target="../media/image2451.gif"/><Relationship Id="rId2433" Type="http://schemas.openxmlformats.org/officeDocument/2006/relationships/image" Target="../media/image2658.gif"/><Relationship Id="rId2640" Type="http://schemas.openxmlformats.org/officeDocument/2006/relationships/image" Target="../media/image2865.gif"/><Relationship Id="rId405" Type="http://schemas.openxmlformats.org/officeDocument/2006/relationships/image" Target="../media/image630.gif"/><Relationship Id="rId612" Type="http://schemas.openxmlformats.org/officeDocument/2006/relationships/image" Target="../media/image837.gif"/><Relationship Id="rId1035" Type="http://schemas.openxmlformats.org/officeDocument/2006/relationships/image" Target="../media/image1260.gif"/><Relationship Id="rId1242" Type="http://schemas.openxmlformats.org/officeDocument/2006/relationships/image" Target="../media/image1467.gif"/><Relationship Id="rId2500" Type="http://schemas.openxmlformats.org/officeDocument/2006/relationships/image" Target="../media/image2725.gif"/><Relationship Id="rId4398" Type="http://schemas.openxmlformats.org/officeDocument/2006/relationships/image" Target="../media/image4623.gif"/><Relationship Id="rId1102" Type="http://schemas.openxmlformats.org/officeDocument/2006/relationships/image" Target="../media/image1327.gif"/><Relationship Id="rId4258" Type="http://schemas.openxmlformats.org/officeDocument/2006/relationships/image" Target="../media/image4483.gif"/><Relationship Id="rId4465" Type="http://schemas.openxmlformats.org/officeDocument/2006/relationships/image" Target="../media/image4690.gif"/><Relationship Id="rId3067" Type="http://schemas.openxmlformats.org/officeDocument/2006/relationships/image" Target="../media/image3292.gif"/><Relationship Id="rId3274" Type="http://schemas.openxmlformats.org/officeDocument/2006/relationships/image" Target="../media/image3499.gif"/><Relationship Id="rId4118" Type="http://schemas.openxmlformats.org/officeDocument/2006/relationships/image" Target="../media/image4343.gif"/><Relationship Id="rId195" Type="http://schemas.openxmlformats.org/officeDocument/2006/relationships/image" Target="../media/image420.gif"/><Relationship Id="rId1919" Type="http://schemas.openxmlformats.org/officeDocument/2006/relationships/image" Target="../media/image2144.gif"/><Relationship Id="rId3481" Type="http://schemas.openxmlformats.org/officeDocument/2006/relationships/image" Target="../media/image3706.gif"/><Relationship Id="rId4325" Type="http://schemas.openxmlformats.org/officeDocument/2006/relationships/image" Target="../media/image4550.gif"/><Relationship Id="rId2083" Type="http://schemas.openxmlformats.org/officeDocument/2006/relationships/image" Target="../media/image2308.gif"/><Relationship Id="rId2290" Type="http://schemas.openxmlformats.org/officeDocument/2006/relationships/image" Target="../media/image2515.gif"/><Relationship Id="rId3134" Type="http://schemas.openxmlformats.org/officeDocument/2006/relationships/image" Target="../media/image3359.gif"/><Relationship Id="rId3341" Type="http://schemas.openxmlformats.org/officeDocument/2006/relationships/image" Target="../media/image3566.gif"/><Relationship Id="rId262" Type="http://schemas.openxmlformats.org/officeDocument/2006/relationships/image" Target="../media/image487.gif"/><Relationship Id="rId2150" Type="http://schemas.openxmlformats.org/officeDocument/2006/relationships/image" Target="../media/image2375.gif"/><Relationship Id="rId3201" Type="http://schemas.openxmlformats.org/officeDocument/2006/relationships/image" Target="../media/image3426.gif"/><Relationship Id="rId122" Type="http://schemas.openxmlformats.org/officeDocument/2006/relationships/image" Target="../media/image347.gif"/><Relationship Id="rId2010" Type="http://schemas.openxmlformats.org/officeDocument/2006/relationships/image" Target="../media/image2235.gif"/><Relationship Id="rId1569" Type="http://schemas.openxmlformats.org/officeDocument/2006/relationships/image" Target="../media/image1794.gif"/><Relationship Id="rId2967" Type="http://schemas.openxmlformats.org/officeDocument/2006/relationships/image" Target="../media/image3192.gif"/><Relationship Id="rId4182" Type="http://schemas.openxmlformats.org/officeDocument/2006/relationships/image" Target="../media/image4407.gif"/><Relationship Id="rId939" Type="http://schemas.openxmlformats.org/officeDocument/2006/relationships/image" Target="../media/image1164.gif"/><Relationship Id="rId1776" Type="http://schemas.openxmlformats.org/officeDocument/2006/relationships/image" Target="../media/image2001.gif"/><Relationship Id="rId1983" Type="http://schemas.openxmlformats.org/officeDocument/2006/relationships/image" Target="../media/image2208.gif"/><Relationship Id="rId2827" Type="http://schemas.openxmlformats.org/officeDocument/2006/relationships/image" Target="../media/image3052.gif"/><Relationship Id="rId4042" Type="http://schemas.openxmlformats.org/officeDocument/2006/relationships/image" Target="../media/image4267.gif"/><Relationship Id="rId68" Type="http://schemas.openxmlformats.org/officeDocument/2006/relationships/image" Target="../media/image293.gif"/><Relationship Id="rId1429" Type="http://schemas.openxmlformats.org/officeDocument/2006/relationships/image" Target="../media/image1654.gif"/><Relationship Id="rId1636" Type="http://schemas.openxmlformats.org/officeDocument/2006/relationships/image" Target="../media/image1861.gif"/><Relationship Id="rId1843" Type="http://schemas.openxmlformats.org/officeDocument/2006/relationships/image" Target="../media/image2068.gif"/><Relationship Id="rId1703" Type="http://schemas.openxmlformats.org/officeDocument/2006/relationships/image" Target="../media/image1928.gif"/><Relationship Id="rId1910" Type="http://schemas.openxmlformats.org/officeDocument/2006/relationships/image" Target="../media/image2135.gif"/><Relationship Id="rId3668" Type="http://schemas.openxmlformats.org/officeDocument/2006/relationships/image" Target="../media/image3893.gif"/><Relationship Id="rId3875" Type="http://schemas.openxmlformats.org/officeDocument/2006/relationships/image" Target="../media/image4100.gif"/><Relationship Id="rId589" Type="http://schemas.openxmlformats.org/officeDocument/2006/relationships/image" Target="../media/image814.gif"/><Relationship Id="rId796" Type="http://schemas.openxmlformats.org/officeDocument/2006/relationships/image" Target="../media/image1021.gif"/><Relationship Id="rId2477" Type="http://schemas.openxmlformats.org/officeDocument/2006/relationships/image" Target="../media/image2702.gif"/><Relationship Id="rId2684" Type="http://schemas.openxmlformats.org/officeDocument/2006/relationships/image" Target="../media/image2909.gif"/><Relationship Id="rId3528" Type="http://schemas.openxmlformats.org/officeDocument/2006/relationships/image" Target="../media/image3753.gif"/><Relationship Id="rId3735" Type="http://schemas.openxmlformats.org/officeDocument/2006/relationships/image" Target="../media/image3960.gif"/><Relationship Id="rId449" Type="http://schemas.openxmlformats.org/officeDocument/2006/relationships/image" Target="../media/image674.gif"/><Relationship Id="rId656" Type="http://schemas.openxmlformats.org/officeDocument/2006/relationships/image" Target="../media/image881.gif"/><Relationship Id="rId863" Type="http://schemas.openxmlformats.org/officeDocument/2006/relationships/image" Target="../media/image1088.gif"/><Relationship Id="rId1079" Type="http://schemas.openxmlformats.org/officeDocument/2006/relationships/image" Target="../media/image1304.gif"/><Relationship Id="rId1286" Type="http://schemas.openxmlformats.org/officeDocument/2006/relationships/image" Target="../media/image1511.gif"/><Relationship Id="rId1493" Type="http://schemas.openxmlformats.org/officeDocument/2006/relationships/image" Target="../media/image1718.gif"/><Relationship Id="rId2337" Type="http://schemas.openxmlformats.org/officeDocument/2006/relationships/image" Target="../media/image2562.gif"/><Relationship Id="rId2544" Type="http://schemas.openxmlformats.org/officeDocument/2006/relationships/image" Target="../media/image2769.gif"/><Relationship Id="rId2891" Type="http://schemas.openxmlformats.org/officeDocument/2006/relationships/image" Target="../media/image3116.gif"/><Relationship Id="rId3942" Type="http://schemas.openxmlformats.org/officeDocument/2006/relationships/image" Target="../media/image4167.gif"/><Relationship Id="rId309" Type="http://schemas.openxmlformats.org/officeDocument/2006/relationships/image" Target="../media/image534.gif"/><Relationship Id="rId516" Type="http://schemas.openxmlformats.org/officeDocument/2006/relationships/image" Target="../media/image741.gif"/><Relationship Id="rId1146" Type="http://schemas.openxmlformats.org/officeDocument/2006/relationships/image" Target="../media/image1371.gif"/><Relationship Id="rId2751" Type="http://schemas.openxmlformats.org/officeDocument/2006/relationships/image" Target="../media/image2976.gif"/><Relationship Id="rId3802" Type="http://schemas.openxmlformats.org/officeDocument/2006/relationships/image" Target="../media/image4027.gif"/><Relationship Id="rId723" Type="http://schemas.openxmlformats.org/officeDocument/2006/relationships/image" Target="../media/image948.gif"/><Relationship Id="rId930" Type="http://schemas.openxmlformats.org/officeDocument/2006/relationships/image" Target="../media/image1155.gif"/><Relationship Id="rId1006" Type="http://schemas.openxmlformats.org/officeDocument/2006/relationships/image" Target="../media/image1231.gif"/><Relationship Id="rId1353" Type="http://schemas.openxmlformats.org/officeDocument/2006/relationships/image" Target="../media/image1578.gif"/><Relationship Id="rId1560" Type="http://schemas.openxmlformats.org/officeDocument/2006/relationships/image" Target="../media/image1785.gif"/><Relationship Id="rId2404" Type="http://schemas.openxmlformats.org/officeDocument/2006/relationships/image" Target="../media/image2629.gif"/><Relationship Id="rId2611" Type="http://schemas.openxmlformats.org/officeDocument/2006/relationships/image" Target="../media/image2836.gif"/><Relationship Id="rId1213" Type="http://schemas.openxmlformats.org/officeDocument/2006/relationships/image" Target="../media/image1438.gif"/><Relationship Id="rId1420" Type="http://schemas.openxmlformats.org/officeDocument/2006/relationships/image" Target="../media/image1645.gif"/><Relationship Id="rId4369" Type="http://schemas.openxmlformats.org/officeDocument/2006/relationships/image" Target="../media/image4594.gif"/><Relationship Id="rId3178" Type="http://schemas.openxmlformats.org/officeDocument/2006/relationships/image" Target="../media/image3403.gif"/><Relationship Id="rId3385" Type="http://schemas.openxmlformats.org/officeDocument/2006/relationships/image" Target="../media/image3610.gif"/><Relationship Id="rId3592" Type="http://schemas.openxmlformats.org/officeDocument/2006/relationships/image" Target="../media/image3817.gif"/><Relationship Id="rId4229" Type="http://schemas.openxmlformats.org/officeDocument/2006/relationships/image" Target="../media/image4454.gif"/><Relationship Id="rId4436" Type="http://schemas.openxmlformats.org/officeDocument/2006/relationships/image" Target="../media/image4661.gif"/><Relationship Id="rId2194" Type="http://schemas.openxmlformats.org/officeDocument/2006/relationships/image" Target="../media/image2419.gif"/><Relationship Id="rId3038" Type="http://schemas.openxmlformats.org/officeDocument/2006/relationships/image" Target="../media/image3263.gif"/><Relationship Id="rId3245" Type="http://schemas.openxmlformats.org/officeDocument/2006/relationships/image" Target="../media/image3470.gif"/><Relationship Id="rId3452" Type="http://schemas.openxmlformats.org/officeDocument/2006/relationships/image" Target="../media/image3677.gif"/><Relationship Id="rId166" Type="http://schemas.openxmlformats.org/officeDocument/2006/relationships/image" Target="../media/image391.gif"/><Relationship Id="rId373" Type="http://schemas.openxmlformats.org/officeDocument/2006/relationships/image" Target="../media/image598.gif"/><Relationship Id="rId580" Type="http://schemas.openxmlformats.org/officeDocument/2006/relationships/image" Target="../media/image805.gif"/><Relationship Id="rId2054" Type="http://schemas.openxmlformats.org/officeDocument/2006/relationships/image" Target="../media/image2279.gif"/><Relationship Id="rId2261" Type="http://schemas.openxmlformats.org/officeDocument/2006/relationships/image" Target="../media/image2486.gif"/><Relationship Id="rId3105" Type="http://schemas.openxmlformats.org/officeDocument/2006/relationships/image" Target="../media/image3330.gif"/><Relationship Id="rId3312" Type="http://schemas.openxmlformats.org/officeDocument/2006/relationships/image" Target="../media/image3537.gif"/><Relationship Id="rId233" Type="http://schemas.openxmlformats.org/officeDocument/2006/relationships/image" Target="../media/image458.gif"/><Relationship Id="rId440" Type="http://schemas.openxmlformats.org/officeDocument/2006/relationships/image" Target="../media/image665.gif"/><Relationship Id="rId1070" Type="http://schemas.openxmlformats.org/officeDocument/2006/relationships/image" Target="../media/image1295.gif"/><Relationship Id="rId2121" Type="http://schemas.openxmlformats.org/officeDocument/2006/relationships/image" Target="../media/image2346.gif"/><Relationship Id="rId300" Type="http://schemas.openxmlformats.org/officeDocument/2006/relationships/image" Target="../media/image525.gif"/><Relationship Id="rId4086" Type="http://schemas.openxmlformats.org/officeDocument/2006/relationships/image" Target="../media/image4311.gif"/><Relationship Id="rId1887" Type="http://schemas.openxmlformats.org/officeDocument/2006/relationships/image" Target="../media/image2112.gif"/><Relationship Id="rId2938" Type="http://schemas.openxmlformats.org/officeDocument/2006/relationships/image" Target="../media/image3163.gif"/><Relationship Id="rId4293" Type="http://schemas.openxmlformats.org/officeDocument/2006/relationships/image" Target="../media/image4518.gif"/><Relationship Id="rId1747" Type="http://schemas.openxmlformats.org/officeDocument/2006/relationships/image" Target="../media/image1972.gif"/><Relationship Id="rId1954" Type="http://schemas.openxmlformats.org/officeDocument/2006/relationships/image" Target="../media/image2179.gif"/><Relationship Id="rId4153" Type="http://schemas.openxmlformats.org/officeDocument/2006/relationships/image" Target="../media/image4378.gif"/><Relationship Id="rId4360" Type="http://schemas.openxmlformats.org/officeDocument/2006/relationships/image" Target="../media/image4585.gif"/><Relationship Id="rId39" Type="http://schemas.openxmlformats.org/officeDocument/2006/relationships/image" Target="../media/image264.gif"/><Relationship Id="rId1607" Type="http://schemas.openxmlformats.org/officeDocument/2006/relationships/image" Target="../media/image1832.gif"/><Relationship Id="rId1814" Type="http://schemas.openxmlformats.org/officeDocument/2006/relationships/image" Target="../media/image2039.gif"/><Relationship Id="rId4013" Type="http://schemas.openxmlformats.org/officeDocument/2006/relationships/image" Target="../media/image4238.gif"/><Relationship Id="rId4220" Type="http://schemas.openxmlformats.org/officeDocument/2006/relationships/image" Target="../media/image4445.gif"/><Relationship Id="rId3779" Type="http://schemas.openxmlformats.org/officeDocument/2006/relationships/image" Target="../media/image4004.gif"/><Relationship Id="rId2588" Type="http://schemas.openxmlformats.org/officeDocument/2006/relationships/image" Target="../media/image2813.gif"/><Relationship Id="rId3986" Type="http://schemas.openxmlformats.org/officeDocument/2006/relationships/image" Target="../media/image4211.gif"/><Relationship Id="rId1397" Type="http://schemas.openxmlformats.org/officeDocument/2006/relationships/image" Target="../media/image1622.gif"/><Relationship Id="rId2795" Type="http://schemas.openxmlformats.org/officeDocument/2006/relationships/image" Target="../media/image3020.gif"/><Relationship Id="rId3639" Type="http://schemas.openxmlformats.org/officeDocument/2006/relationships/image" Target="../media/image3864.gif"/><Relationship Id="rId3846" Type="http://schemas.openxmlformats.org/officeDocument/2006/relationships/image" Target="../media/image4071.gif"/><Relationship Id="rId767" Type="http://schemas.openxmlformats.org/officeDocument/2006/relationships/image" Target="../media/image992.gif"/><Relationship Id="rId974" Type="http://schemas.openxmlformats.org/officeDocument/2006/relationships/image" Target="../media/image1199.gif"/><Relationship Id="rId2448" Type="http://schemas.openxmlformats.org/officeDocument/2006/relationships/image" Target="../media/image2673.gif"/><Relationship Id="rId2655" Type="http://schemas.openxmlformats.org/officeDocument/2006/relationships/image" Target="../media/image2880.gif"/><Relationship Id="rId2862" Type="http://schemas.openxmlformats.org/officeDocument/2006/relationships/image" Target="../media/image3087.gif"/><Relationship Id="rId3706" Type="http://schemas.openxmlformats.org/officeDocument/2006/relationships/image" Target="../media/image3931.gif"/><Relationship Id="rId3913" Type="http://schemas.openxmlformats.org/officeDocument/2006/relationships/image" Target="../media/image4138.gif"/><Relationship Id="rId627" Type="http://schemas.openxmlformats.org/officeDocument/2006/relationships/image" Target="../media/image852.gif"/><Relationship Id="rId834" Type="http://schemas.openxmlformats.org/officeDocument/2006/relationships/image" Target="../media/image1059.gif"/><Relationship Id="rId1257" Type="http://schemas.openxmlformats.org/officeDocument/2006/relationships/image" Target="../media/image1482.gif"/><Relationship Id="rId1464" Type="http://schemas.openxmlformats.org/officeDocument/2006/relationships/image" Target="../media/image1689.gif"/><Relationship Id="rId1671" Type="http://schemas.openxmlformats.org/officeDocument/2006/relationships/image" Target="../media/image1896.gif"/><Relationship Id="rId2308" Type="http://schemas.openxmlformats.org/officeDocument/2006/relationships/image" Target="../media/image2533.gif"/><Relationship Id="rId2515" Type="http://schemas.openxmlformats.org/officeDocument/2006/relationships/image" Target="../media/image2740.gif"/><Relationship Id="rId2722" Type="http://schemas.openxmlformats.org/officeDocument/2006/relationships/image" Target="../media/image2947.gif"/><Relationship Id="rId901" Type="http://schemas.openxmlformats.org/officeDocument/2006/relationships/image" Target="../media/image1126.gif"/><Relationship Id="rId1117" Type="http://schemas.openxmlformats.org/officeDocument/2006/relationships/image" Target="../media/image1342.gif"/><Relationship Id="rId1324" Type="http://schemas.openxmlformats.org/officeDocument/2006/relationships/image" Target="../media/image1549.gif"/><Relationship Id="rId1531" Type="http://schemas.openxmlformats.org/officeDocument/2006/relationships/image" Target="../media/image1756.gif"/><Relationship Id="rId30" Type="http://schemas.openxmlformats.org/officeDocument/2006/relationships/image" Target="../media/image255.gif"/><Relationship Id="rId3289" Type="http://schemas.openxmlformats.org/officeDocument/2006/relationships/image" Target="../media/image3514.gif"/><Relationship Id="rId3496" Type="http://schemas.openxmlformats.org/officeDocument/2006/relationships/image" Target="../media/image3721.gif"/><Relationship Id="rId2098" Type="http://schemas.openxmlformats.org/officeDocument/2006/relationships/image" Target="../media/image2323.gif"/><Relationship Id="rId3149" Type="http://schemas.openxmlformats.org/officeDocument/2006/relationships/image" Target="../media/image3374.gif"/><Relationship Id="rId3356" Type="http://schemas.openxmlformats.org/officeDocument/2006/relationships/image" Target="../media/image3581.gif"/><Relationship Id="rId3563" Type="http://schemas.openxmlformats.org/officeDocument/2006/relationships/image" Target="../media/image3788.gif"/><Relationship Id="rId4407" Type="http://schemas.openxmlformats.org/officeDocument/2006/relationships/image" Target="../media/image4632.gif"/><Relationship Id="rId277" Type="http://schemas.openxmlformats.org/officeDocument/2006/relationships/image" Target="../media/image502.gif"/><Relationship Id="rId484" Type="http://schemas.openxmlformats.org/officeDocument/2006/relationships/image" Target="../media/image709.gif"/><Relationship Id="rId2165" Type="http://schemas.openxmlformats.org/officeDocument/2006/relationships/image" Target="../media/image2390.gif"/><Relationship Id="rId3009" Type="http://schemas.openxmlformats.org/officeDocument/2006/relationships/image" Target="../media/image3234.gif"/><Relationship Id="rId3216" Type="http://schemas.openxmlformats.org/officeDocument/2006/relationships/image" Target="../media/image3441.gif"/><Relationship Id="rId3770" Type="http://schemas.openxmlformats.org/officeDocument/2006/relationships/image" Target="../media/image3995.gif"/><Relationship Id="rId137" Type="http://schemas.openxmlformats.org/officeDocument/2006/relationships/image" Target="../media/image362.gif"/><Relationship Id="rId344" Type="http://schemas.openxmlformats.org/officeDocument/2006/relationships/image" Target="../media/image569.gif"/><Relationship Id="rId691" Type="http://schemas.openxmlformats.org/officeDocument/2006/relationships/image" Target="../media/image916.gif"/><Relationship Id="rId2025" Type="http://schemas.openxmlformats.org/officeDocument/2006/relationships/image" Target="../media/image2250.gif"/><Relationship Id="rId2372" Type="http://schemas.openxmlformats.org/officeDocument/2006/relationships/image" Target="../media/image2597.gif"/><Relationship Id="rId3423" Type="http://schemas.openxmlformats.org/officeDocument/2006/relationships/image" Target="../media/image3648.gif"/><Relationship Id="rId3630" Type="http://schemas.openxmlformats.org/officeDocument/2006/relationships/image" Target="../media/image3855.gif"/><Relationship Id="rId551" Type="http://schemas.openxmlformats.org/officeDocument/2006/relationships/image" Target="../media/image776.gif"/><Relationship Id="rId1181" Type="http://schemas.openxmlformats.org/officeDocument/2006/relationships/image" Target="../media/image1406.gif"/><Relationship Id="rId2232" Type="http://schemas.openxmlformats.org/officeDocument/2006/relationships/image" Target="../media/image2457.gif"/><Relationship Id="rId204" Type="http://schemas.openxmlformats.org/officeDocument/2006/relationships/image" Target="../media/image429.gif"/><Relationship Id="rId411" Type="http://schemas.openxmlformats.org/officeDocument/2006/relationships/image" Target="../media/image636.gif"/><Relationship Id="rId1041" Type="http://schemas.openxmlformats.org/officeDocument/2006/relationships/image" Target="../media/image1266.gif"/><Relationship Id="rId1998" Type="http://schemas.openxmlformats.org/officeDocument/2006/relationships/image" Target="../media/image2223.gif"/><Relationship Id="rId4197" Type="http://schemas.openxmlformats.org/officeDocument/2006/relationships/image" Target="../media/image4422.gif"/><Relationship Id="rId1858" Type="http://schemas.openxmlformats.org/officeDocument/2006/relationships/image" Target="../media/image2083.gif"/><Relationship Id="rId4057" Type="http://schemas.openxmlformats.org/officeDocument/2006/relationships/image" Target="../media/image4282.gif"/><Relationship Id="rId4264" Type="http://schemas.openxmlformats.org/officeDocument/2006/relationships/image" Target="../media/image4489.gif"/><Relationship Id="rId4471" Type="http://schemas.openxmlformats.org/officeDocument/2006/relationships/image" Target="../media/image4696.gif"/><Relationship Id="rId2909" Type="http://schemas.openxmlformats.org/officeDocument/2006/relationships/image" Target="../media/image3134.gif"/><Relationship Id="rId3073" Type="http://schemas.openxmlformats.org/officeDocument/2006/relationships/image" Target="../media/image3298.gif"/><Relationship Id="rId3280" Type="http://schemas.openxmlformats.org/officeDocument/2006/relationships/image" Target="../media/image3505.gif"/><Relationship Id="rId4124" Type="http://schemas.openxmlformats.org/officeDocument/2006/relationships/image" Target="../media/image4349.gif"/><Relationship Id="rId4331" Type="http://schemas.openxmlformats.org/officeDocument/2006/relationships/image" Target="../media/image4556.gif"/><Relationship Id="rId1718" Type="http://schemas.openxmlformats.org/officeDocument/2006/relationships/image" Target="../media/image1943.gif"/><Relationship Id="rId1925" Type="http://schemas.openxmlformats.org/officeDocument/2006/relationships/image" Target="../media/image2150.gif"/><Relationship Id="rId3140" Type="http://schemas.openxmlformats.org/officeDocument/2006/relationships/image" Target="../media/image3365.gif"/><Relationship Id="rId2699" Type="http://schemas.openxmlformats.org/officeDocument/2006/relationships/image" Target="../media/image2924.gif"/><Relationship Id="rId3000" Type="http://schemas.openxmlformats.org/officeDocument/2006/relationships/image" Target="../media/image3225.gif"/><Relationship Id="rId3957" Type="http://schemas.openxmlformats.org/officeDocument/2006/relationships/image" Target="../media/image4182.gif"/><Relationship Id="rId878" Type="http://schemas.openxmlformats.org/officeDocument/2006/relationships/image" Target="../media/image1103.gif"/><Relationship Id="rId2559" Type="http://schemas.openxmlformats.org/officeDocument/2006/relationships/image" Target="../media/image2784.gif"/><Relationship Id="rId2766" Type="http://schemas.openxmlformats.org/officeDocument/2006/relationships/image" Target="../media/image2991.gif"/><Relationship Id="rId2973" Type="http://schemas.openxmlformats.org/officeDocument/2006/relationships/image" Target="../media/image3198.gif"/><Relationship Id="rId3817" Type="http://schemas.openxmlformats.org/officeDocument/2006/relationships/image" Target="../media/image4042.gif"/><Relationship Id="rId738" Type="http://schemas.openxmlformats.org/officeDocument/2006/relationships/image" Target="../media/image963.gif"/><Relationship Id="rId945" Type="http://schemas.openxmlformats.org/officeDocument/2006/relationships/image" Target="../media/image1170.gif"/><Relationship Id="rId1368" Type="http://schemas.openxmlformats.org/officeDocument/2006/relationships/image" Target="../media/image1593.gif"/><Relationship Id="rId1575" Type="http://schemas.openxmlformats.org/officeDocument/2006/relationships/image" Target="../media/image1800.gif"/><Relationship Id="rId1782" Type="http://schemas.openxmlformats.org/officeDocument/2006/relationships/image" Target="../media/image2007.gif"/><Relationship Id="rId2419" Type="http://schemas.openxmlformats.org/officeDocument/2006/relationships/image" Target="../media/image2644.gif"/><Relationship Id="rId2626" Type="http://schemas.openxmlformats.org/officeDocument/2006/relationships/image" Target="../media/image2851.gif"/><Relationship Id="rId2833" Type="http://schemas.openxmlformats.org/officeDocument/2006/relationships/image" Target="../media/image3058.gif"/><Relationship Id="rId74" Type="http://schemas.openxmlformats.org/officeDocument/2006/relationships/image" Target="../media/image299.gif"/><Relationship Id="rId805" Type="http://schemas.openxmlformats.org/officeDocument/2006/relationships/image" Target="../media/image1030.gif"/><Relationship Id="rId1228" Type="http://schemas.openxmlformats.org/officeDocument/2006/relationships/image" Target="../media/image1453.gif"/><Relationship Id="rId1435" Type="http://schemas.openxmlformats.org/officeDocument/2006/relationships/image" Target="../media/image1660.gif"/><Relationship Id="rId1642" Type="http://schemas.openxmlformats.org/officeDocument/2006/relationships/image" Target="../media/image1867.gif"/><Relationship Id="rId2900" Type="http://schemas.openxmlformats.org/officeDocument/2006/relationships/image" Target="../media/image3125.gif"/><Relationship Id="rId1502" Type="http://schemas.openxmlformats.org/officeDocument/2006/relationships/image" Target="../media/image1727.gif"/><Relationship Id="rId388" Type="http://schemas.openxmlformats.org/officeDocument/2006/relationships/image" Target="../media/image613.gif"/><Relationship Id="rId2069" Type="http://schemas.openxmlformats.org/officeDocument/2006/relationships/image" Target="../media/image2294.gif"/><Relationship Id="rId3467" Type="http://schemas.openxmlformats.org/officeDocument/2006/relationships/image" Target="../media/image3692.gif"/><Relationship Id="rId3674" Type="http://schemas.openxmlformats.org/officeDocument/2006/relationships/image" Target="../media/image3899.gif"/><Relationship Id="rId3881" Type="http://schemas.openxmlformats.org/officeDocument/2006/relationships/image" Target="../media/image4106.gif"/><Relationship Id="rId595" Type="http://schemas.openxmlformats.org/officeDocument/2006/relationships/image" Target="../media/image820.gif"/><Relationship Id="rId2276" Type="http://schemas.openxmlformats.org/officeDocument/2006/relationships/image" Target="../media/image2501.gif"/><Relationship Id="rId2483" Type="http://schemas.openxmlformats.org/officeDocument/2006/relationships/image" Target="../media/image2708.gif"/><Relationship Id="rId2690" Type="http://schemas.openxmlformats.org/officeDocument/2006/relationships/image" Target="../media/image2915.gif"/><Relationship Id="rId3327" Type="http://schemas.openxmlformats.org/officeDocument/2006/relationships/image" Target="../media/image3552.gif"/><Relationship Id="rId3534" Type="http://schemas.openxmlformats.org/officeDocument/2006/relationships/image" Target="../media/image3759.gif"/><Relationship Id="rId3741" Type="http://schemas.openxmlformats.org/officeDocument/2006/relationships/image" Target="../media/image3966.gif"/><Relationship Id="rId248" Type="http://schemas.openxmlformats.org/officeDocument/2006/relationships/image" Target="../media/image473.gif"/><Relationship Id="rId455" Type="http://schemas.openxmlformats.org/officeDocument/2006/relationships/image" Target="../media/image680.gif"/><Relationship Id="rId662" Type="http://schemas.openxmlformats.org/officeDocument/2006/relationships/image" Target="../media/image887.gif"/><Relationship Id="rId1085" Type="http://schemas.openxmlformats.org/officeDocument/2006/relationships/image" Target="../media/image1310.gif"/><Relationship Id="rId1292" Type="http://schemas.openxmlformats.org/officeDocument/2006/relationships/image" Target="../media/image1517.gif"/><Relationship Id="rId2136" Type="http://schemas.openxmlformats.org/officeDocument/2006/relationships/image" Target="../media/image2361.gif"/><Relationship Id="rId2343" Type="http://schemas.openxmlformats.org/officeDocument/2006/relationships/image" Target="../media/image2568.gif"/><Relationship Id="rId2550" Type="http://schemas.openxmlformats.org/officeDocument/2006/relationships/image" Target="../media/image2775.gif"/><Relationship Id="rId3601" Type="http://schemas.openxmlformats.org/officeDocument/2006/relationships/image" Target="../media/image3826.gif"/><Relationship Id="rId108" Type="http://schemas.openxmlformats.org/officeDocument/2006/relationships/image" Target="../media/image333.gif"/><Relationship Id="rId315" Type="http://schemas.openxmlformats.org/officeDocument/2006/relationships/image" Target="../media/image540.gif"/><Relationship Id="rId522" Type="http://schemas.openxmlformats.org/officeDocument/2006/relationships/image" Target="../media/image747.gif"/><Relationship Id="rId1152" Type="http://schemas.openxmlformats.org/officeDocument/2006/relationships/image" Target="../media/image1377.gif"/><Relationship Id="rId2203" Type="http://schemas.openxmlformats.org/officeDocument/2006/relationships/image" Target="../media/image2428.gif"/><Relationship Id="rId2410" Type="http://schemas.openxmlformats.org/officeDocument/2006/relationships/image" Target="../media/image2635.gif"/><Relationship Id="rId1012" Type="http://schemas.openxmlformats.org/officeDocument/2006/relationships/image" Target="../media/image1237.gif"/><Relationship Id="rId4168" Type="http://schemas.openxmlformats.org/officeDocument/2006/relationships/image" Target="../media/image4393.gif"/><Relationship Id="rId4375" Type="http://schemas.openxmlformats.org/officeDocument/2006/relationships/image" Target="../media/image4600.gif"/><Relationship Id="rId1969" Type="http://schemas.openxmlformats.org/officeDocument/2006/relationships/image" Target="../media/image2194.gif"/><Relationship Id="rId3184" Type="http://schemas.openxmlformats.org/officeDocument/2006/relationships/image" Target="../media/image3409.gif"/><Relationship Id="rId4028" Type="http://schemas.openxmlformats.org/officeDocument/2006/relationships/image" Target="../media/image4253.gif"/><Relationship Id="rId4235" Type="http://schemas.openxmlformats.org/officeDocument/2006/relationships/image" Target="../media/image4460.gif"/><Relationship Id="rId1829" Type="http://schemas.openxmlformats.org/officeDocument/2006/relationships/image" Target="../media/image2054.gif"/><Relationship Id="rId3391" Type="http://schemas.openxmlformats.org/officeDocument/2006/relationships/image" Target="../media/image3616.gif"/><Relationship Id="rId4442" Type="http://schemas.openxmlformats.org/officeDocument/2006/relationships/image" Target="../media/image4667.gif"/><Relationship Id="rId3044" Type="http://schemas.openxmlformats.org/officeDocument/2006/relationships/image" Target="../media/image3269.gif"/><Relationship Id="rId3251" Type="http://schemas.openxmlformats.org/officeDocument/2006/relationships/image" Target="../media/image3476.gif"/><Relationship Id="rId4302" Type="http://schemas.openxmlformats.org/officeDocument/2006/relationships/image" Target="../media/image4527.gif"/><Relationship Id="rId172" Type="http://schemas.openxmlformats.org/officeDocument/2006/relationships/image" Target="../media/image397.gif"/><Relationship Id="rId2060" Type="http://schemas.openxmlformats.org/officeDocument/2006/relationships/image" Target="../media/image2285.gif"/><Relationship Id="rId3111" Type="http://schemas.openxmlformats.org/officeDocument/2006/relationships/image" Target="../media/image3336.gif"/><Relationship Id="rId989" Type="http://schemas.openxmlformats.org/officeDocument/2006/relationships/image" Target="../media/image1214.gif"/><Relationship Id="rId2877" Type="http://schemas.openxmlformats.org/officeDocument/2006/relationships/image" Target="../media/image3102.gif"/><Relationship Id="rId849" Type="http://schemas.openxmlformats.org/officeDocument/2006/relationships/image" Target="../media/image1074.gif"/><Relationship Id="rId1479" Type="http://schemas.openxmlformats.org/officeDocument/2006/relationships/image" Target="../media/image1704.gif"/><Relationship Id="rId1686" Type="http://schemas.openxmlformats.org/officeDocument/2006/relationships/image" Target="../media/image1911.gif"/><Relationship Id="rId3928" Type="http://schemas.openxmlformats.org/officeDocument/2006/relationships/image" Target="../media/image4153.gif"/><Relationship Id="rId4092" Type="http://schemas.openxmlformats.org/officeDocument/2006/relationships/image" Target="../media/image4317.gif"/><Relationship Id="rId1339" Type="http://schemas.openxmlformats.org/officeDocument/2006/relationships/image" Target="../media/image1564.gif"/><Relationship Id="rId1893" Type="http://schemas.openxmlformats.org/officeDocument/2006/relationships/image" Target="../media/image2118.gif"/><Relationship Id="rId2737" Type="http://schemas.openxmlformats.org/officeDocument/2006/relationships/image" Target="../media/image2962.gif"/><Relationship Id="rId2944" Type="http://schemas.openxmlformats.org/officeDocument/2006/relationships/image" Target="../media/image3169.gif"/><Relationship Id="rId709" Type="http://schemas.openxmlformats.org/officeDocument/2006/relationships/image" Target="../media/image934.gif"/><Relationship Id="rId916" Type="http://schemas.openxmlformats.org/officeDocument/2006/relationships/image" Target="../media/image1141.gif"/><Relationship Id="rId1546" Type="http://schemas.openxmlformats.org/officeDocument/2006/relationships/image" Target="../media/image1771.gif"/><Relationship Id="rId1753" Type="http://schemas.openxmlformats.org/officeDocument/2006/relationships/image" Target="../media/image1978.gif"/><Relationship Id="rId1960" Type="http://schemas.openxmlformats.org/officeDocument/2006/relationships/image" Target="../media/image2185.gif"/><Relationship Id="rId2804" Type="http://schemas.openxmlformats.org/officeDocument/2006/relationships/image" Target="../media/image3029.gif"/><Relationship Id="rId45" Type="http://schemas.openxmlformats.org/officeDocument/2006/relationships/image" Target="../media/image270.gif"/><Relationship Id="rId1406" Type="http://schemas.openxmlformats.org/officeDocument/2006/relationships/image" Target="../media/image1631.gif"/><Relationship Id="rId1613" Type="http://schemas.openxmlformats.org/officeDocument/2006/relationships/image" Target="../media/image1838.gif"/><Relationship Id="rId1820" Type="http://schemas.openxmlformats.org/officeDocument/2006/relationships/image" Target="../media/image2045.gif"/><Relationship Id="rId3578" Type="http://schemas.openxmlformats.org/officeDocument/2006/relationships/image" Target="../media/image3803.gif"/><Relationship Id="rId3785" Type="http://schemas.openxmlformats.org/officeDocument/2006/relationships/image" Target="../media/image4010.gif"/><Relationship Id="rId3992" Type="http://schemas.openxmlformats.org/officeDocument/2006/relationships/image" Target="../media/image4217.gif"/><Relationship Id="rId499" Type="http://schemas.openxmlformats.org/officeDocument/2006/relationships/image" Target="../media/image724.gif"/><Relationship Id="rId2387" Type="http://schemas.openxmlformats.org/officeDocument/2006/relationships/image" Target="../media/image2612.gif"/><Relationship Id="rId2594" Type="http://schemas.openxmlformats.org/officeDocument/2006/relationships/image" Target="../media/image2819.gif"/><Relationship Id="rId3438" Type="http://schemas.openxmlformats.org/officeDocument/2006/relationships/image" Target="../media/image3663.gif"/><Relationship Id="rId3645" Type="http://schemas.openxmlformats.org/officeDocument/2006/relationships/image" Target="../media/image3870.gif"/><Relationship Id="rId3852" Type="http://schemas.openxmlformats.org/officeDocument/2006/relationships/image" Target="../media/image4077.gif"/><Relationship Id="rId359" Type="http://schemas.openxmlformats.org/officeDocument/2006/relationships/image" Target="../media/image584.gif"/><Relationship Id="rId566" Type="http://schemas.openxmlformats.org/officeDocument/2006/relationships/image" Target="../media/image791.gif"/><Relationship Id="rId773" Type="http://schemas.openxmlformats.org/officeDocument/2006/relationships/image" Target="../media/image998.gif"/><Relationship Id="rId1196" Type="http://schemas.openxmlformats.org/officeDocument/2006/relationships/image" Target="../media/image1421.gif"/><Relationship Id="rId2247" Type="http://schemas.openxmlformats.org/officeDocument/2006/relationships/image" Target="../media/image2472.gif"/><Relationship Id="rId2454" Type="http://schemas.openxmlformats.org/officeDocument/2006/relationships/image" Target="../media/image2679.gif"/><Relationship Id="rId3505" Type="http://schemas.openxmlformats.org/officeDocument/2006/relationships/image" Target="../media/image3730.gif"/><Relationship Id="rId219" Type="http://schemas.openxmlformats.org/officeDocument/2006/relationships/image" Target="../media/image444.gif"/><Relationship Id="rId426" Type="http://schemas.openxmlformats.org/officeDocument/2006/relationships/image" Target="../media/image651.gif"/><Relationship Id="rId633" Type="http://schemas.openxmlformats.org/officeDocument/2006/relationships/image" Target="../media/image858.gif"/><Relationship Id="rId980" Type="http://schemas.openxmlformats.org/officeDocument/2006/relationships/image" Target="../media/image1205.gif"/><Relationship Id="rId1056" Type="http://schemas.openxmlformats.org/officeDocument/2006/relationships/image" Target="../media/image1281.gif"/><Relationship Id="rId1263" Type="http://schemas.openxmlformats.org/officeDocument/2006/relationships/image" Target="../media/image1488.gif"/><Relationship Id="rId2107" Type="http://schemas.openxmlformats.org/officeDocument/2006/relationships/image" Target="../media/image2332.gif"/><Relationship Id="rId2314" Type="http://schemas.openxmlformats.org/officeDocument/2006/relationships/image" Target="../media/image2539.gif"/><Relationship Id="rId2661" Type="http://schemas.openxmlformats.org/officeDocument/2006/relationships/image" Target="../media/image2886.gif"/><Relationship Id="rId3712" Type="http://schemas.openxmlformats.org/officeDocument/2006/relationships/image" Target="../media/image3937.gif"/><Relationship Id="rId840" Type="http://schemas.openxmlformats.org/officeDocument/2006/relationships/image" Target="../media/image1065.gif"/><Relationship Id="rId1470" Type="http://schemas.openxmlformats.org/officeDocument/2006/relationships/image" Target="../media/image1695.gif"/><Relationship Id="rId2521" Type="http://schemas.openxmlformats.org/officeDocument/2006/relationships/image" Target="../media/image2746.gif"/><Relationship Id="rId4279" Type="http://schemas.openxmlformats.org/officeDocument/2006/relationships/image" Target="../media/image4504.gif"/><Relationship Id="rId700" Type="http://schemas.openxmlformats.org/officeDocument/2006/relationships/image" Target="../media/image925.gif"/><Relationship Id="rId1123" Type="http://schemas.openxmlformats.org/officeDocument/2006/relationships/image" Target="../media/image1348.gif"/><Relationship Id="rId1330" Type="http://schemas.openxmlformats.org/officeDocument/2006/relationships/image" Target="../media/image1555.gif"/><Relationship Id="rId3088" Type="http://schemas.openxmlformats.org/officeDocument/2006/relationships/image" Target="../media/image3313.gif"/><Relationship Id="rId3295" Type="http://schemas.openxmlformats.org/officeDocument/2006/relationships/image" Target="../media/image3520.gif"/><Relationship Id="rId4139" Type="http://schemas.openxmlformats.org/officeDocument/2006/relationships/image" Target="../media/image4364.gif"/><Relationship Id="rId4346" Type="http://schemas.openxmlformats.org/officeDocument/2006/relationships/image" Target="../media/image4571.gif"/><Relationship Id="rId3155" Type="http://schemas.openxmlformats.org/officeDocument/2006/relationships/image" Target="../media/image3380.gif"/><Relationship Id="rId3362" Type="http://schemas.openxmlformats.org/officeDocument/2006/relationships/image" Target="../media/image3587.gif"/><Relationship Id="rId4206" Type="http://schemas.openxmlformats.org/officeDocument/2006/relationships/image" Target="../media/image4431.gif"/><Relationship Id="rId4413" Type="http://schemas.openxmlformats.org/officeDocument/2006/relationships/image" Target="../media/image4638.gif"/><Relationship Id="rId283" Type="http://schemas.openxmlformats.org/officeDocument/2006/relationships/image" Target="../media/image508.gif"/><Relationship Id="rId490" Type="http://schemas.openxmlformats.org/officeDocument/2006/relationships/image" Target="../media/image715.gif"/><Relationship Id="rId2171" Type="http://schemas.openxmlformats.org/officeDocument/2006/relationships/image" Target="../media/image2396.gif"/><Relationship Id="rId3015" Type="http://schemas.openxmlformats.org/officeDocument/2006/relationships/image" Target="../media/image3240.gif"/><Relationship Id="rId3222" Type="http://schemas.openxmlformats.org/officeDocument/2006/relationships/image" Target="../media/image3447.gif"/><Relationship Id="rId143" Type="http://schemas.openxmlformats.org/officeDocument/2006/relationships/image" Target="../media/image368.gif"/><Relationship Id="rId350" Type="http://schemas.openxmlformats.org/officeDocument/2006/relationships/image" Target="../media/image575.gif"/><Relationship Id="rId2031" Type="http://schemas.openxmlformats.org/officeDocument/2006/relationships/image" Target="../media/image2256.gif"/><Relationship Id="rId9" Type="http://schemas.openxmlformats.org/officeDocument/2006/relationships/image" Target="../media/image234.gif"/><Relationship Id="rId210" Type="http://schemas.openxmlformats.org/officeDocument/2006/relationships/image" Target="../media/image435.gif"/><Relationship Id="rId2988" Type="http://schemas.openxmlformats.org/officeDocument/2006/relationships/image" Target="../media/image3213.gif"/><Relationship Id="rId1797" Type="http://schemas.openxmlformats.org/officeDocument/2006/relationships/image" Target="../media/image2022.gif"/><Relationship Id="rId2848" Type="http://schemas.openxmlformats.org/officeDocument/2006/relationships/image" Target="../media/image3073.gif"/><Relationship Id="rId89" Type="http://schemas.openxmlformats.org/officeDocument/2006/relationships/image" Target="../media/image314.gif"/><Relationship Id="rId1657" Type="http://schemas.openxmlformats.org/officeDocument/2006/relationships/image" Target="../media/image1882.gif"/><Relationship Id="rId1864" Type="http://schemas.openxmlformats.org/officeDocument/2006/relationships/image" Target="../media/image2089.gif"/><Relationship Id="rId2708" Type="http://schemas.openxmlformats.org/officeDocument/2006/relationships/image" Target="../media/image2933.gif"/><Relationship Id="rId2915" Type="http://schemas.openxmlformats.org/officeDocument/2006/relationships/image" Target="../media/image3140.gif"/><Relationship Id="rId4063" Type="http://schemas.openxmlformats.org/officeDocument/2006/relationships/image" Target="../media/image4288.gif"/><Relationship Id="rId4270" Type="http://schemas.openxmlformats.org/officeDocument/2006/relationships/image" Target="../media/image4495.gif"/><Relationship Id="rId1517" Type="http://schemas.openxmlformats.org/officeDocument/2006/relationships/image" Target="../media/image1742.gif"/><Relationship Id="rId1724" Type="http://schemas.openxmlformats.org/officeDocument/2006/relationships/image" Target="../media/image1949.gif"/><Relationship Id="rId4130" Type="http://schemas.openxmlformats.org/officeDocument/2006/relationships/image" Target="../media/image4355.gif"/><Relationship Id="rId16" Type="http://schemas.openxmlformats.org/officeDocument/2006/relationships/image" Target="../media/image241.gif"/><Relationship Id="rId1931" Type="http://schemas.openxmlformats.org/officeDocument/2006/relationships/image" Target="../media/image2156.gif"/><Relationship Id="rId3689" Type="http://schemas.openxmlformats.org/officeDocument/2006/relationships/image" Target="../media/image3914.gif"/><Relationship Id="rId3896" Type="http://schemas.openxmlformats.org/officeDocument/2006/relationships/image" Target="../media/image4121.gif"/><Relationship Id="rId2498" Type="http://schemas.openxmlformats.org/officeDocument/2006/relationships/image" Target="../media/image2723.gif"/><Relationship Id="rId3549" Type="http://schemas.openxmlformats.org/officeDocument/2006/relationships/image" Target="../media/image3774.gif"/><Relationship Id="rId677" Type="http://schemas.openxmlformats.org/officeDocument/2006/relationships/image" Target="../media/image902.gif"/><Relationship Id="rId2358" Type="http://schemas.openxmlformats.org/officeDocument/2006/relationships/image" Target="../media/image2583.gif"/><Relationship Id="rId3756" Type="http://schemas.openxmlformats.org/officeDocument/2006/relationships/image" Target="../media/image3981.gif"/><Relationship Id="rId3963" Type="http://schemas.openxmlformats.org/officeDocument/2006/relationships/image" Target="../media/image4188.gif"/><Relationship Id="rId884" Type="http://schemas.openxmlformats.org/officeDocument/2006/relationships/image" Target="../media/image1109.gif"/><Relationship Id="rId2565" Type="http://schemas.openxmlformats.org/officeDocument/2006/relationships/image" Target="../media/image2790.gif"/><Relationship Id="rId2772" Type="http://schemas.openxmlformats.org/officeDocument/2006/relationships/image" Target="../media/image2997.gif"/><Relationship Id="rId3409" Type="http://schemas.openxmlformats.org/officeDocument/2006/relationships/image" Target="../media/image3634.gif"/><Relationship Id="rId3616" Type="http://schemas.openxmlformats.org/officeDocument/2006/relationships/image" Target="../media/image3841.gif"/><Relationship Id="rId3823" Type="http://schemas.openxmlformats.org/officeDocument/2006/relationships/image" Target="../media/image4048.gif"/><Relationship Id="rId537" Type="http://schemas.openxmlformats.org/officeDocument/2006/relationships/image" Target="../media/image762.gif"/><Relationship Id="rId744" Type="http://schemas.openxmlformats.org/officeDocument/2006/relationships/image" Target="../media/image969.gif"/><Relationship Id="rId951" Type="http://schemas.openxmlformats.org/officeDocument/2006/relationships/image" Target="../media/image1176.gif"/><Relationship Id="rId1167" Type="http://schemas.openxmlformats.org/officeDocument/2006/relationships/image" Target="../media/image1392.gif"/><Relationship Id="rId1374" Type="http://schemas.openxmlformats.org/officeDocument/2006/relationships/image" Target="../media/image1599.gif"/><Relationship Id="rId1581" Type="http://schemas.openxmlformats.org/officeDocument/2006/relationships/image" Target="../media/image1806.gif"/><Relationship Id="rId2218" Type="http://schemas.openxmlformats.org/officeDocument/2006/relationships/image" Target="../media/image2443.gif"/><Relationship Id="rId2425" Type="http://schemas.openxmlformats.org/officeDocument/2006/relationships/image" Target="../media/image2650.gif"/><Relationship Id="rId2632" Type="http://schemas.openxmlformats.org/officeDocument/2006/relationships/image" Target="../media/image2857.gif"/><Relationship Id="rId80" Type="http://schemas.openxmlformats.org/officeDocument/2006/relationships/image" Target="../media/image305.gif"/><Relationship Id="rId604" Type="http://schemas.openxmlformats.org/officeDocument/2006/relationships/image" Target="../media/image829.gif"/><Relationship Id="rId811" Type="http://schemas.openxmlformats.org/officeDocument/2006/relationships/image" Target="../media/image1036.gif"/><Relationship Id="rId1027" Type="http://schemas.openxmlformats.org/officeDocument/2006/relationships/image" Target="../media/image1252.gif"/><Relationship Id="rId1234" Type="http://schemas.openxmlformats.org/officeDocument/2006/relationships/image" Target="../media/image1459.gif"/><Relationship Id="rId1441" Type="http://schemas.openxmlformats.org/officeDocument/2006/relationships/image" Target="../media/image1666.gif"/><Relationship Id="rId1301" Type="http://schemas.openxmlformats.org/officeDocument/2006/relationships/image" Target="../media/image1526.gif"/><Relationship Id="rId3199" Type="http://schemas.openxmlformats.org/officeDocument/2006/relationships/image" Target="../media/image3424.gif"/><Relationship Id="rId4457" Type="http://schemas.openxmlformats.org/officeDocument/2006/relationships/image" Target="../media/image4682.gif"/><Relationship Id="rId3059" Type="http://schemas.openxmlformats.org/officeDocument/2006/relationships/image" Target="../media/image3284.gif"/><Relationship Id="rId3266" Type="http://schemas.openxmlformats.org/officeDocument/2006/relationships/image" Target="../media/image3491.gif"/><Relationship Id="rId3473" Type="http://schemas.openxmlformats.org/officeDocument/2006/relationships/image" Target="../media/image3698.gif"/><Relationship Id="rId4317" Type="http://schemas.openxmlformats.org/officeDocument/2006/relationships/image" Target="../media/image4542.gif"/><Relationship Id="rId187" Type="http://schemas.openxmlformats.org/officeDocument/2006/relationships/image" Target="../media/image412.gif"/><Relationship Id="rId394" Type="http://schemas.openxmlformats.org/officeDocument/2006/relationships/image" Target="../media/image619.gif"/><Relationship Id="rId2075" Type="http://schemas.openxmlformats.org/officeDocument/2006/relationships/image" Target="../media/image2300.gif"/><Relationship Id="rId2282" Type="http://schemas.openxmlformats.org/officeDocument/2006/relationships/image" Target="../media/image2507.gif"/><Relationship Id="rId3126" Type="http://schemas.openxmlformats.org/officeDocument/2006/relationships/image" Target="../media/image3351.gif"/><Relationship Id="rId3680" Type="http://schemas.openxmlformats.org/officeDocument/2006/relationships/image" Target="../media/image3905.gif"/><Relationship Id="rId254" Type="http://schemas.openxmlformats.org/officeDocument/2006/relationships/image" Target="../media/image479.gif"/><Relationship Id="rId1091" Type="http://schemas.openxmlformats.org/officeDocument/2006/relationships/image" Target="../media/image1316.gif"/><Relationship Id="rId3333" Type="http://schemas.openxmlformats.org/officeDocument/2006/relationships/image" Target="../media/image3558.gif"/><Relationship Id="rId3540" Type="http://schemas.openxmlformats.org/officeDocument/2006/relationships/image" Target="../media/image3765.gif"/><Relationship Id="rId114" Type="http://schemas.openxmlformats.org/officeDocument/2006/relationships/image" Target="../media/image339.gif"/><Relationship Id="rId461" Type="http://schemas.openxmlformats.org/officeDocument/2006/relationships/image" Target="../media/image686.gif"/><Relationship Id="rId2142" Type="http://schemas.openxmlformats.org/officeDocument/2006/relationships/image" Target="../media/image2367.gif"/><Relationship Id="rId3400" Type="http://schemas.openxmlformats.org/officeDocument/2006/relationships/image" Target="../media/image3625.gif"/><Relationship Id="rId321" Type="http://schemas.openxmlformats.org/officeDocument/2006/relationships/image" Target="../media/image546.gif"/><Relationship Id="rId2002" Type="http://schemas.openxmlformats.org/officeDocument/2006/relationships/image" Target="../media/image2227.gif"/><Relationship Id="rId2959" Type="http://schemas.openxmlformats.org/officeDocument/2006/relationships/image" Target="../media/image3184.gif"/><Relationship Id="rId1768" Type="http://schemas.openxmlformats.org/officeDocument/2006/relationships/image" Target="../media/image1993.gif"/><Relationship Id="rId2819" Type="http://schemas.openxmlformats.org/officeDocument/2006/relationships/image" Target="../media/image3044.gif"/><Relationship Id="rId4174" Type="http://schemas.openxmlformats.org/officeDocument/2006/relationships/image" Target="../media/image4399.gif"/><Relationship Id="rId4381" Type="http://schemas.openxmlformats.org/officeDocument/2006/relationships/image" Target="../media/image4606.gif"/><Relationship Id="rId1628" Type="http://schemas.openxmlformats.org/officeDocument/2006/relationships/image" Target="../media/image1853.gif"/><Relationship Id="rId1975" Type="http://schemas.openxmlformats.org/officeDocument/2006/relationships/image" Target="../media/image2200.gif"/><Relationship Id="rId3190" Type="http://schemas.openxmlformats.org/officeDocument/2006/relationships/image" Target="../media/image3415.gif"/><Relationship Id="rId4034" Type="http://schemas.openxmlformats.org/officeDocument/2006/relationships/image" Target="../media/image4259.gif"/><Relationship Id="rId4241" Type="http://schemas.openxmlformats.org/officeDocument/2006/relationships/image" Target="../media/image4466.gif"/><Relationship Id="rId1835" Type="http://schemas.openxmlformats.org/officeDocument/2006/relationships/image" Target="../media/image2060.gif"/><Relationship Id="rId3050" Type="http://schemas.openxmlformats.org/officeDocument/2006/relationships/image" Target="../media/image3275.gif"/><Relationship Id="rId4101" Type="http://schemas.openxmlformats.org/officeDocument/2006/relationships/image" Target="../media/image4326.gif"/><Relationship Id="rId1902" Type="http://schemas.openxmlformats.org/officeDocument/2006/relationships/image" Target="../media/image2127.gif"/><Relationship Id="rId3867" Type="http://schemas.openxmlformats.org/officeDocument/2006/relationships/image" Target="../media/image4092.gif"/><Relationship Id="rId788" Type="http://schemas.openxmlformats.org/officeDocument/2006/relationships/image" Target="../media/image1013.gif"/><Relationship Id="rId995" Type="http://schemas.openxmlformats.org/officeDocument/2006/relationships/image" Target="../media/image1220.gif"/><Relationship Id="rId2469" Type="http://schemas.openxmlformats.org/officeDocument/2006/relationships/image" Target="../media/image2694.gif"/><Relationship Id="rId2676" Type="http://schemas.openxmlformats.org/officeDocument/2006/relationships/image" Target="../media/image2901.gif"/><Relationship Id="rId2883" Type="http://schemas.openxmlformats.org/officeDocument/2006/relationships/image" Target="../media/image3108.gif"/><Relationship Id="rId3727" Type="http://schemas.openxmlformats.org/officeDocument/2006/relationships/image" Target="../media/image3952.gif"/><Relationship Id="rId3934" Type="http://schemas.openxmlformats.org/officeDocument/2006/relationships/image" Target="../media/image4159.gif"/><Relationship Id="rId648" Type="http://schemas.openxmlformats.org/officeDocument/2006/relationships/image" Target="../media/image873.gif"/><Relationship Id="rId855" Type="http://schemas.openxmlformats.org/officeDocument/2006/relationships/image" Target="../media/image1080.gif"/><Relationship Id="rId1278" Type="http://schemas.openxmlformats.org/officeDocument/2006/relationships/image" Target="../media/image1503.gif"/><Relationship Id="rId1485" Type="http://schemas.openxmlformats.org/officeDocument/2006/relationships/image" Target="../media/image1710.gif"/><Relationship Id="rId1692" Type="http://schemas.openxmlformats.org/officeDocument/2006/relationships/image" Target="../media/image1917.gif"/><Relationship Id="rId2329" Type="http://schemas.openxmlformats.org/officeDocument/2006/relationships/image" Target="../media/image2554.gif"/><Relationship Id="rId2536" Type="http://schemas.openxmlformats.org/officeDocument/2006/relationships/image" Target="../media/image2761.gif"/><Relationship Id="rId2743" Type="http://schemas.openxmlformats.org/officeDocument/2006/relationships/image" Target="../media/image2968.gif"/><Relationship Id="rId508" Type="http://schemas.openxmlformats.org/officeDocument/2006/relationships/image" Target="../media/image733.gif"/><Relationship Id="rId715" Type="http://schemas.openxmlformats.org/officeDocument/2006/relationships/image" Target="../media/image940.gif"/><Relationship Id="rId922" Type="http://schemas.openxmlformats.org/officeDocument/2006/relationships/image" Target="../media/image1147.gif"/><Relationship Id="rId1138" Type="http://schemas.openxmlformats.org/officeDocument/2006/relationships/image" Target="../media/image1363.gif"/><Relationship Id="rId1345" Type="http://schemas.openxmlformats.org/officeDocument/2006/relationships/image" Target="../media/image1570.gif"/><Relationship Id="rId1552" Type="http://schemas.openxmlformats.org/officeDocument/2006/relationships/image" Target="../media/image1777.gif"/><Relationship Id="rId2603" Type="http://schemas.openxmlformats.org/officeDocument/2006/relationships/image" Target="../media/image2828.gif"/><Relationship Id="rId2950" Type="http://schemas.openxmlformats.org/officeDocument/2006/relationships/image" Target="../media/image3175.gif"/><Relationship Id="rId1205" Type="http://schemas.openxmlformats.org/officeDocument/2006/relationships/image" Target="../media/image1430.gif"/><Relationship Id="rId2810" Type="http://schemas.openxmlformats.org/officeDocument/2006/relationships/image" Target="../media/image3035.gif"/><Relationship Id="rId51" Type="http://schemas.openxmlformats.org/officeDocument/2006/relationships/image" Target="../media/image276.gif"/><Relationship Id="rId1412" Type="http://schemas.openxmlformats.org/officeDocument/2006/relationships/image" Target="../media/image1637.gif"/><Relationship Id="rId3377" Type="http://schemas.openxmlformats.org/officeDocument/2006/relationships/image" Target="../media/image3602.gif"/><Relationship Id="rId298" Type="http://schemas.openxmlformats.org/officeDocument/2006/relationships/image" Target="../media/image523.gif"/><Relationship Id="rId3584" Type="http://schemas.openxmlformats.org/officeDocument/2006/relationships/image" Target="../media/image3809.gif"/><Relationship Id="rId3791" Type="http://schemas.openxmlformats.org/officeDocument/2006/relationships/image" Target="../media/image4016.gif"/><Relationship Id="rId4428" Type="http://schemas.openxmlformats.org/officeDocument/2006/relationships/image" Target="../media/image4653.gif"/><Relationship Id="rId158" Type="http://schemas.openxmlformats.org/officeDocument/2006/relationships/image" Target="../media/image383.gif"/><Relationship Id="rId2186" Type="http://schemas.openxmlformats.org/officeDocument/2006/relationships/image" Target="../media/image2411.gif"/><Relationship Id="rId2393" Type="http://schemas.openxmlformats.org/officeDocument/2006/relationships/image" Target="../media/image2618.gif"/><Relationship Id="rId3237" Type="http://schemas.openxmlformats.org/officeDocument/2006/relationships/image" Target="../media/image3462.gif"/><Relationship Id="rId3444" Type="http://schemas.openxmlformats.org/officeDocument/2006/relationships/image" Target="../media/image3669.gif"/><Relationship Id="rId3651" Type="http://schemas.openxmlformats.org/officeDocument/2006/relationships/image" Target="../media/image3876.gif"/><Relationship Id="rId365" Type="http://schemas.openxmlformats.org/officeDocument/2006/relationships/image" Target="../media/image590.gif"/><Relationship Id="rId572" Type="http://schemas.openxmlformats.org/officeDocument/2006/relationships/image" Target="../media/image797.gif"/><Relationship Id="rId2046" Type="http://schemas.openxmlformats.org/officeDocument/2006/relationships/image" Target="../media/image2271.gif"/><Relationship Id="rId2253" Type="http://schemas.openxmlformats.org/officeDocument/2006/relationships/image" Target="../media/image2478.gif"/><Relationship Id="rId2460" Type="http://schemas.openxmlformats.org/officeDocument/2006/relationships/image" Target="../media/image2685.gif"/><Relationship Id="rId3304" Type="http://schemas.openxmlformats.org/officeDocument/2006/relationships/image" Target="../media/image3529.gif"/><Relationship Id="rId3511" Type="http://schemas.openxmlformats.org/officeDocument/2006/relationships/image" Target="../media/image3736.gif"/><Relationship Id="rId225" Type="http://schemas.openxmlformats.org/officeDocument/2006/relationships/image" Target="../media/image450.gif"/><Relationship Id="rId432" Type="http://schemas.openxmlformats.org/officeDocument/2006/relationships/image" Target="../media/image657.gif"/><Relationship Id="rId1062" Type="http://schemas.openxmlformats.org/officeDocument/2006/relationships/image" Target="../media/image1287.gif"/><Relationship Id="rId2113" Type="http://schemas.openxmlformats.org/officeDocument/2006/relationships/image" Target="../media/image2338.gif"/><Relationship Id="rId2320" Type="http://schemas.openxmlformats.org/officeDocument/2006/relationships/image" Target="../media/image2545.gif"/><Relationship Id="rId4078" Type="http://schemas.openxmlformats.org/officeDocument/2006/relationships/image" Target="../media/image4303.gif"/><Relationship Id="rId4285" Type="http://schemas.openxmlformats.org/officeDocument/2006/relationships/image" Target="../media/image4510.gif"/><Relationship Id="rId1879" Type="http://schemas.openxmlformats.org/officeDocument/2006/relationships/image" Target="../media/image2104.gif"/><Relationship Id="rId3094" Type="http://schemas.openxmlformats.org/officeDocument/2006/relationships/image" Target="../media/image3319.gif"/><Relationship Id="rId4145" Type="http://schemas.openxmlformats.org/officeDocument/2006/relationships/image" Target="../media/image4370.gif"/><Relationship Id="rId1739" Type="http://schemas.openxmlformats.org/officeDocument/2006/relationships/image" Target="../media/image1964.gif"/><Relationship Id="rId1946" Type="http://schemas.openxmlformats.org/officeDocument/2006/relationships/image" Target="../media/image2171.gif"/><Relationship Id="rId4005" Type="http://schemas.openxmlformats.org/officeDocument/2006/relationships/image" Target="../media/image4230.gif"/><Relationship Id="rId4352" Type="http://schemas.openxmlformats.org/officeDocument/2006/relationships/image" Target="../media/image4577.gif"/><Relationship Id="rId1806" Type="http://schemas.openxmlformats.org/officeDocument/2006/relationships/image" Target="../media/image2031.gif"/><Relationship Id="rId3161" Type="http://schemas.openxmlformats.org/officeDocument/2006/relationships/image" Target="../media/image3386.gif"/><Relationship Id="rId4212" Type="http://schemas.openxmlformats.org/officeDocument/2006/relationships/image" Target="../media/image4437.gif"/><Relationship Id="rId3021" Type="http://schemas.openxmlformats.org/officeDocument/2006/relationships/image" Target="../media/image3246.gif"/><Relationship Id="rId3978" Type="http://schemas.openxmlformats.org/officeDocument/2006/relationships/image" Target="../media/image4203.gif"/><Relationship Id="rId899" Type="http://schemas.openxmlformats.org/officeDocument/2006/relationships/image" Target="../media/image1124.gif"/><Relationship Id="rId2787" Type="http://schemas.openxmlformats.org/officeDocument/2006/relationships/image" Target="../media/image3012.gif"/><Relationship Id="rId3838" Type="http://schemas.openxmlformats.org/officeDocument/2006/relationships/image" Target="../media/image4063.gif"/><Relationship Id="rId759" Type="http://schemas.openxmlformats.org/officeDocument/2006/relationships/image" Target="../media/image984.gif"/><Relationship Id="rId966" Type="http://schemas.openxmlformats.org/officeDocument/2006/relationships/image" Target="../media/image1191.gif"/><Relationship Id="rId1389" Type="http://schemas.openxmlformats.org/officeDocument/2006/relationships/image" Target="../media/image1614.gif"/><Relationship Id="rId1596" Type="http://schemas.openxmlformats.org/officeDocument/2006/relationships/image" Target="../media/image1821.gif"/><Relationship Id="rId2647" Type="http://schemas.openxmlformats.org/officeDocument/2006/relationships/image" Target="../media/image2872.gif"/><Relationship Id="rId2994" Type="http://schemas.openxmlformats.org/officeDocument/2006/relationships/image" Target="../media/image3219.gif"/><Relationship Id="rId619" Type="http://schemas.openxmlformats.org/officeDocument/2006/relationships/image" Target="../media/image844.gif"/><Relationship Id="rId1249" Type="http://schemas.openxmlformats.org/officeDocument/2006/relationships/image" Target="../media/image1474.gif"/><Relationship Id="rId2854" Type="http://schemas.openxmlformats.org/officeDocument/2006/relationships/image" Target="../media/image3079.gif"/><Relationship Id="rId3905" Type="http://schemas.openxmlformats.org/officeDocument/2006/relationships/image" Target="../media/image4130.gif"/><Relationship Id="rId95" Type="http://schemas.openxmlformats.org/officeDocument/2006/relationships/image" Target="../media/image320.gif"/><Relationship Id="rId826" Type="http://schemas.openxmlformats.org/officeDocument/2006/relationships/image" Target="../media/image1051.gif"/><Relationship Id="rId1109" Type="http://schemas.openxmlformats.org/officeDocument/2006/relationships/image" Target="../media/image1334.gif"/><Relationship Id="rId1456" Type="http://schemas.openxmlformats.org/officeDocument/2006/relationships/image" Target="../media/image1681.gif"/><Relationship Id="rId1663" Type="http://schemas.openxmlformats.org/officeDocument/2006/relationships/image" Target="../media/image1888.gif"/><Relationship Id="rId1870" Type="http://schemas.openxmlformats.org/officeDocument/2006/relationships/image" Target="../media/image2095.gif"/><Relationship Id="rId2507" Type="http://schemas.openxmlformats.org/officeDocument/2006/relationships/image" Target="../media/image2732.gif"/><Relationship Id="rId2714" Type="http://schemas.openxmlformats.org/officeDocument/2006/relationships/image" Target="../media/image2939.gif"/><Relationship Id="rId2921" Type="http://schemas.openxmlformats.org/officeDocument/2006/relationships/image" Target="../media/image3146.gif"/><Relationship Id="rId1316" Type="http://schemas.openxmlformats.org/officeDocument/2006/relationships/image" Target="../media/image1541.gif"/><Relationship Id="rId1523" Type="http://schemas.openxmlformats.org/officeDocument/2006/relationships/image" Target="../media/image1748.gif"/><Relationship Id="rId1730" Type="http://schemas.openxmlformats.org/officeDocument/2006/relationships/image" Target="../media/image1955.gif"/><Relationship Id="rId22" Type="http://schemas.openxmlformats.org/officeDocument/2006/relationships/image" Target="../media/image247.gif"/><Relationship Id="rId3488" Type="http://schemas.openxmlformats.org/officeDocument/2006/relationships/image" Target="../media/image3713.gif"/><Relationship Id="rId3695" Type="http://schemas.openxmlformats.org/officeDocument/2006/relationships/image" Target="../media/image3920.gif"/><Relationship Id="rId2297" Type="http://schemas.openxmlformats.org/officeDocument/2006/relationships/image" Target="../media/image2522.gif"/><Relationship Id="rId3348" Type="http://schemas.openxmlformats.org/officeDocument/2006/relationships/image" Target="../media/image3573.gif"/><Relationship Id="rId3555" Type="http://schemas.openxmlformats.org/officeDocument/2006/relationships/image" Target="../media/image3780.gif"/><Relationship Id="rId3762" Type="http://schemas.openxmlformats.org/officeDocument/2006/relationships/image" Target="../media/image3987.gif"/><Relationship Id="rId269" Type="http://schemas.openxmlformats.org/officeDocument/2006/relationships/image" Target="../media/image494.gif"/><Relationship Id="rId476" Type="http://schemas.openxmlformats.org/officeDocument/2006/relationships/image" Target="../media/image701.gif"/><Relationship Id="rId683" Type="http://schemas.openxmlformats.org/officeDocument/2006/relationships/image" Target="../media/image908.gif"/><Relationship Id="rId890" Type="http://schemas.openxmlformats.org/officeDocument/2006/relationships/image" Target="../media/image1115.gif"/><Relationship Id="rId2157" Type="http://schemas.openxmlformats.org/officeDocument/2006/relationships/image" Target="../media/image2382.gif"/><Relationship Id="rId2364" Type="http://schemas.openxmlformats.org/officeDocument/2006/relationships/image" Target="../media/image2589.gif"/><Relationship Id="rId2571" Type="http://schemas.openxmlformats.org/officeDocument/2006/relationships/image" Target="../media/image2796.gif"/><Relationship Id="rId3208" Type="http://schemas.openxmlformats.org/officeDocument/2006/relationships/image" Target="../media/image3433.gif"/><Relationship Id="rId3415" Type="http://schemas.openxmlformats.org/officeDocument/2006/relationships/image" Target="../media/image3640.gif"/><Relationship Id="rId129" Type="http://schemas.openxmlformats.org/officeDocument/2006/relationships/image" Target="../media/image354.gif"/><Relationship Id="rId336" Type="http://schemas.openxmlformats.org/officeDocument/2006/relationships/image" Target="../media/image561.gif"/><Relationship Id="rId543" Type="http://schemas.openxmlformats.org/officeDocument/2006/relationships/image" Target="../media/image768.gif"/><Relationship Id="rId1173" Type="http://schemas.openxmlformats.org/officeDocument/2006/relationships/image" Target="../media/image1398.gif"/><Relationship Id="rId1380" Type="http://schemas.openxmlformats.org/officeDocument/2006/relationships/image" Target="../media/image1605.gif"/><Relationship Id="rId2017" Type="http://schemas.openxmlformats.org/officeDocument/2006/relationships/image" Target="../media/image2242.gif"/><Relationship Id="rId2224" Type="http://schemas.openxmlformats.org/officeDocument/2006/relationships/image" Target="../media/image2449.gif"/><Relationship Id="rId3622" Type="http://schemas.openxmlformats.org/officeDocument/2006/relationships/image" Target="../media/image3847.gif"/><Relationship Id="rId403" Type="http://schemas.openxmlformats.org/officeDocument/2006/relationships/image" Target="../media/image628.gif"/><Relationship Id="rId750" Type="http://schemas.openxmlformats.org/officeDocument/2006/relationships/image" Target="../media/image975.gif"/><Relationship Id="rId1033" Type="http://schemas.openxmlformats.org/officeDocument/2006/relationships/image" Target="../media/image1258.gif"/><Relationship Id="rId2431" Type="http://schemas.openxmlformats.org/officeDocument/2006/relationships/image" Target="../media/image2656.gif"/><Relationship Id="rId4189" Type="http://schemas.openxmlformats.org/officeDocument/2006/relationships/image" Target="../media/image4414.gif"/><Relationship Id="rId610" Type="http://schemas.openxmlformats.org/officeDocument/2006/relationships/image" Target="../media/image835.gif"/><Relationship Id="rId1240" Type="http://schemas.openxmlformats.org/officeDocument/2006/relationships/image" Target="../media/image1465.gif"/><Relationship Id="rId4049" Type="http://schemas.openxmlformats.org/officeDocument/2006/relationships/image" Target="../media/image4274.gif"/><Relationship Id="rId4396" Type="http://schemas.openxmlformats.org/officeDocument/2006/relationships/image" Target="../media/image4621.gif"/><Relationship Id="rId1100" Type="http://schemas.openxmlformats.org/officeDocument/2006/relationships/image" Target="../media/image1325.gif"/><Relationship Id="rId4256" Type="http://schemas.openxmlformats.org/officeDocument/2006/relationships/image" Target="../media/image4481.gif"/><Relationship Id="rId4463" Type="http://schemas.openxmlformats.org/officeDocument/2006/relationships/image" Target="../media/image4688.gif"/><Relationship Id="rId1917" Type="http://schemas.openxmlformats.org/officeDocument/2006/relationships/image" Target="../media/image2142.gif"/><Relationship Id="rId3065" Type="http://schemas.openxmlformats.org/officeDocument/2006/relationships/image" Target="../media/image3290.gif"/><Relationship Id="rId3272" Type="http://schemas.openxmlformats.org/officeDocument/2006/relationships/image" Target="../media/image3497.gif"/><Relationship Id="rId4116" Type="http://schemas.openxmlformats.org/officeDocument/2006/relationships/image" Target="../media/image4341.gif"/><Relationship Id="rId4323" Type="http://schemas.openxmlformats.org/officeDocument/2006/relationships/image" Target="../media/image4548.gif"/><Relationship Id="rId193" Type="http://schemas.openxmlformats.org/officeDocument/2006/relationships/image" Target="../media/image418.gif"/><Relationship Id="rId2081" Type="http://schemas.openxmlformats.org/officeDocument/2006/relationships/image" Target="../media/image2306.gif"/><Relationship Id="rId3132" Type="http://schemas.openxmlformats.org/officeDocument/2006/relationships/image" Target="../media/image3357.gif"/><Relationship Id="rId260" Type="http://schemas.openxmlformats.org/officeDocument/2006/relationships/image" Target="../media/image485.gif"/><Relationship Id="rId120" Type="http://schemas.openxmlformats.org/officeDocument/2006/relationships/image" Target="../media/image345.gif"/><Relationship Id="rId2898" Type="http://schemas.openxmlformats.org/officeDocument/2006/relationships/image" Target="../media/image3123.gif"/><Relationship Id="rId3949" Type="http://schemas.openxmlformats.org/officeDocument/2006/relationships/image" Target="../media/image4174.gif"/><Relationship Id="rId2758" Type="http://schemas.openxmlformats.org/officeDocument/2006/relationships/image" Target="../media/image2983.gif"/><Relationship Id="rId2965" Type="http://schemas.openxmlformats.org/officeDocument/2006/relationships/image" Target="../media/image3190.gif"/><Relationship Id="rId3809" Type="http://schemas.openxmlformats.org/officeDocument/2006/relationships/image" Target="../media/image4034.gif"/><Relationship Id="rId937" Type="http://schemas.openxmlformats.org/officeDocument/2006/relationships/image" Target="../media/image1162.gif"/><Relationship Id="rId1567" Type="http://schemas.openxmlformats.org/officeDocument/2006/relationships/image" Target="../media/image1792.gif"/><Relationship Id="rId1774" Type="http://schemas.openxmlformats.org/officeDocument/2006/relationships/image" Target="../media/image1999.gif"/><Relationship Id="rId1981" Type="http://schemas.openxmlformats.org/officeDocument/2006/relationships/image" Target="../media/image2206.gif"/><Relationship Id="rId2618" Type="http://schemas.openxmlformats.org/officeDocument/2006/relationships/image" Target="../media/image2843.gif"/><Relationship Id="rId2825" Type="http://schemas.openxmlformats.org/officeDocument/2006/relationships/image" Target="../media/image3050.gif"/><Relationship Id="rId4180" Type="http://schemas.openxmlformats.org/officeDocument/2006/relationships/image" Target="../media/image4405.gif"/><Relationship Id="rId66" Type="http://schemas.openxmlformats.org/officeDocument/2006/relationships/image" Target="../media/image291.gif"/><Relationship Id="rId1427" Type="http://schemas.openxmlformats.org/officeDocument/2006/relationships/image" Target="../media/image1652.gif"/><Relationship Id="rId1634" Type="http://schemas.openxmlformats.org/officeDocument/2006/relationships/image" Target="../media/image1859.gif"/><Relationship Id="rId1841" Type="http://schemas.openxmlformats.org/officeDocument/2006/relationships/image" Target="../media/image2066.gif"/><Relationship Id="rId4040" Type="http://schemas.openxmlformats.org/officeDocument/2006/relationships/image" Target="../media/image4265.gif"/><Relationship Id="rId3599" Type="http://schemas.openxmlformats.org/officeDocument/2006/relationships/image" Target="../media/image3824.gif"/><Relationship Id="rId1701" Type="http://schemas.openxmlformats.org/officeDocument/2006/relationships/image" Target="../media/image1926.gif"/><Relationship Id="rId3459" Type="http://schemas.openxmlformats.org/officeDocument/2006/relationships/image" Target="../media/image3684.gif"/><Relationship Id="rId3666" Type="http://schemas.openxmlformats.org/officeDocument/2006/relationships/image" Target="../media/image3891.gif"/><Relationship Id="rId587" Type="http://schemas.openxmlformats.org/officeDocument/2006/relationships/image" Target="../media/image812.gif"/><Relationship Id="rId2268" Type="http://schemas.openxmlformats.org/officeDocument/2006/relationships/image" Target="../media/image2493.gif"/><Relationship Id="rId3319" Type="http://schemas.openxmlformats.org/officeDocument/2006/relationships/image" Target="../media/image3544.gif"/><Relationship Id="rId3873" Type="http://schemas.openxmlformats.org/officeDocument/2006/relationships/image" Target="../media/image4098.gif"/><Relationship Id="rId447" Type="http://schemas.openxmlformats.org/officeDocument/2006/relationships/image" Target="../media/image672.gif"/><Relationship Id="rId794" Type="http://schemas.openxmlformats.org/officeDocument/2006/relationships/image" Target="../media/image1019.gif"/><Relationship Id="rId1077" Type="http://schemas.openxmlformats.org/officeDocument/2006/relationships/image" Target="../media/image1302.gif"/><Relationship Id="rId2128" Type="http://schemas.openxmlformats.org/officeDocument/2006/relationships/image" Target="../media/image2353.gif"/><Relationship Id="rId2475" Type="http://schemas.openxmlformats.org/officeDocument/2006/relationships/image" Target="../media/image2700.gif"/><Relationship Id="rId2682" Type="http://schemas.openxmlformats.org/officeDocument/2006/relationships/image" Target="../media/image2907.gif"/><Relationship Id="rId3526" Type="http://schemas.openxmlformats.org/officeDocument/2006/relationships/image" Target="../media/image3751.gif"/><Relationship Id="rId3733" Type="http://schemas.openxmlformats.org/officeDocument/2006/relationships/image" Target="../media/image3958.gif"/><Relationship Id="rId3940" Type="http://schemas.openxmlformats.org/officeDocument/2006/relationships/image" Target="../media/image4165.gif"/><Relationship Id="rId654" Type="http://schemas.openxmlformats.org/officeDocument/2006/relationships/image" Target="../media/image879.gif"/><Relationship Id="rId861" Type="http://schemas.openxmlformats.org/officeDocument/2006/relationships/image" Target="../media/image1086.gif"/><Relationship Id="rId1284" Type="http://schemas.openxmlformats.org/officeDocument/2006/relationships/image" Target="../media/image1509.gif"/><Relationship Id="rId1491" Type="http://schemas.openxmlformats.org/officeDocument/2006/relationships/image" Target="../media/image1716.gif"/><Relationship Id="rId2335" Type="http://schemas.openxmlformats.org/officeDocument/2006/relationships/image" Target="../media/image2560.gif"/><Relationship Id="rId2542" Type="http://schemas.openxmlformats.org/officeDocument/2006/relationships/image" Target="../media/image2767.gif"/><Relationship Id="rId3800" Type="http://schemas.openxmlformats.org/officeDocument/2006/relationships/image" Target="../media/image4025.gif"/><Relationship Id="rId307" Type="http://schemas.openxmlformats.org/officeDocument/2006/relationships/image" Target="../media/image532.gif"/><Relationship Id="rId514" Type="http://schemas.openxmlformats.org/officeDocument/2006/relationships/image" Target="../media/image739.gif"/><Relationship Id="rId721" Type="http://schemas.openxmlformats.org/officeDocument/2006/relationships/image" Target="../media/image946.gif"/><Relationship Id="rId1144" Type="http://schemas.openxmlformats.org/officeDocument/2006/relationships/image" Target="../media/image1369.gif"/><Relationship Id="rId1351" Type="http://schemas.openxmlformats.org/officeDocument/2006/relationships/image" Target="../media/image1576.gif"/><Relationship Id="rId2402" Type="http://schemas.openxmlformats.org/officeDocument/2006/relationships/image" Target="../media/image2627.gif"/><Relationship Id="rId1004" Type="http://schemas.openxmlformats.org/officeDocument/2006/relationships/image" Target="../media/image1229.gif"/><Relationship Id="rId1211" Type="http://schemas.openxmlformats.org/officeDocument/2006/relationships/image" Target="../media/image1436.gif"/><Relationship Id="rId4367" Type="http://schemas.openxmlformats.org/officeDocument/2006/relationships/image" Target="../media/image4592.gif"/><Relationship Id="rId3176" Type="http://schemas.openxmlformats.org/officeDocument/2006/relationships/image" Target="../media/image3401.gif"/><Relationship Id="rId3383" Type="http://schemas.openxmlformats.org/officeDocument/2006/relationships/image" Target="../media/image3608.gif"/><Relationship Id="rId3590" Type="http://schemas.openxmlformats.org/officeDocument/2006/relationships/image" Target="../media/image3815.gif"/><Relationship Id="rId4227" Type="http://schemas.openxmlformats.org/officeDocument/2006/relationships/image" Target="../media/image4452.gif"/><Relationship Id="rId4434" Type="http://schemas.openxmlformats.org/officeDocument/2006/relationships/image" Target="../media/image4659.gif"/><Relationship Id="rId2192" Type="http://schemas.openxmlformats.org/officeDocument/2006/relationships/image" Target="../media/image2417.gif"/><Relationship Id="rId3036" Type="http://schemas.openxmlformats.org/officeDocument/2006/relationships/image" Target="../media/image3261.gif"/><Relationship Id="rId3243" Type="http://schemas.openxmlformats.org/officeDocument/2006/relationships/image" Target="../media/image3468.gif"/><Relationship Id="rId164" Type="http://schemas.openxmlformats.org/officeDocument/2006/relationships/image" Target="../media/image389.gif"/><Relationship Id="rId371" Type="http://schemas.openxmlformats.org/officeDocument/2006/relationships/image" Target="../media/image596.gif"/><Relationship Id="rId2052" Type="http://schemas.openxmlformats.org/officeDocument/2006/relationships/image" Target="../media/image2277.gif"/><Relationship Id="rId3450" Type="http://schemas.openxmlformats.org/officeDocument/2006/relationships/image" Target="../media/image3675.gif"/><Relationship Id="rId3103" Type="http://schemas.openxmlformats.org/officeDocument/2006/relationships/image" Target="../media/image3328.gif"/><Relationship Id="rId3310" Type="http://schemas.openxmlformats.org/officeDocument/2006/relationships/image" Target="../media/image3535.gif"/><Relationship Id="rId231" Type="http://schemas.openxmlformats.org/officeDocument/2006/relationships/image" Target="../media/image456.gif"/><Relationship Id="rId2869" Type="http://schemas.openxmlformats.org/officeDocument/2006/relationships/image" Target="../media/image3094.gif"/><Relationship Id="rId1678" Type="http://schemas.openxmlformats.org/officeDocument/2006/relationships/image" Target="../media/image1903.gif"/><Relationship Id="rId1885" Type="http://schemas.openxmlformats.org/officeDocument/2006/relationships/image" Target="../media/image2110.gif"/><Relationship Id="rId2729" Type="http://schemas.openxmlformats.org/officeDocument/2006/relationships/image" Target="../media/image2954.gif"/><Relationship Id="rId2936" Type="http://schemas.openxmlformats.org/officeDocument/2006/relationships/image" Target="../media/image3161.gif"/><Relationship Id="rId4084" Type="http://schemas.openxmlformats.org/officeDocument/2006/relationships/image" Target="../media/image4309.gif"/><Relationship Id="rId4291" Type="http://schemas.openxmlformats.org/officeDocument/2006/relationships/image" Target="../media/image4516.gif"/><Relationship Id="rId908" Type="http://schemas.openxmlformats.org/officeDocument/2006/relationships/image" Target="../media/image1133.gif"/><Relationship Id="rId1538" Type="http://schemas.openxmlformats.org/officeDocument/2006/relationships/image" Target="../media/image1763.gif"/><Relationship Id="rId4151" Type="http://schemas.openxmlformats.org/officeDocument/2006/relationships/image" Target="../media/image4376.gif"/><Relationship Id="rId1745" Type="http://schemas.openxmlformats.org/officeDocument/2006/relationships/image" Target="../media/image1970.gif"/><Relationship Id="rId1952" Type="http://schemas.openxmlformats.org/officeDocument/2006/relationships/image" Target="../media/image2177.gif"/><Relationship Id="rId4011" Type="http://schemas.openxmlformats.org/officeDocument/2006/relationships/image" Target="../media/image4236.gif"/><Relationship Id="rId37" Type="http://schemas.openxmlformats.org/officeDocument/2006/relationships/image" Target="../media/image262.gif"/><Relationship Id="rId1605" Type="http://schemas.openxmlformats.org/officeDocument/2006/relationships/image" Target="../media/image1830.gif"/><Relationship Id="rId1812" Type="http://schemas.openxmlformats.org/officeDocument/2006/relationships/image" Target="../media/image2037.gif"/><Relationship Id="rId3777" Type="http://schemas.openxmlformats.org/officeDocument/2006/relationships/image" Target="../media/image4002.gif"/><Relationship Id="rId3984" Type="http://schemas.openxmlformats.org/officeDocument/2006/relationships/image" Target="../media/image4209.gif"/><Relationship Id="rId698" Type="http://schemas.openxmlformats.org/officeDocument/2006/relationships/image" Target="../media/image923.gif"/><Relationship Id="rId2379" Type="http://schemas.openxmlformats.org/officeDocument/2006/relationships/image" Target="../media/image2604.gif"/><Relationship Id="rId2586" Type="http://schemas.openxmlformats.org/officeDocument/2006/relationships/image" Target="../media/image2811.gif"/><Relationship Id="rId2793" Type="http://schemas.openxmlformats.org/officeDocument/2006/relationships/image" Target="../media/image3018.gif"/><Relationship Id="rId3637" Type="http://schemas.openxmlformats.org/officeDocument/2006/relationships/image" Target="../media/image3862.gif"/><Relationship Id="rId3844" Type="http://schemas.openxmlformats.org/officeDocument/2006/relationships/image" Target="../media/image4069.gif"/><Relationship Id="rId558" Type="http://schemas.openxmlformats.org/officeDocument/2006/relationships/image" Target="../media/image783.gif"/><Relationship Id="rId765" Type="http://schemas.openxmlformats.org/officeDocument/2006/relationships/image" Target="../media/image990.gif"/><Relationship Id="rId972" Type="http://schemas.openxmlformats.org/officeDocument/2006/relationships/image" Target="../media/image1197.gif"/><Relationship Id="rId1188" Type="http://schemas.openxmlformats.org/officeDocument/2006/relationships/image" Target="../media/image1413.gif"/><Relationship Id="rId1395" Type="http://schemas.openxmlformats.org/officeDocument/2006/relationships/image" Target="../media/image1620.gif"/><Relationship Id="rId2239" Type="http://schemas.openxmlformats.org/officeDocument/2006/relationships/image" Target="../media/image2464.gif"/><Relationship Id="rId2446" Type="http://schemas.openxmlformats.org/officeDocument/2006/relationships/image" Target="../media/image2671.gif"/><Relationship Id="rId2653" Type="http://schemas.openxmlformats.org/officeDocument/2006/relationships/image" Target="../media/image2878.gif"/><Relationship Id="rId2860" Type="http://schemas.openxmlformats.org/officeDocument/2006/relationships/image" Target="../media/image3085.gif"/><Relationship Id="rId3704" Type="http://schemas.openxmlformats.org/officeDocument/2006/relationships/image" Target="../media/image3929.gif"/><Relationship Id="rId418" Type="http://schemas.openxmlformats.org/officeDocument/2006/relationships/image" Target="../media/image643.gif"/><Relationship Id="rId625" Type="http://schemas.openxmlformats.org/officeDocument/2006/relationships/image" Target="../media/image850.gif"/><Relationship Id="rId832" Type="http://schemas.openxmlformats.org/officeDocument/2006/relationships/image" Target="../media/image1057.gif"/><Relationship Id="rId1048" Type="http://schemas.openxmlformats.org/officeDocument/2006/relationships/image" Target="../media/image1273.gif"/><Relationship Id="rId1255" Type="http://schemas.openxmlformats.org/officeDocument/2006/relationships/image" Target="../media/image1480.gif"/><Relationship Id="rId1462" Type="http://schemas.openxmlformats.org/officeDocument/2006/relationships/image" Target="../media/image1687.gif"/><Relationship Id="rId2306" Type="http://schemas.openxmlformats.org/officeDocument/2006/relationships/image" Target="../media/image2531.gif"/><Relationship Id="rId2513" Type="http://schemas.openxmlformats.org/officeDocument/2006/relationships/image" Target="../media/image2738.gif"/><Relationship Id="rId3911" Type="http://schemas.openxmlformats.org/officeDocument/2006/relationships/image" Target="../media/image4136.gif"/><Relationship Id="rId1115" Type="http://schemas.openxmlformats.org/officeDocument/2006/relationships/image" Target="../media/image1340.gif"/><Relationship Id="rId1322" Type="http://schemas.openxmlformats.org/officeDocument/2006/relationships/image" Target="../media/image1547.gif"/><Relationship Id="rId2720" Type="http://schemas.openxmlformats.org/officeDocument/2006/relationships/image" Target="../media/image2945.gif"/><Relationship Id="rId4478" Type="http://schemas.openxmlformats.org/officeDocument/2006/relationships/image" Target="../media/image4703.gif"/><Relationship Id="rId3287" Type="http://schemas.openxmlformats.org/officeDocument/2006/relationships/image" Target="../media/image3512.gif"/><Relationship Id="rId4338" Type="http://schemas.openxmlformats.org/officeDocument/2006/relationships/image" Target="../media/image4563.gif"/><Relationship Id="rId2096" Type="http://schemas.openxmlformats.org/officeDocument/2006/relationships/image" Target="../media/image2321.gif"/><Relationship Id="rId3494" Type="http://schemas.openxmlformats.org/officeDocument/2006/relationships/image" Target="../media/image3719.gif"/><Relationship Id="rId3147" Type="http://schemas.openxmlformats.org/officeDocument/2006/relationships/image" Target="../media/image3372.gif"/><Relationship Id="rId3354" Type="http://schemas.openxmlformats.org/officeDocument/2006/relationships/image" Target="../media/image3579.gif"/><Relationship Id="rId3561" Type="http://schemas.openxmlformats.org/officeDocument/2006/relationships/image" Target="../media/image3786.gif"/><Relationship Id="rId4405" Type="http://schemas.openxmlformats.org/officeDocument/2006/relationships/image" Target="../media/image4630.gif"/><Relationship Id="rId275" Type="http://schemas.openxmlformats.org/officeDocument/2006/relationships/image" Target="../media/image500.gif"/><Relationship Id="rId482" Type="http://schemas.openxmlformats.org/officeDocument/2006/relationships/image" Target="../media/image707.gif"/><Relationship Id="rId2163" Type="http://schemas.openxmlformats.org/officeDocument/2006/relationships/image" Target="../media/image2388.gif"/><Relationship Id="rId2370" Type="http://schemas.openxmlformats.org/officeDocument/2006/relationships/image" Target="../media/image2595.gif"/><Relationship Id="rId3007" Type="http://schemas.openxmlformats.org/officeDocument/2006/relationships/image" Target="../media/image3232.gif"/><Relationship Id="rId3214" Type="http://schemas.openxmlformats.org/officeDocument/2006/relationships/image" Target="../media/image3439.gif"/><Relationship Id="rId3421" Type="http://schemas.openxmlformats.org/officeDocument/2006/relationships/image" Target="../media/image3646.gif"/><Relationship Id="rId135" Type="http://schemas.openxmlformats.org/officeDocument/2006/relationships/image" Target="../media/image360.gif"/><Relationship Id="rId342" Type="http://schemas.openxmlformats.org/officeDocument/2006/relationships/image" Target="../media/image567.gif"/><Relationship Id="rId2023" Type="http://schemas.openxmlformats.org/officeDocument/2006/relationships/image" Target="../media/image2248.gif"/><Relationship Id="rId2230" Type="http://schemas.openxmlformats.org/officeDocument/2006/relationships/image" Target="../media/image2455.gif"/><Relationship Id="rId202" Type="http://schemas.openxmlformats.org/officeDocument/2006/relationships/image" Target="../media/image427.gif"/><Relationship Id="rId4195" Type="http://schemas.openxmlformats.org/officeDocument/2006/relationships/image" Target="../media/image4420.gif"/><Relationship Id="rId1789" Type="http://schemas.openxmlformats.org/officeDocument/2006/relationships/image" Target="../media/image2014.gif"/><Relationship Id="rId1996" Type="http://schemas.openxmlformats.org/officeDocument/2006/relationships/image" Target="../media/image2221.gif"/><Relationship Id="rId4055" Type="http://schemas.openxmlformats.org/officeDocument/2006/relationships/image" Target="../media/image4280.gif"/><Relationship Id="rId4262" Type="http://schemas.openxmlformats.org/officeDocument/2006/relationships/image" Target="../media/image4487.gif"/><Relationship Id="rId1649" Type="http://schemas.openxmlformats.org/officeDocument/2006/relationships/image" Target="../media/image1874.gif"/><Relationship Id="rId1856" Type="http://schemas.openxmlformats.org/officeDocument/2006/relationships/image" Target="../media/image2081.gif"/><Relationship Id="rId2907" Type="http://schemas.openxmlformats.org/officeDocument/2006/relationships/image" Target="../media/image3132.gif"/><Relationship Id="rId3071" Type="http://schemas.openxmlformats.org/officeDocument/2006/relationships/image" Target="../media/image3296.gif"/><Relationship Id="rId1509" Type="http://schemas.openxmlformats.org/officeDocument/2006/relationships/image" Target="../media/image1734.gif"/><Relationship Id="rId1716" Type="http://schemas.openxmlformats.org/officeDocument/2006/relationships/image" Target="../media/image1941.gif"/><Relationship Id="rId1923" Type="http://schemas.openxmlformats.org/officeDocument/2006/relationships/image" Target="../media/image2148.gif"/><Relationship Id="rId4122" Type="http://schemas.openxmlformats.org/officeDocument/2006/relationships/image" Target="../media/image4347.gif"/><Relationship Id="rId3888" Type="http://schemas.openxmlformats.org/officeDocument/2006/relationships/image" Target="../media/image4113.gif"/><Relationship Id="rId2697" Type="http://schemas.openxmlformats.org/officeDocument/2006/relationships/image" Target="../media/image2922.gif"/><Relationship Id="rId3748" Type="http://schemas.openxmlformats.org/officeDocument/2006/relationships/image" Target="../media/image3973.gif"/><Relationship Id="rId669" Type="http://schemas.openxmlformats.org/officeDocument/2006/relationships/image" Target="../media/image894.gif"/><Relationship Id="rId876" Type="http://schemas.openxmlformats.org/officeDocument/2006/relationships/image" Target="../media/image1101.gif"/><Relationship Id="rId1299" Type="http://schemas.openxmlformats.org/officeDocument/2006/relationships/image" Target="../media/image1524.gif"/><Relationship Id="rId2557" Type="http://schemas.openxmlformats.org/officeDocument/2006/relationships/image" Target="../media/image2782.gif"/><Relationship Id="rId3608" Type="http://schemas.openxmlformats.org/officeDocument/2006/relationships/image" Target="../media/image3833.gif"/><Relationship Id="rId3955" Type="http://schemas.openxmlformats.org/officeDocument/2006/relationships/image" Target="../media/image4180.gif"/><Relationship Id="rId529" Type="http://schemas.openxmlformats.org/officeDocument/2006/relationships/image" Target="../media/image754.gif"/><Relationship Id="rId736" Type="http://schemas.openxmlformats.org/officeDocument/2006/relationships/image" Target="../media/image961.gif"/><Relationship Id="rId1159" Type="http://schemas.openxmlformats.org/officeDocument/2006/relationships/image" Target="../media/image1384.gif"/><Relationship Id="rId1366" Type="http://schemas.openxmlformats.org/officeDocument/2006/relationships/image" Target="../media/image1591.gif"/><Relationship Id="rId2417" Type="http://schemas.openxmlformats.org/officeDocument/2006/relationships/image" Target="../media/image2642.gif"/><Relationship Id="rId2764" Type="http://schemas.openxmlformats.org/officeDocument/2006/relationships/image" Target="../media/image2989.gif"/><Relationship Id="rId2971" Type="http://schemas.openxmlformats.org/officeDocument/2006/relationships/image" Target="../media/image3196.gif"/><Relationship Id="rId3815" Type="http://schemas.openxmlformats.org/officeDocument/2006/relationships/image" Target="../media/image4040.gif"/><Relationship Id="rId943" Type="http://schemas.openxmlformats.org/officeDocument/2006/relationships/image" Target="../media/image1168.gif"/><Relationship Id="rId1019" Type="http://schemas.openxmlformats.org/officeDocument/2006/relationships/image" Target="../media/image1244.gif"/><Relationship Id="rId1573" Type="http://schemas.openxmlformats.org/officeDocument/2006/relationships/image" Target="../media/image1798.gif"/><Relationship Id="rId1780" Type="http://schemas.openxmlformats.org/officeDocument/2006/relationships/image" Target="../media/image2005.gif"/><Relationship Id="rId2624" Type="http://schemas.openxmlformats.org/officeDocument/2006/relationships/image" Target="../media/image2849.gif"/><Relationship Id="rId2831" Type="http://schemas.openxmlformats.org/officeDocument/2006/relationships/image" Target="../media/image3056.gif"/><Relationship Id="rId72" Type="http://schemas.openxmlformats.org/officeDocument/2006/relationships/image" Target="../media/image297.gif"/><Relationship Id="rId803" Type="http://schemas.openxmlformats.org/officeDocument/2006/relationships/image" Target="../media/image1028.gif"/><Relationship Id="rId1226" Type="http://schemas.openxmlformats.org/officeDocument/2006/relationships/image" Target="../media/image1451.gif"/><Relationship Id="rId1433" Type="http://schemas.openxmlformats.org/officeDocument/2006/relationships/image" Target="../media/image1658.gif"/><Relationship Id="rId1640" Type="http://schemas.openxmlformats.org/officeDocument/2006/relationships/image" Target="../media/image1865.gif"/><Relationship Id="rId1500" Type="http://schemas.openxmlformats.org/officeDocument/2006/relationships/image" Target="../media/image1725.gif"/><Relationship Id="rId3398" Type="http://schemas.openxmlformats.org/officeDocument/2006/relationships/image" Target="../media/image3623.gif"/><Relationship Id="rId4449" Type="http://schemas.openxmlformats.org/officeDocument/2006/relationships/image" Target="../media/image4674.gif"/><Relationship Id="rId3258" Type="http://schemas.openxmlformats.org/officeDocument/2006/relationships/image" Target="../media/image3483.gif"/><Relationship Id="rId3465" Type="http://schemas.openxmlformats.org/officeDocument/2006/relationships/image" Target="../media/image3690.gif"/><Relationship Id="rId3672" Type="http://schemas.openxmlformats.org/officeDocument/2006/relationships/image" Target="../media/image3897.gif"/><Relationship Id="rId4309" Type="http://schemas.openxmlformats.org/officeDocument/2006/relationships/image" Target="../media/image4534.gif"/><Relationship Id="rId179" Type="http://schemas.openxmlformats.org/officeDocument/2006/relationships/image" Target="../media/image404.gif"/><Relationship Id="rId386" Type="http://schemas.openxmlformats.org/officeDocument/2006/relationships/image" Target="../media/image611.gif"/><Relationship Id="rId593" Type="http://schemas.openxmlformats.org/officeDocument/2006/relationships/image" Target="../media/image818.gif"/><Relationship Id="rId2067" Type="http://schemas.openxmlformats.org/officeDocument/2006/relationships/image" Target="../media/image2292.gif"/><Relationship Id="rId2274" Type="http://schemas.openxmlformats.org/officeDocument/2006/relationships/image" Target="../media/image2499.gif"/><Relationship Id="rId2481" Type="http://schemas.openxmlformats.org/officeDocument/2006/relationships/image" Target="../media/image2706.gif"/><Relationship Id="rId3118" Type="http://schemas.openxmlformats.org/officeDocument/2006/relationships/image" Target="../media/image3343.gif"/><Relationship Id="rId3325" Type="http://schemas.openxmlformats.org/officeDocument/2006/relationships/image" Target="../media/image3550.gif"/><Relationship Id="rId3532" Type="http://schemas.openxmlformats.org/officeDocument/2006/relationships/image" Target="../media/image3757.gif"/><Relationship Id="rId246" Type="http://schemas.openxmlformats.org/officeDocument/2006/relationships/image" Target="../media/image471.gif"/><Relationship Id="rId453" Type="http://schemas.openxmlformats.org/officeDocument/2006/relationships/image" Target="../media/image678.gif"/><Relationship Id="rId660" Type="http://schemas.openxmlformats.org/officeDocument/2006/relationships/image" Target="../media/image885.gif"/><Relationship Id="rId1083" Type="http://schemas.openxmlformats.org/officeDocument/2006/relationships/image" Target="../media/image1308.gif"/><Relationship Id="rId1290" Type="http://schemas.openxmlformats.org/officeDocument/2006/relationships/image" Target="../media/image1515.gif"/><Relationship Id="rId2134" Type="http://schemas.openxmlformats.org/officeDocument/2006/relationships/image" Target="../media/image2359.gif"/><Relationship Id="rId2341" Type="http://schemas.openxmlformats.org/officeDocument/2006/relationships/image" Target="../media/image2566.gif"/><Relationship Id="rId106" Type="http://schemas.openxmlformats.org/officeDocument/2006/relationships/image" Target="../media/image331.gif"/><Relationship Id="rId313" Type="http://schemas.openxmlformats.org/officeDocument/2006/relationships/image" Target="../media/image538.gif"/><Relationship Id="rId1150" Type="http://schemas.openxmlformats.org/officeDocument/2006/relationships/image" Target="../media/image1375.gif"/><Relationship Id="rId4099" Type="http://schemas.openxmlformats.org/officeDocument/2006/relationships/image" Target="../media/image4324.gif"/><Relationship Id="rId520" Type="http://schemas.openxmlformats.org/officeDocument/2006/relationships/image" Target="../media/image745.gif"/><Relationship Id="rId2201" Type="http://schemas.openxmlformats.org/officeDocument/2006/relationships/image" Target="../media/image2426.gif"/><Relationship Id="rId1010" Type="http://schemas.openxmlformats.org/officeDocument/2006/relationships/image" Target="../media/image1235.gif"/><Relationship Id="rId1967" Type="http://schemas.openxmlformats.org/officeDocument/2006/relationships/image" Target="../media/image2192.gif"/><Relationship Id="rId4166" Type="http://schemas.openxmlformats.org/officeDocument/2006/relationships/image" Target="../media/image4391.gif"/><Relationship Id="rId4373" Type="http://schemas.openxmlformats.org/officeDocument/2006/relationships/image" Target="../media/image4598.gif"/><Relationship Id="rId4026" Type="http://schemas.openxmlformats.org/officeDocument/2006/relationships/image" Target="../media/image4251.gif"/><Relationship Id="rId4440" Type="http://schemas.openxmlformats.org/officeDocument/2006/relationships/image" Target="../media/image4665.gif"/><Relationship Id="rId3042" Type="http://schemas.openxmlformats.org/officeDocument/2006/relationships/image" Target="../media/image3267.gif"/><Relationship Id="rId3859" Type="http://schemas.openxmlformats.org/officeDocument/2006/relationships/image" Target="../media/image4084.gif"/><Relationship Id="rId2875" Type="http://schemas.openxmlformats.org/officeDocument/2006/relationships/image" Target="../media/image3100.gif"/><Relationship Id="rId3926" Type="http://schemas.openxmlformats.org/officeDocument/2006/relationships/image" Target="../media/image4151.gif"/><Relationship Id="rId847" Type="http://schemas.openxmlformats.org/officeDocument/2006/relationships/image" Target="../media/image1072.gif"/><Relationship Id="rId1477" Type="http://schemas.openxmlformats.org/officeDocument/2006/relationships/image" Target="../media/image1702.gif"/><Relationship Id="rId1891" Type="http://schemas.openxmlformats.org/officeDocument/2006/relationships/image" Target="../media/image2116.gif"/><Relationship Id="rId2528" Type="http://schemas.openxmlformats.org/officeDocument/2006/relationships/image" Target="../media/image2753.gif"/><Relationship Id="rId2942" Type="http://schemas.openxmlformats.org/officeDocument/2006/relationships/image" Target="../media/image3167.gif"/><Relationship Id="rId914" Type="http://schemas.openxmlformats.org/officeDocument/2006/relationships/image" Target="../media/image1139.gif"/><Relationship Id="rId1544" Type="http://schemas.openxmlformats.org/officeDocument/2006/relationships/image" Target="../media/image1769.gif"/><Relationship Id="rId1611" Type="http://schemas.openxmlformats.org/officeDocument/2006/relationships/image" Target="../media/image1836.gif"/><Relationship Id="rId3369" Type="http://schemas.openxmlformats.org/officeDocument/2006/relationships/image" Target="../media/image3594.gif"/><Relationship Id="rId2385" Type="http://schemas.openxmlformats.org/officeDocument/2006/relationships/image" Target="../media/image2610.gif"/><Relationship Id="rId3783" Type="http://schemas.openxmlformats.org/officeDocument/2006/relationships/image" Target="../media/image4008.gif"/><Relationship Id="rId357" Type="http://schemas.openxmlformats.org/officeDocument/2006/relationships/image" Target="../media/image582.gif"/><Relationship Id="rId2038" Type="http://schemas.openxmlformats.org/officeDocument/2006/relationships/image" Target="../media/image2263.gif"/><Relationship Id="rId3436" Type="http://schemas.openxmlformats.org/officeDocument/2006/relationships/image" Target="../media/image3661.gif"/><Relationship Id="rId3850" Type="http://schemas.openxmlformats.org/officeDocument/2006/relationships/image" Target="../media/image4075.gif"/><Relationship Id="rId771" Type="http://schemas.openxmlformats.org/officeDocument/2006/relationships/image" Target="../media/image996.gif"/><Relationship Id="rId2452" Type="http://schemas.openxmlformats.org/officeDocument/2006/relationships/image" Target="../media/image2677.gif"/><Relationship Id="rId3503" Type="http://schemas.openxmlformats.org/officeDocument/2006/relationships/image" Target="../media/image3728.gif"/><Relationship Id="rId424" Type="http://schemas.openxmlformats.org/officeDocument/2006/relationships/image" Target="../media/image649.gif"/><Relationship Id="rId1054" Type="http://schemas.openxmlformats.org/officeDocument/2006/relationships/image" Target="../media/image1279.gif"/><Relationship Id="rId2105" Type="http://schemas.openxmlformats.org/officeDocument/2006/relationships/image" Target="../media/image2330.gif"/><Relationship Id="rId1121" Type="http://schemas.openxmlformats.org/officeDocument/2006/relationships/image" Target="../media/image1346.gif"/><Relationship Id="rId4277" Type="http://schemas.openxmlformats.org/officeDocument/2006/relationships/image" Target="../media/image4502.gif"/><Relationship Id="rId3293" Type="http://schemas.openxmlformats.org/officeDocument/2006/relationships/image" Target="../media/image3518.gif"/><Relationship Id="rId4344" Type="http://schemas.openxmlformats.org/officeDocument/2006/relationships/image" Target="../media/image4569.gif"/><Relationship Id="rId1938" Type="http://schemas.openxmlformats.org/officeDocument/2006/relationships/image" Target="../media/image2163.gif"/><Relationship Id="rId3360" Type="http://schemas.openxmlformats.org/officeDocument/2006/relationships/image" Target="../media/image3585.gif"/><Relationship Id="rId281" Type="http://schemas.openxmlformats.org/officeDocument/2006/relationships/image" Target="../media/image506.gif"/><Relationship Id="rId3013" Type="http://schemas.openxmlformats.org/officeDocument/2006/relationships/image" Target="../media/image3238.gif"/><Relationship Id="rId4411" Type="http://schemas.openxmlformats.org/officeDocument/2006/relationships/image" Target="../media/image4636.gif"/><Relationship Id="rId2779" Type="http://schemas.openxmlformats.org/officeDocument/2006/relationships/image" Target="../media/image3004.gif"/><Relationship Id="rId1795" Type="http://schemas.openxmlformats.org/officeDocument/2006/relationships/image" Target="../media/image2020.gif"/><Relationship Id="rId2846" Type="http://schemas.openxmlformats.org/officeDocument/2006/relationships/image" Target="../media/image3071.gif"/><Relationship Id="rId87" Type="http://schemas.openxmlformats.org/officeDocument/2006/relationships/image" Target="../media/image312.gif"/><Relationship Id="rId818" Type="http://schemas.openxmlformats.org/officeDocument/2006/relationships/image" Target="../media/image1043.gif"/><Relationship Id="rId1448" Type="http://schemas.openxmlformats.org/officeDocument/2006/relationships/image" Target="../media/image1673.gif"/><Relationship Id="rId1862" Type="http://schemas.openxmlformats.org/officeDocument/2006/relationships/image" Target="../media/image2087.gif"/><Relationship Id="rId2913" Type="http://schemas.openxmlformats.org/officeDocument/2006/relationships/image" Target="../media/image3138.gif"/><Relationship Id="rId1515" Type="http://schemas.openxmlformats.org/officeDocument/2006/relationships/image" Target="../media/image1740.gif"/><Relationship Id="rId3687" Type="http://schemas.openxmlformats.org/officeDocument/2006/relationships/image" Target="../media/image3912.gif"/><Relationship Id="rId2289" Type="http://schemas.openxmlformats.org/officeDocument/2006/relationships/image" Target="../media/image2514.gif"/><Relationship Id="rId3754" Type="http://schemas.openxmlformats.org/officeDocument/2006/relationships/image" Target="../media/image3979.gif"/><Relationship Id="rId675" Type="http://schemas.openxmlformats.org/officeDocument/2006/relationships/image" Target="../media/image900.gif"/><Relationship Id="rId2356" Type="http://schemas.openxmlformats.org/officeDocument/2006/relationships/image" Target="../media/image2581.gif"/><Relationship Id="rId2770" Type="http://schemas.openxmlformats.org/officeDocument/2006/relationships/image" Target="../media/image2995.gif"/><Relationship Id="rId3407" Type="http://schemas.openxmlformats.org/officeDocument/2006/relationships/image" Target="../media/image3632.gif"/><Relationship Id="rId3821" Type="http://schemas.openxmlformats.org/officeDocument/2006/relationships/image" Target="../media/image4046.gif"/><Relationship Id="rId328" Type="http://schemas.openxmlformats.org/officeDocument/2006/relationships/image" Target="../media/image553.gif"/><Relationship Id="rId742" Type="http://schemas.openxmlformats.org/officeDocument/2006/relationships/image" Target="../media/image967.gif"/><Relationship Id="rId1372" Type="http://schemas.openxmlformats.org/officeDocument/2006/relationships/image" Target="../media/image1597.gif"/><Relationship Id="rId2009" Type="http://schemas.openxmlformats.org/officeDocument/2006/relationships/image" Target="../media/image2234.gif"/><Relationship Id="rId2423" Type="http://schemas.openxmlformats.org/officeDocument/2006/relationships/image" Target="../media/image2648.gif"/><Relationship Id="rId1025" Type="http://schemas.openxmlformats.org/officeDocument/2006/relationships/image" Target="../media/image1250.gif"/><Relationship Id="rId3197" Type="http://schemas.openxmlformats.org/officeDocument/2006/relationships/image" Target="../media/image3422.gif"/><Relationship Id="rId4248" Type="http://schemas.openxmlformats.org/officeDocument/2006/relationships/image" Target="../media/image4473.gif"/><Relationship Id="rId185" Type="http://schemas.openxmlformats.org/officeDocument/2006/relationships/image" Target="../media/image410.gif"/><Relationship Id="rId1909" Type="http://schemas.openxmlformats.org/officeDocument/2006/relationships/image" Target="../media/image2134.gif"/><Relationship Id="rId3264" Type="http://schemas.openxmlformats.org/officeDocument/2006/relationships/image" Target="../media/image3489.gif"/><Relationship Id="rId4315" Type="http://schemas.openxmlformats.org/officeDocument/2006/relationships/image" Target="../media/image4540.gif"/><Relationship Id="rId2280" Type="http://schemas.openxmlformats.org/officeDocument/2006/relationships/image" Target="../media/image2505.gif"/><Relationship Id="rId3331" Type="http://schemas.openxmlformats.org/officeDocument/2006/relationships/image" Target="../media/image3556.gif"/><Relationship Id="rId252" Type="http://schemas.openxmlformats.org/officeDocument/2006/relationships/image" Target="../media/image477.gif"/><Relationship Id="rId1699" Type="http://schemas.openxmlformats.org/officeDocument/2006/relationships/image" Target="../media/image1924.gif"/><Relationship Id="rId2000" Type="http://schemas.openxmlformats.org/officeDocument/2006/relationships/image" Target="../media/image2225.gif"/><Relationship Id="rId4172" Type="http://schemas.openxmlformats.org/officeDocument/2006/relationships/image" Target="../media/image4397.gif"/><Relationship Id="rId1766" Type="http://schemas.openxmlformats.org/officeDocument/2006/relationships/image" Target="../media/image1991.gif"/><Relationship Id="rId2817" Type="http://schemas.openxmlformats.org/officeDocument/2006/relationships/image" Target="../media/image3042.gif"/><Relationship Id="rId58" Type="http://schemas.openxmlformats.org/officeDocument/2006/relationships/image" Target="../media/image283.gif"/><Relationship Id="rId1419" Type="http://schemas.openxmlformats.org/officeDocument/2006/relationships/image" Target="../media/image1644.gif"/><Relationship Id="rId1833" Type="http://schemas.openxmlformats.org/officeDocument/2006/relationships/image" Target="../media/image2058.gif"/><Relationship Id="rId1900" Type="http://schemas.openxmlformats.org/officeDocument/2006/relationships/image" Target="../media/image2125.gif"/><Relationship Id="rId3658" Type="http://schemas.openxmlformats.org/officeDocument/2006/relationships/image" Target="../media/image3883.gif"/><Relationship Id="rId579" Type="http://schemas.openxmlformats.org/officeDocument/2006/relationships/image" Target="../media/image804.gif"/><Relationship Id="rId993" Type="http://schemas.openxmlformats.org/officeDocument/2006/relationships/image" Target="../media/image1218.gif"/><Relationship Id="rId2674" Type="http://schemas.openxmlformats.org/officeDocument/2006/relationships/image" Target="../media/image2899.gif"/><Relationship Id="rId646" Type="http://schemas.openxmlformats.org/officeDocument/2006/relationships/image" Target="../media/image871.gif"/><Relationship Id="rId1276" Type="http://schemas.openxmlformats.org/officeDocument/2006/relationships/image" Target="../media/image1501.gif"/><Relationship Id="rId2327" Type="http://schemas.openxmlformats.org/officeDocument/2006/relationships/image" Target="../media/image2552.gif"/><Relationship Id="rId3725" Type="http://schemas.openxmlformats.org/officeDocument/2006/relationships/image" Target="../media/image3950.gif"/><Relationship Id="rId1690" Type="http://schemas.openxmlformats.org/officeDocument/2006/relationships/image" Target="../media/image1915.gif"/><Relationship Id="rId2741" Type="http://schemas.openxmlformats.org/officeDocument/2006/relationships/image" Target="../media/image2966.gif"/><Relationship Id="rId713" Type="http://schemas.openxmlformats.org/officeDocument/2006/relationships/image" Target="../media/image938.gif"/><Relationship Id="rId1343" Type="http://schemas.openxmlformats.org/officeDocument/2006/relationships/image" Target="../media/image1568.gif"/><Relationship Id="rId1410" Type="http://schemas.openxmlformats.org/officeDocument/2006/relationships/image" Target="../media/image1635.gif"/><Relationship Id="rId3168" Type="http://schemas.openxmlformats.org/officeDocument/2006/relationships/image" Target="../media/image3393.gif"/><Relationship Id="rId3582" Type="http://schemas.openxmlformats.org/officeDocument/2006/relationships/image" Target="../media/image3807.gif"/><Relationship Id="rId4219" Type="http://schemas.openxmlformats.org/officeDocument/2006/relationships/image" Target="../media/image4444.gif"/><Relationship Id="rId2184" Type="http://schemas.openxmlformats.org/officeDocument/2006/relationships/image" Target="../media/image2409.gif"/><Relationship Id="rId3235" Type="http://schemas.openxmlformats.org/officeDocument/2006/relationships/image" Target="../media/image3460.gif"/><Relationship Id="rId156" Type="http://schemas.openxmlformats.org/officeDocument/2006/relationships/image" Target="../media/image381.gif"/><Relationship Id="rId570" Type="http://schemas.openxmlformats.org/officeDocument/2006/relationships/image" Target="../media/image795.gif"/><Relationship Id="rId2251" Type="http://schemas.openxmlformats.org/officeDocument/2006/relationships/image" Target="../media/image2476.gif"/><Relationship Id="rId3302" Type="http://schemas.openxmlformats.org/officeDocument/2006/relationships/image" Target="../media/image3527.gif"/><Relationship Id="rId223" Type="http://schemas.openxmlformats.org/officeDocument/2006/relationships/image" Target="../media/image448.gif"/><Relationship Id="rId4076" Type="http://schemas.openxmlformats.org/officeDocument/2006/relationships/image" Target="../media/image4301.gif"/><Relationship Id="rId1737" Type="http://schemas.openxmlformats.org/officeDocument/2006/relationships/image" Target="../media/image1962.gif"/><Relationship Id="rId3092" Type="http://schemas.openxmlformats.org/officeDocument/2006/relationships/image" Target="../media/image3317.gif"/><Relationship Id="rId4143" Type="http://schemas.openxmlformats.org/officeDocument/2006/relationships/image" Target="../media/image4368.gif"/><Relationship Id="rId29" Type="http://schemas.openxmlformats.org/officeDocument/2006/relationships/image" Target="../media/image254.gif"/><Relationship Id="rId4210" Type="http://schemas.openxmlformats.org/officeDocument/2006/relationships/image" Target="../media/image4435.gif"/><Relationship Id="rId1804" Type="http://schemas.openxmlformats.org/officeDocument/2006/relationships/image" Target="../media/image2029.gif"/><Relationship Id="rId3976" Type="http://schemas.openxmlformats.org/officeDocument/2006/relationships/image" Target="../media/image4201.gif"/><Relationship Id="rId897" Type="http://schemas.openxmlformats.org/officeDocument/2006/relationships/image" Target="../media/image1122.gif"/><Relationship Id="rId2578" Type="http://schemas.openxmlformats.org/officeDocument/2006/relationships/image" Target="../media/image2803.gif"/><Relationship Id="rId2992" Type="http://schemas.openxmlformats.org/officeDocument/2006/relationships/image" Target="../media/image3217.gif"/><Relationship Id="rId3629" Type="http://schemas.openxmlformats.org/officeDocument/2006/relationships/image" Target="../media/image3854.gif"/><Relationship Id="rId964" Type="http://schemas.openxmlformats.org/officeDocument/2006/relationships/image" Target="../media/image1189.gif"/><Relationship Id="rId1594" Type="http://schemas.openxmlformats.org/officeDocument/2006/relationships/image" Target="../media/image1819.gif"/><Relationship Id="rId2645" Type="http://schemas.openxmlformats.org/officeDocument/2006/relationships/image" Target="../media/image2870.gif"/><Relationship Id="rId617" Type="http://schemas.openxmlformats.org/officeDocument/2006/relationships/image" Target="../media/image842.gif"/><Relationship Id="rId1247" Type="http://schemas.openxmlformats.org/officeDocument/2006/relationships/image" Target="../media/image1472.gif"/><Relationship Id="rId1661" Type="http://schemas.openxmlformats.org/officeDocument/2006/relationships/image" Target="../media/image1886.gif"/><Relationship Id="rId2712" Type="http://schemas.openxmlformats.org/officeDocument/2006/relationships/image" Target="../media/image2937.gif"/><Relationship Id="rId1314" Type="http://schemas.openxmlformats.org/officeDocument/2006/relationships/image" Target="../media/image1539.gif"/><Relationship Id="rId3486" Type="http://schemas.openxmlformats.org/officeDocument/2006/relationships/image" Target="../media/image3711.gif"/><Relationship Id="rId20" Type="http://schemas.openxmlformats.org/officeDocument/2006/relationships/image" Target="../media/image245.gif"/><Relationship Id="rId2088" Type="http://schemas.openxmlformats.org/officeDocument/2006/relationships/image" Target="../media/image2313.gif"/><Relationship Id="rId3139" Type="http://schemas.openxmlformats.org/officeDocument/2006/relationships/image" Target="../media/image3364.gif"/><Relationship Id="rId474" Type="http://schemas.openxmlformats.org/officeDocument/2006/relationships/image" Target="../media/image699.gif"/><Relationship Id="rId2155" Type="http://schemas.openxmlformats.org/officeDocument/2006/relationships/image" Target="../media/image2380.gif"/><Relationship Id="rId3553" Type="http://schemas.openxmlformats.org/officeDocument/2006/relationships/image" Target="../media/image3778.gif"/><Relationship Id="rId127" Type="http://schemas.openxmlformats.org/officeDocument/2006/relationships/image" Target="../media/image352.gif"/><Relationship Id="rId3206" Type="http://schemas.openxmlformats.org/officeDocument/2006/relationships/image" Target="../media/image3431.gif"/><Relationship Id="rId3620" Type="http://schemas.openxmlformats.org/officeDocument/2006/relationships/image" Target="../media/image3845.gif"/><Relationship Id="rId541" Type="http://schemas.openxmlformats.org/officeDocument/2006/relationships/image" Target="../media/image766.gif"/><Relationship Id="rId1171" Type="http://schemas.openxmlformats.org/officeDocument/2006/relationships/image" Target="../media/image1396.gif"/><Relationship Id="rId2222" Type="http://schemas.openxmlformats.org/officeDocument/2006/relationships/image" Target="../media/image2447.gif"/><Relationship Id="rId1988" Type="http://schemas.openxmlformats.org/officeDocument/2006/relationships/image" Target="../media/image2213.gif"/><Relationship Id="rId4394" Type="http://schemas.openxmlformats.org/officeDocument/2006/relationships/image" Target="../media/image4619.gif"/><Relationship Id="rId4047" Type="http://schemas.openxmlformats.org/officeDocument/2006/relationships/image" Target="../media/image4272.gif"/><Relationship Id="rId4461" Type="http://schemas.openxmlformats.org/officeDocument/2006/relationships/image" Target="../media/image4686.gif"/><Relationship Id="rId3063" Type="http://schemas.openxmlformats.org/officeDocument/2006/relationships/image" Target="../media/image3288.gif"/><Relationship Id="rId4114" Type="http://schemas.openxmlformats.org/officeDocument/2006/relationships/image" Target="../media/image4339.gif"/><Relationship Id="rId1708" Type="http://schemas.openxmlformats.org/officeDocument/2006/relationships/image" Target="../media/image1933.gif"/><Relationship Id="rId3130" Type="http://schemas.openxmlformats.org/officeDocument/2006/relationships/image" Target="../media/image3355.gif"/><Relationship Id="rId2896" Type="http://schemas.openxmlformats.org/officeDocument/2006/relationships/image" Target="../media/image3121.gif"/><Relationship Id="rId3947" Type="http://schemas.openxmlformats.org/officeDocument/2006/relationships/image" Target="../media/image4172.gif"/><Relationship Id="rId868" Type="http://schemas.openxmlformats.org/officeDocument/2006/relationships/image" Target="../media/image1093.gif"/><Relationship Id="rId1498" Type="http://schemas.openxmlformats.org/officeDocument/2006/relationships/image" Target="../media/image1723.gif"/><Relationship Id="rId2549" Type="http://schemas.openxmlformats.org/officeDocument/2006/relationships/image" Target="../media/image2774.gif"/><Relationship Id="rId2963" Type="http://schemas.openxmlformats.org/officeDocument/2006/relationships/image" Target="../media/image3188.gif"/><Relationship Id="rId935" Type="http://schemas.openxmlformats.org/officeDocument/2006/relationships/image" Target="../media/image1160.gif"/><Relationship Id="rId1565" Type="http://schemas.openxmlformats.org/officeDocument/2006/relationships/image" Target="../media/image1790.gif"/><Relationship Id="rId2616" Type="http://schemas.openxmlformats.org/officeDocument/2006/relationships/image" Target="../media/image2841.gif"/><Relationship Id="rId1218" Type="http://schemas.openxmlformats.org/officeDocument/2006/relationships/image" Target="../media/image1443.gif"/><Relationship Id="rId1632" Type="http://schemas.openxmlformats.org/officeDocument/2006/relationships/image" Target="../media/image1857.gif"/><Relationship Id="rId3457" Type="http://schemas.openxmlformats.org/officeDocument/2006/relationships/image" Target="../media/image3682.gif"/><Relationship Id="rId3871" Type="http://schemas.openxmlformats.org/officeDocument/2006/relationships/image" Target="../media/image4096.gif"/><Relationship Id="rId378" Type="http://schemas.openxmlformats.org/officeDocument/2006/relationships/image" Target="../media/image603.gif"/><Relationship Id="rId792" Type="http://schemas.openxmlformats.org/officeDocument/2006/relationships/image" Target="../media/image1017.gif"/><Relationship Id="rId2059" Type="http://schemas.openxmlformats.org/officeDocument/2006/relationships/image" Target="../media/image2284.gif"/><Relationship Id="rId2473" Type="http://schemas.openxmlformats.org/officeDocument/2006/relationships/image" Target="../media/image2698.gif"/><Relationship Id="rId3524" Type="http://schemas.openxmlformats.org/officeDocument/2006/relationships/image" Target="../media/image3749.gif"/><Relationship Id="rId445" Type="http://schemas.openxmlformats.org/officeDocument/2006/relationships/image" Target="../media/image670.gif"/><Relationship Id="rId1075" Type="http://schemas.openxmlformats.org/officeDocument/2006/relationships/image" Target="../media/image1300.gif"/><Relationship Id="rId2126" Type="http://schemas.openxmlformats.org/officeDocument/2006/relationships/image" Target="../media/image2351.gif"/><Relationship Id="rId2540" Type="http://schemas.openxmlformats.org/officeDocument/2006/relationships/image" Target="../media/image2765.gif"/><Relationship Id="rId512" Type="http://schemas.openxmlformats.org/officeDocument/2006/relationships/image" Target="../media/image737.gif"/><Relationship Id="rId1142" Type="http://schemas.openxmlformats.org/officeDocument/2006/relationships/image" Target="../media/image1367.gif"/><Relationship Id="rId4298" Type="http://schemas.openxmlformats.org/officeDocument/2006/relationships/image" Target="../media/image4523.gif"/><Relationship Id="rId4365" Type="http://schemas.openxmlformats.org/officeDocument/2006/relationships/image" Target="../media/image4590.gif"/><Relationship Id="rId1959" Type="http://schemas.openxmlformats.org/officeDocument/2006/relationships/image" Target="../media/image2184.gif"/><Relationship Id="rId4018" Type="http://schemas.openxmlformats.org/officeDocument/2006/relationships/image" Target="../media/image4243.gif"/><Relationship Id="rId3381" Type="http://schemas.openxmlformats.org/officeDocument/2006/relationships/image" Target="../media/image3606.gif"/><Relationship Id="rId4432" Type="http://schemas.openxmlformats.org/officeDocument/2006/relationships/image" Target="../media/image4657.gif"/><Relationship Id="rId3034" Type="http://schemas.openxmlformats.org/officeDocument/2006/relationships/image" Target="../media/image3259.gif"/><Relationship Id="rId2050" Type="http://schemas.openxmlformats.org/officeDocument/2006/relationships/image" Target="../media/image2275.gif"/><Relationship Id="rId3101" Type="http://schemas.openxmlformats.org/officeDocument/2006/relationships/image" Target="../media/image3326.gif"/><Relationship Id="rId839" Type="http://schemas.openxmlformats.org/officeDocument/2006/relationships/image" Target="../media/image1064.gif"/><Relationship Id="rId1469" Type="http://schemas.openxmlformats.org/officeDocument/2006/relationships/image" Target="../media/image1694.gif"/><Relationship Id="rId2867" Type="http://schemas.openxmlformats.org/officeDocument/2006/relationships/image" Target="../media/image3092.gif"/><Relationship Id="rId3918" Type="http://schemas.openxmlformats.org/officeDocument/2006/relationships/image" Target="../media/image4143.gif"/><Relationship Id="rId1883" Type="http://schemas.openxmlformats.org/officeDocument/2006/relationships/image" Target="../media/image2108.gif"/><Relationship Id="rId2934" Type="http://schemas.openxmlformats.org/officeDocument/2006/relationships/image" Target="../media/image3159.gif"/><Relationship Id="rId906" Type="http://schemas.openxmlformats.org/officeDocument/2006/relationships/image" Target="../media/image1131.gif"/><Relationship Id="rId1536" Type="http://schemas.openxmlformats.org/officeDocument/2006/relationships/image" Target="../media/image1761.gif"/><Relationship Id="rId1950" Type="http://schemas.openxmlformats.org/officeDocument/2006/relationships/image" Target="../media/image2175.gif"/><Relationship Id="rId1603" Type="http://schemas.openxmlformats.org/officeDocument/2006/relationships/image" Target="../media/image1828.gif"/><Relationship Id="rId3775" Type="http://schemas.openxmlformats.org/officeDocument/2006/relationships/image" Target="../media/image4000.gif"/><Relationship Id="rId696" Type="http://schemas.openxmlformats.org/officeDocument/2006/relationships/image" Target="../media/image921.gif"/><Relationship Id="rId2377" Type="http://schemas.openxmlformats.org/officeDocument/2006/relationships/image" Target="../media/image2602.gif"/><Relationship Id="rId2791" Type="http://schemas.openxmlformats.org/officeDocument/2006/relationships/image" Target="../media/image3016.gif"/><Relationship Id="rId3428" Type="http://schemas.openxmlformats.org/officeDocument/2006/relationships/image" Target="../media/image3653.gif"/><Relationship Id="rId349" Type="http://schemas.openxmlformats.org/officeDocument/2006/relationships/image" Target="../media/image574.gif"/><Relationship Id="rId763" Type="http://schemas.openxmlformats.org/officeDocument/2006/relationships/image" Target="../media/image988.gif"/><Relationship Id="rId1393" Type="http://schemas.openxmlformats.org/officeDocument/2006/relationships/image" Target="../media/image1618.gif"/><Relationship Id="rId2444" Type="http://schemas.openxmlformats.org/officeDocument/2006/relationships/image" Target="../media/image2669.gif"/><Relationship Id="rId3842" Type="http://schemas.openxmlformats.org/officeDocument/2006/relationships/image" Target="../media/image4067.gif"/><Relationship Id="rId416" Type="http://schemas.openxmlformats.org/officeDocument/2006/relationships/image" Target="../media/image641.gif"/><Relationship Id="rId1046" Type="http://schemas.openxmlformats.org/officeDocument/2006/relationships/image" Target="../media/image1271.gif"/><Relationship Id="rId830" Type="http://schemas.openxmlformats.org/officeDocument/2006/relationships/image" Target="../media/image1055.gif"/><Relationship Id="rId1460" Type="http://schemas.openxmlformats.org/officeDocument/2006/relationships/image" Target="../media/image1685.gif"/><Relationship Id="rId2511" Type="http://schemas.openxmlformats.org/officeDocument/2006/relationships/image" Target="../media/image2736.gif"/><Relationship Id="rId1113" Type="http://schemas.openxmlformats.org/officeDocument/2006/relationships/image" Target="../media/image1338.gif"/><Relationship Id="rId4269" Type="http://schemas.openxmlformats.org/officeDocument/2006/relationships/image" Target="../media/image4494.gif"/><Relationship Id="rId3285" Type="http://schemas.openxmlformats.org/officeDocument/2006/relationships/image" Target="../media/image3510.gif"/><Relationship Id="rId4336" Type="http://schemas.openxmlformats.org/officeDocument/2006/relationships/image" Target="../media/image4561.gif"/><Relationship Id="rId3352" Type="http://schemas.openxmlformats.org/officeDocument/2006/relationships/image" Target="../media/image3577.gif"/><Relationship Id="rId4403" Type="http://schemas.openxmlformats.org/officeDocument/2006/relationships/image" Target="../media/image4628.gif"/><Relationship Id="rId273" Type="http://schemas.openxmlformats.org/officeDocument/2006/relationships/image" Target="../media/image498.gif"/><Relationship Id="rId3005" Type="http://schemas.openxmlformats.org/officeDocument/2006/relationships/image" Target="../media/image3230.gif"/></Relationships>
</file>

<file path=xl/drawings/_rels/drawing4.xml.rels><?xml version="1.0" encoding="UTF-8" standalone="yes"?>
<Relationships xmlns="http://schemas.openxmlformats.org/package/2006/relationships"><Relationship Id="rId1" Type="http://schemas.openxmlformats.org/officeDocument/2006/relationships/image" Target="../media/image33.png"/></Relationships>
</file>

<file path=xl/drawings/drawing1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6</xdr:col>
          <xdr:colOff>30480</xdr:colOff>
          <xdr:row>0</xdr:row>
          <xdr:rowOff>99060</xdr:rowOff>
        </xdr:from>
        <xdr:to>
          <xdr:col>7</xdr:col>
          <xdr:colOff>502920</xdr:colOff>
          <xdr:row>2</xdr:row>
          <xdr:rowOff>99060</xdr:rowOff>
        </xdr:to>
        <xdr:sp macro="" textlink="">
          <xdr:nvSpPr>
            <xdr:cNvPr id="1028" name="Button 4" hidden="1">
              <a:extLst>
                <a:ext uri="{63B3BB69-23CF-44E3-9099-C40C66FF867C}">
                  <a14:compatExt spid="_x0000_s1028"/>
                </a:ext>
                <a:ext uri="{FF2B5EF4-FFF2-40B4-BE49-F238E27FC236}">
                  <a16:creationId xmlns:a16="http://schemas.microsoft.com/office/drawing/2014/main" id="{00000000-0008-0000-0000-00000404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</xdr:spPr>
          <xdr:txBody>
            <a:bodyPr vertOverflow="clip" wrap="square" lIns="27432" tIns="22860" rIns="27432" bIns="0" anchor="t" upright="1"/>
            <a:lstStyle/>
            <a:p>
              <a:pPr algn="ctr" rtl="0">
                <a:defRPr sz="1000"/>
              </a:pPr>
              <a:r>
                <a:rPr lang="ru-KZ" sz="800" b="1" i="0" u="none" strike="noStrike" baseline="0">
                  <a:solidFill>
                    <a:srgbClr val="000000"/>
                  </a:solidFill>
                  <a:latin typeface="Arial"/>
                  <a:cs typeface="Arial"/>
                </a:rPr>
                <a:t>Очистить</a:t>
              </a:r>
            </a:p>
            <a:p>
              <a:pPr algn="ctr" rtl="0">
                <a:defRPr sz="1000"/>
              </a:pPr>
              <a:r>
                <a:rPr lang="ru-KZ" sz="800" b="1" i="0" u="none" strike="noStrike" baseline="0">
                  <a:solidFill>
                    <a:srgbClr val="000000"/>
                  </a:solidFill>
                  <a:latin typeface="Arial"/>
                  <a:cs typeface="Arial"/>
                </a:rPr>
                <a:t>заказ  на этом листе</a:t>
              </a:r>
            </a:p>
          </xdr:txBody>
        </xdr:sp>
        <xdr:clientData fLocksWithSheet="0"/>
      </xdr:twoCellAnchor>
    </mc:Choice>
    <mc:Fallback/>
  </mc:AlternateContent>
  <xdr:twoCellAnchor editAs="oneCell">
    <xdr:from>
      <xdr:col>11</xdr:col>
      <xdr:colOff>25400</xdr:colOff>
      <xdr:row>8</xdr:row>
      <xdr:rowOff>0</xdr:rowOff>
    </xdr:from>
    <xdr:to>
      <xdr:col>11</xdr:col>
      <xdr:colOff>571500</xdr:colOff>
      <xdr:row>8</xdr:row>
      <xdr:rowOff>546100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78B7158C-2BEC-4C82-BD81-1A7D1C5F49A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463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8</xdr:row>
      <xdr:rowOff>0</xdr:rowOff>
    </xdr:from>
    <xdr:to>
      <xdr:col>11</xdr:col>
      <xdr:colOff>571500</xdr:colOff>
      <xdr:row>8</xdr:row>
      <xdr:rowOff>546100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9B673059-000A-438C-BA37-1C8E73F0390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035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8</xdr:row>
      <xdr:rowOff>0</xdr:rowOff>
    </xdr:from>
    <xdr:to>
      <xdr:col>11</xdr:col>
      <xdr:colOff>571500</xdr:colOff>
      <xdr:row>8</xdr:row>
      <xdr:rowOff>546100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71BB23F2-2A4A-43CF-B075-059F522B57D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606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8</xdr:row>
      <xdr:rowOff>0</xdr:rowOff>
    </xdr:from>
    <xdr:to>
      <xdr:col>11</xdr:col>
      <xdr:colOff>571500</xdr:colOff>
      <xdr:row>8</xdr:row>
      <xdr:rowOff>546100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6F8DFC07-B4DA-4CF5-BFAA-441713F2C76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3178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8</xdr:row>
      <xdr:rowOff>0</xdr:rowOff>
    </xdr:from>
    <xdr:to>
      <xdr:col>11</xdr:col>
      <xdr:colOff>571500</xdr:colOff>
      <xdr:row>8</xdr:row>
      <xdr:rowOff>546100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B326A496-354A-415C-8B4C-5E659487336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3749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8</xdr:row>
      <xdr:rowOff>0</xdr:rowOff>
    </xdr:from>
    <xdr:to>
      <xdr:col>11</xdr:col>
      <xdr:colOff>571500</xdr:colOff>
      <xdr:row>8</xdr:row>
      <xdr:rowOff>546100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004221D5-B892-4A5C-9A0E-4810A05F606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4321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8</xdr:row>
      <xdr:rowOff>0</xdr:rowOff>
    </xdr:from>
    <xdr:to>
      <xdr:col>11</xdr:col>
      <xdr:colOff>571500</xdr:colOff>
      <xdr:row>8</xdr:row>
      <xdr:rowOff>546100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76B65D60-4DB4-4CA6-9609-C0ED05FC375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4892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8</xdr:row>
      <xdr:rowOff>25400</xdr:rowOff>
    </xdr:from>
    <xdr:to>
      <xdr:col>11</xdr:col>
      <xdr:colOff>571500</xdr:colOff>
      <xdr:row>9</xdr:row>
      <xdr:rowOff>0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6B5C40AE-0D31-48AA-98E4-08C1A7007CE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5464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9</xdr:row>
      <xdr:rowOff>25400</xdr:rowOff>
    </xdr:from>
    <xdr:to>
      <xdr:col>11</xdr:col>
      <xdr:colOff>571500</xdr:colOff>
      <xdr:row>10</xdr:row>
      <xdr:rowOff>0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17204190-2A0E-4B69-948F-CA9EACC3CA7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6035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10</xdr:row>
      <xdr:rowOff>25400</xdr:rowOff>
    </xdr:from>
    <xdr:to>
      <xdr:col>11</xdr:col>
      <xdr:colOff>571500</xdr:colOff>
      <xdr:row>11</xdr:row>
      <xdr:rowOff>0</xdr:rowOff>
    </xdr:to>
    <xdr:pic>
      <xdr:nvPicPr>
        <xdr:cNvPr id="22" name="Рисунок 21">
          <a:extLst>
            <a:ext uri="{FF2B5EF4-FFF2-40B4-BE49-F238E27FC236}">
              <a16:creationId xmlns:a16="http://schemas.microsoft.com/office/drawing/2014/main" id="{51858E9A-15BD-4E24-8757-72D3DEF1146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6607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11</xdr:row>
      <xdr:rowOff>25400</xdr:rowOff>
    </xdr:from>
    <xdr:to>
      <xdr:col>11</xdr:col>
      <xdr:colOff>571500</xdr:colOff>
      <xdr:row>12</xdr:row>
      <xdr:rowOff>0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BB25DB6F-43C2-4533-A81E-7B31C85B662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7178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12</xdr:row>
      <xdr:rowOff>25400</xdr:rowOff>
    </xdr:from>
    <xdr:to>
      <xdr:col>11</xdr:col>
      <xdr:colOff>571500</xdr:colOff>
      <xdr:row>13</xdr:row>
      <xdr:rowOff>0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B01788DB-9C18-4F35-AA2A-C4597D4B2FF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7750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13</xdr:row>
      <xdr:rowOff>25400</xdr:rowOff>
    </xdr:from>
    <xdr:to>
      <xdr:col>11</xdr:col>
      <xdr:colOff>571500</xdr:colOff>
      <xdr:row>14</xdr:row>
      <xdr:rowOff>0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id="{397AC5A1-20A1-40ED-9517-4D95752A03F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8321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14</xdr:row>
      <xdr:rowOff>25400</xdr:rowOff>
    </xdr:from>
    <xdr:to>
      <xdr:col>11</xdr:col>
      <xdr:colOff>571500</xdr:colOff>
      <xdr:row>15</xdr:row>
      <xdr:rowOff>0</xdr:rowOff>
    </xdr:to>
    <xdr:pic>
      <xdr:nvPicPr>
        <xdr:cNvPr id="30" name="Рисунок 29">
          <a:extLst>
            <a:ext uri="{FF2B5EF4-FFF2-40B4-BE49-F238E27FC236}">
              <a16:creationId xmlns:a16="http://schemas.microsoft.com/office/drawing/2014/main" id="{0F2A0FB8-B68B-4F97-9216-51DE9DF7670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8893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15</xdr:row>
      <xdr:rowOff>25400</xdr:rowOff>
    </xdr:from>
    <xdr:to>
      <xdr:col>11</xdr:col>
      <xdr:colOff>571500</xdr:colOff>
      <xdr:row>16</xdr:row>
      <xdr:rowOff>0</xdr:rowOff>
    </xdr:to>
    <xdr:pic>
      <xdr:nvPicPr>
        <xdr:cNvPr id="32" name="Рисунок 31">
          <a:extLst>
            <a:ext uri="{FF2B5EF4-FFF2-40B4-BE49-F238E27FC236}">
              <a16:creationId xmlns:a16="http://schemas.microsoft.com/office/drawing/2014/main" id="{8CCB55A3-0CC5-417B-AE63-1B4FCC477DC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9464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18</xdr:row>
      <xdr:rowOff>25400</xdr:rowOff>
    </xdr:from>
    <xdr:to>
      <xdr:col>11</xdr:col>
      <xdr:colOff>571500</xdr:colOff>
      <xdr:row>19</xdr:row>
      <xdr:rowOff>0</xdr:rowOff>
    </xdr:to>
    <xdr:pic>
      <xdr:nvPicPr>
        <xdr:cNvPr id="34" name="Рисунок 33">
          <a:extLst>
            <a:ext uri="{FF2B5EF4-FFF2-40B4-BE49-F238E27FC236}">
              <a16:creationId xmlns:a16="http://schemas.microsoft.com/office/drawing/2014/main" id="{5533C6EB-F58F-4D2A-876F-63B0C7E7174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1179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19</xdr:row>
      <xdr:rowOff>25400</xdr:rowOff>
    </xdr:from>
    <xdr:to>
      <xdr:col>11</xdr:col>
      <xdr:colOff>571500</xdr:colOff>
      <xdr:row>20</xdr:row>
      <xdr:rowOff>0</xdr:rowOff>
    </xdr:to>
    <xdr:pic>
      <xdr:nvPicPr>
        <xdr:cNvPr id="36" name="Рисунок 35">
          <a:extLst>
            <a:ext uri="{FF2B5EF4-FFF2-40B4-BE49-F238E27FC236}">
              <a16:creationId xmlns:a16="http://schemas.microsoft.com/office/drawing/2014/main" id="{E40A5440-68F9-401D-A752-DC601883254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1750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20</xdr:row>
      <xdr:rowOff>25400</xdr:rowOff>
    </xdr:from>
    <xdr:to>
      <xdr:col>11</xdr:col>
      <xdr:colOff>735330</xdr:colOff>
      <xdr:row>21</xdr:row>
      <xdr:rowOff>0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id="{81061130-B288-430A-95EC-F40F46E4D49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2322175"/>
          <a:ext cx="70993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21</xdr:row>
      <xdr:rowOff>25400</xdr:rowOff>
    </xdr:from>
    <xdr:to>
      <xdr:col>11</xdr:col>
      <xdr:colOff>571500</xdr:colOff>
      <xdr:row>22</xdr:row>
      <xdr:rowOff>0</xdr:rowOff>
    </xdr:to>
    <xdr:pic>
      <xdr:nvPicPr>
        <xdr:cNvPr id="40" name="Рисунок 39">
          <a:extLst>
            <a:ext uri="{FF2B5EF4-FFF2-40B4-BE49-F238E27FC236}">
              <a16:creationId xmlns:a16="http://schemas.microsoft.com/office/drawing/2014/main" id="{D3FAEB28-7BF4-4BBE-9185-20343DA8C24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2893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22</xdr:row>
      <xdr:rowOff>25400</xdr:rowOff>
    </xdr:from>
    <xdr:to>
      <xdr:col>11</xdr:col>
      <xdr:colOff>653101</xdr:colOff>
      <xdr:row>23</xdr:row>
      <xdr:rowOff>0</xdr:rowOff>
    </xdr:to>
    <xdr:pic>
      <xdr:nvPicPr>
        <xdr:cNvPr id="42" name="Рисунок 41">
          <a:extLst>
            <a:ext uri="{FF2B5EF4-FFF2-40B4-BE49-F238E27FC236}">
              <a16:creationId xmlns:a16="http://schemas.microsoft.com/office/drawing/2014/main" id="{0987310B-CF39-4555-AD24-6661EC3D29D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3465175"/>
          <a:ext cx="627701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23</xdr:row>
      <xdr:rowOff>25400</xdr:rowOff>
    </xdr:from>
    <xdr:to>
      <xdr:col>11</xdr:col>
      <xdr:colOff>653101</xdr:colOff>
      <xdr:row>24</xdr:row>
      <xdr:rowOff>0</xdr:rowOff>
    </xdr:to>
    <xdr:pic>
      <xdr:nvPicPr>
        <xdr:cNvPr id="44" name="Рисунок 43">
          <a:extLst>
            <a:ext uri="{FF2B5EF4-FFF2-40B4-BE49-F238E27FC236}">
              <a16:creationId xmlns:a16="http://schemas.microsoft.com/office/drawing/2014/main" id="{6512AE6F-27FA-47FC-A657-D0D18E01EFC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4036675"/>
          <a:ext cx="627701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24</xdr:row>
      <xdr:rowOff>25400</xdr:rowOff>
    </xdr:from>
    <xdr:to>
      <xdr:col>11</xdr:col>
      <xdr:colOff>632178</xdr:colOff>
      <xdr:row>25</xdr:row>
      <xdr:rowOff>0</xdr:rowOff>
    </xdr:to>
    <xdr:pic>
      <xdr:nvPicPr>
        <xdr:cNvPr id="46" name="Рисунок 45">
          <a:extLst>
            <a:ext uri="{FF2B5EF4-FFF2-40B4-BE49-F238E27FC236}">
              <a16:creationId xmlns:a16="http://schemas.microsoft.com/office/drawing/2014/main" id="{02F2E1E4-C192-49F3-B330-1AE4957030E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4608175"/>
          <a:ext cx="606778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25</xdr:row>
      <xdr:rowOff>25400</xdr:rowOff>
    </xdr:from>
    <xdr:to>
      <xdr:col>11</xdr:col>
      <xdr:colOff>783872</xdr:colOff>
      <xdr:row>26</xdr:row>
      <xdr:rowOff>0</xdr:rowOff>
    </xdr:to>
    <xdr:pic>
      <xdr:nvPicPr>
        <xdr:cNvPr id="48" name="Рисунок 47">
          <a:extLst>
            <a:ext uri="{FF2B5EF4-FFF2-40B4-BE49-F238E27FC236}">
              <a16:creationId xmlns:a16="http://schemas.microsoft.com/office/drawing/2014/main" id="{CF84761B-9897-443F-A319-9137AC89F50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5179675"/>
          <a:ext cx="758472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26</xdr:row>
      <xdr:rowOff>25400</xdr:rowOff>
    </xdr:from>
    <xdr:to>
      <xdr:col>11</xdr:col>
      <xdr:colOff>852824</xdr:colOff>
      <xdr:row>27</xdr:row>
      <xdr:rowOff>0</xdr:rowOff>
    </xdr:to>
    <xdr:pic>
      <xdr:nvPicPr>
        <xdr:cNvPr id="50" name="Рисунок 49">
          <a:extLst>
            <a:ext uri="{FF2B5EF4-FFF2-40B4-BE49-F238E27FC236}">
              <a16:creationId xmlns:a16="http://schemas.microsoft.com/office/drawing/2014/main" id="{5C0F4AA6-985F-42F5-AC4B-8E80C923FC1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5751175"/>
          <a:ext cx="827424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27</xdr:row>
      <xdr:rowOff>25400</xdr:rowOff>
    </xdr:from>
    <xdr:to>
      <xdr:col>11</xdr:col>
      <xdr:colOff>852824</xdr:colOff>
      <xdr:row>28</xdr:row>
      <xdr:rowOff>0</xdr:rowOff>
    </xdr:to>
    <xdr:pic>
      <xdr:nvPicPr>
        <xdr:cNvPr id="52" name="Рисунок 51">
          <a:extLst>
            <a:ext uri="{FF2B5EF4-FFF2-40B4-BE49-F238E27FC236}">
              <a16:creationId xmlns:a16="http://schemas.microsoft.com/office/drawing/2014/main" id="{A443D9DB-441B-4AAD-BD79-A477EDEBDBE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6322675"/>
          <a:ext cx="827424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28</xdr:row>
      <xdr:rowOff>25400</xdr:rowOff>
    </xdr:from>
    <xdr:to>
      <xdr:col>11</xdr:col>
      <xdr:colOff>571500</xdr:colOff>
      <xdr:row>29</xdr:row>
      <xdr:rowOff>0</xdr:rowOff>
    </xdr:to>
    <xdr:pic>
      <xdr:nvPicPr>
        <xdr:cNvPr id="54" name="Рисунок 53">
          <a:extLst>
            <a:ext uri="{FF2B5EF4-FFF2-40B4-BE49-F238E27FC236}">
              <a16:creationId xmlns:a16="http://schemas.microsoft.com/office/drawing/2014/main" id="{E6CC349E-F46F-494C-80F7-BAC16FFA36C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6894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29</xdr:row>
      <xdr:rowOff>25400</xdr:rowOff>
    </xdr:from>
    <xdr:to>
      <xdr:col>11</xdr:col>
      <xdr:colOff>789940</xdr:colOff>
      <xdr:row>30</xdr:row>
      <xdr:rowOff>0</xdr:rowOff>
    </xdr:to>
    <xdr:pic>
      <xdr:nvPicPr>
        <xdr:cNvPr id="56" name="Рисунок 55">
          <a:extLst>
            <a:ext uri="{FF2B5EF4-FFF2-40B4-BE49-F238E27FC236}">
              <a16:creationId xmlns:a16="http://schemas.microsoft.com/office/drawing/2014/main" id="{93E12634-48C2-4F12-A489-FB40DD4E880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7465675"/>
          <a:ext cx="76454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30</xdr:row>
      <xdr:rowOff>25400</xdr:rowOff>
    </xdr:from>
    <xdr:to>
      <xdr:col>11</xdr:col>
      <xdr:colOff>571500</xdr:colOff>
      <xdr:row>31</xdr:row>
      <xdr:rowOff>0</xdr:rowOff>
    </xdr:to>
    <xdr:pic>
      <xdr:nvPicPr>
        <xdr:cNvPr id="58" name="Рисунок 57">
          <a:extLst>
            <a:ext uri="{FF2B5EF4-FFF2-40B4-BE49-F238E27FC236}">
              <a16:creationId xmlns:a16="http://schemas.microsoft.com/office/drawing/2014/main" id="{5DC30AA3-12DA-477A-8B72-9F34A109E14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8037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32</xdr:row>
      <xdr:rowOff>25400</xdr:rowOff>
    </xdr:from>
    <xdr:to>
      <xdr:col>11</xdr:col>
      <xdr:colOff>920646</xdr:colOff>
      <xdr:row>33</xdr:row>
      <xdr:rowOff>0</xdr:rowOff>
    </xdr:to>
    <xdr:pic>
      <xdr:nvPicPr>
        <xdr:cNvPr id="60" name="Рисунок 59">
          <a:extLst>
            <a:ext uri="{FF2B5EF4-FFF2-40B4-BE49-F238E27FC236}">
              <a16:creationId xmlns:a16="http://schemas.microsoft.com/office/drawing/2014/main" id="{8E325B79-7EF9-4019-BE9E-831893231DC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9180175"/>
          <a:ext cx="895246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33</xdr:row>
      <xdr:rowOff>25400</xdr:rowOff>
    </xdr:from>
    <xdr:to>
      <xdr:col>11</xdr:col>
      <xdr:colOff>1018309</xdr:colOff>
      <xdr:row>34</xdr:row>
      <xdr:rowOff>0</xdr:rowOff>
    </xdr:to>
    <xdr:pic>
      <xdr:nvPicPr>
        <xdr:cNvPr id="62" name="Рисунок 61">
          <a:extLst>
            <a:ext uri="{FF2B5EF4-FFF2-40B4-BE49-F238E27FC236}">
              <a16:creationId xmlns:a16="http://schemas.microsoft.com/office/drawing/2014/main" id="{E3503546-F477-44EC-A827-6F3064F16B7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9751675"/>
          <a:ext cx="992909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34</xdr:row>
      <xdr:rowOff>25400</xdr:rowOff>
    </xdr:from>
    <xdr:to>
      <xdr:col>11</xdr:col>
      <xdr:colOff>950993</xdr:colOff>
      <xdr:row>35</xdr:row>
      <xdr:rowOff>0</xdr:rowOff>
    </xdr:to>
    <xdr:pic>
      <xdr:nvPicPr>
        <xdr:cNvPr id="1024" name="Рисунок 1023">
          <a:extLst>
            <a:ext uri="{FF2B5EF4-FFF2-40B4-BE49-F238E27FC236}">
              <a16:creationId xmlns:a16="http://schemas.microsoft.com/office/drawing/2014/main" id="{252920C5-94FA-4E34-9102-474703466A0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0323175"/>
          <a:ext cx="925593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35</xdr:row>
      <xdr:rowOff>25400</xdr:rowOff>
    </xdr:from>
    <xdr:to>
      <xdr:col>11</xdr:col>
      <xdr:colOff>683352</xdr:colOff>
      <xdr:row>36</xdr:row>
      <xdr:rowOff>0</xdr:rowOff>
    </xdr:to>
    <xdr:pic>
      <xdr:nvPicPr>
        <xdr:cNvPr id="1026" name="Рисунок 1025">
          <a:extLst>
            <a:ext uri="{FF2B5EF4-FFF2-40B4-BE49-F238E27FC236}">
              <a16:creationId xmlns:a16="http://schemas.microsoft.com/office/drawing/2014/main" id="{5BC9D5BD-4424-4F1C-B6C0-1B4D940EA9F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0894675"/>
          <a:ext cx="657952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36</xdr:row>
      <xdr:rowOff>25400</xdr:rowOff>
    </xdr:from>
    <xdr:to>
      <xdr:col>11</xdr:col>
      <xdr:colOff>571500</xdr:colOff>
      <xdr:row>37</xdr:row>
      <xdr:rowOff>0</xdr:rowOff>
    </xdr:to>
    <xdr:pic>
      <xdr:nvPicPr>
        <xdr:cNvPr id="1029" name="Рисунок 1028">
          <a:extLst>
            <a:ext uri="{FF2B5EF4-FFF2-40B4-BE49-F238E27FC236}">
              <a16:creationId xmlns:a16="http://schemas.microsoft.com/office/drawing/2014/main" id="{ACB6A278-3C86-44B1-B0CD-FBD8BFF7872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1466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2</xdr:col>
      <xdr:colOff>713938</xdr:colOff>
      <xdr:row>3</xdr:row>
      <xdr:rowOff>30480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86300B8A-37FC-441F-80DC-6FAF286D35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2085538" cy="510540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6</xdr:col>
          <xdr:colOff>30480</xdr:colOff>
          <xdr:row>0</xdr:row>
          <xdr:rowOff>99060</xdr:rowOff>
        </xdr:from>
        <xdr:to>
          <xdr:col>7</xdr:col>
          <xdr:colOff>502920</xdr:colOff>
          <xdr:row>2</xdr:row>
          <xdr:rowOff>99060</xdr:rowOff>
        </xdr:to>
        <xdr:sp macro="" textlink="">
          <xdr:nvSpPr>
            <xdr:cNvPr id="2052" name="Button 4" hidden="1">
              <a:extLst>
                <a:ext uri="{63B3BB69-23CF-44E3-9099-C40C66FF867C}">
                  <a14:compatExt spid="_x0000_s2052"/>
                </a:ext>
                <a:ext uri="{FF2B5EF4-FFF2-40B4-BE49-F238E27FC236}">
                  <a16:creationId xmlns:a16="http://schemas.microsoft.com/office/drawing/2014/main" id="{00000000-0008-0000-0100-000004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</xdr:spPr>
          <xdr:txBody>
            <a:bodyPr vertOverflow="clip" wrap="square" lIns="27432" tIns="22860" rIns="27432" bIns="0" anchor="t" upright="1"/>
            <a:lstStyle/>
            <a:p>
              <a:pPr algn="ctr" rtl="0">
                <a:defRPr sz="1000"/>
              </a:pPr>
              <a:r>
                <a:rPr lang="ru-KZ" sz="800" b="1" i="0" u="none" strike="noStrike" baseline="0">
                  <a:solidFill>
                    <a:srgbClr val="000000"/>
                  </a:solidFill>
                  <a:latin typeface="Arial"/>
                  <a:cs typeface="Arial"/>
                </a:rPr>
                <a:t>Очистить</a:t>
              </a:r>
            </a:p>
            <a:p>
              <a:pPr algn="ctr" rtl="0">
                <a:defRPr sz="1000"/>
              </a:pPr>
              <a:r>
                <a:rPr lang="ru-KZ" sz="800" b="1" i="0" u="none" strike="noStrike" baseline="0">
                  <a:solidFill>
                    <a:srgbClr val="000000"/>
                  </a:solidFill>
                  <a:latin typeface="Arial"/>
                  <a:cs typeface="Arial"/>
                </a:rPr>
                <a:t>заказ  на этом листе</a:t>
              </a:r>
            </a:p>
          </xdr:txBody>
        </xdr:sp>
        <xdr:clientData fLocksWithSheet="0"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6</xdr:col>
          <xdr:colOff>30480</xdr:colOff>
          <xdr:row>0</xdr:row>
          <xdr:rowOff>99060</xdr:rowOff>
        </xdr:from>
        <xdr:to>
          <xdr:col>7</xdr:col>
          <xdr:colOff>502920</xdr:colOff>
          <xdr:row>2</xdr:row>
          <xdr:rowOff>99060</xdr:rowOff>
        </xdr:to>
        <xdr:sp macro="" textlink="">
          <xdr:nvSpPr>
            <xdr:cNvPr id="2053" name="Button 5" hidden="1">
              <a:extLst>
                <a:ext uri="{63B3BB69-23CF-44E3-9099-C40C66FF867C}">
                  <a14:compatExt spid="_x0000_s2053"/>
                </a:ext>
                <a:ext uri="{FF2B5EF4-FFF2-40B4-BE49-F238E27FC236}">
                  <a16:creationId xmlns:a16="http://schemas.microsoft.com/office/drawing/2014/main" id="{00000000-0008-0000-0100-000005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</xdr:spPr>
          <xdr:txBody>
            <a:bodyPr vertOverflow="clip" wrap="square" lIns="27432" tIns="22860" rIns="27432" bIns="0" anchor="t" upright="1"/>
            <a:lstStyle/>
            <a:p>
              <a:pPr algn="ctr" rtl="0">
                <a:defRPr sz="1000"/>
              </a:pPr>
              <a:r>
                <a:rPr lang="ru-KZ" sz="800" b="1" i="0" u="none" strike="noStrike" baseline="0">
                  <a:solidFill>
                    <a:srgbClr val="000000"/>
                  </a:solidFill>
                  <a:latin typeface="Arial"/>
                  <a:cs typeface="Arial"/>
                </a:rPr>
                <a:t>Очистить</a:t>
              </a:r>
            </a:p>
            <a:p>
              <a:pPr algn="ctr" rtl="0">
                <a:defRPr sz="1000"/>
              </a:pPr>
              <a:r>
                <a:rPr lang="ru-KZ" sz="800" b="1" i="0" u="none" strike="noStrike" baseline="0">
                  <a:solidFill>
                    <a:srgbClr val="000000"/>
                  </a:solidFill>
                  <a:latin typeface="Arial"/>
                  <a:cs typeface="Arial"/>
                </a:rPr>
                <a:t>заказ  на этом листе</a:t>
              </a:r>
            </a:p>
          </xdr:txBody>
        </xdr:sp>
        <xdr:clientData fLocksWithSheet="0"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6</xdr:col>
          <xdr:colOff>30480</xdr:colOff>
          <xdr:row>0</xdr:row>
          <xdr:rowOff>99060</xdr:rowOff>
        </xdr:from>
        <xdr:to>
          <xdr:col>7</xdr:col>
          <xdr:colOff>502920</xdr:colOff>
          <xdr:row>2</xdr:row>
          <xdr:rowOff>99060</xdr:rowOff>
        </xdr:to>
        <xdr:sp macro="" textlink="">
          <xdr:nvSpPr>
            <xdr:cNvPr id="2054" name="Button 6" hidden="1">
              <a:extLst>
                <a:ext uri="{63B3BB69-23CF-44E3-9099-C40C66FF867C}">
                  <a14:compatExt spid="_x0000_s2054"/>
                </a:ext>
                <a:ext uri="{FF2B5EF4-FFF2-40B4-BE49-F238E27FC236}">
                  <a16:creationId xmlns:a16="http://schemas.microsoft.com/office/drawing/2014/main" id="{00000000-0008-0000-0100-00000608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</xdr:spPr>
          <xdr:txBody>
            <a:bodyPr vertOverflow="clip" wrap="square" lIns="27432" tIns="22860" rIns="27432" bIns="0" anchor="t" upright="1"/>
            <a:lstStyle/>
            <a:p>
              <a:pPr algn="ctr" rtl="0">
                <a:defRPr sz="1000"/>
              </a:pPr>
              <a:r>
                <a:rPr lang="ru-KZ" sz="800" b="1" i="0" u="none" strike="noStrike" baseline="0">
                  <a:solidFill>
                    <a:srgbClr val="000000"/>
                  </a:solidFill>
                  <a:latin typeface="Arial"/>
                  <a:cs typeface="Arial"/>
                </a:rPr>
                <a:t>Очистить</a:t>
              </a:r>
            </a:p>
            <a:p>
              <a:pPr algn="ctr" rtl="0">
                <a:defRPr sz="1000"/>
              </a:pPr>
              <a:r>
                <a:rPr lang="ru-KZ" sz="800" b="1" i="0" u="none" strike="noStrike" baseline="0">
                  <a:solidFill>
                    <a:srgbClr val="000000"/>
                  </a:solidFill>
                  <a:latin typeface="Arial"/>
                  <a:cs typeface="Arial"/>
                </a:rPr>
                <a:t>заказ  на этом листе</a:t>
              </a:r>
            </a:p>
          </xdr:txBody>
        </xdr:sp>
        <xdr:clientData fLocksWithSheet="0"/>
      </xdr:twoCellAnchor>
    </mc:Choice>
    <mc:Fallback/>
  </mc:AlternateContent>
  <xdr:twoCellAnchor editAs="oneCell">
    <xdr:from>
      <xdr:col>11</xdr:col>
      <xdr:colOff>25400</xdr:colOff>
      <xdr:row>8</xdr:row>
      <xdr:rowOff>25400</xdr:rowOff>
    </xdr:from>
    <xdr:to>
      <xdr:col>11</xdr:col>
      <xdr:colOff>571500</xdr:colOff>
      <xdr:row>9</xdr:row>
      <xdr:rowOff>0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BC02DE28-EA63-4270-96C4-C90C9C073E1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3749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9</xdr:row>
      <xdr:rowOff>25400</xdr:rowOff>
    </xdr:from>
    <xdr:to>
      <xdr:col>11</xdr:col>
      <xdr:colOff>571500</xdr:colOff>
      <xdr:row>10</xdr:row>
      <xdr:rowOff>0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8C59CCF2-425D-4D07-8265-21864C2CFE0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4321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10</xdr:row>
      <xdr:rowOff>25400</xdr:rowOff>
    </xdr:from>
    <xdr:to>
      <xdr:col>11</xdr:col>
      <xdr:colOff>571500</xdr:colOff>
      <xdr:row>11</xdr:row>
      <xdr:rowOff>0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24515A30-5026-48F6-8ED2-167A42862D6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4892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11</xdr:row>
      <xdr:rowOff>25400</xdr:rowOff>
    </xdr:from>
    <xdr:to>
      <xdr:col>11</xdr:col>
      <xdr:colOff>571500</xdr:colOff>
      <xdr:row>12</xdr:row>
      <xdr:rowOff>0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74E655B7-3D9D-43B3-AF43-7A030D6EB83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5464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12</xdr:row>
      <xdr:rowOff>25400</xdr:rowOff>
    </xdr:from>
    <xdr:to>
      <xdr:col>11</xdr:col>
      <xdr:colOff>571500</xdr:colOff>
      <xdr:row>13</xdr:row>
      <xdr:rowOff>0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5ABC93BF-C89E-4DE6-A78C-1D3D1B05A57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6035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13</xdr:row>
      <xdr:rowOff>25400</xdr:rowOff>
    </xdr:from>
    <xdr:to>
      <xdr:col>11</xdr:col>
      <xdr:colOff>571500</xdr:colOff>
      <xdr:row>14</xdr:row>
      <xdr:rowOff>0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BC5270CE-44DF-42B2-AB8B-62335F11262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6607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14</xdr:row>
      <xdr:rowOff>25400</xdr:rowOff>
    </xdr:from>
    <xdr:to>
      <xdr:col>11</xdr:col>
      <xdr:colOff>1019302</xdr:colOff>
      <xdr:row>15</xdr:row>
      <xdr:rowOff>0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0A697062-E74D-459D-B9D4-049B55E0992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7178675"/>
          <a:ext cx="993902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15</xdr:row>
      <xdr:rowOff>25400</xdr:rowOff>
    </xdr:from>
    <xdr:to>
      <xdr:col>11</xdr:col>
      <xdr:colOff>571500</xdr:colOff>
      <xdr:row>16</xdr:row>
      <xdr:rowOff>0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1235AD74-AB96-4D11-A99A-DE155C9D1B8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7750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16</xdr:row>
      <xdr:rowOff>25400</xdr:rowOff>
    </xdr:from>
    <xdr:to>
      <xdr:col>11</xdr:col>
      <xdr:colOff>571500</xdr:colOff>
      <xdr:row>17</xdr:row>
      <xdr:rowOff>0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CD960E5E-E6C9-464D-A8EE-BFC415AD15A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8321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17</xdr:row>
      <xdr:rowOff>25400</xdr:rowOff>
    </xdr:from>
    <xdr:to>
      <xdr:col>11</xdr:col>
      <xdr:colOff>571500</xdr:colOff>
      <xdr:row>18</xdr:row>
      <xdr:rowOff>0</xdr:rowOff>
    </xdr:to>
    <xdr:pic>
      <xdr:nvPicPr>
        <xdr:cNvPr id="22" name="Рисунок 21">
          <a:extLst>
            <a:ext uri="{FF2B5EF4-FFF2-40B4-BE49-F238E27FC236}">
              <a16:creationId xmlns:a16="http://schemas.microsoft.com/office/drawing/2014/main" id="{C0C0F1D2-0F42-434B-8F40-451909D9EC1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8893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18</xdr:row>
      <xdr:rowOff>25400</xdr:rowOff>
    </xdr:from>
    <xdr:to>
      <xdr:col>11</xdr:col>
      <xdr:colOff>716666</xdr:colOff>
      <xdr:row>19</xdr:row>
      <xdr:rowOff>0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8DC2B7AF-28D4-4241-8559-685CAD1A876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9464675"/>
          <a:ext cx="691266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19</xdr:row>
      <xdr:rowOff>25400</xdr:rowOff>
    </xdr:from>
    <xdr:to>
      <xdr:col>11</xdr:col>
      <xdr:colOff>571500</xdr:colOff>
      <xdr:row>20</xdr:row>
      <xdr:rowOff>0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533EC5AC-9583-4CD7-9243-51B5051117D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0036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20</xdr:row>
      <xdr:rowOff>25400</xdr:rowOff>
    </xdr:from>
    <xdr:to>
      <xdr:col>11</xdr:col>
      <xdr:colOff>571500</xdr:colOff>
      <xdr:row>21</xdr:row>
      <xdr:rowOff>0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id="{D23C94A5-F735-46B3-BF44-112F37F1FA9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0607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21</xdr:row>
      <xdr:rowOff>25400</xdr:rowOff>
    </xdr:from>
    <xdr:to>
      <xdr:col>11</xdr:col>
      <xdr:colOff>331216</xdr:colOff>
      <xdr:row>22</xdr:row>
      <xdr:rowOff>0</xdr:rowOff>
    </xdr:to>
    <xdr:pic>
      <xdr:nvPicPr>
        <xdr:cNvPr id="30" name="Рисунок 29">
          <a:extLst>
            <a:ext uri="{FF2B5EF4-FFF2-40B4-BE49-F238E27FC236}">
              <a16:creationId xmlns:a16="http://schemas.microsoft.com/office/drawing/2014/main" id="{53AB2409-D0E6-4816-9D49-B807A40C974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1179175"/>
          <a:ext cx="305816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22</xdr:row>
      <xdr:rowOff>25400</xdr:rowOff>
    </xdr:from>
    <xdr:to>
      <xdr:col>11</xdr:col>
      <xdr:colOff>298450</xdr:colOff>
      <xdr:row>23</xdr:row>
      <xdr:rowOff>0</xdr:rowOff>
    </xdr:to>
    <xdr:pic>
      <xdr:nvPicPr>
        <xdr:cNvPr id="32" name="Рисунок 31">
          <a:extLst>
            <a:ext uri="{FF2B5EF4-FFF2-40B4-BE49-F238E27FC236}">
              <a16:creationId xmlns:a16="http://schemas.microsoft.com/office/drawing/2014/main" id="{71F0C24F-1678-448F-B24B-737B988939B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1750675"/>
          <a:ext cx="27305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23</xdr:row>
      <xdr:rowOff>25400</xdr:rowOff>
    </xdr:from>
    <xdr:to>
      <xdr:col>11</xdr:col>
      <xdr:colOff>336677</xdr:colOff>
      <xdr:row>24</xdr:row>
      <xdr:rowOff>0</xdr:rowOff>
    </xdr:to>
    <xdr:pic>
      <xdr:nvPicPr>
        <xdr:cNvPr id="34" name="Рисунок 33">
          <a:extLst>
            <a:ext uri="{FF2B5EF4-FFF2-40B4-BE49-F238E27FC236}">
              <a16:creationId xmlns:a16="http://schemas.microsoft.com/office/drawing/2014/main" id="{57FC0006-C960-4124-A008-CF259D38EFB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2322175"/>
          <a:ext cx="311277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24</xdr:row>
      <xdr:rowOff>25400</xdr:rowOff>
    </xdr:from>
    <xdr:to>
      <xdr:col>11</xdr:col>
      <xdr:colOff>571500</xdr:colOff>
      <xdr:row>25</xdr:row>
      <xdr:rowOff>0</xdr:rowOff>
    </xdr:to>
    <xdr:pic>
      <xdr:nvPicPr>
        <xdr:cNvPr id="36" name="Рисунок 35">
          <a:extLst>
            <a:ext uri="{FF2B5EF4-FFF2-40B4-BE49-F238E27FC236}">
              <a16:creationId xmlns:a16="http://schemas.microsoft.com/office/drawing/2014/main" id="{C064C92E-0214-4EEC-91BE-A31EC939D1B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2893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25</xdr:row>
      <xdr:rowOff>25400</xdr:rowOff>
    </xdr:from>
    <xdr:to>
      <xdr:col>11</xdr:col>
      <xdr:colOff>353060</xdr:colOff>
      <xdr:row>26</xdr:row>
      <xdr:rowOff>0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id="{A691ABE8-F731-4B01-A419-AA44CF32B88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3465175"/>
          <a:ext cx="32766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26</xdr:row>
      <xdr:rowOff>25400</xdr:rowOff>
    </xdr:from>
    <xdr:to>
      <xdr:col>11</xdr:col>
      <xdr:colOff>571500</xdr:colOff>
      <xdr:row>27</xdr:row>
      <xdr:rowOff>0</xdr:rowOff>
    </xdr:to>
    <xdr:pic>
      <xdr:nvPicPr>
        <xdr:cNvPr id="40" name="Рисунок 39">
          <a:extLst>
            <a:ext uri="{FF2B5EF4-FFF2-40B4-BE49-F238E27FC236}">
              <a16:creationId xmlns:a16="http://schemas.microsoft.com/office/drawing/2014/main" id="{C3CAD8AB-C6DC-4C17-BC5D-A715B260DF7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4036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27</xdr:row>
      <xdr:rowOff>25400</xdr:rowOff>
    </xdr:from>
    <xdr:to>
      <xdr:col>11</xdr:col>
      <xdr:colOff>571500</xdr:colOff>
      <xdr:row>28</xdr:row>
      <xdr:rowOff>0</xdr:rowOff>
    </xdr:to>
    <xdr:pic>
      <xdr:nvPicPr>
        <xdr:cNvPr id="42" name="Рисунок 41">
          <a:extLst>
            <a:ext uri="{FF2B5EF4-FFF2-40B4-BE49-F238E27FC236}">
              <a16:creationId xmlns:a16="http://schemas.microsoft.com/office/drawing/2014/main" id="{5CA6764F-70A6-4877-B6FB-CA5F89A896F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4608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28</xdr:row>
      <xdr:rowOff>25400</xdr:rowOff>
    </xdr:from>
    <xdr:to>
      <xdr:col>11</xdr:col>
      <xdr:colOff>571500</xdr:colOff>
      <xdr:row>29</xdr:row>
      <xdr:rowOff>0</xdr:rowOff>
    </xdr:to>
    <xdr:pic>
      <xdr:nvPicPr>
        <xdr:cNvPr id="44" name="Рисунок 43">
          <a:extLst>
            <a:ext uri="{FF2B5EF4-FFF2-40B4-BE49-F238E27FC236}">
              <a16:creationId xmlns:a16="http://schemas.microsoft.com/office/drawing/2014/main" id="{3909E918-9B9E-4A5B-AC59-7489B0E8A59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5179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29</xdr:row>
      <xdr:rowOff>25400</xdr:rowOff>
    </xdr:from>
    <xdr:to>
      <xdr:col>11</xdr:col>
      <xdr:colOff>571500</xdr:colOff>
      <xdr:row>30</xdr:row>
      <xdr:rowOff>0</xdr:rowOff>
    </xdr:to>
    <xdr:pic>
      <xdr:nvPicPr>
        <xdr:cNvPr id="46" name="Рисунок 45">
          <a:extLst>
            <a:ext uri="{FF2B5EF4-FFF2-40B4-BE49-F238E27FC236}">
              <a16:creationId xmlns:a16="http://schemas.microsoft.com/office/drawing/2014/main" id="{DD430C2D-6F18-43C4-8DC2-61E7E3A41E3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5751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30</xdr:row>
      <xdr:rowOff>25400</xdr:rowOff>
    </xdr:from>
    <xdr:to>
      <xdr:col>11</xdr:col>
      <xdr:colOff>571500</xdr:colOff>
      <xdr:row>31</xdr:row>
      <xdr:rowOff>0</xdr:rowOff>
    </xdr:to>
    <xdr:pic>
      <xdr:nvPicPr>
        <xdr:cNvPr id="48" name="Рисунок 47">
          <a:extLst>
            <a:ext uri="{FF2B5EF4-FFF2-40B4-BE49-F238E27FC236}">
              <a16:creationId xmlns:a16="http://schemas.microsoft.com/office/drawing/2014/main" id="{F9B380B0-D8D3-4AC7-913F-D1B5BF7D30B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6322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31</xdr:row>
      <xdr:rowOff>25400</xdr:rowOff>
    </xdr:from>
    <xdr:to>
      <xdr:col>11</xdr:col>
      <xdr:colOff>571500</xdr:colOff>
      <xdr:row>32</xdr:row>
      <xdr:rowOff>0</xdr:rowOff>
    </xdr:to>
    <xdr:pic>
      <xdr:nvPicPr>
        <xdr:cNvPr id="50" name="Рисунок 49">
          <a:extLst>
            <a:ext uri="{FF2B5EF4-FFF2-40B4-BE49-F238E27FC236}">
              <a16:creationId xmlns:a16="http://schemas.microsoft.com/office/drawing/2014/main" id="{4700FF17-20C5-4A0C-A120-11AF5706D1A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6894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32</xdr:row>
      <xdr:rowOff>25400</xdr:rowOff>
    </xdr:from>
    <xdr:to>
      <xdr:col>11</xdr:col>
      <xdr:colOff>571500</xdr:colOff>
      <xdr:row>33</xdr:row>
      <xdr:rowOff>0</xdr:rowOff>
    </xdr:to>
    <xdr:pic>
      <xdr:nvPicPr>
        <xdr:cNvPr id="52" name="Рисунок 51">
          <a:extLst>
            <a:ext uri="{FF2B5EF4-FFF2-40B4-BE49-F238E27FC236}">
              <a16:creationId xmlns:a16="http://schemas.microsoft.com/office/drawing/2014/main" id="{9B8962C5-68F9-4103-B48E-93F6F6205FD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7465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33</xdr:row>
      <xdr:rowOff>25400</xdr:rowOff>
    </xdr:from>
    <xdr:to>
      <xdr:col>11</xdr:col>
      <xdr:colOff>445897</xdr:colOff>
      <xdr:row>34</xdr:row>
      <xdr:rowOff>0</xdr:rowOff>
    </xdr:to>
    <xdr:pic>
      <xdr:nvPicPr>
        <xdr:cNvPr id="54" name="Рисунок 53">
          <a:extLst>
            <a:ext uri="{FF2B5EF4-FFF2-40B4-BE49-F238E27FC236}">
              <a16:creationId xmlns:a16="http://schemas.microsoft.com/office/drawing/2014/main" id="{359F018D-7D2D-484A-8796-80E07BA2327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8037175"/>
          <a:ext cx="420497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34</xdr:row>
      <xdr:rowOff>25400</xdr:rowOff>
    </xdr:from>
    <xdr:to>
      <xdr:col>11</xdr:col>
      <xdr:colOff>699598</xdr:colOff>
      <xdr:row>35</xdr:row>
      <xdr:rowOff>0</xdr:rowOff>
    </xdr:to>
    <xdr:pic>
      <xdr:nvPicPr>
        <xdr:cNvPr id="56" name="Рисунок 55">
          <a:extLst>
            <a:ext uri="{FF2B5EF4-FFF2-40B4-BE49-F238E27FC236}">
              <a16:creationId xmlns:a16="http://schemas.microsoft.com/office/drawing/2014/main" id="{0C8CBF55-FE96-4669-B97E-8852AE21DD3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8608675"/>
          <a:ext cx="674198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35</xdr:row>
      <xdr:rowOff>25400</xdr:rowOff>
    </xdr:from>
    <xdr:to>
      <xdr:col>11</xdr:col>
      <xdr:colOff>699598</xdr:colOff>
      <xdr:row>36</xdr:row>
      <xdr:rowOff>0</xdr:rowOff>
    </xdr:to>
    <xdr:pic>
      <xdr:nvPicPr>
        <xdr:cNvPr id="58" name="Рисунок 57">
          <a:extLst>
            <a:ext uri="{FF2B5EF4-FFF2-40B4-BE49-F238E27FC236}">
              <a16:creationId xmlns:a16="http://schemas.microsoft.com/office/drawing/2014/main" id="{DD40DD21-737A-471E-833B-58D1029CA25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9180175"/>
          <a:ext cx="674198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36</xdr:row>
      <xdr:rowOff>25400</xdr:rowOff>
    </xdr:from>
    <xdr:to>
      <xdr:col>11</xdr:col>
      <xdr:colOff>699598</xdr:colOff>
      <xdr:row>37</xdr:row>
      <xdr:rowOff>0</xdr:rowOff>
    </xdr:to>
    <xdr:pic>
      <xdr:nvPicPr>
        <xdr:cNvPr id="60" name="Рисунок 59">
          <a:extLst>
            <a:ext uri="{FF2B5EF4-FFF2-40B4-BE49-F238E27FC236}">
              <a16:creationId xmlns:a16="http://schemas.microsoft.com/office/drawing/2014/main" id="{E63A0278-33CC-4244-8DE4-305686E3793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9751675"/>
          <a:ext cx="674198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37</xdr:row>
      <xdr:rowOff>25400</xdr:rowOff>
    </xdr:from>
    <xdr:to>
      <xdr:col>11</xdr:col>
      <xdr:colOff>699598</xdr:colOff>
      <xdr:row>38</xdr:row>
      <xdr:rowOff>0</xdr:rowOff>
    </xdr:to>
    <xdr:pic>
      <xdr:nvPicPr>
        <xdr:cNvPr id="62" name="Рисунок 61">
          <a:extLst>
            <a:ext uri="{FF2B5EF4-FFF2-40B4-BE49-F238E27FC236}">
              <a16:creationId xmlns:a16="http://schemas.microsoft.com/office/drawing/2014/main" id="{CDFFCCD7-F373-445D-9193-8DA02879F7A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0323175"/>
          <a:ext cx="674198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38</xdr:row>
      <xdr:rowOff>25400</xdr:rowOff>
    </xdr:from>
    <xdr:to>
      <xdr:col>11</xdr:col>
      <xdr:colOff>699598</xdr:colOff>
      <xdr:row>39</xdr:row>
      <xdr:rowOff>0</xdr:rowOff>
    </xdr:to>
    <xdr:pic>
      <xdr:nvPicPr>
        <xdr:cNvPr id="2048" name="Рисунок 2047">
          <a:extLst>
            <a:ext uri="{FF2B5EF4-FFF2-40B4-BE49-F238E27FC236}">
              <a16:creationId xmlns:a16="http://schemas.microsoft.com/office/drawing/2014/main" id="{1E964930-608A-4D51-B6EA-B2AFD1E0841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0894675"/>
          <a:ext cx="674198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39</xdr:row>
      <xdr:rowOff>25400</xdr:rowOff>
    </xdr:from>
    <xdr:to>
      <xdr:col>11</xdr:col>
      <xdr:colOff>571500</xdr:colOff>
      <xdr:row>40</xdr:row>
      <xdr:rowOff>0</xdr:rowOff>
    </xdr:to>
    <xdr:pic>
      <xdr:nvPicPr>
        <xdr:cNvPr id="2050" name="Рисунок 2049">
          <a:extLst>
            <a:ext uri="{FF2B5EF4-FFF2-40B4-BE49-F238E27FC236}">
              <a16:creationId xmlns:a16="http://schemas.microsoft.com/office/drawing/2014/main" id="{ED8EED04-0CB4-46FB-8203-364410ED608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1466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40</xdr:row>
      <xdr:rowOff>25400</xdr:rowOff>
    </xdr:from>
    <xdr:to>
      <xdr:col>11</xdr:col>
      <xdr:colOff>571500</xdr:colOff>
      <xdr:row>41</xdr:row>
      <xdr:rowOff>0</xdr:rowOff>
    </xdr:to>
    <xdr:pic>
      <xdr:nvPicPr>
        <xdr:cNvPr id="2055" name="Рисунок 2054">
          <a:extLst>
            <a:ext uri="{FF2B5EF4-FFF2-40B4-BE49-F238E27FC236}">
              <a16:creationId xmlns:a16="http://schemas.microsoft.com/office/drawing/2014/main" id="{5D3ADB8D-C3CF-46E5-9BEA-0D67C60BB19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2037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41</xdr:row>
      <xdr:rowOff>25400</xdr:rowOff>
    </xdr:from>
    <xdr:to>
      <xdr:col>11</xdr:col>
      <xdr:colOff>725528</xdr:colOff>
      <xdr:row>42</xdr:row>
      <xdr:rowOff>0</xdr:rowOff>
    </xdr:to>
    <xdr:pic>
      <xdr:nvPicPr>
        <xdr:cNvPr id="2057" name="Рисунок 2056">
          <a:extLst>
            <a:ext uri="{FF2B5EF4-FFF2-40B4-BE49-F238E27FC236}">
              <a16:creationId xmlns:a16="http://schemas.microsoft.com/office/drawing/2014/main" id="{956AB1DB-E7D5-4A51-8AED-0EDCF013E37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2609175"/>
          <a:ext cx="700128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42</xdr:row>
      <xdr:rowOff>25400</xdr:rowOff>
    </xdr:from>
    <xdr:to>
      <xdr:col>11</xdr:col>
      <xdr:colOff>571500</xdr:colOff>
      <xdr:row>43</xdr:row>
      <xdr:rowOff>0</xdr:rowOff>
    </xdr:to>
    <xdr:pic>
      <xdr:nvPicPr>
        <xdr:cNvPr id="2059" name="Рисунок 2058">
          <a:extLst>
            <a:ext uri="{FF2B5EF4-FFF2-40B4-BE49-F238E27FC236}">
              <a16:creationId xmlns:a16="http://schemas.microsoft.com/office/drawing/2014/main" id="{6398C39D-F15A-45FF-A0C5-48B6B74B838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3180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43</xdr:row>
      <xdr:rowOff>25400</xdr:rowOff>
    </xdr:from>
    <xdr:to>
      <xdr:col>11</xdr:col>
      <xdr:colOff>571500</xdr:colOff>
      <xdr:row>44</xdr:row>
      <xdr:rowOff>0</xdr:rowOff>
    </xdr:to>
    <xdr:pic>
      <xdr:nvPicPr>
        <xdr:cNvPr id="2061" name="Рисунок 2060">
          <a:extLst>
            <a:ext uri="{FF2B5EF4-FFF2-40B4-BE49-F238E27FC236}">
              <a16:creationId xmlns:a16="http://schemas.microsoft.com/office/drawing/2014/main" id="{297D7DA6-CF02-4075-96FE-693523F83A4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3752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44</xdr:row>
      <xdr:rowOff>25400</xdr:rowOff>
    </xdr:from>
    <xdr:to>
      <xdr:col>11</xdr:col>
      <xdr:colOff>571500</xdr:colOff>
      <xdr:row>45</xdr:row>
      <xdr:rowOff>0</xdr:rowOff>
    </xdr:to>
    <xdr:pic>
      <xdr:nvPicPr>
        <xdr:cNvPr id="2063" name="Рисунок 2062">
          <a:extLst>
            <a:ext uri="{FF2B5EF4-FFF2-40B4-BE49-F238E27FC236}">
              <a16:creationId xmlns:a16="http://schemas.microsoft.com/office/drawing/2014/main" id="{B3E3C4E3-1653-4D72-B069-B6E4D3185DC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4323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45</xdr:row>
      <xdr:rowOff>25400</xdr:rowOff>
    </xdr:from>
    <xdr:to>
      <xdr:col>11</xdr:col>
      <xdr:colOff>571500</xdr:colOff>
      <xdr:row>46</xdr:row>
      <xdr:rowOff>0</xdr:rowOff>
    </xdr:to>
    <xdr:pic>
      <xdr:nvPicPr>
        <xdr:cNvPr id="2065" name="Рисунок 2064">
          <a:extLst>
            <a:ext uri="{FF2B5EF4-FFF2-40B4-BE49-F238E27FC236}">
              <a16:creationId xmlns:a16="http://schemas.microsoft.com/office/drawing/2014/main" id="{06FDEF09-440F-4B6A-9826-F7EA074F36A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4895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46</xdr:row>
      <xdr:rowOff>25400</xdr:rowOff>
    </xdr:from>
    <xdr:to>
      <xdr:col>11</xdr:col>
      <xdr:colOff>571500</xdr:colOff>
      <xdr:row>47</xdr:row>
      <xdr:rowOff>0</xdr:rowOff>
    </xdr:to>
    <xdr:pic>
      <xdr:nvPicPr>
        <xdr:cNvPr id="2067" name="Рисунок 2066">
          <a:extLst>
            <a:ext uri="{FF2B5EF4-FFF2-40B4-BE49-F238E27FC236}">
              <a16:creationId xmlns:a16="http://schemas.microsoft.com/office/drawing/2014/main" id="{E226BC75-991F-48F3-B9F3-0B6E45BFFF7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5466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47</xdr:row>
      <xdr:rowOff>25400</xdr:rowOff>
    </xdr:from>
    <xdr:to>
      <xdr:col>11</xdr:col>
      <xdr:colOff>571500</xdr:colOff>
      <xdr:row>48</xdr:row>
      <xdr:rowOff>0</xdr:rowOff>
    </xdr:to>
    <xdr:pic>
      <xdr:nvPicPr>
        <xdr:cNvPr id="2069" name="Рисунок 2068">
          <a:extLst>
            <a:ext uri="{FF2B5EF4-FFF2-40B4-BE49-F238E27FC236}">
              <a16:creationId xmlns:a16="http://schemas.microsoft.com/office/drawing/2014/main" id="{E03FB79A-F7C5-47A5-8A03-8B3DA4F81F6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6038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48</xdr:row>
      <xdr:rowOff>25400</xdr:rowOff>
    </xdr:from>
    <xdr:to>
      <xdr:col>11</xdr:col>
      <xdr:colOff>571500</xdr:colOff>
      <xdr:row>49</xdr:row>
      <xdr:rowOff>0</xdr:rowOff>
    </xdr:to>
    <xdr:pic>
      <xdr:nvPicPr>
        <xdr:cNvPr id="2071" name="Рисунок 2070">
          <a:extLst>
            <a:ext uri="{FF2B5EF4-FFF2-40B4-BE49-F238E27FC236}">
              <a16:creationId xmlns:a16="http://schemas.microsoft.com/office/drawing/2014/main" id="{43B53F47-A151-4EA2-B57A-9D9F6164E1B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6609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49</xdr:row>
      <xdr:rowOff>25400</xdr:rowOff>
    </xdr:from>
    <xdr:to>
      <xdr:col>11</xdr:col>
      <xdr:colOff>571500</xdr:colOff>
      <xdr:row>50</xdr:row>
      <xdr:rowOff>0</xdr:rowOff>
    </xdr:to>
    <xdr:pic>
      <xdr:nvPicPr>
        <xdr:cNvPr id="2073" name="Рисунок 2072">
          <a:extLst>
            <a:ext uri="{FF2B5EF4-FFF2-40B4-BE49-F238E27FC236}">
              <a16:creationId xmlns:a16="http://schemas.microsoft.com/office/drawing/2014/main" id="{A9C262D2-73DF-4926-9266-42190D67363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7181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50</xdr:row>
      <xdr:rowOff>25400</xdr:rowOff>
    </xdr:from>
    <xdr:to>
      <xdr:col>11</xdr:col>
      <xdr:colOff>571500</xdr:colOff>
      <xdr:row>51</xdr:row>
      <xdr:rowOff>0</xdr:rowOff>
    </xdr:to>
    <xdr:pic>
      <xdr:nvPicPr>
        <xdr:cNvPr id="2075" name="Рисунок 2074">
          <a:extLst>
            <a:ext uri="{FF2B5EF4-FFF2-40B4-BE49-F238E27FC236}">
              <a16:creationId xmlns:a16="http://schemas.microsoft.com/office/drawing/2014/main" id="{C5C6A7BA-2976-4311-A683-667ABF6A649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7752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51</xdr:row>
      <xdr:rowOff>25400</xdr:rowOff>
    </xdr:from>
    <xdr:to>
      <xdr:col>11</xdr:col>
      <xdr:colOff>865554</xdr:colOff>
      <xdr:row>52</xdr:row>
      <xdr:rowOff>0</xdr:rowOff>
    </xdr:to>
    <xdr:pic>
      <xdr:nvPicPr>
        <xdr:cNvPr id="2077" name="Рисунок 2076">
          <a:extLst>
            <a:ext uri="{FF2B5EF4-FFF2-40B4-BE49-F238E27FC236}">
              <a16:creationId xmlns:a16="http://schemas.microsoft.com/office/drawing/2014/main" id="{A2B08AC3-EE50-46A8-A76F-F2C439893C0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8324175"/>
          <a:ext cx="840154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52</xdr:row>
      <xdr:rowOff>25400</xdr:rowOff>
    </xdr:from>
    <xdr:to>
      <xdr:col>11</xdr:col>
      <xdr:colOff>892225</xdr:colOff>
      <xdr:row>53</xdr:row>
      <xdr:rowOff>0</xdr:rowOff>
    </xdr:to>
    <xdr:pic>
      <xdr:nvPicPr>
        <xdr:cNvPr id="2079" name="Рисунок 2078">
          <a:extLst>
            <a:ext uri="{FF2B5EF4-FFF2-40B4-BE49-F238E27FC236}">
              <a16:creationId xmlns:a16="http://schemas.microsoft.com/office/drawing/2014/main" id="{99BE7527-DE08-4DAE-BB48-0BE80D6757A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8895675"/>
          <a:ext cx="866825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53</xdr:row>
      <xdr:rowOff>25400</xdr:rowOff>
    </xdr:from>
    <xdr:to>
      <xdr:col>11</xdr:col>
      <xdr:colOff>571500</xdr:colOff>
      <xdr:row>54</xdr:row>
      <xdr:rowOff>0</xdr:rowOff>
    </xdr:to>
    <xdr:pic>
      <xdr:nvPicPr>
        <xdr:cNvPr id="2081" name="Рисунок 2080">
          <a:extLst>
            <a:ext uri="{FF2B5EF4-FFF2-40B4-BE49-F238E27FC236}">
              <a16:creationId xmlns:a16="http://schemas.microsoft.com/office/drawing/2014/main" id="{B754588A-0972-4D39-B88B-6286F93D408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9467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54</xdr:row>
      <xdr:rowOff>25400</xdr:rowOff>
    </xdr:from>
    <xdr:to>
      <xdr:col>11</xdr:col>
      <xdr:colOff>571500</xdr:colOff>
      <xdr:row>55</xdr:row>
      <xdr:rowOff>0</xdr:rowOff>
    </xdr:to>
    <xdr:pic>
      <xdr:nvPicPr>
        <xdr:cNvPr id="2083" name="Рисунок 2082">
          <a:extLst>
            <a:ext uri="{FF2B5EF4-FFF2-40B4-BE49-F238E27FC236}">
              <a16:creationId xmlns:a16="http://schemas.microsoft.com/office/drawing/2014/main" id="{9A8305C1-C292-42C0-A58D-45B19644C8A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30038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55</xdr:row>
      <xdr:rowOff>25400</xdr:rowOff>
    </xdr:from>
    <xdr:to>
      <xdr:col>11</xdr:col>
      <xdr:colOff>571500</xdr:colOff>
      <xdr:row>56</xdr:row>
      <xdr:rowOff>0</xdr:rowOff>
    </xdr:to>
    <xdr:pic>
      <xdr:nvPicPr>
        <xdr:cNvPr id="2085" name="Рисунок 2084">
          <a:extLst>
            <a:ext uri="{FF2B5EF4-FFF2-40B4-BE49-F238E27FC236}">
              <a16:creationId xmlns:a16="http://schemas.microsoft.com/office/drawing/2014/main" id="{0D596A29-6F41-442D-85F4-B7B3ADD4ECB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30610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56</xdr:row>
      <xdr:rowOff>25400</xdr:rowOff>
    </xdr:from>
    <xdr:to>
      <xdr:col>11</xdr:col>
      <xdr:colOff>571500</xdr:colOff>
      <xdr:row>57</xdr:row>
      <xdr:rowOff>0</xdr:rowOff>
    </xdr:to>
    <xdr:pic>
      <xdr:nvPicPr>
        <xdr:cNvPr id="2087" name="Рисунок 2086">
          <a:extLst>
            <a:ext uri="{FF2B5EF4-FFF2-40B4-BE49-F238E27FC236}">
              <a16:creationId xmlns:a16="http://schemas.microsoft.com/office/drawing/2014/main" id="{88D611B7-12F4-4F3C-9DB8-FE7441435E3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31181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57</xdr:row>
      <xdr:rowOff>25400</xdr:rowOff>
    </xdr:from>
    <xdr:to>
      <xdr:col>11</xdr:col>
      <xdr:colOff>571500</xdr:colOff>
      <xdr:row>58</xdr:row>
      <xdr:rowOff>0</xdr:rowOff>
    </xdr:to>
    <xdr:pic>
      <xdr:nvPicPr>
        <xdr:cNvPr id="2089" name="Рисунок 2088">
          <a:extLst>
            <a:ext uri="{FF2B5EF4-FFF2-40B4-BE49-F238E27FC236}">
              <a16:creationId xmlns:a16="http://schemas.microsoft.com/office/drawing/2014/main" id="{8F1BEA53-3FFC-4CF3-AC3D-DDB3DE8EBE0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31753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58</xdr:row>
      <xdr:rowOff>25400</xdr:rowOff>
    </xdr:from>
    <xdr:to>
      <xdr:col>11</xdr:col>
      <xdr:colOff>571500</xdr:colOff>
      <xdr:row>59</xdr:row>
      <xdr:rowOff>0</xdr:rowOff>
    </xdr:to>
    <xdr:pic>
      <xdr:nvPicPr>
        <xdr:cNvPr id="2091" name="Рисунок 2090">
          <a:extLst>
            <a:ext uri="{FF2B5EF4-FFF2-40B4-BE49-F238E27FC236}">
              <a16:creationId xmlns:a16="http://schemas.microsoft.com/office/drawing/2014/main" id="{F046EBF9-D191-42EC-80FF-312384B7590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32324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59</xdr:row>
      <xdr:rowOff>25400</xdr:rowOff>
    </xdr:from>
    <xdr:to>
      <xdr:col>11</xdr:col>
      <xdr:colOff>571500</xdr:colOff>
      <xdr:row>60</xdr:row>
      <xdr:rowOff>0</xdr:rowOff>
    </xdr:to>
    <xdr:pic>
      <xdr:nvPicPr>
        <xdr:cNvPr id="2093" name="Рисунок 2092">
          <a:extLst>
            <a:ext uri="{FF2B5EF4-FFF2-40B4-BE49-F238E27FC236}">
              <a16:creationId xmlns:a16="http://schemas.microsoft.com/office/drawing/2014/main" id="{9A6E33E7-49E2-4742-B02C-A9EF57E4B4F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32896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60</xdr:row>
      <xdr:rowOff>25400</xdr:rowOff>
    </xdr:from>
    <xdr:to>
      <xdr:col>11</xdr:col>
      <xdr:colOff>571500</xdr:colOff>
      <xdr:row>61</xdr:row>
      <xdr:rowOff>0</xdr:rowOff>
    </xdr:to>
    <xdr:pic>
      <xdr:nvPicPr>
        <xdr:cNvPr id="2095" name="Рисунок 2094">
          <a:extLst>
            <a:ext uri="{FF2B5EF4-FFF2-40B4-BE49-F238E27FC236}">
              <a16:creationId xmlns:a16="http://schemas.microsoft.com/office/drawing/2014/main" id="{C3EDE700-D84C-4908-B34D-A522EF7B38B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33467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61</xdr:row>
      <xdr:rowOff>25400</xdr:rowOff>
    </xdr:from>
    <xdr:to>
      <xdr:col>11</xdr:col>
      <xdr:colOff>571500</xdr:colOff>
      <xdr:row>62</xdr:row>
      <xdr:rowOff>0</xdr:rowOff>
    </xdr:to>
    <xdr:pic>
      <xdr:nvPicPr>
        <xdr:cNvPr id="2097" name="Рисунок 2096">
          <a:extLst>
            <a:ext uri="{FF2B5EF4-FFF2-40B4-BE49-F238E27FC236}">
              <a16:creationId xmlns:a16="http://schemas.microsoft.com/office/drawing/2014/main" id="{F1BBFAFF-2987-46C0-900B-E216ADFA010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34039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62</xdr:row>
      <xdr:rowOff>25400</xdr:rowOff>
    </xdr:from>
    <xdr:to>
      <xdr:col>11</xdr:col>
      <xdr:colOff>571500</xdr:colOff>
      <xdr:row>63</xdr:row>
      <xdr:rowOff>0</xdr:rowOff>
    </xdr:to>
    <xdr:pic>
      <xdr:nvPicPr>
        <xdr:cNvPr id="2099" name="Рисунок 2098">
          <a:extLst>
            <a:ext uri="{FF2B5EF4-FFF2-40B4-BE49-F238E27FC236}">
              <a16:creationId xmlns:a16="http://schemas.microsoft.com/office/drawing/2014/main" id="{2A4E33E9-DCF2-4A7A-9071-354DFFFAEDC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34610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63</xdr:row>
      <xdr:rowOff>25400</xdr:rowOff>
    </xdr:from>
    <xdr:to>
      <xdr:col>11</xdr:col>
      <xdr:colOff>571500</xdr:colOff>
      <xdr:row>64</xdr:row>
      <xdr:rowOff>0</xdr:rowOff>
    </xdr:to>
    <xdr:pic>
      <xdr:nvPicPr>
        <xdr:cNvPr id="2101" name="Рисунок 2100">
          <a:extLst>
            <a:ext uri="{FF2B5EF4-FFF2-40B4-BE49-F238E27FC236}">
              <a16:creationId xmlns:a16="http://schemas.microsoft.com/office/drawing/2014/main" id="{C1E6AA09-C716-43A1-815B-4CF70F56FCC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35182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64</xdr:row>
      <xdr:rowOff>25400</xdr:rowOff>
    </xdr:from>
    <xdr:to>
      <xdr:col>11</xdr:col>
      <xdr:colOff>571500</xdr:colOff>
      <xdr:row>65</xdr:row>
      <xdr:rowOff>0</xdr:rowOff>
    </xdr:to>
    <xdr:pic>
      <xdr:nvPicPr>
        <xdr:cNvPr id="2103" name="Рисунок 2102">
          <a:extLst>
            <a:ext uri="{FF2B5EF4-FFF2-40B4-BE49-F238E27FC236}">
              <a16:creationId xmlns:a16="http://schemas.microsoft.com/office/drawing/2014/main" id="{40098D9E-9631-40E4-99D2-3264F3BFA99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35753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65</xdr:row>
      <xdr:rowOff>25400</xdr:rowOff>
    </xdr:from>
    <xdr:to>
      <xdr:col>11</xdr:col>
      <xdr:colOff>571500</xdr:colOff>
      <xdr:row>66</xdr:row>
      <xdr:rowOff>0</xdr:rowOff>
    </xdr:to>
    <xdr:pic>
      <xdr:nvPicPr>
        <xdr:cNvPr id="2105" name="Рисунок 2104">
          <a:extLst>
            <a:ext uri="{FF2B5EF4-FFF2-40B4-BE49-F238E27FC236}">
              <a16:creationId xmlns:a16="http://schemas.microsoft.com/office/drawing/2014/main" id="{E9FCB9EB-1EDE-4147-83B3-7E275CE9870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36325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66</xdr:row>
      <xdr:rowOff>25400</xdr:rowOff>
    </xdr:from>
    <xdr:to>
      <xdr:col>11</xdr:col>
      <xdr:colOff>571500</xdr:colOff>
      <xdr:row>67</xdr:row>
      <xdr:rowOff>0</xdr:rowOff>
    </xdr:to>
    <xdr:pic>
      <xdr:nvPicPr>
        <xdr:cNvPr id="2107" name="Рисунок 2106">
          <a:extLst>
            <a:ext uri="{FF2B5EF4-FFF2-40B4-BE49-F238E27FC236}">
              <a16:creationId xmlns:a16="http://schemas.microsoft.com/office/drawing/2014/main" id="{04AB73B8-B8D2-4D5F-BD8F-B38DC6BAA52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36896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67</xdr:row>
      <xdr:rowOff>25400</xdr:rowOff>
    </xdr:from>
    <xdr:to>
      <xdr:col>11</xdr:col>
      <xdr:colOff>571500</xdr:colOff>
      <xdr:row>68</xdr:row>
      <xdr:rowOff>0</xdr:rowOff>
    </xdr:to>
    <xdr:pic>
      <xdr:nvPicPr>
        <xdr:cNvPr id="2109" name="Рисунок 2108">
          <a:extLst>
            <a:ext uri="{FF2B5EF4-FFF2-40B4-BE49-F238E27FC236}">
              <a16:creationId xmlns:a16="http://schemas.microsoft.com/office/drawing/2014/main" id="{8EF70F92-A6C0-46DD-99C9-836B2AE3883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37468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68</xdr:row>
      <xdr:rowOff>25400</xdr:rowOff>
    </xdr:from>
    <xdr:to>
      <xdr:col>11</xdr:col>
      <xdr:colOff>1187315</xdr:colOff>
      <xdr:row>69</xdr:row>
      <xdr:rowOff>0</xdr:rowOff>
    </xdr:to>
    <xdr:pic>
      <xdr:nvPicPr>
        <xdr:cNvPr id="2111" name="Рисунок 2110">
          <a:extLst>
            <a:ext uri="{FF2B5EF4-FFF2-40B4-BE49-F238E27FC236}">
              <a16:creationId xmlns:a16="http://schemas.microsoft.com/office/drawing/2014/main" id="{215E5A57-2F92-49C1-9B0C-4393D61519F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38039675"/>
          <a:ext cx="1161915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69</xdr:row>
      <xdr:rowOff>25400</xdr:rowOff>
    </xdr:from>
    <xdr:to>
      <xdr:col>11</xdr:col>
      <xdr:colOff>571500</xdr:colOff>
      <xdr:row>70</xdr:row>
      <xdr:rowOff>0</xdr:rowOff>
    </xdr:to>
    <xdr:pic>
      <xdr:nvPicPr>
        <xdr:cNvPr id="2113" name="Рисунок 2112">
          <a:extLst>
            <a:ext uri="{FF2B5EF4-FFF2-40B4-BE49-F238E27FC236}">
              <a16:creationId xmlns:a16="http://schemas.microsoft.com/office/drawing/2014/main" id="{DDDFF46A-A178-4E0E-AD96-9F01E4DEAE5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38611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70</xdr:row>
      <xdr:rowOff>25400</xdr:rowOff>
    </xdr:from>
    <xdr:to>
      <xdr:col>11</xdr:col>
      <xdr:colOff>571500</xdr:colOff>
      <xdr:row>71</xdr:row>
      <xdr:rowOff>0</xdr:rowOff>
    </xdr:to>
    <xdr:pic>
      <xdr:nvPicPr>
        <xdr:cNvPr id="2115" name="Рисунок 2114">
          <a:extLst>
            <a:ext uri="{FF2B5EF4-FFF2-40B4-BE49-F238E27FC236}">
              <a16:creationId xmlns:a16="http://schemas.microsoft.com/office/drawing/2014/main" id="{DF8F87BB-B037-4646-97C2-AF29B069D17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39182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71</xdr:row>
      <xdr:rowOff>25400</xdr:rowOff>
    </xdr:from>
    <xdr:to>
      <xdr:col>11</xdr:col>
      <xdr:colOff>571500</xdr:colOff>
      <xdr:row>72</xdr:row>
      <xdr:rowOff>0</xdr:rowOff>
    </xdr:to>
    <xdr:pic>
      <xdr:nvPicPr>
        <xdr:cNvPr id="2117" name="Рисунок 2116">
          <a:extLst>
            <a:ext uri="{FF2B5EF4-FFF2-40B4-BE49-F238E27FC236}">
              <a16:creationId xmlns:a16="http://schemas.microsoft.com/office/drawing/2014/main" id="{4E605A9A-6945-44D3-8348-DA41ADB427D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39754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72</xdr:row>
      <xdr:rowOff>25400</xdr:rowOff>
    </xdr:from>
    <xdr:to>
      <xdr:col>11</xdr:col>
      <xdr:colOff>571500</xdr:colOff>
      <xdr:row>73</xdr:row>
      <xdr:rowOff>0</xdr:rowOff>
    </xdr:to>
    <xdr:pic>
      <xdr:nvPicPr>
        <xdr:cNvPr id="2119" name="Рисунок 2118">
          <a:extLst>
            <a:ext uri="{FF2B5EF4-FFF2-40B4-BE49-F238E27FC236}">
              <a16:creationId xmlns:a16="http://schemas.microsoft.com/office/drawing/2014/main" id="{601DFEC4-1867-4613-BC1B-FF141BF7FC8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40325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73</xdr:row>
      <xdr:rowOff>25400</xdr:rowOff>
    </xdr:from>
    <xdr:to>
      <xdr:col>11</xdr:col>
      <xdr:colOff>571500</xdr:colOff>
      <xdr:row>74</xdr:row>
      <xdr:rowOff>0</xdr:rowOff>
    </xdr:to>
    <xdr:pic>
      <xdr:nvPicPr>
        <xdr:cNvPr id="2121" name="Рисунок 2120">
          <a:extLst>
            <a:ext uri="{FF2B5EF4-FFF2-40B4-BE49-F238E27FC236}">
              <a16:creationId xmlns:a16="http://schemas.microsoft.com/office/drawing/2014/main" id="{A0831156-A721-49DC-B753-8CF2840929C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40897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74</xdr:row>
      <xdr:rowOff>25400</xdr:rowOff>
    </xdr:from>
    <xdr:to>
      <xdr:col>11</xdr:col>
      <xdr:colOff>571500</xdr:colOff>
      <xdr:row>75</xdr:row>
      <xdr:rowOff>0</xdr:rowOff>
    </xdr:to>
    <xdr:pic>
      <xdr:nvPicPr>
        <xdr:cNvPr id="2123" name="Рисунок 2122">
          <a:extLst>
            <a:ext uri="{FF2B5EF4-FFF2-40B4-BE49-F238E27FC236}">
              <a16:creationId xmlns:a16="http://schemas.microsoft.com/office/drawing/2014/main" id="{C78E275F-CBAA-4ED1-AD57-0B19521F3B7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41468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75</xdr:row>
      <xdr:rowOff>25400</xdr:rowOff>
    </xdr:from>
    <xdr:to>
      <xdr:col>11</xdr:col>
      <xdr:colOff>571500</xdr:colOff>
      <xdr:row>76</xdr:row>
      <xdr:rowOff>0</xdr:rowOff>
    </xdr:to>
    <xdr:pic>
      <xdr:nvPicPr>
        <xdr:cNvPr id="2125" name="Рисунок 2124">
          <a:extLst>
            <a:ext uri="{FF2B5EF4-FFF2-40B4-BE49-F238E27FC236}">
              <a16:creationId xmlns:a16="http://schemas.microsoft.com/office/drawing/2014/main" id="{6E77DC93-29E9-4676-BCC0-D1F1FDAAEDC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42040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76</xdr:row>
      <xdr:rowOff>25400</xdr:rowOff>
    </xdr:from>
    <xdr:to>
      <xdr:col>11</xdr:col>
      <xdr:colOff>571500</xdr:colOff>
      <xdr:row>77</xdr:row>
      <xdr:rowOff>0</xdr:rowOff>
    </xdr:to>
    <xdr:pic>
      <xdr:nvPicPr>
        <xdr:cNvPr id="2127" name="Рисунок 2126">
          <a:extLst>
            <a:ext uri="{FF2B5EF4-FFF2-40B4-BE49-F238E27FC236}">
              <a16:creationId xmlns:a16="http://schemas.microsoft.com/office/drawing/2014/main" id="{E552AE62-1A9B-47E2-A060-2A889F584C4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42611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77</xdr:row>
      <xdr:rowOff>25400</xdr:rowOff>
    </xdr:from>
    <xdr:to>
      <xdr:col>11</xdr:col>
      <xdr:colOff>571500</xdr:colOff>
      <xdr:row>78</xdr:row>
      <xdr:rowOff>0</xdr:rowOff>
    </xdr:to>
    <xdr:pic>
      <xdr:nvPicPr>
        <xdr:cNvPr id="2129" name="Рисунок 2128">
          <a:extLst>
            <a:ext uri="{FF2B5EF4-FFF2-40B4-BE49-F238E27FC236}">
              <a16:creationId xmlns:a16="http://schemas.microsoft.com/office/drawing/2014/main" id="{F2AF553B-7E3C-493C-B781-5EFB498C63D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43183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78</xdr:row>
      <xdr:rowOff>25400</xdr:rowOff>
    </xdr:from>
    <xdr:to>
      <xdr:col>11</xdr:col>
      <xdr:colOff>571500</xdr:colOff>
      <xdr:row>79</xdr:row>
      <xdr:rowOff>0</xdr:rowOff>
    </xdr:to>
    <xdr:pic>
      <xdr:nvPicPr>
        <xdr:cNvPr id="2131" name="Рисунок 2130">
          <a:extLst>
            <a:ext uri="{FF2B5EF4-FFF2-40B4-BE49-F238E27FC236}">
              <a16:creationId xmlns:a16="http://schemas.microsoft.com/office/drawing/2014/main" id="{C7A8ADEB-9A66-4ADD-B526-CA3A1F68400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43754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79</xdr:row>
      <xdr:rowOff>25400</xdr:rowOff>
    </xdr:from>
    <xdr:to>
      <xdr:col>11</xdr:col>
      <xdr:colOff>571500</xdr:colOff>
      <xdr:row>80</xdr:row>
      <xdr:rowOff>0</xdr:rowOff>
    </xdr:to>
    <xdr:pic>
      <xdr:nvPicPr>
        <xdr:cNvPr id="2133" name="Рисунок 2132">
          <a:extLst>
            <a:ext uri="{FF2B5EF4-FFF2-40B4-BE49-F238E27FC236}">
              <a16:creationId xmlns:a16="http://schemas.microsoft.com/office/drawing/2014/main" id="{E004EF4B-2E2D-4975-BFE4-F17B21AD3F1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44326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80</xdr:row>
      <xdr:rowOff>25400</xdr:rowOff>
    </xdr:from>
    <xdr:to>
      <xdr:col>11</xdr:col>
      <xdr:colOff>571500</xdr:colOff>
      <xdr:row>81</xdr:row>
      <xdr:rowOff>0</xdr:rowOff>
    </xdr:to>
    <xdr:pic>
      <xdr:nvPicPr>
        <xdr:cNvPr id="2135" name="Рисунок 2134">
          <a:extLst>
            <a:ext uri="{FF2B5EF4-FFF2-40B4-BE49-F238E27FC236}">
              <a16:creationId xmlns:a16="http://schemas.microsoft.com/office/drawing/2014/main" id="{75E5A6D1-FED8-40F5-9A1C-E407E5BA46D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44897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81</xdr:row>
      <xdr:rowOff>25400</xdr:rowOff>
    </xdr:from>
    <xdr:to>
      <xdr:col>11</xdr:col>
      <xdr:colOff>571500</xdr:colOff>
      <xdr:row>82</xdr:row>
      <xdr:rowOff>0</xdr:rowOff>
    </xdr:to>
    <xdr:pic>
      <xdr:nvPicPr>
        <xdr:cNvPr id="2137" name="Рисунок 2136">
          <a:extLst>
            <a:ext uri="{FF2B5EF4-FFF2-40B4-BE49-F238E27FC236}">
              <a16:creationId xmlns:a16="http://schemas.microsoft.com/office/drawing/2014/main" id="{BC0276D9-E6A0-4540-9D1F-FFF7ACB575A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45469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82</xdr:row>
      <xdr:rowOff>25400</xdr:rowOff>
    </xdr:from>
    <xdr:to>
      <xdr:col>11</xdr:col>
      <xdr:colOff>571500</xdr:colOff>
      <xdr:row>83</xdr:row>
      <xdr:rowOff>0</xdr:rowOff>
    </xdr:to>
    <xdr:pic>
      <xdr:nvPicPr>
        <xdr:cNvPr id="2139" name="Рисунок 2138">
          <a:extLst>
            <a:ext uri="{FF2B5EF4-FFF2-40B4-BE49-F238E27FC236}">
              <a16:creationId xmlns:a16="http://schemas.microsoft.com/office/drawing/2014/main" id="{74857E04-EE7A-44BE-B8C0-C83B4CFB602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46040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83</xdr:row>
      <xdr:rowOff>25400</xdr:rowOff>
    </xdr:from>
    <xdr:to>
      <xdr:col>11</xdr:col>
      <xdr:colOff>571500</xdr:colOff>
      <xdr:row>84</xdr:row>
      <xdr:rowOff>0</xdr:rowOff>
    </xdr:to>
    <xdr:pic>
      <xdr:nvPicPr>
        <xdr:cNvPr id="2141" name="Рисунок 2140">
          <a:extLst>
            <a:ext uri="{FF2B5EF4-FFF2-40B4-BE49-F238E27FC236}">
              <a16:creationId xmlns:a16="http://schemas.microsoft.com/office/drawing/2014/main" id="{D437EABA-26A1-42BF-A2DC-7EE49CA701B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46612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84</xdr:row>
      <xdr:rowOff>25400</xdr:rowOff>
    </xdr:from>
    <xdr:to>
      <xdr:col>11</xdr:col>
      <xdr:colOff>571500</xdr:colOff>
      <xdr:row>85</xdr:row>
      <xdr:rowOff>0</xdr:rowOff>
    </xdr:to>
    <xdr:pic>
      <xdr:nvPicPr>
        <xdr:cNvPr id="2143" name="Рисунок 2142">
          <a:extLst>
            <a:ext uri="{FF2B5EF4-FFF2-40B4-BE49-F238E27FC236}">
              <a16:creationId xmlns:a16="http://schemas.microsoft.com/office/drawing/2014/main" id="{F9B61232-245B-4A03-8640-A07576C12A5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47183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85</xdr:row>
      <xdr:rowOff>25400</xdr:rowOff>
    </xdr:from>
    <xdr:to>
      <xdr:col>11</xdr:col>
      <xdr:colOff>571500</xdr:colOff>
      <xdr:row>86</xdr:row>
      <xdr:rowOff>0</xdr:rowOff>
    </xdr:to>
    <xdr:pic>
      <xdr:nvPicPr>
        <xdr:cNvPr id="2145" name="Рисунок 2144">
          <a:extLst>
            <a:ext uri="{FF2B5EF4-FFF2-40B4-BE49-F238E27FC236}">
              <a16:creationId xmlns:a16="http://schemas.microsoft.com/office/drawing/2014/main" id="{FDD5A53B-6772-4F43-BF61-F8DC3B09E96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47755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86</xdr:row>
      <xdr:rowOff>25400</xdr:rowOff>
    </xdr:from>
    <xdr:to>
      <xdr:col>11</xdr:col>
      <xdr:colOff>571500</xdr:colOff>
      <xdr:row>87</xdr:row>
      <xdr:rowOff>0</xdr:rowOff>
    </xdr:to>
    <xdr:pic>
      <xdr:nvPicPr>
        <xdr:cNvPr id="2147" name="Рисунок 2146">
          <a:extLst>
            <a:ext uri="{FF2B5EF4-FFF2-40B4-BE49-F238E27FC236}">
              <a16:creationId xmlns:a16="http://schemas.microsoft.com/office/drawing/2014/main" id="{579A37BD-765E-4FB4-B92A-E82CA9A46A0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48326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87</xdr:row>
      <xdr:rowOff>25400</xdr:rowOff>
    </xdr:from>
    <xdr:to>
      <xdr:col>11</xdr:col>
      <xdr:colOff>571500</xdr:colOff>
      <xdr:row>88</xdr:row>
      <xdr:rowOff>0</xdr:rowOff>
    </xdr:to>
    <xdr:pic>
      <xdr:nvPicPr>
        <xdr:cNvPr id="2149" name="Рисунок 2148">
          <a:extLst>
            <a:ext uri="{FF2B5EF4-FFF2-40B4-BE49-F238E27FC236}">
              <a16:creationId xmlns:a16="http://schemas.microsoft.com/office/drawing/2014/main" id="{755F2858-05F9-4276-B616-62708140067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48898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88</xdr:row>
      <xdr:rowOff>25400</xdr:rowOff>
    </xdr:from>
    <xdr:to>
      <xdr:col>11</xdr:col>
      <xdr:colOff>571500</xdr:colOff>
      <xdr:row>89</xdr:row>
      <xdr:rowOff>0</xdr:rowOff>
    </xdr:to>
    <xdr:pic>
      <xdr:nvPicPr>
        <xdr:cNvPr id="2151" name="Рисунок 2150">
          <a:extLst>
            <a:ext uri="{FF2B5EF4-FFF2-40B4-BE49-F238E27FC236}">
              <a16:creationId xmlns:a16="http://schemas.microsoft.com/office/drawing/2014/main" id="{3A508A22-5041-44A4-A1F9-1C8118138BD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49469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89</xdr:row>
      <xdr:rowOff>25400</xdr:rowOff>
    </xdr:from>
    <xdr:to>
      <xdr:col>11</xdr:col>
      <xdr:colOff>571500</xdr:colOff>
      <xdr:row>90</xdr:row>
      <xdr:rowOff>0</xdr:rowOff>
    </xdr:to>
    <xdr:pic>
      <xdr:nvPicPr>
        <xdr:cNvPr id="2153" name="Рисунок 2152">
          <a:extLst>
            <a:ext uri="{FF2B5EF4-FFF2-40B4-BE49-F238E27FC236}">
              <a16:creationId xmlns:a16="http://schemas.microsoft.com/office/drawing/2014/main" id="{9E5A2136-7AAB-458F-A158-0B9A7C15689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50041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90</xdr:row>
      <xdr:rowOff>25400</xdr:rowOff>
    </xdr:from>
    <xdr:to>
      <xdr:col>11</xdr:col>
      <xdr:colOff>571500</xdr:colOff>
      <xdr:row>91</xdr:row>
      <xdr:rowOff>0</xdr:rowOff>
    </xdr:to>
    <xdr:pic>
      <xdr:nvPicPr>
        <xdr:cNvPr id="2155" name="Рисунок 2154">
          <a:extLst>
            <a:ext uri="{FF2B5EF4-FFF2-40B4-BE49-F238E27FC236}">
              <a16:creationId xmlns:a16="http://schemas.microsoft.com/office/drawing/2014/main" id="{D57E6B0A-7348-428A-B572-24285E13CA6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50612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91</xdr:row>
      <xdr:rowOff>25400</xdr:rowOff>
    </xdr:from>
    <xdr:to>
      <xdr:col>11</xdr:col>
      <xdr:colOff>571500</xdr:colOff>
      <xdr:row>92</xdr:row>
      <xdr:rowOff>0</xdr:rowOff>
    </xdr:to>
    <xdr:pic>
      <xdr:nvPicPr>
        <xdr:cNvPr id="2157" name="Рисунок 2156">
          <a:extLst>
            <a:ext uri="{FF2B5EF4-FFF2-40B4-BE49-F238E27FC236}">
              <a16:creationId xmlns:a16="http://schemas.microsoft.com/office/drawing/2014/main" id="{97DC2AC5-67C3-4866-B7CC-085D4DC1C5A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51184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92</xdr:row>
      <xdr:rowOff>25400</xdr:rowOff>
    </xdr:from>
    <xdr:to>
      <xdr:col>11</xdr:col>
      <xdr:colOff>571500</xdr:colOff>
      <xdr:row>93</xdr:row>
      <xdr:rowOff>0</xdr:rowOff>
    </xdr:to>
    <xdr:pic>
      <xdr:nvPicPr>
        <xdr:cNvPr id="2159" name="Рисунок 2158">
          <a:extLst>
            <a:ext uri="{FF2B5EF4-FFF2-40B4-BE49-F238E27FC236}">
              <a16:creationId xmlns:a16="http://schemas.microsoft.com/office/drawing/2014/main" id="{8824DA62-70A5-4FF1-9C63-A91370812EB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51755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93</xdr:row>
      <xdr:rowOff>25400</xdr:rowOff>
    </xdr:from>
    <xdr:to>
      <xdr:col>11</xdr:col>
      <xdr:colOff>571500</xdr:colOff>
      <xdr:row>94</xdr:row>
      <xdr:rowOff>0</xdr:rowOff>
    </xdr:to>
    <xdr:pic>
      <xdr:nvPicPr>
        <xdr:cNvPr id="2161" name="Рисунок 2160">
          <a:extLst>
            <a:ext uri="{FF2B5EF4-FFF2-40B4-BE49-F238E27FC236}">
              <a16:creationId xmlns:a16="http://schemas.microsoft.com/office/drawing/2014/main" id="{6D5B294A-5A8C-47E0-AF3E-13DF19E6E5F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52327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94</xdr:row>
      <xdr:rowOff>25400</xdr:rowOff>
    </xdr:from>
    <xdr:to>
      <xdr:col>11</xdr:col>
      <xdr:colOff>571500</xdr:colOff>
      <xdr:row>95</xdr:row>
      <xdr:rowOff>0</xdr:rowOff>
    </xdr:to>
    <xdr:pic>
      <xdr:nvPicPr>
        <xdr:cNvPr id="2163" name="Рисунок 2162">
          <a:extLst>
            <a:ext uri="{FF2B5EF4-FFF2-40B4-BE49-F238E27FC236}">
              <a16:creationId xmlns:a16="http://schemas.microsoft.com/office/drawing/2014/main" id="{E4EC8B3A-3707-42B4-9C01-0AE75169471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52898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95</xdr:row>
      <xdr:rowOff>25400</xdr:rowOff>
    </xdr:from>
    <xdr:to>
      <xdr:col>11</xdr:col>
      <xdr:colOff>571500</xdr:colOff>
      <xdr:row>96</xdr:row>
      <xdr:rowOff>0</xdr:rowOff>
    </xdr:to>
    <xdr:pic>
      <xdr:nvPicPr>
        <xdr:cNvPr id="2165" name="Рисунок 2164">
          <a:extLst>
            <a:ext uri="{FF2B5EF4-FFF2-40B4-BE49-F238E27FC236}">
              <a16:creationId xmlns:a16="http://schemas.microsoft.com/office/drawing/2014/main" id="{B7A0A5D8-70D8-4821-86B4-3F773F49E83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53470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96</xdr:row>
      <xdr:rowOff>25400</xdr:rowOff>
    </xdr:from>
    <xdr:to>
      <xdr:col>11</xdr:col>
      <xdr:colOff>571500</xdr:colOff>
      <xdr:row>97</xdr:row>
      <xdr:rowOff>0</xdr:rowOff>
    </xdr:to>
    <xdr:pic>
      <xdr:nvPicPr>
        <xdr:cNvPr id="2167" name="Рисунок 2166">
          <a:extLst>
            <a:ext uri="{FF2B5EF4-FFF2-40B4-BE49-F238E27FC236}">
              <a16:creationId xmlns:a16="http://schemas.microsoft.com/office/drawing/2014/main" id="{D7EF3159-F13E-4155-A40B-0447CA92736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54041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97</xdr:row>
      <xdr:rowOff>25400</xdr:rowOff>
    </xdr:from>
    <xdr:to>
      <xdr:col>11</xdr:col>
      <xdr:colOff>571500</xdr:colOff>
      <xdr:row>98</xdr:row>
      <xdr:rowOff>0</xdr:rowOff>
    </xdr:to>
    <xdr:pic>
      <xdr:nvPicPr>
        <xdr:cNvPr id="2169" name="Рисунок 2168">
          <a:extLst>
            <a:ext uri="{FF2B5EF4-FFF2-40B4-BE49-F238E27FC236}">
              <a16:creationId xmlns:a16="http://schemas.microsoft.com/office/drawing/2014/main" id="{399C20BC-54C0-4243-916F-71173A1FB00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54613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98</xdr:row>
      <xdr:rowOff>25400</xdr:rowOff>
    </xdr:from>
    <xdr:to>
      <xdr:col>11</xdr:col>
      <xdr:colOff>571500</xdr:colOff>
      <xdr:row>99</xdr:row>
      <xdr:rowOff>0</xdr:rowOff>
    </xdr:to>
    <xdr:pic>
      <xdr:nvPicPr>
        <xdr:cNvPr id="2171" name="Рисунок 2170">
          <a:extLst>
            <a:ext uri="{FF2B5EF4-FFF2-40B4-BE49-F238E27FC236}">
              <a16:creationId xmlns:a16="http://schemas.microsoft.com/office/drawing/2014/main" id="{17F391FA-FD88-4B74-A851-97BACA5051A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55184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99</xdr:row>
      <xdr:rowOff>25400</xdr:rowOff>
    </xdr:from>
    <xdr:to>
      <xdr:col>11</xdr:col>
      <xdr:colOff>571500</xdr:colOff>
      <xdr:row>100</xdr:row>
      <xdr:rowOff>0</xdr:rowOff>
    </xdr:to>
    <xdr:pic>
      <xdr:nvPicPr>
        <xdr:cNvPr id="2173" name="Рисунок 2172">
          <a:extLst>
            <a:ext uri="{FF2B5EF4-FFF2-40B4-BE49-F238E27FC236}">
              <a16:creationId xmlns:a16="http://schemas.microsoft.com/office/drawing/2014/main" id="{6479FB4F-71BF-4E11-BD34-CB2F292C6BE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55756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100</xdr:row>
      <xdr:rowOff>25400</xdr:rowOff>
    </xdr:from>
    <xdr:to>
      <xdr:col>11</xdr:col>
      <xdr:colOff>571500</xdr:colOff>
      <xdr:row>101</xdr:row>
      <xdr:rowOff>0</xdr:rowOff>
    </xdr:to>
    <xdr:pic>
      <xdr:nvPicPr>
        <xdr:cNvPr id="2175" name="Рисунок 2174">
          <a:extLst>
            <a:ext uri="{FF2B5EF4-FFF2-40B4-BE49-F238E27FC236}">
              <a16:creationId xmlns:a16="http://schemas.microsoft.com/office/drawing/2014/main" id="{02A50C73-D943-488C-9249-2516F90F1BB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56327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101</xdr:row>
      <xdr:rowOff>25400</xdr:rowOff>
    </xdr:from>
    <xdr:to>
      <xdr:col>11</xdr:col>
      <xdr:colOff>571500</xdr:colOff>
      <xdr:row>102</xdr:row>
      <xdr:rowOff>0</xdr:rowOff>
    </xdr:to>
    <xdr:pic>
      <xdr:nvPicPr>
        <xdr:cNvPr id="2177" name="Рисунок 2176">
          <a:extLst>
            <a:ext uri="{FF2B5EF4-FFF2-40B4-BE49-F238E27FC236}">
              <a16:creationId xmlns:a16="http://schemas.microsoft.com/office/drawing/2014/main" id="{96DC7544-A63D-46EA-9658-9886933A947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56899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102</xdr:row>
      <xdr:rowOff>25400</xdr:rowOff>
    </xdr:from>
    <xdr:to>
      <xdr:col>11</xdr:col>
      <xdr:colOff>571500</xdr:colOff>
      <xdr:row>103</xdr:row>
      <xdr:rowOff>0</xdr:rowOff>
    </xdr:to>
    <xdr:pic>
      <xdr:nvPicPr>
        <xdr:cNvPr id="2179" name="Рисунок 2178">
          <a:extLst>
            <a:ext uri="{FF2B5EF4-FFF2-40B4-BE49-F238E27FC236}">
              <a16:creationId xmlns:a16="http://schemas.microsoft.com/office/drawing/2014/main" id="{D60E38C2-AA94-4CD8-A3BD-9BB0FA223C0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57470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103</xdr:row>
      <xdr:rowOff>25400</xdr:rowOff>
    </xdr:from>
    <xdr:to>
      <xdr:col>11</xdr:col>
      <xdr:colOff>571500</xdr:colOff>
      <xdr:row>104</xdr:row>
      <xdr:rowOff>0</xdr:rowOff>
    </xdr:to>
    <xdr:pic>
      <xdr:nvPicPr>
        <xdr:cNvPr id="2181" name="Рисунок 2180">
          <a:extLst>
            <a:ext uri="{FF2B5EF4-FFF2-40B4-BE49-F238E27FC236}">
              <a16:creationId xmlns:a16="http://schemas.microsoft.com/office/drawing/2014/main" id="{5DC22897-845D-4F4E-873C-235A3B067DE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58042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104</xdr:row>
      <xdr:rowOff>25400</xdr:rowOff>
    </xdr:from>
    <xdr:to>
      <xdr:col>11</xdr:col>
      <xdr:colOff>571500</xdr:colOff>
      <xdr:row>105</xdr:row>
      <xdr:rowOff>0</xdr:rowOff>
    </xdr:to>
    <xdr:pic>
      <xdr:nvPicPr>
        <xdr:cNvPr id="2183" name="Рисунок 2182">
          <a:extLst>
            <a:ext uri="{FF2B5EF4-FFF2-40B4-BE49-F238E27FC236}">
              <a16:creationId xmlns:a16="http://schemas.microsoft.com/office/drawing/2014/main" id="{441FF71E-AEDF-46A7-B0C0-8AD5E488AA3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58613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105</xdr:row>
      <xdr:rowOff>25400</xdr:rowOff>
    </xdr:from>
    <xdr:to>
      <xdr:col>11</xdr:col>
      <xdr:colOff>571500</xdr:colOff>
      <xdr:row>106</xdr:row>
      <xdr:rowOff>0</xdr:rowOff>
    </xdr:to>
    <xdr:pic>
      <xdr:nvPicPr>
        <xdr:cNvPr id="2185" name="Рисунок 2184">
          <a:extLst>
            <a:ext uri="{FF2B5EF4-FFF2-40B4-BE49-F238E27FC236}">
              <a16:creationId xmlns:a16="http://schemas.microsoft.com/office/drawing/2014/main" id="{EC73C436-AC63-4D3F-80DF-3DCC5F28A80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59185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106</xdr:row>
      <xdr:rowOff>25400</xdr:rowOff>
    </xdr:from>
    <xdr:to>
      <xdr:col>11</xdr:col>
      <xdr:colOff>571500</xdr:colOff>
      <xdr:row>107</xdr:row>
      <xdr:rowOff>0</xdr:rowOff>
    </xdr:to>
    <xdr:pic>
      <xdr:nvPicPr>
        <xdr:cNvPr id="2187" name="Рисунок 2186">
          <a:extLst>
            <a:ext uri="{FF2B5EF4-FFF2-40B4-BE49-F238E27FC236}">
              <a16:creationId xmlns:a16="http://schemas.microsoft.com/office/drawing/2014/main" id="{EDF5EC0D-BFCC-4A2D-8395-40240A4BF17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59756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107</xdr:row>
      <xdr:rowOff>25400</xdr:rowOff>
    </xdr:from>
    <xdr:to>
      <xdr:col>11</xdr:col>
      <xdr:colOff>571500</xdr:colOff>
      <xdr:row>108</xdr:row>
      <xdr:rowOff>0</xdr:rowOff>
    </xdr:to>
    <xdr:pic>
      <xdr:nvPicPr>
        <xdr:cNvPr id="2189" name="Рисунок 2188">
          <a:extLst>
            <a:ext uri="{FF2B5EF4-FFF2-40B4-BE49-F238E27FC236}">
              <a16:creationId xmlns:a16="http://schemas.microsoft.com/office/drawing/2014/main" id="{5F611ADD-B6AD-4D91-9DAC-CED5B8E6222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60328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108</xdr:row>
      <xdr:rowOff>25400</xdr:rowOff>
    </xdr:from>
    <xdr:to>
      <xdr:col>11</xdr:col>
      <xdr:colOff>571500</xdr:colOff>
      <xdr:row>109</xdr:row>
      <xdr:rowOff>0</xdr:rowOff>
    </xdr:to>
    <xdr:pic>
      <xdr:nvPicPr>
        <xdr:cNvPr id="2191" name="Рисунок 2190">
          <a:extLst>
            <a:ext uri="{FF2B5EF4-FFF2-40B4-BE49-F238E27FC236}">
              <a16:creationId xmlns:a16="http://schemas.microsoft.com/office/drawing/2014/main" id="{6BD9F4F0-4A64-4359-B0B3-E5DF9B5A1B8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60899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109</xdr:row>
      <xdr:rowOff>25400</xdr:rowOff>
    </xdr:from>
    <xdr:to>
      <xdr:col>11</xdr:col>
      <xdr:colOff>571500</xdr:colOff>
      <xdr:row>110</xdr:row>
      <xdr:rowOff>0</xdr:rowOff>
    </xdr:to>
    <xdr:pic>
      <xdr:nvPicPr>
        <xdr:cNvPr id="2193" name="Рисунок 2192">
          <a:extLst>
            <a:ext uri="{FF2B5EF4-FFF2-40B4-BE49-F238E27FC236}">
              <a16:creationId xmlns:a16="http://schemas.microsoft.com/office/drawing/2014/main" id="{251907C5-C389-4079-9B95-5A9C1556565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61471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110</xdr:row>
      <xdr:rowOff>25400</xdr:rowOff>
    </xdr:from>
    <xdr:to>
      <xdr:col>11</xdr:col>
      <xdr:colOff>571500</xdr:colOff>
      <xdr:row>111</xdr:row>
      <xdr:rowOff>0</xdr:rowOff>
    </xdr:to>
    <xdr:pic>
      <xdr:nvPicPr>
        <xdr:cNvPr id="2195" name="Рисунок 2194">
          <a:extLst>
            <a:ext uri="{FF2B5EF4-FFF2-40B4-BE49-F238E27FC236}">
              <a16:creationId xmlns:a16="http://schemas.microsoft.com/office/drawing/2014/main" id="{B1A612CB-1623-4AE0-AC93-A598200743C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62042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111</xdr:row>
      <xdr:rowOff>25400</xdr:rowOff>
    </xdr:from>
    <xdr:to>
      <xdr:col>11</xdr:col>
      <xdr:colOff>571500</xdr:colOff>
      <xdr:row>112</xdr:row>
      <xdr:rowOff>0</xdr:rowOff>
    </xdr:to>
    <xdr:pic>
      <xdr:nvPicPr>
        <xdr:cNvPr id="2197" name="Рисунок 2196">
          <a:extLst>
            <a:ext uri="{FF2B5EF4-FFF2-40B4-BE49-F238E27FC236}">
              <a16:creationId xmlns:a16="http://schemas.microsoft.com/office/drawing/2014/main" id="{6D4BE136-8DAA-4027-80B8-18C0D6AF318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62614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112</xdr:row>
      <xdr:rowOff>25400</xdr:rowOff>
    </xdr:from>
    <xdr:to>
      <xdr:col>11</xdr:col>
      <xdr:colOff>571500</xdr:colOff>
      <xdr:row>113</xdr:row>
      <xdr:rowOff>0</xdr:rowOff>
    </xdr:to>
    <xdr:pic>
      <xdr:nvPicPr>
        <xdr:cNvPr id="2199" name="Рисунок 2198">
          <a:extLst>
            <a:ext uri="{FF2B5EF4-FFF2-40B4-BE49-F238E27FC236}">
              <a16:creationId xmlns:a16="http://schemas.microsoft.com/office/drawing/2014/main" id="{7689A02B-A5B6-4857-B3DF-955A09B2DF0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63185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113</xdr:row>
      <xdr:rowOff>25400</xdr:rowOff>
    </xdr:from>
    <xdr:to>
      <xdr:col>11</xdr:col>
      <xdr:colOff>571500</xdr:colOff>
      <xdr:row>114</xdr:row>
      <xdr:rowOff>0</xdr:rowOff>
    </xdr:to>
    <xdr:pic>
      <xdr:nvPicPr>
        <xdr:cNvPr id="2201" name="Рисунок 2200">
          <a:extLst>
            <a:ext uri="{FF2B5EF4-FFF2-40B4-BE49-F238E27FC236}">
              <a16:creationId xmlns:a16="http://schemas.microsoft.com/office/drawing/2014/main" id="{35E20692-526D-40A0-AEDD-7502E441126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63757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114</xdr:row>
      <xdr:rowOff>25400</xdr:rowOff>
    </xdr:from>
    <xdr:to>
      <xdr:col>11</xdr:col>
      <xdr:colOff>571500</xdr:colOff>
      <xdr:row>115</xdr:row>
      <xdr:rowOff>0</xdr:rowOff>
    </xdr:to>
    <xdr:pic>
      <xdr:nvPicPr>
        <xdr:cNvPr id="2203" name="Рисунок 2202">
          <a:extLst>
            <a:ext uri="{FF2B5EF4-FFF2-40B4-BE49-F238E27FC236}">
              <a16:creationId xmlns:a16="http://schemas.microsoft.com/office/drawing/2014/main" id="{5111E7DC-E05F-4E37-A746-C43FCAFE717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64328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115</xdr:row>
      <xdr:rowOff>25400</xdr:rowOff>
    </xdr:from>
    <xdr:to>
      <xdr:col>11</xdr:col>
      <xdr:colOff>571500</xdr:colOff>
      <xdr:row>116</xdr:row>
      <xdr:rowOff>0</xdr:rowOff>
    </xdr:to>
    <xdr:pic>
      <xdr:nvPicPr>
        <xdr:cNvPr id="2205" name="Рисунок 2204">
          <a:extLst>
            <a:ext uri="{FF2B5EF4-FFF2-40B4-BE49-F238E27FC236}">
              <a16:creationId xmlns:a16="http://schemas.microsoft.com/office/drawing/2014/main" id="{559726E6-B89B-4969-826D-1239D4C46E1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64900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116</xdr:row>
      <xdr:rowOff>25400</xdr:rowOff>
    </xdr:from>
    <xdr:to>
      <xdr:col>11</xdr:col>
      <xdr:colOff>571500</xdr:colOff>
      <xdr:row>117</xdr:row>
      <xdr:rowOff>0</xdr:rowOff>
    </xdr:to>
    <xdr:pic>
      <xdr:nvPicPr>
        <xdr:cNvPr id="2207" name="Рисунок 2206">
          <a:extLst>
            <a:ext uri="{FF2B5EF4-FFF2-40B4-BE49-F238E27FC236}">
              <a16:creationId xmlns:a16="http://schemas.microsoft.com/office/drawing/2014/main" id="{0BC00638-5FE4-4A40-94CE-5821D1051DD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65471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117</xdr:row>
      <xdr:rowOff>25400</xdr:rowOff>
    </xdr:from>
    <xdr:to>
      <xdr:col>11</xdr:col>
      <xdr:colOff>571500</xdr:colOff>
      <xdr:row>118</xdr:row>
      <xdr:rowOff>0</xdr:rowOff>
    </xdr:to>
    <xdr:pic>
      <xdr:nvPicPr>
        <xdr:cNvPr id="2209" name="Рисунок 2208">
          <a:extLst>
            <a:ext uri="{FF2B5EF4-FFF2-40B4-BE49-F238E27FC236}">
              <a16:creationId xmlns:a16="http://schemas.microsoft.com/office/drawing/2014/main" id="{A593E029-0D24-42B7-92A7-9C13285CEE4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66043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118</xdr:row>
      <xdr:rowOff>25400</xdr:rowOff>
    </xdr:from>
    <xdr:to>
      <xdr:col>11</xdr:col>
      <xdr:colOff>571500</xdr:colOff>
      <xdr:row>119</xdr:row>
      <xdr:rowOff>0</xdr:rowOff>
    </xdr:to>
    <xdr:pic>
      <xdr:nvPicPr>
        <xdr:cNvPr id="2211" name="Рисунок 2210">
          <a:extLst>
            <a:ext uri="{FF2B5EF4-FFF2-40B4-BE49-F238E27FC236}">
              <a16:creationId xmlns:a16="http://schemas.microsoft.com/office/drawing/2014/main" id="{257D808F-E062-4E10-B286-927DA7FBF04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66614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119</xdr:row>
      <xdr:rowOff>25400</xdr:rowOff>
    </xdr:from>
    <xdr:to>
      <xdr:col>11</xdr:col>
      <xdr:colOff>571500</xdr:colOff>
      <xdr:row>120</xdr:row>
      <xdr:rowOff>0</xdr:rowOff>
    </xdr:to>
    <xdr:pic>
      <xdr:nvPicPr>
        <xdr:cNvPr id="2213" name="Рисунок 2212">
          <a:extLst>
            <a:ext uri="{FF2B5EF4-FFF2-40B4-BE49-F238E27FC236}">
              <a16:creationId xmlns:a16="http://schemas.microsoft.com/office/drawing/2014/main" id="{79C200E0-5A65-4A95-B4DA-B17B025EE46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67186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120</xdr:row>
      <xdr:rowOff>25400</xdr:rowOff>
    </xdr:from>
    <xdr:to>
      <xdr:col>11</xdr:col>
      <xdr:colOff>571500</xdr:colOff>
      <xdr:row>121</xdr:row>
      <xdr:rowOff>0</xdr:rowOff>
    </xdr:to>
    <xdr:pic>
      <xdr:nvPicPr>
        <xdr:cNvPr id="2215" name="Рисунок 2214">
          <a:extLst>
            <a:ext uri="{FF2B5EF4-FFF2-40B4-BE49-F238E27FC236}">
              <a16:creationId xmlns:a16="http://schemas.microsoft.com/office/drawing/2014/main" id="{422E526C-9D4D-4EAD-8610-CB1872AB52E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67757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121</xdr:row>
      <xdr:rowOff>25400</xdr:rowOff>
    </xdr:from>
    <xdr:to>
      <xdr:col>11</xdr:col>
      <xdr:colOff>571500</xdr:colOff>
      <xdr:row>122</xdr:row>
      <xdr:rowOff>0</xdr:rowOff>
    </xdr:to>
    <xdr:pic>
      <xdr:nvPicPr>
        <xdr:cNvPr id="2217" name="Рисунок 2216">
          <a:extLst>
            <a:ext uri="{FF2B5EF4-FFF2-40B4-BE49-F238E27FC236}">
              <a16:creationId xmlns:a16="http://schemas.microsoft.com/office/drawing/2014/main" id="{AC54AFD8-441C-4A85-85E4-EEB15812A5B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68329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122</xdr:row>
      <xdr:rowOff>25400</xdr:rowOff>
    </xdr:from>
    <xdr:to>
      <xdr:col>11</xdr:col>
      <xdr:colOff>571500</xdr:colOff>
      <xdr:row>123</xdr:row>
      <xdr:rowOff>0</xdr:rowOff>
    </xdr:to>
    <xdr:pic>
      <xdr:nvPicPr>
        <xdr:cNvPr id="2219" name="Рисунок 2218">
          <a:extLst>
            <a:ext uri="{FF2B5EF4-FFF2-40B4-BE49-F238E27FC236}">
              <a16:creationId xmlns:a16="http://schemas.microsoft.com/office/drawing/2014/main" id="{5A026531-B17C-49C3-BBE2-18EBF91F905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68900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123</xdr:row>
      <xdr:rowOff>25400</xdr:rowOff>
    </xdr:from>
    <xdr:to>
      <xdr:col>11</xdr:col>
      <xdr:colOff>571500</xdr:colOff>
      <xdr:row>124</xdr:row>
      <xdr:rowOff>0</xdr:rowOff>
    </xdr:to>
    <xdr:pic>
      <xdr:nvPicPr>
        <xdr:cNvPr id="2221" name="Рисунок 2220">
          <a:extLst>
            <a:ext uri="{FF2B5EF4-FFF2-40B4-BE49-F238E27FC236}">
              <a16:creationId xmlns:a16="http://schemas.microsoft.com/office/drawing/2014/main" id="{720F2B73-5CA5-4788-A3A1-094F9732129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69472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124</xdr:row>
      <xdr:rowOff>25400</xdr:rowOff>
    </xdr:from>
    <xdr:to>
      <xdr:col>11</xdr:col>
      <xdr:colOff>571500</xdr:colOff>
      <xdr:row>125</xdr:row>
      <xdr:rowOff>0</xdr:rowOff>
    </xdr:to>
    <xdr:pic>
      <xdr:nvPicPr>
        <xdr:cNvPr id="2223" name="Рисунок 2222">
          <a:extLst>
            <a:ext uri="{FF2B5EF4-FFF2-40B4-BE49-F238E27FC236}">
              <a16:creationId xmlns:a16="http://schemas.microsoft.com/office/drawing/2014/main" id="{6F6075DA-54ED-457E-B003-E22B88CFF30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70043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125</xdr:row>
      <xdr:rowOff>25400</xdr:rowOff>
    </xdr:from>
    <xdr:to>
      <xdr:col>11</xdr:col>
      <xdr:colOff>571500</xdr:colOff>
      <xdr:row>126</xdr:row>
      <xdr:rowOff>0</xdr:rowOff>
    </xdr:to>
    <xdr:pic>
      <xdr:nvPicPr>
        <xdr:cNvPr id="2225" name="Рисунок 2224">
          <a:extLst>
            <a:ext uri="{FF2B5EF4-FFF2-40B4-BE49-F238E27FC236}">
              <a16:creationId xmlns:a16="http://schemas.microsoft.com/office/drawing/2014/main" id="{77450D0C-C91E-4E1B-9BAB-0392447E606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70615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126</xdr:row>
      <xdr:rowOff>25400</xdr:rowOff>
    </xdr:from>
    <xdr:to>
      <xdr:col>11</xdr:col>
      <xdr:colOff>571500</xdr:colOff>
      <xdr:row>127</xdr:row>
      <xdr:rowOff>0</xdr:rowOff>
    </xdr:to>
    <xdr:pic>
      <xdr:nvPicPr>
        <xdr:cNvPr id="2227" name="Рисунок 2226">
          <a:extLst>
            <a:ext uri="{FF2B5EF4-FFF2-40B4-BE49-F238E27FC236}">
              <a16:creationId xmlns:a16="http://schemas.microsoft.com/office/drawing/2014/main" id="{2F277E43-901F-4EC1-8508-97063D1020C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71186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127</xdr:row>
      <xdr:rowOff>25400</xdr:rowOff>
    </xdr:from>
    <xdr:to>
      <xdr:col>11</xdr:col>
      <xdr:colOff>571500</xdr:colOff>
      <xdr:row>128</xdr:row>
      <xdr:rowOff>0</xdr:rowOff>
    </xdr:to>
    <xdr:pic>
      <xdr:nvPicPr>
        <xdr:cNvPr id="2229" name="Рисунок 2228">
          <a:extLst>
            <a:ext uri="{FF2B5EF4-FFF2-40B4-BE49-F238E27FC236}">
              <a16:creationId xmlns:a16="http://schemas.microsoft.com/office/drawing/2014/main" id="{88BEA23A-F8FF-43B2-9183-D91EA752190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71758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128</xdr:row>
      <xdr:rowOff>25400</xdr:rowOff>
    </xdr:from>
    <xdr:to>
      <xdr:col>11</xdr:col>
      <xdr:colOff>571500</xdr:colOff>
      <xdr:row>129</xdr:row>
      <xdr:rowOff>0</xdr:rowOff>
    </xdr:to>
    <xdr:pic>
      <xdr:nvPicPr>
        <xdr:cNvPr id="2231" name="Рисунок 2230">
          <a:extLst>
            <a:ext uri="{FF2B5EF4-FFF2-40B4-BE49-F238E27FC236}">
              <a16:creationId xmlns:a16="http://schemas.microsoft.com/office/drawing/2014/main" id="{C4D58A0C-9027-4D44-A0B5-CC9F144F4F6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72329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129</xdr:row>
      <xdr:rowOff>25400</xdr:rowOff>
    </xdr:from>
    <xdr:to>
      <xdr:col>11</xdr:col>
      <xdr:colOff>571500</xdr:colOff>
      <xdr:row>130</xdr:row>
      <xdr:rowOff>0</xdr:rowOff>
    </xdr:to>
    <xdr:pic>
      <xdr:nvPicPr>
        <xdr:cNvPr id="2233" name="Рисунок 2232">
          <a:extLst>
            <a:ext uri="{FF2B5EF4-FFF2-40B4-BE49-F238E27FC236}">
              <a16:creationId xmlns:a16="http://schemas.microsoft.com/office/drawing/2014/main" id="{31900FDC-6409-465A-8B4D-4F6F9199048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72901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130</xdr:row>
      <xdr:rowOff>25400</xdr:rowOff>
    </xdr:from>
    <xdr:to>
      <xdr:col>11</xdr:col>
      <xdr:colOff>571500</xdr:colOff>
      <xdr:row>131</xdr:row>
      <xdr:rowOff>0</xdr:rowOff>
    </xdr:to>
    <xdr:pic>
      <xdr:nvPicPr>
        <xdr:cNvPr id="2235" name="Рисунок 2234">
          <a:extLst>
            <a:ext uri="{FF2B5EF4-FFF2-40B4-BE49-F238E27FC236}">
              <a16:creationId xmlns:a16="http://schemas.microsoft.com/office/drawing/2014/main" id="{21F8EDF3-E72D-40A6-9AEE-8E818425E1F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73472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131</xdr:row>
      <xdr:rowOff>25400</xdr:rowOff>
    </xdr:from>
    <xdr:to>
      <xdr:col>11</xdr:col>
      <xdr:colOff>571500</xdr:colOff>
      <xdr:row>132</xdr:row>
      <xdr:rowOff>0</xdr:rowOff>
    </xdr:to>
    <xdr:pic>
      <xdr:nvPicPr>
        <xdr:cNvPr id="2237" name="Рисунок 2236">
          <a:extLst>
            <a:ext uri="{FF2B5EF4-FFF2-40B4-BE49-F238E27FC236}">
              <a16:creationId xmlns:a16="http://schemas.microsoft.com/office/drawing/2014/main" id="{864A47F6-314B-47D2-9ED3-3055F2E2B0C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74044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132</xdr:row>
      <xdr:rowOff>25400</xdr:rowOff>
    </xdr:from>
    <xdr:to>
      <xdr:col>11</xdr:col>
      <xdr:colOff>571500</xdr:colOff>
      <xdr:row>133</xdr:row>
      <xdr:rowOff>0</xdr:rowOff>
    </xdr:to>
    <xdr:pic>
      <xdr:nvPicPr>
        <xdr:cNvPr id="2239" name="Рисунок 2238">
          <a:extLst>
            <a:ext uri="{FF2B5EF4-FFF2-40B4-BE49-F238E27FC236}">
              <a16:creationId xmlns:a16="http://schemas.microsoft.com/office/drawing/2014/main" id="{7E162B84-8C52-4D77-87B2-63DC31BA5F7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74615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133</xdr:row>
      <xdr:rowOff>25400</xdr:rowOff>
    </xdr:from>
    <xdr:to>
      <xdr:col>11</xdr:col>
      <xdr:colOff>571500</xdr:colOff>
      <xdr:row>134</xdr:row>
      <xdr:rowOff>0</xdr:rowOff>
    </xdr:to>
    <xdr:pic>
      <xdr:nvPicPr>
        <xdr:cNvPr id="2241" name="Рисунок 2240">
          <a:extLst>
            <a:ext uri="{FF2B5EF4-FFF2-40B4-BE49-F238E27FC236}">
              <a16:creationId xmlns:a16="http://schemas.microsoft.com/office/drawing/2014/main" id="{18BEC31C-5CB3-4274-B7E1-D13396C90C1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75187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134</xdr:row>
      <xdr:rowOff>25400</xdr:rowOff>
    </xdr:from>
    <xdr:to>
      <xdr:col>11</xdr:col>
      <xdr:colOff>571500</xdr:colOff>
      <xdr:row>135</xdr:row>
      <xdr:rowOff>0</xdr:rowOff>
    </xdr:to>
    <xdr:pic>
      <xdr:nvPicPr>
        <xdr:cNvPr id="2243" name="Рисунок 2242">
          <a:extLst>
            <a:ext uri="{FF2B5EF4-FFF2-40B4-BE49-F238E27FC236}">
              <a16:creationId xmlns:a16="http://schemas.microsoft.com/office/drawing/2014/main" id="{FE5CC2FB-6A59-4CA4-ABE6-BC5F226D89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75758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135</xdr:row>
      <xdr:rowOff>25400</xdr:rowOff>
    </xdr:from>
    <xdr:to>
      <xdr:col>11</xdr:col>
      <xdr:colOff>571500</xdr:colOff>
      <xdr:row>136</xdr:row>
      <xdr:rowOff>0</xdr:rowOff>
    </xdr:to>
    <xdr:pic>
      <xdr:nvPicPr>
        <xdr:cNvPr id="2245" name="Рисунок 2244">
          <a:extLst>
            <a:ext uri="{FF2B5EF4-FFF2-40B4-BE49-F238E27FC236}">
              <a16:creationId xmlns:a16="http://schemas.microsoft.com/office/drawing/2014/main" id="{E5C0D741-7337-4772-88D2-78FFC5DBC6C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76330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136</xdr:row>
      <xdr:rowOff>25400</xdr:rowOff>
    </xdr:from>
    <xdr:to>
      <xdr:col>11</xdr:col>
      <xdr:colOff>571500</xdr:colOff>
      <xdr:row>137</xdr:row>
      <xdr:rowOff>0</xdr:rowOff>
    </xdr:to>
    <xdr:pic>
      <xdr:nvPicPr>
        <xdr:cNvPr id="2247" name="Рисунок 2246">
          <a:extLst>
            <a:ext uri="{FF2B5EF4-FFF2-40B4-BE49-F238E27FC236}">
              <a16:creationId xmlns:a16="http://schemas.microsoft.com/office/drawing/2014/main" id="{616CEB79-62BF-46E6-8F0B-09F41A05D5C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76901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137</xdr:row>
      <xdr:rowOff>25400</xdr:rowOff>
    </xdr:from>
    <xdr:to>
      <xdr:col>11</xdr:col>
      <xdr:colOff>571500</xdr:colOff>
      <xdr:row>138</xdr:row>
      <xdr:rowOff>0</xdr:rowOff>
    </xdr:to>
    <xdr:pic>
      <xdr:nvPicPr>
        <xdr:cNvPr id="2249" name="Рисунок 2248">
          <a:extLst>
            <a:ext uri="{FF2B5EF4-FFF2-40B4-BE49-F238E27FC236}">
              <a16:creationId xmlns:a16="http://schemas.microsoft.com/office/drawing/2014/main" id="{66B2DC12-FB81-4779-A0D3-E33DD91EE1B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77473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138</xdr:row>
      <xdr:rowOff>25400</xdr:rowOff>
    </xdr:from>
    <xdr:to>
      <xdr:col>11</xdr:col>
      <xdr:colOff>571500</xdr:colOff>
      <xdr:row>139</xdr:row>
      <xdr:rowOff>0</xdr:rowOff>
    </xdr:to>
    <xdr:pic>
      <xdr:nvPicPr>
        <xdr:cNvPr id="2251" name="Рисунок 2250">
          <a:extLst>
            <a:ext uri="{FF2B5EF4-FFF2-40B4-BE49-F238E27FC236}">
              <a16:creationId xmlns:a16="http://schemas.microsoft.com/office/drawing/2014/main" id="{DC40A5D0-0610-4B7C-8B7B-20C77CCF67B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78044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139</xdr:row>
      <xdr:rowOff>25400</xdr:rowOff>
    </xdr:from>
    <xdr:to>
      <xdr:col>11</xdr:col>
      <xdr:colOff>571500</xdr:colOff>
      <xdr:row>140</xdr:row>
      <xdr:rowOff>0</xdr:rowOff>
    </xdr:to>
    <xdr:pic>
      <xdr:nvPicPr>
        <xdr:cNvPr id="2253" name="Рисунок 2252">
          <a:extLst>
            <a:ext uri="{FF2B5EF4-FFF2-40B4-BE49-F238E27FC236}">
              <a16:creationId xmlns:a16="http://schemas.microsoft.com/office/drawing/2014/main" id="{7201D312-0774-41F1-A787-41D4F1DAB9C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78616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140</xdr:row>
      <xdr:rowOff>25400</xdr:rowOff>
    </xdr:from>
    <xdr:to>
      <xdr:col>11</xdr:col>
      <xdr:colOff>571500</xdr:colOff>
      <xdr:row>141</xdr:row>
      <xdr:rowOff>0</xdr:rowOff>
    </xdr:to>
    <xdr:pic>
      <xdr:nvPicPr>
        <xdr:cNvPr id="2255" name="Рисунок 2254">
          <a:extLst>
            <a:ext uri="{FF2B5EF4-FFF2-40B4-BE49-F238E27FC236}">
              <a16:creationId xmlns:a16="http://schemas.microsoft.com/office/drawing/2014/main" id="{DF1F3D1D-A0BA-4B88-9923-34BA954A911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79187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141</xdr:row>
      <xdr:rowOff>25400</xdr:rowOff>
    </xdr:from>
    <xdr:to>
      <xdr:col>11</xdr:col>
      <xdr:colOff>571500</xdr:colOff>
      <xdr:row>142</xdr:row>
      <xdr:rowOff>0</xdr:rowOff>
    </xdr:to>
    <xdr:pic>
      <xdr:nvPicPr>
        <xdr:cNvPr id="2257" name="Рисунок 2256">
          <a:extLst>
            <a:ext uri="{FF2B5EF4-FFF2-40B4-BE49-F238E27FC236}">
              <a16:creationId xmlns:a16="http://schemas.microsoft.com/office/drawing/2014/main" id="{E97E47D5-DA9F-4E34-83AC-A4A75178796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79759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142</xdr:row>
      <xdr:rowOff>25400</xdr:rowOff>
    </xdr:from>
    <xdr:to>
      <xdr:col>11</xdr:col>
      <xdr:colOff>571500</xdr:colOff>
      <xdr:row>143</xdr:row>
      <xdr:rowOff>0</xdr:rowOff>
    </xdr:to>
    <xdr:pic>
      <xdr:nvPicPr>
        <xdr:cNvPr id="2259" name="Рисунок 2258">
          <a:extLst>
            <a:ext uri="{FF2B5EF4-FFF2-40B4-BE49-F238E27FC236}">
              <a16:creationId xmlns:a16="http://schemas.microsoft.com/office/drawing/2014/main" id="{07D138B9-C4C9-4404-A800-4A97C75F64C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80330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143</xdr:row>
      <xdr:rowOff>25400</xdr:rowOff>
    </xdr:from>
    <xdr:to>
      <xdr:col>11</xdr:col>
      <xdr:colOff>571500</xdr:colOff>
      <xdr:row>144</xdr:row>
      <xdr:rowOff>0</xdr:rowOff>
    </xdr:to>
    <xdr:pic>
      <xdr:nvPicPr>
        <xdr:cNvPr id="2261" name="Рисунок 2260">
          <a:extLst>
            <a:ext uri="{FF2B5EF4-FFF2-40B4-BE49-F238E27FC236}">
              <a16:creationId xmlns:a16="http://schemas.microsoft.com/office/drawing/2014/main" id="{6C9D48FB-B18E-4775-8C85-399E4715277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80902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144</xdr:row>
      <xdr:rowOff>25400</xdr:rowOff>
    </xdr:from>
    <xdr:to>
      <xdr:col>11</xdr:col>
      <xdr:colOff>571500</xdr:colOff>
      <xdr:row>145</xdr:row>
      <xdr:rowOff>0</xdr:rowOff>
    </xdr:to>
    <xdr:pic>
      <xdr:nvPicPr>
        <xdr:cNvPr id="2263" name="Рисунок 2262">
          <a:extLst>
            <a:ext uri="{FF2B5EF4-FFF2-40B4-BE49-F238E27FC236}">
              <a16:creationId xmlns:a16="http://schemas.microsoft.com/office/drawing/2014/main" id="{B9DDD510-3F21-4E71-9736-35D81895E8A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81473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145</xdr:row>
      <xdr:rowOff>25400</xdr:rowOff>
    </xdr:from>
    <xdr:to>
      <xdr:col>11</xdr:col>
      <xdr:colOff>571500</xdr:colOff>
      <xdr:row>146</xdr:row>
      <xdr:rowOff>0</xdr:rowOff>
    </xdr:to>
    <xdr:pic>
      <xdr:nvPicPr>
        <xdr:cNvPr id="2265" name="Рисунок 2264">
          <a:extLst>
            <a:ext uri="{FF2B5EF4-FFF2-40B4-BE49-F238E27FC236}">
              <a16:creationId xmlns:a16="http://schemas.microsoft.com/office/drawing/2014/main" id="{7628ADE4-A4B1-44E7-82E9-E21A48CB4C5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82045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146</xdr:row>
      <xdr:rowOff>25400</xdr:rowOff>
    </xdr:from>
    <xdr:to>
      <xdr:col>11</xdr:col>
      <xdr:colOff>571500</xdr:colOff>
      <xdr:row>147</xdr:row>
      <xdr:rowOff>0</xdr:rowOff>
    </xdr:to>
    <xdr:pic>
      <xdr:nvPicPr>
        <xdr:cNvPr id="2267" name="Рисунок 2266">
          <a:extLst>
            <a:ext uri="{FF2B5EF4-FFF2-40B4-BE49-F238E27FC236}">
              <a16:creationId xmlns:a16="http://schemas.microsoft.com/office/drawing/2014/main" id="{66F50929-0A81-4F71-BAD1-616215ED8E4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82616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147</xdr:row>
      <xdr:rowOff>25400</xdr:rowOff>
    </xdr:from>
    <xdr:to>
      <xdr:col>11</xdr:col>
      <xdr:colOff>571500</xdr:colOff>
      <xdr:row>148</xdr:row>
      <xdr:rowOff>0</xdr:rowOff>
    </xdr:to>
    <xdr:pic>
      <xdr:nvPicPr>
        <xdr:cNvPr id="2269" name="Рисунок 2268">
          <a:extLst>
            <a:ext uri="{FF2B5EF4-FFF2-40B4-BE49-F238E27FC236}">
              <a16:creationId xmlns:a16="http://schemas.microsoft.com/office/drawing/2014/main" id="{5C766DE8-3FE3-43BA-B627-0EF40EAEF07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83188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148</xdr:row>
      <xdr:rowOff>25400</xdr:rowOff>
    </xdr:from>
    <xdr:to>
      <xdr:col>11</xdr:col>
      <xdr:colOff>571500</xdr:colOff>
      <xdr:row>149</xdr:row>
      <xdr:rowOff>0</xdr:rowOff>
    </xdr:to>
    <xdr:pic>
      <xdr:nvPicPr>
        <xdr:cNvPr id="2271" name="Рисунок 2270">
          <a:extLst>
            <a:ext uri="{FF2B5EF4-FFF2-40B4-BE49-F238E27FC236}">
              <a16:creationId xmlns:a16="http://schemas.microsoft.com/office/drawing/2014/main" id="{A54CA58A-7A01-41AE-964B-25F1E8B32F3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83759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149</xdr:row>
      <xdr:rowOff>25400</xdr:rowOff>
    </xdr:from>
    <xdr:to>
      <xdr:col>11</xdr:col>
      <xdr:colOff>571500</xdr:colOff>
      <xdr:row>150</xdr:row>
      <xdr:rowOff>0</xdr:rowOff>
    </xdr:to>
    <xdr:pic>
      <xdr:nvPicPr>
        <xdr:cNvPr id="2273" name="Рисунок 2272">
          <a:extLst>
            <a:ext uri="{FF2B5EF4-FFF2-40B4-BE49-F238E27FC236}">
              <a16:creationId xmlns:a16="http://schemas.microsoft.com/office/drawing/2014/main" id="{4F12341F-6B9E-4D9C-84D1-8566C6D5D9D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84331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150</xdr:row>
      <xdr:rowOff>25400</xdr:rowOff>
    </xdr:from>
    <xdr:to>
      <xdr:col>11</xdr:col>
      <xdr:colOff>571500</xdr:colOff>
      <xdr:row>151</xdr:row>
      <xdr:rowOff>0</xdr:rowOff>
    </xdr:to>
    <xdr:pic>
      <xdr:nvPicPr>
        <xdr:cNvPr id="2275" name="Рисунок 2274">
          <a:extLst>
            <a:ext uri="{FF2B5EF4-FFF2-40B4-BE49-F238E27FC236}">
              <a16:creationId xmlns:a16="http://schemas.microsoft.com/office/drawing/2014/main" id="{0379785E-2362-456A-AE54-292690F0BF4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84902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151</xdr:row>
      <xdr:rowOff>25400</xdr:rowOff>
    </xdr:from>
    <xdr:to>
      <xdr:col>11</xdr:col>
      <xdr:colOff>571500</xdr:colOff>
      <xdr:row>152</xdr:row>
      <xdr:rowOff>0</xdr:rowOff>
    </xdr:to>
    <xdr:pic>
      <xdr:nvPicPr>
        <xdr:cNvPr id="2277" name="Рисунок 2276">
          <a:extLst>
            <a:ext uri="{FF2B5EF4-FFF2-40B4-BE49-F238E27FC236}">
              <a16:creationId xmlns:a16="http://schemas.microsoft.com/office/drawing/2014/main" id="{A193D9F7-E24D-401C-8F03-7D4ADDDD50B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85474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152</xdr:row>
      <xdr:rowOff>25400</xdr:rowOff>
    </xdr:from>
    <xdr:to>
      <xdr:col>11</xdr:col>
      <xdr:colOff>571500</xdr:colOff>
      <xdr:row>153</xdr:row>
      <xdr:rowOff>0</xdr:rowOff>
    </xdr:to>
    <xdr:pic>
      <xdr:nvPicPr>
        <xdr:cNvPr id="2279" name="Рисунок 2278">
          <a:extLst>
            <a:ext uri="{FF2B5EF4-FFF2-40B4-BE49-F238E27FC236}">
              <a16:creationId xmlns:a16="http://schemas.microsoft.com/office/drawing/2014/main" id="{A3A8FE8B-DA49-4E11-8CBC-DE591BC550A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86045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153</xdr:row>
      <xdr:rowOff>25400</xdr:rowOff>
    </xdr:from>
    <xdr:to>
      <xdr:col>11</xdr:col>
      <xdr:colOff>571500</xdr:colOff>
      <xdr:row>154</xdr:row>
      <xdr:rowOff>0</xdr:rowOff>
    </xdr:to>
    <xdr:pic>
      <xdr:nvPicPr>
        <xdr:cNvPr id="2281" name="Рисунок 2280">
          <a:extLst>
            <a:ext uri="{FF2B5EF4-FFF2-40B4-BE49-F238E27FC236}">
              <a16:creationId xmlns:a16="http://schemas.microsoft.com/office/drawing/2014/main" id="{58BD6BD8-2628-4519-9A46-77C911E4BDD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86617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154</xdr:row>
      <xdr:rowOff>25400</xdr:rowOff>
    </xdr:from>
    <xdr:to>
      <xdr:col>11</xdr:col>
      <xdr:colOff>374904</xdr:colOff>
      <xdr:row>155</xdr:row>
      <xdr:rowOff>0</xdr:rowOff>
    </xdr:to>
    <xdr:pic>
      <xdr:nvPicPr>
        <xdr:cNvPr id="2283" name="Рисунок 2282">
          <a:extLst>
            <a:ext uri="{FF2B5EF4-FFF2-40B4-BE49-F238E27FC236}">
              <a16:creationId xmlns:a16="http://schemas.microsoft.com/office/drawing/2014/main" id="{0432AA75-5EB3-48B5-AF72-5A7F3516AE4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87188675"/>
          <a:ext cx="349504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156</xdr:row>
      <xdr:rowOff>25400</xdr:rowOff>
    </xdr:from>
    <xdr:to>
      <xdr:col>11</xdr:col>
      <xdr:colOff>571500</xdr:colOff>
      <xdr:row>157</xdr:row>
      <xdr:rowOff>0</xdr:rowOff>
    </xdr:to>
    <xdr:pic>
      <xdr:nvPicPr>
        <xdr:cNvPr id="2285" name="Рисунок 2284">
          <a:extLst>
            <a:ext uri="{FF2B5EF4-FFF2-40B4-BE49-F238E27FC236}">
              <a16:creationId xmlns:a16="http://schemas.microsoft.com/office/drawing/2014/main" id="{60363999-DD14-43F1-BB64-27F75CBCD16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88331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157</xdr:row>
      <xdr:rowOff>25400</xdr:rowOff>
    </xdr:from>
    <xdr:to>
      <xdr:col>11</xdr:col>
      <xdr:colOff>571500</xdr:colOff>
      <xdr:row>158</xdr:row>
      <xdr:rowOff>0</xdr:rowOff>
    </xdr:to>
    <xdr:pic>
      <xdr:nvPicPr>
        <xdr:cNvPr id="2287" name="Рисунок 2286">
          <a:extLst>
            <a:ext uri="{FF2B5EF4-FFF2-40B4-BE49-F238E27FC236}">
              <a16:creationId xmlns:a16="http://schemas.microsoft.com/office/drawing/2014/main" id="{BA1A37D2-C5D1-4DEF-914E-026155F5EEE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88903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158</xdr:row>
      <xdr:rowOff>25400</xdr:rowOff>
    </xdr:from>
    <xdr:to>
      <xdr:col>11</xdr:col>
      <xdr:colOff>571500</xdr:colOff>
      <xdr:row>159</xdr:row>
      <xdr:rowOff>0</xdr:rowOff>
    </xdr:to>
    <xdr:pic>
      <xdr:nvPicPr>
        <xdr:cNvPr id="2289" name="Рисунок 2288">
          <a:extLst>
            <a:ext uri="{FF2B5EF4-FFF2-40B4-BE49-F238E27FC236}">
              <a16:creationId xmlns:a16="http://schemas.microsoft.com/office/drawing/2014/main" id="{D6917B2B-5CC9-4EF9-8169-BA35B3A50C0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89474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159</xdr:row>
      <xdr:rowOff>25400</xdr:rowOff>
    </xdr:from>
    <xdr:to>
      <xdr:col>11</xdr:col>
      <xdr:colOff>571500</xdr:colOff>
      <xdr:row>160</xdr:row>
      <xdr:rowOff>0</xdr:rowOff>
    </xdr:to>
    <xdr:pic>
      <xdr:nvPicPr>
        <xdr:cNvPr id="2291" name="Рисунок 2290">
          <a:extLst>
            <a:ext uri="{FF2B5EF4-FFF2-40B4-BE49-F238E27FC236}">
              <a16:creationId xmlns:a16="http://schemas.microsoft.com/office/drawing/2014/main" id="{E9F61DAA-6A49-458A-B4BC-CE05C631392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90046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160</xdr:row>
      <xdr:rowOff>25400</xdr:rowOff>
    </xdr:from>
    <xdr:to>
      <xdr:col>11</xdr:col>
      <xdr:colOff>571500</xdr:colOff>
      <xdr:row>161</xdr:row>
      <xdr:rowOff>0</xdr:rowOff>
    </xdr:to>
    <xdr:pic>
      <xdr:nvPicPr>
        <xdr:cNvPr id="2293" name="Рисунок 2292">
          <a:extLst>
            <a:ext uri="{FF2B5EF4-FFF2-40B4-BE49-F238E27FC236}">
              <a16:creationId xmlns:a16="http://schemas.microsoft.com/office/drawing/2014/main" id="{73DDEB9A-0F76-4B3B-A310-F50FEDAB146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90617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161</xdr:row>
      <xdr:rowOff>25400</xdr:rowOff>
    </xdr:from>
    <xdr:to>
      <xdr:col>11</xdr:col>
      <xdr:colOff>571500</xdr:colOff>
      <xdr:row>162</xdr:row>
      <xdr:rowOff>0</xdr:rowOff>
    </xdr:to>
    <xdr:pic>
      <xdr:nvPicPr>
        <xdr:cNvPr id="2295" name="Рисунок 2294">
          <a:extLst>
            <a:ext uri="{FF2B5EF4-FFF2-40B4-BE49-F238E27FC236}">
              <a16:creationId xmlns:a16="http://schemas.microsoft.com/office/drawing/2014/main" id="{59B1F7E0-1C39-45B9-8BF5-B7ACD4D4867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91189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162</xdr:row>
      <xdr:rowOff>25400</xdr:rowOff>
    </xdr:from>
    <xdr:to>
      <xdr:col>11</xdr:col>
      <xdr:colOff>571500</xdr:colOff>
      <xdr:row>163</xdr:row>
      <xdr:rowOff>0</xdr:rowOff>
    </xdr:to>
    <xdr:pic>
      <xdr:nvPicPr>
        <xdr:cNvPr id="2297" name="Рисунок 2296">
          <a:extLst>
            <a:ext uri="{FF2B5EF4-FFF2-40B4-BE49-F238E27FC236}">
              <a16:creationId xmlns:a16="http://schemas.microsoft.com/office/drawing/2014/main" id="{6BB86394-627E-4A2F-908A-86FF4D4EE6B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91760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163</xdr:row>
      <xdr:rowOff>25400</xdr:rowOff>
    </xdr:from>
    <xdr:to>
      <xdr:col>11</xdr:col>
      <xdr:colOff>571500</xdr:colOff>
      <xdr:row>164</xdr:row>
      <xdr:rowOff>0</xdr:rowOff>
    </xdr:to>
    <xdr:pic>
      <xdr:nvPicPr>
        <xdr:cNvPr id="2299" name="Рисунок 2298">
          <a:extLst>
            <a:ext uri="{FF2B5EF4-FFF2-40B4-BE49-F238E27FC236}">
              <a16:creationId xmlns:a16="http://schemas.microsoft.com/office/drawing/2014/main" id="{1F9EA8C1-3158-4331-A89C-BD5FD5E0FAE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92332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164</xdr:row>
      <xdr:rowOff>25400</xdr:rowOff>
    </xdr:from>
    <xdr:to>
      <xdr:col>11</xdr:col>
      <xdr:colOff>571500</xdr:colOff>
      <xdr:row>165</xdr:row>
      <xdr:rowOff>0</xdr:rowOff>
    </xdr:to>
    <xdr:pic>
      <xdr:nvPicPr>
        <xdr:cNvPr id="2301" name="Рисунок 2300">
          <a:extLst>
            <a:ext uri="{FF2B5EF4-FFF2-40B4-BE49-F238E27FC236}">
              <a16:creationId xmlns:a16="http://schemas.microsoft.com/office/drawing/2014/main" id="{C9136510-FF9D-4A79-8387-D980B834F74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92903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165</xdr:row>
      <xdr:rowOff>25400</xdr:rowOff>
    </xdr:from>
    <xdr:to>
      <xdr:col>11</xdr:col>
      <xdr:colOff>571500</xdr:colOff>
      <xdr:row>166</xdr:row>
      <xdr:rowOff>0</xdr:rowOff>
    </xdr:to>
    <xdr:pic>
      <xdr:nvPicPr>
        <xdr:cNvPr id="2303" name="Рисунок 2302">
          <a:extLst>
            <a:ext uri="{FF2B5EF4-FFF2-40B4-BE49-F238E27FC236}">
              <a16:creationId xmlns:a16="http://schemas.microsoft.com/office/drawing/2014/main" id="{9BAC5DEA-20D5-45E6-A3B8-BC1661C92EC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93475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166</xdr:row>
      <xdr:rowOff>25400</xdr:rowOff>
    </xdr:from>
    <xdr:to>
      <xdr:col>11</xdr:col>
      <xdr:colOff>571500</xdr:colOff>
      <xdr:row>167</xdr:row>
      <xdr:rowOff>0</xdr:rowOff>
    </xdr:to>
    <xdr:pic>
      <xdr:nvPicPr>
        <xdr:cNvPr id="2305" name="Рисунок 2304">
          <a:extLst>
            <a:ext uri="{FF2B5EF4-FFF2-40B4-BE49-F238E27FC236}">
              <a16:creationId xmlns:a16="http://schemas.microsoft.com/office/drawing/2014/main" id="{8D71616E-FC67-4305-B92B-31443E384E5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94046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167</xdr:row>
      <xdr:rowOff>25400</xdr:rowOff>
    </xdr:from>
    <xdr:to>
      <xdr:col>11</xdr:col>
      <xdr:colOff>571500</xdr:colOff>
      <xdr:row>168</xdr:row>
      <xdr:rowOff>0</xdr:rowOff>
    </xdr:to>
    <xdr:pic>
      <xdr:nvPicPr>
        <xdr:cNvPr id="2307" name="Рисунок 2306">
          <a:extLst>
            <a:ext uri="{FF2B5EF4-FFF2-40B4-BE49-F238E27FC236}">
              <a16:creationId xmlns:a16="http://schemas.microsoft.com/office/drawing/2014/main" id="{659B9D27-CD5D-44C9-A755-502193245E2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94618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168</xdr:row>
      <xdr:rowOff>25400</xdr:rowOff>
    </xdr:from>
    <xdr:to>
      <xdr:col>11</xdr:col>
      <xdr:colOff>571500</xdr:colOff>
      <xdr:row>169</xdr:row>
      <xdr:rowOff>0</xdr:rowOff>
    </xdr:to>
    <xdr:pic>
      <xdr:nvPicPr>
        <xdr:cNvPr id="2309" name="Рисунок 2308">
          <a:extLst>
            <a:ext uri="{FF2B5EF4-FFF2-40B4-BE49-F238E27FC236}">
              <a16:creationId xmlns:a16="http://schemas.microsoft.com/office/drawing/2014/main" id="{3DF11378-2134-4CBE-888B-8433E92FE4A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95189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169</xdr:row>
      <xdr:rowOff>25400</xdr:rowOff>
    </xdr:from>
    <xdr:to>
      <xdr:col>11</xdr:col>
      <xdr:colOff>571500</xdr:colOff>
      <xdr:row>170</xdr:row>
      <xdr:rowOff>0</xdr:rowOff>
    </xdr:to>
    <xdr:pic>
      <xdr:nvPicPr>
        <xdr:cNvPr id="2311" name="Рисунок 2310">
          <a:extLst>
            <a:ext uri="{FF2B5EF4-FFF2-40B4-BE49-F238E27FC236}">
              <a16:creationId xmlns:a16="http://schemas.microsoft.com/office/drawing/2014/main" id="{B7F87896-B37E-461F-BDE7-EDD3FE4FA3B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95761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170</xdr:row>
      <xdr:rowOff>25400</xdr:rowOff>
    </xdr:from>
    <xdr:to>
      <xdr:col>11</xdr:col>
      <xdr:colOff>571500</xdr:colOff>
      <xdr:row>171</xdr:row>
      <xdr:rowOff>0</xdr:rowOff>
    </xdr:to>
    <xdr:pic>
      <xdr:nvPicPr>
        <xdr:cNvPr id="2313" name="Рисунок 2312">
          <a:extLst>
            <a:ext uri="{FF2B5EF4-FFF2-40B4-BE49-F238E27FC236}">
              <a16:creationId xmlns:a16="http://schemas.microsoft.com/office/drawing/2014/main" id="{780CED1F-FB94-44A8-B84B-A14C16575D4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96332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171</xdr:row>
      <xdr:rowOff>25400</xdr:rowOff>
    </xdr:from>
    <xdr:to>
      <xdr:col>11</xdr:col>
      <xdr:colOff>571500</xdr:colOff>
      <xdr:row>172</xdr:row>
      <xdr:rowOff>0</xdr:rowOff>
    </xdr:to>
    <xdr:pic>
      <xdr:nvPicPr>
        <xdr:cNvPr id="2315" name="Рисунок 2314">
          <a:extLst>
            <a:ext uri="{FF2B5EF4-FFF2-40B4-BE49-F238E27FC236}">
              <a16:creationId xmlns:a16="http://schemas.microsoft.com/office/drawing/2014/main" id="{FDB1852E-5FDA-49B6-87DF-06F29B769F8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96904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172</xdr:row>
      <xdr:rowOff>25400</xdr:rowOff>
    </xdr:from>
    <xdr:to>
      <xdr:col>11</xdr:col>
      <xdr:colOff>571500</xdr:colOff>
      <xdr:row>173</xdr:row>
      <xdr:rowOff>0</xdr:rowOff>
    </xdr:to>
    <xdr:pic>
      <xdr:nvPicPr>
        <xdr:cNvPr id="2317" name="Рисунок 2316">
          <a:extLst>
            <a:ext uri="{FF2B5EF4-FFF2-40B4-BE49-F238E27FC236}">
              <a16:creationId xmlns:a16="http://schemas.microsoft.com/office/drawing/2014/main" id="{952DC3DC-7BA6-4247-A21C-F335E1D4115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97475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173</xdr:row>
      <xdr:rowOff>25400</xdr:rowOff>
    </xdr:from>
    <xdr:to>
      <xdr:col>11</xdr:col>
      <xdr:colOff>571500</xdr:colOff>
      <xdr:row>174</xdr:row>
      <xdr:rowOff>0</xdr:rowOff>
    </xdr:to>
    <xdr:pic>
      <xdr:nvPicPr>
        <xdr:cNvPr id="2319" name="Рисунок 2318">
          <a:extLst>
            <a:ext uri="{FF2B5EF4-FFF2-40B4-BE49-F238E27FC236}">
              <a16:creationId xmlns:a16="http://schemas.microsoft.com/office/drawing/2014/main" id="{1560F5D4-C918-481B-B5FC-119516D3821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98047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174</xdr:row>
      <xdr:rowOff>25400</xdr:rowOff>
    </xdr:from>
    <xdr:to>
      <xdr:col>11</xdr:col>
      <xdr:colOff>571500</xdr:colOff>
      <xdr:row>175</xdr:row>
      <xdr:rowOff>0</xdr:rowOff>
    </xdr:to>
    <xdr:pic>
      <xdr:nvPicPr>
        <xdr:cNvPr id="2321" name="Рисунок 2320">
          <a:extLst>
            <a:ext uri="{FF2B5EF4-FFF2-40B4-BE49-F238E27FC236}">
              <a16:creationId xmlns:a16="http://schemas.microsoft.com/office/drawing/2014/main" id="{34BD1CC1-9CDD-4FDE-BFA1-0C982478B1E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98618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175</xdr:row>
      <xdr:rowOff>25400</xdr:rowOff>
    </xdr:from>
    <xdr:to>
      <xdr:col>11</xdr:col>
      <xdr:colOff>571500</xdr:colOff>
      <xdr:row>176</xdr:row>
      <xdr:rowOff>0</xdr:rowOff>
    </xdr:to>
    <xdr:pic>
      <xdr:nvPicPr>
        <xdr:cNvPr id="2323" name="Рисунок 2322">
          <a:extLst>
            <a:ext uri="{FF2B5EF4-FFF2-40B4-BE49-F238E27FC236}">
              <a16:creationId xmlns:a16="http://schemas.microsoft.com/office/drawing/2014/main" id="{9E762365-820E-4D46-B93F-62F59DB7549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99190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176</xdr:row>
      <xdr:rowOff>25400</xdr:rowOff>
    </xdr:from>
    <xdr:to>
      <xdr:col>11</xdr:col>
      <xdr:colOff>571500</xdr:colOff>
      <xdr:row>177</xdr:row>
      <xdr:rowOff>0</xdr:rowOff>
    </xdr:to>
    <xdr:pic>
      <xdr:nvPicPr>
        <xdr:cNvPr id="2325" name="Рисунок 2324">
          <a:extLst>
            <a:ext uri="{FF2B5EF4-FFF2-40B4-BE49-F238E27FC236}">
              <a16:creationId xmlns:a16="http://schemas.microsoft.com/office/drawing/2014/main" id="{A887E1F5-D8EB-496E-8E9C-FC22CF86EB2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99761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177</xdr:row>
      <xdr:rowOff>25400</xdr:rowOff>
    </xdr:from>
    <xdr:to>
      <xdr:col>11</xdr:col>
      <xdr:colOff>571500</xdr:colOff>
      <xdr:row>178</xdr:row>
      <xdr:rowOff>0</xdr:rowOff>
    </xdr:to>
    <xdr:pic>
      <xdr:nvPicPr>
        <xdr:cNvPr id="2327" name="Рисунок 2326">
          <a:extLst>
            <a:ext uri="{FF2B5EF4-FFF2-40B4-BE49-F238E27FC236}">
              <a16:creationId xmlns:a16="http://schemas.microsoft.com/office/drawing/2014/main" id="{0C357C3C-A9EB-43FB-891E-16477241EC2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00333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178</xdr:row>
      <xdr:rowOff>25400</xdr:rowOff>
    </xdr:from>
    <xdr:to>
      <xdr:col>11</xdr:col>
      <xdr:colOff>571500</xdr:colOff>
      <xdr:row>179</xdr:row>
      <xdr:rowOff>0</xdr:rowOff>
    </xdr:to>
    <xdr:pic>
      <xdr:nvPicPr>
        <xdr:cNvPr id="2329" name="Рисунок 2328">
          <a:extLst>
            <a:ext uri="{FF2B5EF4-FFF2-40B4-BE49-F238E27FC236}">
              <a16:creationId xmlns:a16="http://schemas.microsoft.com/office/drawing/2014/main" id="{619D93E8-7D53-47F5-B69D-EEAED554C09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00904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179</xdr:row>
      <xdr:rowOff>25400</xdr:rowOff>
    </xdr:from>
    <xdr:to>
      <xdr:col>11</xdr:col>
      <xdr:colOff>571500</xdr:colOff>
      <xdr:row>180</xdr:row>
      <xdr:rowOff>0</xdr:rowOff>
    </xdr:to>
    <xdr:pic>
      <xdr:nvPicPr>
        <xdr:cNvPr id="2331" name="Рисунок 2330">
          <a:extLst>
            <a:ext uri="{FF2B5EF4-FFF2-40B4-BE49-F238E27FC236}">
              <a16:creationId xmlns:a16="http://schemas.microsoft.com/office/drawing/2014/main" id="{F165A982-1285-4EBF-8D15-47FCFE40320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01476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180</xdr:row>
      <xdr:rowOff>25400</xdr:rowOff>
    </xdr:from>
    <xdr:to>
      <xdr:col>11</xdr:col>
      <xdr:colOff>571500</xdr:colOff>
      <xdr:row>181</xdr:row>
      <xdr:rowOff>0</xdr:rowOff>
    </xdr:to>
    <xdr:pic>
      <xdr:nvPicPr>
        <xdr:cNvPr id="2333" name="Рисунок 2332">
          <a:extLst>
            <a:ext uri="{FF2B5EF4-FFF2-40B4-BE49-F238E27FC236}">
              <a16:creationId xmlns:a16="http://schemas.microsoft.com/office/drawing/2014/main" id="{A8739FEA-DF08-4863-A168-57D79086771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02047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181</xdr:row>
      <xdr:rowOff>25400</xdr:rowOff>
    </xdr:from>
    <xdr:to>
      <xdr:col>11</xdr:col>
      <xdr:colOff>571500</xdr:colOff>
      <xdr:row>182</xdr:row>
      <xdr:rowOff>0</xdr:rowOff>
    </xdr:to>
    <xdr:pic>
      <xdr:nvPicPr>
        <xdr:cNvPr id="2335" name="Рисунок 2334">
          <a:extLst>
            <a:ext uri="{FF2B5EF4-FFF2-40B4-BE49-F238E27FC236}">
              <a16:creationId xmlns:a16="http://schemas.microsoft.com/office/drawing/2014/main" id="{65997C05-9744-4664-A753-28E05210809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02619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182</xdr:row>
      <xdr:rowOff>25400</xdr:rowOff>
    </xdr:from>
    <xdr:to>
      <xdr:col>11</xdr:col>
      <xdr:colOff>571500</xdr:colOff>
      <xdr:row>183</xdr:row>
      <xdr:rowOff>0</xdr:rowOff>
    </xdr:to>
    <xdr:pic>
      <xdr:nvPicPr>
        <xdr:cNvPr id="2337" name="Рисунок 2336">
          <a:extLst>
            <a:ext uri="{FF2B5EF4-FFF2-40B4-BE49-F238E27FC236}">
              <a16:creationId xmlns:a16="http://schemas.microsoft.com/office/drawing/2014/main" id="{FC7520AC-1241-448E-B497-76157D826E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03190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183</xdr:row>
      <xdr:rowOff>25400</xdr:rowOff>
    </xdr:from>
    <xdr:to>
      <xdr:col>11</xdr:col>
      <xdr:colOff>571500</xdr:colOff>
      <xdr:row>184</xdr:row>
      <xdr:rowOff>0</xdr:rowOff>
    </xdr:to>
    <xdr:pic>
      <xdr:nvPicPr>
        <xdr:cNvPr id="2339" name="Рисунок 2338">
          <a:extLst>
            <a:ext uri="{FF2B5EF4-FFF2-40B4-BE49-F238E27FC236}">
              <a16:creationId xmlns:a16="http://schemas.microsoft.com/office/drawing/2014/main" id="{10FAC0C8-628C-4479-BD45-318B6148EA4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03762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184</xdr:row>
      <xdr:rowOff>25400</xdr:rowOff>
    </xdr:from>
    <xdr:to>
      <xdr:col>11</xdr:col>
      <xdr:colOff>571500</xdr:colOff>
      <xdr:row>185</xdr:row>
      <xdr:rowOff>0</xdr:rowOff>
    </xdr:to>
    <xdr:pic>
      <xdr:nvPicPr>
        <xdr:cNvPr id="2341" name="Рисунок 2340">
          <a:extLst>
            <a:ext uri="{FF2B5EF4-FFF2-40B4-BE49-F238E27FC236}">
              <a16:creationId xmlns:a16="http://schemas.microsoft.com/office/drawing/2014/main" id="{E71A4736-D749-4E08-B96C-C9F49EDD4F7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04333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185</xdr:row>
      <xdr:rowOff>25400</xdr:rowOff>
    </xdr:from>
    <xdr:to>
      <xdr:col>11</xdr:col>
      <xdr:colOff>571500</xdr:colOff>
      <xdr:row>186</xdr:row>
      <xdr:rowOff>0</xdr:rowOff>
    </xdr:to>
    <xdr:pic>
      <xdr:nvPicPr>
        <xdr:cNvPr id="2343" name="Рисунок 2342">
          <a:extLst>
            <a:ext uri="{FF2B5EF4-FFF2-40B4-BE49-F238E27FC236}">
              <a16:creationId xmlns:a16="http://schemas.microsoft.com/office/drawing/2014/main" id="{995701B8-770F-48E7-91F2-CB3E946D960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04905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186</xdr:row>
      <xdr:rowOff>25400</xdr:rowOff>
    </xdr:from>
    <xdr:to>
      <xdr:col>11</xdr:col>
      <xdr:colOff>571500</xdr:colOff>
      <xdr:row>187</xdr:row>
      <xdr:rowOff>0</xdr:rowOff>
    </xdr:to>
    <xdr:pic>
      <xdr:nvPicPr>
        <xdr:cNvPr id="2345" name="Рисунок 2344">
          <a:extLst>
            <a:ext uri="{FF2B5EF4-FFF2-40B4-BE49-F238E27FC236}">
              <a16:creationId xmlns:a16="http://schemas.microsoft.com/office/drawing/2014/main" id="{96389E62-6A68-4292-AC34-CB72E041A53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05476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187</xdr:row>
      <xdr:rowOff>25400</xdr:rowOff>
    </xdr:from>
    <xdr:to>
      <xdr:col>11</xdr:col>
      <xdr:colOff>571500</xdr:colOff>
      <xdr:row>188</xdr:row>
      <xdr:rowOff>0</xdr:rowOff>
    </xdr:to>
    <xdr:pic>
      <xdr:nvPicPr>
        <xdr:cNvPr id="2347" name="Рисунок 2346">
          <a:extLst>
            <a:ext uri="{FF2B5EF4-FFF2-40B4-BE49-F238E27FC236}">
              <a16:creationId xmlns:a16="http://schemas.microsoft.com/office/drawing/2014/main" id="{239EB711-1F9D-4ACF-9123-65F4D5CA610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06048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188</xdr:row>
      <xdr:rowOff>25400</xdr:rowOff>
    </xdr:from>
    <xdr:to>
      <xdr:col>11</xdr:col>
      <xdr:colOff>571500</xdr:colOff>
      <xdr:row>189</xdr:row>
      <xdr:rowOff>0</xdr:rowOff>
    </xdr:to>
    <xdr:pic>
      <xdr:nvPicPr>
        <xdr:cNvPr id="2349" name="Рисунок 2348">
          <a:extLst>
            <a:ext uri="{FF2B5EF4-FFF2-40B4-BE49-F238E27FC236}">
              <a16:creationId xmlns:a16="http://schemas.microsoft.com/office/drawing/2014/main" id="{7C99BABF-53D4-4F88-B5CE-A06F693B1D3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06619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189</xdr:row>
      <xdr:rowOff>25400</xdr:rowOff>
    </xdr:from>
    <xdr:to>
      <xdr:col>11</xdr:col>
      <xdr:colOff>571500</xdr:colOff>
      <xdr:row>190</xdr:row>
      <xdr:rowOff>0</xdr:rowOff>
    </xdr:to>
    <xdr:pic>
      <xdr:nvPicPr>
        <xdr:cNvPr id="2351" name="Рисунок 2350">
          <a:extLst>
            <a:ext uri="{FF2B5EF4-FFF2-40B4-BE49-F238E27FC236}">
              <a16:creationId xmlns:a16="http://schemas.microsoft.com/office/drawing/2014/main" id="{42A5CB49-CFBD-4D88-8C47-6B61FDD5FED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07191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190</xdr:row>
      <xdr:rowOff>25400</xdr:rowOff>
    </xdr:from>
    <xdr:to>
      <xdr:col>11</xdr:col>
      <xdr:colOff>571500</xdr:colOff>
      <xdr:row>191</xdr:row>
      <xdr:rowOff>0</xdr:rowOff>
    </xdr:to>
    <xdr:pic>
      <xdr:nvPicPr>
        <xdr:cNvPr id="2353" name="Рисунок 2352">
          <a:extLst>
            <a:ext uri="{FF2B5EF4-FFF2-40B4-BE49-F238E27FC236}">
              <a16:creationId xmlns:a16="http://schemas.microsoft.com/office/drawing/2014/main" id="{E2E9195D-5683-492A-9CA6-AC3142FF106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07762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191</xdr:row>
      <xdr:rowOff>25400</xdr:rowOff>
    </xdr:from>
    <xdr:to>
      <xdr:col>11</xdr:col>
      <xdr:colOff>571500</xdr:colOff>
      <xdr:row>192</xdr:row>
      <xdr:rowOff>0</xdr:rowOff>
    </xdr:to>
    <xdr:pic>
      <xdr:nvPicPr>
        <xdr:cNvPr id="2355" name="Рисунок 2354">
          <a:extLst>
            <a:ext uri="{FF2B5EF4-FFF2-40B4-BE49-F238E27FC236}">
              <a16:creationId xmlns:a16="http://schemas.microsoft.com/office/drawing/2014/main" id="{A4DC1F11-09EE-4AB4-9BD7-17F18422056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08334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192</xdr:row>
      <xdr:rowOff>25400</xdr:rowOff>
    </xdr:from>
    <xdr:to>
      <xdr:col>11</xdr:col>
      <xdr:colOff>571500</xdr:colOff>
      <xdr:row>193</xdr:row>
      <xdr:rowOff>0</xdr:rowOff>
    </xdr:to>
    <xdr:pic>
      <xdr:nvPicPr>
        <xdr:cNvPr id="2357" name="Рисунок 2356">
          <a:extLst>
            <a:ext uri="{FF2B5EF4-FFF2-40B4-BE49-F238E27FC236}">
              <a16:creationId xmlns:a16="http://schemas.microsoft.com/office/drawing/2014/main" id="{CCC0BDC8-EB11-473B-B4EA-ED6EFF6CAC8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08905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193</xdr:row>
      <xdr:rowOff>25400</xdr:rowOff>
    </xdr:from>
    <xdr:to>
      <xdr:col>11</xdr:col>
      <xdr:colOff>571500</xdr:colOff>
      <xdr:row>194</xdr:row>
      <xdr:rowOff>0</xdr:rowOff>
    </xdr:to>
    <xdr:pic>
      <xdr:nvPicPr>
        <xdr:cNvPr id="2359" name="Рисунок 2358">
          <a:extLst>
            <a:ext uri="{FF2B5EF4-FFF2-40B4-BE49-F238E27FC236}">
              <a16:creationId xmlns:a16="http://schemas.microsoft.com/office/drawing/2014/main" id="{43486738-707E-42C8-948D-AC17A481B17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09477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194</xdr:row>
      <xdr:rowOff>25400</xdr:rowOff>
    </xdr:from>
    <xdr:to>
      <xdr:col>11</xdr:col>
      <xdr:colOff>571500</xdr:colOff>
      <xdr:row>195</xdr:row>
      <xdr:rowOff>0</xdr:rowOff>
    </xdr:to>
    <xdr:pic>
      <xdr:nvPicPr>
        <xdr:cNvPr id="2361" name="Рисунок 2360">
          <a:extLst>
            <a:ext uri="{FF2B5EF4-FFF2-40B4-BE49-F238E27FC236}">
              <a16:creationId xmlns:a16="http://schemas.microsoft.com/office/drawing/2014/main" id="{C084AEE0-642D-499E-A134-9AE8835F6E1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10048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195</xdr:row>
      <xdr:rowOff>25400</xdr:rowOff>
    </xdr:from>
    <xdr:to>
      <xdr:col>11</xdr:col>
      <xdr:colOff>571500</xdr:colOff>
      <xdr:row>196</xdr:row>
      <xdr:rowOff>0</xdr:rowOff>
    </xdr:to>
    <xdr:pic>
      <xdr:nvPicPr>
        <xdr:cNvPr id="2363" name="Рисунок 2362">
          <a:extLst>
            <a:ext uri="{FF2B5EF4-FFF2-40B4-BE49-F238E27FC236}">
              <a16:creationId xmlns:a16="http://schemas.microsoft.com/office/drawing/2014/main" id="{B91B2290-4DE3-42A2-A1C2-A2CE61DE48D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10620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196</xdr:row>
      <xdr:rowOff>25400</xdr:rowOff>
    </xdr:from>
    <xdr:to>
      <xdr:col>11</xdr:col>
      <xdr:colOff>571500</xdr:colOff>
      <xdr:row>197</xdr:row>
      <xdr:rowOff>0</xdr:rowOff>
    </xdr:to>
    <xdr:pic>
      <xdr:nvPicPr>
        <xdr:cNvPr id="2365" name="Рисунок 2364">
          <a:extLst>
            <a:ext uri="{FF2B5EF4-FFF2-40B4-BE49-F238E27FC236}">
              <a16:creationId xmlns:a16="http://schemas.microsoft.com/office/drawing/2014/main" id="{6A0A202B-0484-42F5-A1A7-B721E098B2C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11191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197</xdr:row>
      <xdr:rowOff>25400</xdr:rowOff>
    </xdr:from>
    <xdr:to>
      <xdr:col>11</xdr:col>
      <xdr:colOff>571500</xdr:colOff>
      <xdr:row>198</xdr:row>
      <xdr:rowOff>0</xdr:rowOff>
    </xdr:to>
    <xdr:pic>
      <xdr:nvPicPr>
        <xdr:cNvPr id="2367" name="Рисунок 2366">
          <a:extLst>
            <a:ext uri="{FF2B5EF4-FFF2-40B4-BE49-F238E27FC236}">
              <a16:creationId xmlns:a16="http://schemas.microsoft.com/office/drawing/2014/main" id="{F7E55E29-CE08-4628-9952-BFE26E649A2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11763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198</xdr:row>
      <xdr:rowOff>25400</xdr:rowOff>
    </xdr:from>
    <xdr:to>
      <xdr:col>11</xdr:col>
      <xdr:colOff>571500</xdr:colOff>
      <xdr:row>199</xdr:row>
      <xdr:rowOff>0</xdr:rowOff>
    </xdr:to>
    <xdr:pic>
      <xdr:nvPicPr>
        <xdr:cNvPr id="2369" name="Рисунок 2368">
          <a:extLst>
            <a:ext uri="{FF2B5EF4-FFF2-40B4-BE49-F238E27FC236}">
              <a16:creationId xmlns:a16="http://schemas.microsoft.com/office/drawing/2014/main" id="{AE3CA311-7EA5-401F-83DB-F818C51F6A1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12334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199</xdr:row>
      <xdr:rowOff>25400</xdr:rowOff>
    </xdr:from>
    <xdr:to>
      <xdr:col>11</xdr:col>
      <xdr:colOff>571500</xdr:colOff>
      <xdr:row>200</xdr:row>
      <xdr:rowOff>0</xdr:rowOff>
    </xdr:to>
    <xdr:pic>
      <xdr:nvPicPr>
        <xdr:cNvPr id="2371" name="Рисунок 2370">
          <a:extLst>
            <a:ext uri="{FF2B5EF4-FFF2-40B4-BE49-F238E27FC236}">
              <a16:creationId xmlns:a16="http://schemas.microsoft.com/office/drawing/2014/main" id="{BD5FA44E-4698-4DDC-9B6D-0E1BC4AD383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12906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200</xdr:row>
      <xdr:rowOff>25400</xdr:rowOff>
    </xdr:from>
    <xdr:to>
      <xdr:col>11</xdr:col>
      <xdr:colOff>571500</xdr:colOff>
      <xdr:row>201</xdr:row>
      <xdr:rowOff>0</xdr:rowOff>
    </xdr:to>
    <xdr:pic>
      <xdr:nvPicPr>
        <xdr:cNvPr id="2373" name="Рисунок 2372">
          <a:extLst>
            <a:ext uri="{FF2B5EF4-FFF2-40B4-BE49-F238E27FC236}">
              <a16:creationId xmlns:a16="http://schemas.microsoft.com/office/drawing/2014/main" id="{2179B894-C27E-43D5-9E45-BE136A60F78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13477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201</xdr:row>
      <xdr:rowOff>25400</xdr:rowOff>
    </xdr:from>
    <xdr:to>
      <xdr:col>11</xdr:col>
      <xdr:colOff>571500</xdr:colOff>
      <xdr:row>202</xdr:row>
      <xdr:rowOff>0</xdr:rowOff>
    </xdr:to>
    <xdr:pic>
      <xdr:nvPicPr>
        <xdr:cNvPr id="2375" name="Рисунок 2374">
          <a:extLst>
            <a:ext uri="{FF2B5EF4-FFF2-40B4-BE49-F238E27FC236}">
              <a16:creationId xmlns:a16="http://schemas.microsoft.com/office/drawing/2014/main" id="{72598FD4-6CA2-4527-8844-C9451960A5D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14049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202</xdr:row>
      <xdr:rowOff>25400</xdr:rowOff>
    </xdr:from>
    <xdr:to>
      <xdr:col>11</xdr:col>
      <xdr:colOff>571500</xdr:colOff>
      <xdr:row>203</xdr:row>
      <xdr:rowOff>0</xdr:rowOff>
    </xdr:to>
    <xdr:pic>
      <xdr:nvPicPr>
        <xdr:cNvPr id="2377" name="Рисунок 2376">
          <a:extLst>
            <a:ext uri="{FF2B5EF4-FFF2-40B4-BE49-F238E27FC236}">
              <a16:creationId xmlns:a16="http://schemas.microsoft.com/office/drawing/2014/main" id="{31027324-13B2-4CA7-98BC-D02904A6122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14620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2</xdr:col>
      <xdr:colOff>713938</xdr:colOff>
      <xdr:row>3</xdr:row>
      <xdr:rowOff>30480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FC51C732-B26B-4D0E-ACC1-8909B1C0B4F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9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2085538" cy="510540"/>
        </a:xfrm>
        <a:prstGeom prst="rect">
          <a:avLst/>
        </a:prstGeom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6</xdr:col>
          <xdr:colOff>30480</xdr:colOff>
          <xdr:row>0</xdr:row>
          <xdr:rowOff>99060</xdr:rowOff>
        </xdr:from>
        <xdr:to>
          <xdr:col>7</xdr:col>
          <xdr:colOff>502920</xdr:colOff>
          <xdr:row>2</xdr:row>
          <xdr:rowOff>99060</xdr:rowOff>
        </xdr:to>
        <xdr:sp macro="" textlink="">
          <xdr:nvSpPr>
            <xdr:cNvPr id="8193" name="Button 1" hidden="1">
              <a:extLst>
                <a:ext uri="{63B3BB69-23CF-44E3-9099-C40C66FF867C}">
                  <a14:compatExt spid="_x0000_s8193"/>
                </a:ext>
                <a:ext uri="{FF2B5EF4-FFF2-40B4-BE49-F238E27FC236}">
                  <a16:creationId xmlns:a16="http://schemas.microsoft.com/office/drawing/2014/main" id="{00000000-0008-0000-0200-0000012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</xdr:spPr>
          <xdr:txBody>
            <a:bodyPr vertOverflow="clip" wrap="square" lIns="27432" tIns="22860" rIns="27432" bIns="0" anchor="t" upright="1"/>
            <a:lstStyle/>
            <a:p>
              <a:pPr algn="ctr" rtl="0">
                <a:defRPr sz="1000"/>
              </a:pPr>
              <a:r>
                <a:rPr lang="ru-KZ" sz="800" b="1" i="0" u="none" strike="noStrike" baseline="0">
                  <a:solidFill>
                    <a:srgbClr val="000000"/>
                  </a:solidFill>
                  <a:latin typeface="Arial"/>
                  <a:cs typeface="Arial"/>
                </a:rPr>
                <a:t>Очистить</a:t>
              </a:r>
            </a:p>
            <a:p>
              <a:pPr algn="ctr" rtl="0">
                <a:defRPr sz="1000"/>
              </a:pPr>
              <a:r>
                <a:rPr lang="ru-KZ" sz="800" b="1" i="0" u="none" strike="noStrike" baseline="0">
                  <a:solidFill>
                    <a:srgbClr val="000000"/>
                  </a:solidFill>
                  <a:latin typeface="Arial"/>
                  <a:cs typeface="Arial"/>
                </a:rPr>
                <a:t>заказ  на этом листе</a:t>
              </a:r>
            </a:p>
          </xdr:txBody>
        </xdr:sp>
        <xdr:clientData fLocksWithSheet="0"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6</xdr:col>
          <xdr:colOff>30480</xdr:colOff>
          <xdr:row>0</xdr:row>
          <xdr:rowOff>99060</xdr:rowOff>
        </xdr:from>
        <xdr:to>
          <xdr:col>7</xdr:col>
          <xdr:colOff>502920</xdr:colOff>
          <xdr:row>2</xdr:row>
          <xdr:rowOff>99060</xdr:rowOff>
        </xdr:to>
        <xdr:sp macro="" textlink="">
          <xdr:nvSpPr>
            <xdr:cNvPr id="8194" name="Button 2" hidden="1">
              <a:extLst>
                <a:ext uri="{63B3BB69-23CF-44E3-9099-C40C66FF867C}">
                  <a14:compatExt spid="_x0000_s8194"/>
                </a:ext>
                <a:ext uri="{FF2B5EF4-FFF2-40B4-BE49-F238E27FC236}">
                  <a16:creationId xmlns:a16="http://schemas.microsoft.com/office/drawing/2014/main" id="{00000000-0008-0000-0200-0000022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</xdr:spPr>
          <xdr:txBody>
            <a:bodyPr vertOverflow="clip" wrap="square" lIns="27432" tIns="22860" rIns="27432" bIns="0" anchor="t" upright="1"/>
            <a:lstStyle/>
            <a:p>
              <a:pPr algn="ctr" rtl="0">
                <a:defRPr sz="1000"/>
              </a:pPr>
              <a:r>
                <a:rPr lang="ru-KZ" sz="800" b="1" i="0" u="none" strike="noStrike" baseline="0">
                  <a:solidFill>
                    <a:srgbClr val="000000"/>
                  </a:solidFill>
                  <a:latin typeface="Arial"/>
                  <a:cs typeface="Arial"/>
                </a:rPr>
                <a:t>Очистить</a:t>
              </a:r>
            </a:p>
            <a:p>
              <a:pPr algn="ctr" rtl="0">
                <a:defRPr sz="1000"/>
              </a:pPr>
              <a:r>
                <a:rPr lang="ru-KZ" sz="800" b="1" i="0" u="none" strike="noStrike" baseline="0">
                  <a:solidFill>
                    <a:srgbClr val="000000"/>
                  </a:solidFill>
                  <a:latin typeface="Arial"/>
                  <a:cs typeface="Arial"/>
                </a:rPr>
                <a:t>заказ  на этом листе</a:t>
              </a:r>
            </a:p>
          </xdr:txBody>
        </xdr:sp>
        <xdr:clientData fLocksWithSheet="0"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6</xdr:col>
          <xdr:colOff>30480</xdr:colOff>
          <xdr:row>0</xdr:row>
          <xdr:rowOff>99060</xdr:rowOff>
        </xdr:from>
        <xdr:to>
          <xdr:col>7</xdr:col>
          <xdr:colOff>502920</xdr:colOff>
          <xdr:row>2</xdr:row>
          <xdr:rowOff>99060</xdr:rowOff>
        </xdr:to>
        <xdr:sp macro="" textlink="">
          <xdr:nvSpPr>
            <xdr:cNvPr id="8195" name="Button 3" hidden="1">
              <a:extLst>
                <a:ext uri="{63B3BB69-23CF-44E3-9099-C40C66FF867C}">
                  <a14:compatExt spid="_x0000_s8195"/>
                </a:ext>
                <a:ext uri="{FF2B5EF4-FFF2-40B4-BE49-F238E27FC236}">
                  <a16:creationId xmlns:a16="http://schemas.microsoft.com/office/drawing/2014/main" id="{00000000-0008-0000-0200-00000320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</xdr:spPr>
          <xdr:txBody>
            <a:bodyPr vertOverflow="clip" wrap="square" lIns="27432" tIns="22860" rIns="27432" bIns="0" anchor="t" upright="1"/>
            <a:lstStyle/>
            <a:p>
              <a:pPr algn="ctr" rtl="0">
                <a:defRPr sz="1000"/>
              </a:pPr>
              <a:r>
                <a:rPr lang="ru-KZ" sz="800" b="1" i="0" u="none" strike="noStrike" baseline="0">
                  <a:solidFill>
                    <a:srgbClr val="000000"/>
                  </a:solidFill>
                  <a:latin typeface="Arial"/>
                  <a:cs typeface="Arial"/>
                </a:rPr>
                <a:t>Очистить</a:t>
              </a:r>
            </a:p>
            <a:p>
              <a:pPr algn="ctr" rtl="0">
                <a:defRPr sz="1000"/>
              </a:pPr>
              <a:r>
                <a:rPr lang="ru-KZ" sz="800" b="1" i="0" u="none" strike="noStrike" baseline="0">
                  <a:solidFill>
                    <a:srgbClr val="000000"/>
                  </a:solidFill>
                  <a:latin typeface="Arial"/>
                  <a:cs typeface="Arial"/>
                </a:rPr>
                <a:t>заказ  на этом листе</a:t>
              </a:r>
            </a:p>
          </xdr:txBody>
        </xdr:sp>
        <xdr:clientData fLocksWithSheet="0"/>
      </xdr:twoCellAnchor>
    </mc:Choice>
    <mc:Fallback/>
  </mc:AlternateContent>
  <xdr:twoCellAnchor editAs="oneCell">
    <xdr:from>
      <xdr:col>11</xdr:col>
      <xdr:colOff>25400</xdr:colOff>
      <xdr:row>8</xdr:row>
      <xdr:rowOff>25400</xdr:rowOff>
    </xdr:from>
    <xdr:to>
      <xdr:col>11</xdr:col>
      <xdr:colOff>571500</xdr:colOff>
      <xdr:row>9</xdr:row>
      <xdr:rowOff>0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D901B962-7F98-48D4-A0B9-28749E2ED6B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463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9</xdr:row>
      <xdr:rowOff>25400</xdr:rowOff>
    </xdr:from>
    <xdr:to>
      <xdr:col>11</xdr:col>
      <xdr:colOff>571500</xdr:colOff>
      <xdr:row>10</xdr:row>
      <xdr:rowOff>0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BAE643B2-2792-48FF-905F-EEFF87C3E0B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035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10</xdr:row>
      <xdr:rowOff>25400</xdr:rowOff>
    </xdr:from>
    <xdr:to>
      <xdr:col>11</xdr:col>
      <xdr:colOff>571500</xdr:colOff>
      <xdr:row>11</xdr:row>
      <xdr:rowOff>0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6E9E9CD7-16B8-43E7-855A-BBE74F08486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606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11</xdr:row>
      <xdr:rowOff>25400</xdr:rowOff>
    </xdr:from>
    <xdr:to>
      <xdr:col>11</xdr:col>
      <xdr:colOff>571500</xdr:colOff>
      <xdr:row>12</xdr:row>
      <xdr:rowOff>0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BDCADA88-F9F6-4B37-953E-AB0F8BC4EA0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3178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12</xdr:row>
      <xdr:rowOff>25400</xdr:rowOff>
    </xdr:from>
    <xdr:to>
      <xdr:col>11</xdr:col>
      <xdr:colOff>571500</xdr:colOff>
      <xdr:row>13</xdr:row>
      <xdr:rowOff>0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FFC71D1B-D972-47BC-94A1-6C6B34BB123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3749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13</xdr:row>
      <xdr:rowOff>25400</xdr:rowOff>
    </xdr:from>
    <xdr:to>
      <xdr:col>11</xdr:col>
      <xdr:colOff>571500</xdr:colOff>
      <xdr:row>14</xdr:row>
      <xdr:rowOff>0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E22113AD-F9FD-4215-AF52-B063ED5DB75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4321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14</xdr:row>
      <xdr:rowOff>25400</xdr:rowOff>
    </xdr:from>
    <xdr:to>
      <xdr:col>11</xdr:col>
      <xdr:colOff>571500</xdr:colOff>
      <xdr:row>15</xdr:row>
      <xdr:rowOff>0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C7DC57D8-CDB9-40DC-842B-FA5CDF0EC08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4892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15</xdr:row>
      <xdr:rowOff>25400</xdr:rowOff>
    </xdr:from>
    <xdr:to>
      <xdr:col>11</xdr:col>
      <xdr:colOff>571500</xdr:colOff>
      <xdr:row>16</xdr:row>
      <xdr:rowOff>0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9CC6F3F2-5CB6-4683-A7A3-7CF4BB344C0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5464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16</xdr:row>
      <xdr:rowOff>25400</xdr:rowOff>
    </xdr:from>
    <xdr:to>
      <xdr:col>11</xdr:col>
      <xdr:colOff>571500</xdr:colOff>
      <xdr:row>17</xdr:row>
      <xdr:rowOff>0</xdr:rowOff>
    </xdr:to>
    <xdr:pic>
      <xdr:nvPicPr>
        <xdr:cNvPr id="20" name="Рисунок 19">
          <a:extLst>
            <a:ext uri="{FF2B5EF4-FFF2-40B4-BE49-F238E27FC236}">
              <a16:creationId xmlns:a16="http://schemas.microsoft.com/office/drawing/2014/main" id="{550A81D8-2935-4E54-A1A1-2131577F6F6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6035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17</xdr:row>
      <xdr:rowOff>25400</xdr:rowOff>
    </xdr:from>
    <xdr:to>
      <xdr:col>11</xdr:col>
      <xdr:colOff>571500</xdr:colOff>
      <xdr:row>18</xdr:row>
      <xdr:rowOff>0</xdr:rowOff>
    </xdr:to>
    <xdr:pic>
      <xdr:nvPicPr>
        <xdr:cNvPr id="22" name="Рисунок 21">
          <a:extLst>
            <a:ext uri="{FF2B5EF4-FFF2-40B4-BE49-F238E27FC236}">
              <a16:creationId xmlns:a16="http://schemas.microsoft.com/office/drawing/2014/main" id="{AD247E6D-E0C1-4ED1-A8AB-E6D634E6204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6607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18</xdr:row>
      <xdr:rowOff>25400</xdr:rowOff>
    </xdr:from>
    <xdr:to>
      <xdr:col>11</xdr:col>
      <xdr:colOff>571500</xdr:colOff>
      <xdr:row>19</xdr:row>
      <xdr:rowOff>0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4EF3CB23-F2D7-4AAA-97D1-7FF5F7D021B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7178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19</xdr:row>
      <xdr:rowOff>25400</xdr:rowOff>
    </xdr:from>
    <xdr:to>
      <xdr:col>11</xdr:col>
      <xdr:colOff>571500</xdr:colOff>
      <xdr:row>20</xdr:row>
      <xdr:rowOff>0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D0225A73-C444-4408-AA71-8756B7E5585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7750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20</xdr:row>
      <xdr:rowOff>25400</xdr:rowOff>
    </xdr:from>
    <xdr:to>
      <xdr:col>11</xdr:col>
      <xdr:colOff>571500</xdr:colOff>
      <xdr:row>21</xdr:row>
      <xdr:rowOff>0</xdr:rowOff>
    </xdr:to>
    <xdr:pic>
      <xdr:nvPicPr>
        <xdr:cNvPr id="28" name="Рисунок 27">
          <a:extLst>
            <a:ext uri="{FF2B5EF4-FFF2-40B4-BE49-F238E27FC236}">
              <a16:creationId xmlns:a16="http://schemas.microsoft.com/office/drawing/2014/main" id="{AD40ADA4-B14A-49DA-B041-FFE351F1FA6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8321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21</xdr:row>
      <xdr:rowOff>25400</xdr:rowOff>
    </xdr:from>
    <xdr:to>
      <xdr:col>11</xdr:col>
      <xdr:colOff>571500</xdr:colOff>
      <xdr:row>22</xdr:row>
      <xdr:rowOff>0</xdr:rowOff>
    </xdr:to>
    <xdr:pic>
      <xdr:nvPicPr>
        <xdr:cNvPr id="30" name="Рисунок 29">
          <a:extLst>
            <a:ext uri="{FF2B5EF4-FFF2-40B4-BE49-F238E27FC236}">
              <a16:creationId xmlns:a16="http://schemas.microsoft.com/office/drawing/2014/main" id="{8AA3CF31-E9DA-477D-BEE9-9DF34F55C7A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8893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22</xdr:row>
      <xdr:rowOff>25400</xdr:rowOff>
    </xdr:from>
    <xdr:to>
      <xdr:col>11</xdr:col>
      <xdr:colOff>571500</xdr:colOff>
      <xdr:row>23</xdr:row>
      <xdr:rowOff>0</xdr:rowOff>
    </xdr:to>
    <xdr:pic>
      <xdr:nvPicPr>
        <xdr:cNvPr id="32" name="Рисунок 31">
          <a:extLst>
            <a:ext uri="{FF2B5EF4-FFF2-40B4-BE49-F238E27FC236}">
              <a16:creationId xmlns:a16="http://schemas.microsoft.com/office/drawing/2014/main" id="{E56AEBB1-AB28-4C28-AF61-5EFFC152842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9464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23</xdr:row>
      <xdr:rowOff>25400</xdr:rowOff>
    </xdr:from>
    <xdr:to>
      <xdr:col>11</xdr:col>
      <xdr:colOff>571500</xdr:colOff>
      <xdr:row>24</xdr:row>
      <xdr:rowOff>0</xdr:rowOff>
    </xdr:to>
    <xdr:pic>
      <xdr:nvPicPr>
        <xdr:cNvPr id="34" name="Рисунок 33">
          <a:extLst>
            <a:ext uri="{FF2B5EF4-FFF2-40B4-BE49-F238E27FC236}">
              <a16:creationId xmlns:a16="http://schemas.microsoft.com/office/drawing/2014/main" id="{FB4C452B-1E35-42F4-A1BE-05C6F754874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0036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24</xdr:row>
      <xdr:rowOff>25400</xdr:rowOff>
    </xdr:from>
    <xdr:to>
      <xdr:col>11</xdr:col>
      <xdr:colOff>571500</xdr:colOff>
      <xdr:row>25</xdr:row>
      <xdr:rowOff>0</xdr:rowOff>
    </xdr:to>
    <xdr:pic>
      <xdr:nvPicPr>
        <xdr:cNvPr id="36" name="Рисунок 35">
          <a:extLst>
            <a:ext uri="{FF2B5EF4-FFF2-40B4-BE49-F238E27FC236}">
              <a16:creationId xmlns:a16="http://schemas.microsoft.com/office/drawing/2014/main" id="{CBD61B3D-3BBF-45D6-A1CA-7BD0F65C213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0607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25</xdr:row>
      <xdr:rowOff>25400</xdr:rowOff>
    </xdr:from>
    <xdr:to>
      <xdr:col>11</xdr:col>
      <xdr:colOff>571500</xdr:colOff>
      <xdr:row>26</xdr:row>
      <xdr:rowOff>0</xdr:rowOff>
    </xdr:to>
    <xdr:pic>
      <xdr:nvPicPr>
        <xdr:cNvPr id="38" name="Рисунок 37">
          <a:extLst>
            <a:ext uri="{FF2B5EF4-FFF2-40B4-BE49-F238E27FC236}">
              <a16:creationId xmlns:a16="http://schemas.microsoft.com/office/drawing/2014/main" id="{3BCB1E9B-F12A-4751-B248-B2D61BCBE5F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1179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26</xdr:row>
      <xdr:rowOff>25400</xdr:rowOff>
    </xdr:from>
    <xdr:to>
      <xdr:col>11</xdr:col>
      <xdr:colOff>571500</xdr:colOff>
      <xdr:row>27</xdr:row>
      <xdr:rowOff>0</xdr:rowOff>
    </xdr:to>
    <xdr:pic>
      <xdr:nvPicPr>
        <xdr:cNvPr id="40" name="Рисунок 39">
          <a:extLst>
            <a:ext uri="{FF2B5EF4-FFF2-40B4-BE49-F238E27FC236}">
              <a16:creationId xmlns:a16="http://schemas.microsoft.com/office/drawing/2014/main" id="{0B9133FD-A0A3-4E0E-95CE-AE17A38E25C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1750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28</xdr:row>
      <xdr:rowOff>25400</xdr:rowOff>
    </xdr:from>
    <xdr:to>
      <xdr:col>11</xdr:col>
      <xdr:colOff>571500</xdr:colOff>
      <xdr:row>29</xdr:row>
      <xdr:rowOff>0</xdr:rowOff>
    </xdr:to>
    <xdr:pic>
      <xdr:nvPicPr>
        <xdr:cNvPr id="42" name="Рисунок 41">
          <a:extLst>
            <a:ext uri="{FF2B5EF4-FFF2-40B4-BE49-F238E27FC236}">
              <a16:creationId xmlns:a16="http://schemas.microsoft.com/office/drawing/2014/main" id="{B5E83529-BB2C-4606-B907-4003D57EAE2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2893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29</xdr:row>
      <xdr:rowOff>25400</xdr:rowOff>
    </xdr:from>
    <xdr:to>
      <xdr:col>11</xdr:col>
      <xdr:colOff>571500</xdr:colOff>
      <xdr:row>30</xdr:row>
      <xdr:rowOff>0</xdr:rowOff>
    </xdr:to>
    <xdr:pic>
      <xdr:nvPicPr>
        <xdr:cNvPr id="44" name="Рисунок 43">
          <a:extLst>
            <a:ext uri="{FF2B5EF4-FFF2-40B4-BE49-F238E27FC236}">
              <a16:creationId xmlns:a16="http://schemas.microsoft.com/office/drawing/2014/main" id="{5D43046F-688F-44A2-B783-C32B73B5BA6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3465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30</xdr:row>
      <xdr:rowOff>25400</xdr:rowOff>
    </xdr:from>
    <xdr:to>
      <xdr:col>11</xdr:col>
      <xdr:colOff>571500</xdr:colOff>
      <xdr:row>31</xdr:row>
      <xdr:rowOff>0</xdr:rowOff>
    </xdr:to>
    <xdr:pic>
      <xdr:nvPicPr>
        <xdr:cNvPr id="46" name="Рисунок 45">
          <a:extLst>
            <a:ext uri="{FF2B5EF4-FFF2-40B4-BE49-F238E27FC236}">
              <a16:creationId xmlns:a16="http://schemas.microsoft.com/office/drawing/2014/main" id="{C2D0423D-1E6F-4F98-BA56-F26E141A162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4036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31</xdr:row>
      <xdr:rowOff>25400</xdr:rowOff>
    </xdr:from>
    <xdr:to>
      <xdr:col>11</xdr:col>
      <xdr:colOff>571500</xdr:colOff>
      <xdr:row>32</xdr:row>
      <xdr:rowOff>0</xdr:rowOff>
    </xdr:to>
    <xdr:pic>
      <xdr:nvPicPr>
        <xdr:cNvPr id="48" name="Рисунок 47">
          <a:extLst>
            <a:ext uri="{FF2B5EF4-FFF2-40B4-BE49-F238E27FC236}">
              <a16:creationId xmlns:a16="http://schemas.microsoft.com/office/drawing/2014/main" id="{1D31473E-5281-43EB-A47D-9B6B0EC25B8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4608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32</xdr:row>
      <xdr:rowOff>25400</xdr:rowOff>
    </xdr:from>
    <xdr:to>
      <xdr:col>11</xdr:col>
      <xdr:colOff>571500</xdr:colOff>
      <xdr:row>33</xdr:row>
      <xdr:rowOff>0</xdr:rowOff>
    </xdr:to>
    <xdr:pic>
      <xdr:nvPicPr>
        <xdr:cNvPr id="50" name="Рисунок 49">
          <a:extLst>
            <a:ext uri="{FF2B5EF4-FFF2-40B4-BE49-F238E27FC236}">
              <a16:creationId xmlns:a16="http://schemas.microsoft.com/office/drawing/2014/main" id="{96797F12-BA34-4389-8CAC-528CA3E0377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5179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33</xdr:row>
      <xdr:rowOff>25400</xdr:rowOff>
    </xdr:from>
    <xdr:to>
      <xdr:col>11</xdr:col>
      <xdr:colOff>571500</xdr:colOff>
      <xdr:row>34</xdr:row>
      <xdr:rowOff>0</xdr:rowOff>
    </xdr:to>
    <xdr:pic>
      <xdr:nvPicPr>
        <xdr:cNvPr id="52" name="Рисунок 51">
          <a:extLst>
            <a:ext uri="{FF2B5EF4-FFF2-40B4-BE49-F238E27FC236}">
              <a16:creationId xmlns:a16="http://schemas.microsoft.com/office/drawing/2014/main" id="{72689F8A-C8D0-4A19-ACDB-B890555D8DA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5751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34</xdr:row>
      <xdr:rowOff>25400</xdr:rowOff>
    </xdr:from>
    <xdr:to>
      <xdr:col>11</xdr:col>
      <xdr:colOff>571500</xdr:colOff>
      <xdr:row>35</xdr:row>
      <xdr:rowOff>0</xdr:rowOff>
    </xdr:to>
    <xdr:pic>
      <xdr:nvPicPr>
        <xdr:cNvPr id="54" name="Рисунок 53">
          <a:extLst>
            <a:ext uri="{FF2B5EF4-FFF2-40B4-BE49-F238E27FC236}">
              <a16:creationId xmlns:a16="http://schemas.microsoft.com/office/drawing/2014/main" id="{C9FCFD1D-F90B-4FC4-BF7F-E5A2B305836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6322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35</xdr:row>
      <xdr:rowOff>25400</xdr:rowOff>
    </xdr:from>
    <xdr:to>
      <xdr:col>11</xdr:col>
      <xdr:colOff>571500</xdr:colOff>
      <xdr:row>36</xdr:row>
      <xdr:rowOff>0</xdr:rowOff>
    </xdr:to>
    <xdr:pic>
      <xdr:nvPicPr>
        <xdr:cNvPr id="56" name="Рисунок 55">
          <a:extLst>
            <a:ext uri="{FF2B5EF4-FFF2-40B4-BE49-F238E27FC236}">
              <a16:creationId xmlns:a16="http://schemas.microsoft.com/office/drawing/2014/main" id="{1E7ECF9B-15B9-4FD6-91D7-F8A310D93DD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6894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36</xdr:row>
      <xdr:rowOff>25400</xdr:rowOff>
    </xdr:from>
    <xdr:to>
      <xdr:col>11</xdr:col>
      <xdr:colOff>571500</xdr:colOff>
      <xdr:row>37</xdr:row>
      <xdr:rowOff>0</xdr:rowOff>
    </xdr:to>
    <xdr:pic>
      <xdr:nvPicPr>
        <xdr:cNvPr id="58" name="Рисунок 57">
          <a:extLst>
            <a:ext uri="{FF2B5EF4-FFF2-40B4-BE49-F238E27FC236}">
              <a16:creationId xmlns:a16="http://schemas.microsoft.com/office/drawing/2014/main" id="{BDEF1D18-8B08-4D03-8461-8BD26AD7D94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7465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37</xdr:row>
      <xdr:rowOff>25400</xdr:rowOff>
    </xdr:from>
    <xdr:to>
      <xdr:col>11</xdr:col>
      <xdr:colOff>571500</xdr:colOff>
      <xdr:row>38</xdr:row>
      <xdr:rowOff>0</xdr:rowOff>
    </xdr:to>
    <xdr:pic>
      <xdr:nvPicPr>
        <xdr:cNvPr id="60" name="Рисунок 59">
          <a:extLst>
            <a:ext uri="{FF2B5EF4-FFF2-40B4-BE49-F238E27FC236}">
              <a16:creationId xmlns:a16="http://schemas.microsoft.com/office/drawing/2014/main" id="{F20CF208-FB0F-49E8-938E-FC315A7655D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8037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38</xdr:row>
      <xdr:rowOff>25400</xdr:rowOff>
    </xdr:from>
    <xdr:to>
      <xdr:col>11</xdr:col>
      <xdr:colOff>571500</xdr:colOff>
      <xdr:row>39</xdr:row>
      <xdr:rowOff>0</xdr:rowOff>
    </xdr:to>
    <xdr:pic>
      <xdr:nvPicPr>
        <xdr:cNvPr id="62" name="Рисунок 61">
          <a:extLst>
            <a:ext uri="{FF2B5EF4-FFF2-40B4-BE49-F238E27FC236}">
              <a16:creationId xmlns:a16="http://schemas.microsoft.com/office/drawing/2014/main" id="{B42922C7-D2AB-4E76-B6E6-3662E05EC16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8608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39</xdr:row>
      <xdr:rowOff>25400</xdr:rowOff>
    </xdr:from>
    <xdr:to>
      <xdr:col>11</xdr:col>
      <xdr:colOff>571500</xdr:colOff>
      <xdr:row>40</xdr:row>
      <xdr:rowOff>0</xdr:rowOff>
    </xdr:to>
    <xdr:pic>
      <xdr:nvPicPr>
        <xdr:cNvPr id="8192" name="Рисунок 8191">
          <a:extLst>
            <a:ext uri="{FF2B5EF4-FFF2-40B4-BE49-F238E27FC236}">
              <a16:creationId xmlns:a16="http://schemas.microsoft.com/office/drawing/2014/main" id="{37C45A20-5AEE-43AF-A787-5B90D3D6F06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9180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40</xdr:row>
      <xdr:rowOff>25400</xdr:rowOff>
    </xdr:from>
    <xdr:to>
      <xdr:col>11</xdr:col>
      <xdr:colOff>571500</xdr:colOff>
      <xdr:row>41</xdr:row>
      <xdr:rowOff>0</xdr:rowOff>
    </xdr:to>
    <xdr:pic>
      <xdr:nvPicPr>
        <xdr:cNvPr id="8197" name="Рисунок 8196">
          <a:extLst>
            <a:ext uri="{FF2B5EF4-FFF2-40B4-BE49-F238E27FC236}">
              <a16:creationId xmlns:a16="http://schemas.microsoft.com/office/drawing/2014/main" id="{F5D8424A-55B5-4FCA-AFEF-4CBA06171FC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9751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41</xdr:row>
      <xdr:rowOff>25400</xdr:rowOff>
    </xdr:from>
    <xdr:to>
      <xdr:col>11</xdr:col>
      <xdr:colOff>571500</xdr:colOff>
      <xdr:row>42</xdr:row>
      <xdr:rowOff>0</xdr:rowOff>
    </xdr:to>
    <xdr:pic>
      <xdr:nvPicPr>
        <xdr:cNvPr id="8199" name="Рисунок 8198">
          <a:extLst>
            <a:ext uri="{FF2B5EF4-FFF2-40B4-BE49-F238E27FC236}">
              <a16:creationId xmlns:a16="http://schemas.microsoft.com/office/drawing/2014/main" id="{09550A6F-0509-4F50-A828-DDEEA48F6F5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0323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42</xdr:row>
      <xdr:rowOff>25400</xdr:rowOff>
    </xdr:from>
    <xdr:to>
      <xdr:col>11</xdr:col>
      <xdr:colOff>571500</xdr:colOff>
      <xdr:row>43</xdr:row>
      <xdr:rowOff>0</xdr:rowOff>
    </xdr:to>
    <xdr:pic>
      <xdr:nvPicPr>
        <xdr:cNvPr id="8201" name="Рисунок 8200">
          <a:extLst>
            <a:ext uri="{FF2B5EF4-FFF2-40B4-BE49-F238E27FC236}">
              <a16:creationId xmlns:a16="http://schemas.microsoft.com/office/drawing/2014/main" id="{34FC3FCE-A7F7-4A3B-A61C-01B0FF32F9D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0894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43</xdr:row>
      <xdr:rowOff>25400</xdr:rowOff>
    </xdr:from>
    <xdr:to>
      <xdr:col>11</xdr:col>
      <xdr:colOff>571500</xdr:colOff>
      <xdr:row>44</xdr:row>
      <xdr:rowOff>0</xdr:rowOff>
    </xdr:to>
    <xdr:pic>
      <xdr:nvPicPr>
        <xdr:cNvPr id="8203" name="Рисунок 8202">
          <a:extLst>
            <a:ext uri="{FF2B5EF4-FFF2-40B4-BE49-F238E27FC236}">
              <a16:creationId xmlns:a16="http://schemas.microsoft.com/office/drawing/2014/main" id="{398454A2-E270-4A7C-BBA1-9F04D836B12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1466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44</xdr:row>
      <xdr:rowOff>25400</xdr:rowOff>
    </xdr:from>
    <xdr:to>
      <xdr:col>11</xdr:col>
      <xdr:colOff>571500</xdr:colOff>
      <xdr:row>45</xdr:row>
      <xdr:rowOff>0</xdr:rowOff>
    </xdr:to>
    <xdr:pic>
      <xdr:nvPicPr>
        <xdr:cNvPr id="8205" name="Рисунок 8204">
          <a:extLst>
            <a:ext uri="{FF2B5EF4-FFF2-40B4-BE49-F238E27FC236}">
              <a16:creationId xmlns:a16="http://schemas.microsoft.com/office/drawing/2014/main" id="{643A05ED-D834-45C6-A7C6-876D090C504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2037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45</xdr:row>
      <xdr:rowOff>25400</xdr:rowOff>
    </xdr:from>
    <xdr:to>
      <xdr:col>11</xdr:col>
      <xdr:colOff>571500</xdr:colOff>
      <xdr:row>46</xdr:row>
      <xdr:rowOff>0</xdr:rowOff>
    </xdr:to>
    <xdr:pic>
      <xdr:nvPicPr>
        <xdr:cNvPr id="8207" name="Рисунок 8206">
          <a:extLst>
            <a:ext uri="{FF2B5EF4-FFF2-40B4-BE49-F238E27FC236}">
              <a16:creationId xmlns:a16="http://schemas.microsoft.com/office/drawing/2014/main" id="{0E84B488-0CEB-4B1F-ACDD-0842F814FFE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2609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46</xdr:row>
      <xdr:rowOff>25400</xdr:rowOff>
    </xdr:from>
    <xdr:to>
      <xdr:col>11</xdr:col>
      <xdr:colOff>571500</xdr:colOff>
      <xdr:row>47</xdr:row>
      <xdr:rowOff>0</xdr:rowOff>
    </xdr:to>
    <xdr:pic>
      <xdr:nvPicPr>
        <xdr:cNvPr id="8209" name="Рисунок 8208">
          <a:extLst>
            <a:ext uri="{FF2B5EF4-FFF2-40B4-BE49-F238E27FC236}">
              <a16:creationId xmlns:a16="http://schemas.microsoft.com/office/drawing/2014/main" id="{E943A0ED-C784-4B3E-915B-D66AB301F02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3180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47</xdr:row>
      <xdr:rowOff>25400</xdr:rowOff>
    </xdr:from>
    <xdr:to>
      <xdr:col>11</xdr:col>
      <xdr:colOff>571500</xdr:colOff>
      <xdr:row>48</xdr:row>
      <xdr:rowOff>0</xdr:rowOff>
    </xdr:to>
    <xdr:pic>
      <xdr:nvPicPr>
        <xdr:cNvPr id="8211" name="Рисунок 8210">
          <a:extLst>
            <a:ext uri="{FF2B5EF4-FFF2-40B4-BE49-F238E27FC236}">
              <a16:creationId xmlns:a16="http://schemas.microsoft.com/office/drawing/2014/main" id="{82DE8491-766F-4D86-A5E7-6323553E43B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3752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48</xdr:row>
      <xdr:rowOff>25400</xdr:rowOff>
    </xdr:from>
    <xdr:to>
      <xdr:col>11</xdr:col>
      <xdr:colOff>571500</xdr:colOff>
      <xdr:row>49</xdr:row>
      <xdr:rowOff>0</xdr:rowOff>
    </xdr:to>
    <xdr:pic>
      <xdr:nvPicPr>
        <xdr:cNvPr id="8213" name="Рисунок 8212">
          <a:extLst>
            <a:ext uri="{FF2B5EF4-FFF2-40B4-BE49-F238E27FC236}">
              <a16:creationId xmlns:a16="http://schemas.microsoft.com/office/drawing/2014/main" id="{933474A9-0CD5-44C9-9870-3A4EC913397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4323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49</xdr:row>
      <xdr:rowOff>25400</xdr:rowOff>
    </xdr:from>
    <xdr:to>
      <xdr:col>11</xdr:col>
      <xdr:colOff>571500</xdr:colOff>
      <xdr:row>50</xdr:row>
      <xdr:rowOff>0</xdr:rowOff>
    </xdr:to>
    <xdr:pic>
      <xdr:nvPicPr>
        <xdr:cNvPr id="8215" name="Рисунок 8214">
          <a:extLst>
            <a:ext uri="{FF2B5EF4-FFF2-40B4-BE49-F238E27FC236}">
              <a16:creationId xmlns:a16="http://schemas.microsoft.com/office/drawing/2014/main" id="{3C4AA0E1-D67E-485F-8C42-DA44796D682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4895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50</xdr:row>
      <xdr:rowOff>25400</xdr:rowOff>
    </xdr:from>
    <xdr:to>
      <xdr:col>11</xdr:col>
      <xdr:colOff>571500</xdr:colOff>
      <xdr:row>51</xdr:row>
      <xdr:rowOff>0</xdr:rowOff>
    </xdr:to>
    <xdr:pic>
      <xdr:nvPicPr>
        <xdr:cNvPr id="8217" name="Рисунок 8216">
          <a:extLst>
            <a:ext uri="{FF2B5EF4-FFF2-40B4-BE49-F238E27FC236}">
              <a16:creationId xmlns:a16="http://schemas.microsoft.com/office/drawing/2014/main" id="{BDFBD96D-07B6-4E25-B2AB-F2CB6296E1D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5466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51</xdr:row>
      <xdr:rowOff>25400</xdr:rowOff>
    </xdr:from>
    <xdr:to>
      <xdr:col>11</xdr:col>
      <xdr:colOff>571500</xdr:colOff>
      <xdr:row>52</xdr:row>
      <xdr:rowOff>0</xdr:rowOff>
    </xdr:to>
    <xdr:pic>
      <xdr:nvPicPr>
        <xdr:cNvPr id="8219" name="Рисунок 8218">
          <a:extLst>
            <a:ext uri="{FF2B5EF4-FFF2-40B4-BE49-F238E27FC236}">
              <a16:creationId xmlns:a16="http://schemas.microsoft.com/office/drawing/2014/main" id="{CC6814DA-CC17-4A65-87D8-0311619094D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6038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52</xdr:row>
      <xdr:rowOff>25400</xdr:rowOff>
    </xdr:from>
    <xdr:to>
      <xdr:col>11</xdr:col>
      <xdr:colOff>571500</xdr:colOff>
      <xdr:row>53</xdr:row>
      <xdr:rowOff>0</xdr:rowOff>
    </xdr:to>
    <xdr:pic>
      <xdr:nvPicPr>
        <xdr:cNvPr id="8221" name="Рисунок 8220">
          <a:extLst>
            <a:ext uri="{FF2B5EF4-FFF2-40B4-BE49-F238E27FC236}">
              <a16:creationId xmlns:a16="http://schemas.microsoft.com/office/drawing/2014/main" id="{50EA37B8-7772-41B6-9867-3BC8CEE4E4D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6609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53</xdr:row>
      <xdr:rowOff>25400</xdr:rowOff>
    </xdr:from>
    <xdr:to>
      <xdr:col>11</xdr:col>
      <xdr:colOff>571500</xdr:colOff>
      <xdr:row>54</xdr:row>
      <xdr:rowOff>0</xdr:rowOff>
    </xdr:to>
    <xdr:pic>
      <xdr:nvPicPr>
        <xdr:cNvPr id="8223" name="Рисунок 8222">
          <a:extLst>
            <a:ext uri="{FF2B5EF4-FFF2-40B4-BE49-F238E27FC236}">
              <a16:creationId xmlns:a16="http://schemas.microsoft.com/office/drawing/2014/main" id="{D5051D30-64E9-4F41-B9D2-7AE13DCDB3F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7181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54</xdr:row>
      <xdr:rowOff>25400</xdr:rowOff>
    </xdr:from>
    <xdr:to>
      <xdr:col>11</xdr:col>
      <xdr:colOff>571500</xdr:colOff>
      <xdr:row>55</xdr:row>
      <xdr:rowOff>0</xdr:rowOff>
    </xdr:to>
    <xdr:pic>
      <xdr:nvPicPr>
        <xdr:cNvPr id="8225" name="Рисунок 8224">
          <a:extLst>
            <a:ext uri="{FF2B5EF4-FFF2-40B4-BE49-F238E27FC236}">
              <a16:creationId xmlns:a16="http://schemas.microsoft.com/office/drawing/2014/main" id="{306C6570-3B56-4EF7-AE46-9692233C655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7752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55</xdr:row>
      <xdr:rowOff>25400</xdr:rowOff>
    </xdr:from>
    <xdr:to>
      <xdr:col>11</xdr:col>
      <xdr:colOff>571500</xdr:colOff>
      <xdr:row>56</xdr:row>
      <xdr:rowOff>0</xdr:rowOff>
    </xdr:to>
    <xdr:pic>
      <xdr:nvPicPr>
        <xdr:cNvPr id="8227" name="Рисунок 8226">
          <a:extLst>
            <a:ext uri="{FF2B5EF4-FFF2-40B4-BE49-F238E27FC236}">
              <a16:creationId xmlns:a16="http://schemas.microsoft.com/office/drawing/2014/main" id="{7EB11209-1F8A-4104-B51B-5228CB710C4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8324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56</xdr:row>
      <xdr:rowOff>25400</xdr:rowOff>
    </xdr:from>
    <xdr:to>
      <xdr:col>11</xdr:col>
      <xdr:colOff>571500</xdr:colOff>
      <xdr:row>57</xdr:row>
      <xdr:rowOff>0</xdr:rowOff>
    </xdr:to>
    <xdr:pic>
      <xdr:nvPicPr>
        <xdr:cNvPr id="8229" name="Рисунок 8228">
          <a:extLst>
            <a:ext uri="{FF2B5EF4-FFF2-40B4-BE49-F238E27FC236}">
              <a16:creationId xmlns:a16="http://schemas.microsoft.com/office/drawing/2014/main" id="{8BF9F1F5-DF7E-47DD-A5B9-BAC1BB64B0D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8895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57</xdr:row>
      <xdr:rowOff>25400</xdr:rowOff>
    </xdr:from>
    <xdr:to>
      <xdr:col>11</xdr:col>
      <xdr:colOff>571500</xdr:colOff>
      <xdr:row>58</xdr:row>
      <xdr:rowOff>0</xdr:rowOff>
    </xdr:to>
    <xdr:pic>
      <xdr:nvPicPr>
        <xdr:cNvPr id="8231" name="Рисунок 8230">
          <a:extLst>
            <a:ext uri="{FF2B5EF4-FFF2-40B4-BE49-F238E27FC236}">
              <a16:creationId xmlns:a16="http://schemas.microsoft.com/office/drawing/2014/main" id="{88680D96-238C-4085-8946-A36308E7DBC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9467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58</xdr:row>
      <xdr:rowOff>25400</xdr:rowOff>
    </xdr:from>
    <xdr:to>
      <xdr:col>11</xdr:col>
      <xdr:colOff>571500</xdr:colOff>
      <xdr:row>59</xdr:row>
      <xdr:rowOff>0</xdr:rowOff>
    </xdr:to>
    <xdr:pic>
      <xdr:nvPicPr>
        <xdr:cNvPr id="8233" name="Рисунок 8232">
          <a:extLst>
            <a:ext uri="{FF2B5EF4-FFF2-40B4-BE49-F238E27FC236}">
              <a16:creationId xmlns:a16="http://schemas.microsoft.com/office/drawing/2014/main" id="{1F06CDD0-E94E-4892-BB4C-89EB4F6A628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30038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59</xdr:row>
      <xdr:rowOff>25400</xdr:rowOff>
    </xdr:from>
    <xdr:to>
      <xdr:col>11</xdr:col>
      <xdr:colOff>571500</xdr:colOff>
      <xdr:row>60</xdr:row>
      <xdr:rowOff>0</xdr:rowOff>
    </xdr:to>
    <xdr:pic>
      <xdr:nvPicPr>
        <xdr:cNvPr id="8235" name="Рисунок 8234">
          <a:extLst>
            <a:ext uri="{FF2B5EF4-FFF2-40B4-BE49-F238E27FC236}">
              <a16:creationId xmlns:a16="http://schemas.microsoft.com/office/drawing/2014/main" id="{F31CDB70-EA0C-4CB4-A9CE-184A9F97FA7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30610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60</xdr:row>
      <xdr:rowOff>25400</xdr:rowOff>
    </xdr:from>
    <xdr:to>
      <xdr:col>11</xdr:col>
      <xdr:colOff>571500</xdr:colOff>
      <xdr:row>61</xdr:row>
      <xdr:rowOff>0</xdr:rowOff>
    </xdr:to>
    <xdr:pic>
      <xdr:nvPicPr>
        <xdr:cNvPr id="8237" name="Рисунок 8236">
          <a:extLst>
            <a:ext uri="{FF2B5EF4-FFF2-40B4-BE49-F238E27FC236}">
              <a16:creationId xmlns:a16="http://schemas.microsoft.com/office/drawing/2014/main" id="{EC76C8DD-B494-485B-8262-07AC79A809D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31181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61</xdr:row>
      <xdr:rowOff>25400</xdr:rowOff>
    </xdr:from>
    <xdr:to>
      <xdr:col>11</xdr:col>
      <xdr:colOff>571500</xdr:colOff>
      <xdr:row>62</xdr:row>
      <xdr:rowOff>0</xdr:rowOff>
    </xdr:to>
    <xdr:pic>
      <xdr:nvPicPr>
        <xdr:cNvPr id="8239" name="Рисунок 8238">
          <a:extLst>
            <a:ext uri="{FF2B5EF4-FFF2-40B4-BE49-F238E27FC236}">
              <a16:creationId xmlns:a16="http://schemas.microsoft.com/office/drawing/2014/main" id="{9A5B736F-D3BD-468A-A246-9D63BED6B94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31753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62</xdr:row>
      <xdr:rowOff>25400</xdr:rowOff>
    </xdr:from>
    <xdr:to>
      <xdr:col>11</xdr:col>
      <xdr:colOff>571500</xdr:colOff>
      <xdr:row>63</xdr:row>
      <xdr:rowOff>0</xdr:rowOff>
    </xdr:to>
    <xdr:pic>
      <xdr:nvPicPr>
        <xdr:cNvPr id="8241" name="Рисунок 8240">
          <a:extLst>
            <a:ext uri="{FF2B5EF4-FFF2-40B4-BE49-F238E27FC236}">
              <a16:creationId xmlns:a16="http://schemas.microsoft.com/office/drawing/2014/main" id="{A7BB9BA0-7BB2-4A11-B348-DAED7B6CAFC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32324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63</xdr:row>
      <xdr:rowOff>25400</xdr:rowOff>
    </xdr:from>
    <xdr:to>
      <xdr:col>11</xdr:col>
      <xdr:colOff>571500</xdr:colOff>
      <xdr:row>64</xdr:row>
      <xdr:rowOff>0</xdr:rowOff>
    </xdr:to>
    <xdr:pic>
      <xdr:nvPicPr>
        <xdr:cNvPr id="8243" name="Рисунок 8242">
          <a:extLst>
            <a:ext uri="{FF2B5EF4-FFF2-40B4-BE49-F238E27FC236}">
              <a16:creationId xmlns:a16="http://schemas.microsoft.com/office/drawing/2014/main" id="{FF3ED079-DD5C-490A-AB12-9A1CBE0BE7F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32896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64</xdr:row>
      <xdr:rowOff>25400</xdr:rowOff>
    </xdr:from>
    <xdr:to>
      <xdr:col>11</xdr:col>
      <xdr:colOff>571500</xdr:colOff>
      <xdr:row>65</xdr:row>
      <xdr:rowOff>0</xdr:rowOff>
    </xdr:to>
    <xdr:pic>
      <xdr:nvPicPr>
        <xdr:cNvPr id="8245" name="Рисунок 8244">
          <a:extLst>
            <a:ext uri="{FF2B5EF4-FFF2-40B4-BE49-F238E27FC236}">
              <a16:creationId xmlns:a16="http://schemas.microsoft.com/office/drawing/2014/main" id="{543FB115-11B0-4E50-BB56-314FB72F302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33467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65</xdr:row>
      <xdr:rowOff>25400</xdr:rowOff>
    </xdr:from>
    <xdr:to>
      <xdr:col>11</xdr:col>
      <xdr:colOff>571500</xdr:colOff>
      <xdr:row>66</xdr:row>
      <xdr:rowOff>0</xdr:rowOff>
    </xdr:to>
    <xdr:pic>
      <xdr:nvPicPr>
        <xdr:cNvPr id="8247" name="Рисунок 8246">
          <a:extLst>
            <a:ext uri="{FF2B5EF4-FFF2-40B4-BE49-F238E27FC236}">
              <a16:creationId xmlns:a16="http://schemas.microsoft.com/office/drawing/2014/main" id="{E0FE6C26-DE40-45C9-A008-707D7D1DC1E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34039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66</xdr:row>
      <xdr:rowOff>25400</xdr:rowOff>
    </xdr:from>
    <xdr:to>
      <xdr:col>11</xdr:col>
      <xdr:colOff>571500</xdr:colOff>
      <xdr:row>67</xdr:row>
      <xdr:rowOff>0</xdr:rowOff>
    </xdr:to>
    <xdr:pic>
      <xdr:nvPicPr>
        <xdr:cNvPr id="8249" name="Рисунок 8248">
          <a:extLst>
            <a:ext uri="{FF2B5EF4-FFF2-40B4-BE49-F238E27FC236}">
              <a16:creationId xmlns:a16="http://schemas.microsoft.com/office/drawing/2014/main" id="{93C5F88D-28E0-44E1-9CED-1F55B278CDE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34610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67</xdr:row>
      <xdr:rowOff>25400</xdr:rowOff>
    </xdr:from>
    <xdr:to>
      <xdr:col>11</xdr:col>
      <xdr:colOff>571500</xdr:colOff>
      <xdr:row>68</xdr:row>
      <xdr:rowOff>0</xdr:rowOff>
    </xdr:to>
    <xdr:pic>
      <xdr:nvPicPr>
        <xdr:cNvPr id="8251" name="Рисунок 8250">
          <a:extLst>
            <a:ext uri="{FF2B5EF4-FFF2-40B4-BE49-F238E27FC236}">
              <a16:creationId xmlns:a16="http://schemas.microsoft.com/office/drawing/2014/main" id="{99F1F963-997F-4725-8AAD-C58B1A8FEEC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35182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68</xdr:row>
      <xdr:rowOff>25400</xdr:rowOff>
    </xdr:from>
    <xdr:to>
      <xdr:col>11</xdr:col>
      <xdr:colOff>571500</xdr:colOff>
      <xdr:row>69</xdr:row>
      <xdr:rowOff>0</xdr:rowOff>
    </xdr:to>
    <xdr:pic>
      <xdr:nvPicPr>
        <xdr:cNvPr id="8253" name="Рисунок 8252">
          <a:extLst>
            <a:ext uri="{FF2B5EF4-FFF2-40B4-BE49-F238E27FC236}">
              <a16:creationId xmlns:a16="http://schemas.microsoft.com/office/drawing/2014/main" id="{AD6A85A8-C5D6-4F0E-B7F0-E13D8D9C6F5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35753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69</xdr:row>
      <xdr:rowOff>25400</xdr:rowOff>
    </xdr:from>
    <xdr:to>
      <xdr:col>11</xdr:col>
      <xdr:colOff>571500</xdr:colOff>
      <xdr:row>70</xdr:row>
      <xdr:rowOff>0</xdr:rowOff>
    </xdr:to>
    <xdr:pic>
      <xdr:nvPicPr>
        <xdr:cNvPr id="8255" name="Рисунок 8254">
          <a:extLst>
            <a:ext uri="{FF2B5EF4-FFF2-40B4-BE49-F238E27FC236}">
              <a16:creationId xmlns:a16="http://schemas.microsoft.com/office/drawing/2014/main" id="{49D7FBF6-84F6-4019-9CA0-E9F3B851154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36325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70</xdr:row>
      <xdr:rowOff>25400</xdr:rowOff>
    </xdr:from>
    <xdr:to>
      <xdr:col>11</xdr:col>
      <xdr:colOff>571500</xdr:colOff>
      <xdr:row>71</xdr:row>
      <xdr:rowOff>0</xdr:rowOff>
    </xdr:to>
    <xdr:pic>
      <xdr:nvPicPr>
        <xdr:cNvPr id="8257" name="Рисунок 8256">
          <a:extLst>
            <a:ext uri="{FF2B5EF4-FFF2-40B4-BE49-F238E27FC236}">
              <a16:creationId xmlns:a16="http://schemas.microsoft.com/office/drawing/2014/main" id="{A8461DF6-92C2-4F53-8A33-2B44C88730F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36896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71</xdr:row>
      <xdr:rowOff>25400</xdr:rowOff>
    </xdr:from>
    <xdr:to>
      <xdr:col>11</xdr:col>
      <xdr:colOff>571500</xdr:colOff>
      <xdr:row>72</xdr:row>
      <xdr:rowOff>0</xdr:rowOff>
    </xdr:to>
    <xdr:pic>
      <xdr:nvPicPr>
        <xdr:cNvPr id="8259" name="Рисунок 8258">
          <a:extLst>
            <a:ext uri="{FF2B5EF4-FFF2-40B4-BE49-F238E27FC236}">
              <a16:creationId xmlns:a16="http://schemas.microsoft.com/office/drawing/2014/main" id="{759A7E76-94A1-4DF1-ADBD-86457D0FDA2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37468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72</xdr:row>
      <xdr:rowOff>25400</xdr:rowOff>
    </xdr:from>
    <xdr:to>
      <xdr:col>11</xdr:col>
      <xdr:colOff>571500</xdr:colOff>
      <xdr:row>73</xdr:row>
      <xdr:rowOff>0</xdr:rowOff>
    </xdr:to>
    <xdr:pic>
      <xdr:nvPicPr>
        <xdr:cNvPr id="8261" name="Рисунок 8260">
          <a:extLst>
            <a:ext uri="{FF2B5EF4-FFF2-40B4-BE49-F238E27FC236}">
              <a16:creationId xmlns:a16="http://schemas.microsoft.com/office/drawing/2014/main" id="{311FD01B-3398-4F3E-8724-90B792824C4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38039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73</xdr:row>
      <xdr:rowOff>25400</xdr:rowOff>
    </xdr:from>
    <xdr:to>
      <xdr:col>11</xdr:col>
      <xdr:colOff>571500</xdr:colOff>
      <xdr:row>74</xdr:row>
      <xdr:rowOff>0</xdr:rowOff>
    </xdr:to>
    <xdr:pic>
      <xdr:nvPicPr>
        <xdr:cNvPr id="8263" name="Рисунок 8262">
          <a:extLst>
            <a:ext uri="{FF2B5EF4-FFF2-40B4-BE49-F238E27FC236}">
              <a16:creationId xmlns:a16="http://schemas.microsoft.com/office/drawing/2014/main" id="{68B9CBF8-7AC5-4760-8642-A7C737480A4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38611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74</xdr:row>
      <xdr:rowOff>25400</xdr:rowOff>
    </xdr:from>
    <xdr:to>
      <xdr:col>11</xdr:col>
      <xdr:colOff>571500</xdr:colOff>
      <xdr:row>75</xdr:row>
      <xdr:rowOff>0</xdr:rowOff>
    </xdr:to>
    <xdr:pic>
      <xdr:nvPicPr>
        <xdr:cNvPr id="8265" name="Рисунок 8264">
          <a:extLst>
            <a:ext uri="{FF2B5EF4-FFF2-40B4-BE49-F238E27FC236}">
              <a16:creationId xmlns:a16="http://schemas.microsoft.com/office/drawing/2014/main" id="{27EA46D7-E43E-4524-9113-35B9381A6E7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39182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75</xdr:row>
      <xdr:rowOff>25400</xdr:rowOff>
    </xdr:from>
    <xdr:to>
      <xdr:col>11</xdr:col>
      <xdr:colOff>571500</xdr:colOff>
      <xdr:row>76</xdr:row>
      <xdr:rowOff>0</xdr:rowOff>
    </xdr:to>
    <xdr:pic>
      <xdr:nvPicPr>
        <xdr:cNvPr id="8267" name="Рисунок 8266">
          <a:extLst>
            <a:ext uri="{FF2B5EF4-FFF2-40B4-BE49-F238E27FC236}">
              <a16:creationId xmlns:a16="http://schemas.microsoft.com/office/drawing/2014/main" id="{8291BA12-2DBF-420C-9C53-18C4326B009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39754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76</xdr:row>
      <xdr:rowOff>25400</xdr:rowOff>
    </xdr:from>
    <xdr:to>
      <xdr:col>11</xdr:col>
      <xdr:colOff>571500</xdr:colOff>
      <xdr:row>77</xdr:row>
      <xdr:rowOff>0</xdr:rowOff>
    </xdr:to>
    <xdr:pic>
      <xdr:nvPicPr>
        <xdr:cNvPr id="8269" name="Рисунок 8268">
          <a:extLst>
            <a:ext uri="{FF2B5EF4-FFF2-40B4-BE49-F238E27FC236}">
              <a16:creationId xmlns:a16="http://schemas.microsoft.com/office/drawing/2014/main" id="{1E9963AD-52FC-4211-B08C-97720547D43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40325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77</xdr:row>
      <xdr:rowOff>25400</xdr:rowOff>
    </xdr:from>
    <xdr:to>
      <xdr:col>11</xdr:col>
      <xdr:colOff>571500</xdr:colOff>
      <xdr:row>78</xdr:row>
      <xdr:rowOff>0</xdr:rowOff>
    </xdr:to>
    <xdr:pic>
      <xdr:nvPicPr>
        <xdr:cNvPr id="8271" name="Рисунок 8270">
          <a:extLst>
            <a:ext uri="{FF2B5EF4-FFF2-40B4-BE49-F238E27FC236}">
              <a16:creationId xmlns:a16="http://schemas.microsoft.com/office/drawing/2014/main" id="{B8DDC693-CAE8-4FDE-80E5-09DCB8C4250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40897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78</xdr:row>
      <xdr:rowOff>25400</xdr:rowOff>
    </xdr:from>
    <xdr:to>
      <xdr:col>11</xdr:col>
      <xdr:colOff>571500</xdr:colOff>
      <xdr:row>79</xdr:row>
      <xdr:rowOff>0</xdr:rowOff>
    </xdr:to>
    <xdr:pic>
      <xdr:nvPicPr>
        <xdr:cNvPr id="8273" name="Рисунок 8272">
          <a:extLst>
            <a:ext uri="{FF2B5EF4-FFF2-40B4-BE49-F238E27FC236}">
              <a16:creationId xmlns:a16="http://schemas.microsoft.com/office/drawing/2014/main" id="{D4702890-24BE-483E-81DC-99EE2F9A868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41468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79</xdr:row>
      <xdr:rowOff>25400</xdr:rowOff>
    </xdr:from>
    <xdr:to>
      <xdr:col>11</xdr:col>
      <xdr:colOff>571500</xdr:colOff>
      <xdr:row>80</xdr:row>
      <xdr:rowOff>0</xdr:rowOff>
    </xdr:to>
    <xdr:pic>
      <xdr:nvPicPr>
        <xdr:cNvPr id="8275" name="Рисунок 8274">
          <a:extLst>
            <a:ext uri="{FF2B5EF4-FFF2-40B4-BE49-F238E27FC236}">
              <a16:creationId xmlns:a16="http://schemas.microsoft.com/office/drawing/2014/main" id="{94BD80FC-CF7C-4C45-88D4-C834D872C50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42040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81</xdr:row>
      <xdr:rowOff>25400</xdr:rowOff>
    </xdr:from>
    <xdr:to>
      <xdr:col>11</xdr:col>
      <xdr:colOff>571500</xdr:colOff>
      <xdr:row>82</xdr:row>
      <xdr:rowOff>0</xdr:rowOff>
    </xdr:to>
    <xdr:pic>
      <xdr:nvPicPr>
        <xdr:cNvPr id="8277" name="Рисунок 8276">
          <a:extLst>
            <a:ext uri="{FF2B5EF4-FFF2-40B4-BE49-F238E27FC236}">
              <a16:creationId xmlns:a16="http://schemas.microsoft.com/office/drawing/2014/main" id="{1B4752FB-4513-4015-BFB0-BC1153F0721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43183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82</xdr:row>
      <xdr:rowOff>25400</xdr:rowOff>
    </xdr:from>
    <xdr:to>
      <xdr:col>11</xdr:col>
      <xdr:colOff>571500</xdr:colOff>
      <xdr:row>83</xdr:row>
      <xdr:rowOff>0</xdr:rowOff>
    </xdr:to>
    <xdr:pic>
      <xdr:nvPicPr>
        <xdr:cNvPr id="8279" name="Рисунок 8278">
          <a:extLst>
            <a:ext uri="{FF2B5EF4-FFF2-40B4-BE49-F238E27FC236}">
              <a16:creationId xmlns:a16="http://schemas.microsoft.com/office/drawing/2014/main" id="{427C52F5-3D14-4B95-BBFA-1707B258408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43754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83</xdr:row>
      <xdr:rowOff>25400</xdr:rowOff>
    </xdr:from>
    <xdr:to>
      <xdr:col>11</xdr:col>
      <xdr:colOff>571500</xdr:colOff>
      <xdr:row>84</xdr:row>
      <xdr:rowOff>0</xdr:rowOff>
    </xdr:to>
    <xdr:pic>
      <xdr:nvPicPr>
        <xdr:cNvPr id="8281" name="Рисунок 8280">
          <a:extLst>
            <a:ext uri="{FF2B5EF4-FFF2-40B4-BE49-F238E27FC236}">
              <a16:creationId xmlns:a16="http://schemas.microsoft.com/office/drawing/2014/main" id="{1AE5F209-2630-4CB5-9DAD-3492D2994B3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44326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84</xdr:row>
      <xdr:rowOff>25400</xdr:rowOff>
    </xdr:from>
    <xdr:to>
      <xdr:col>11</xdr:col>
      <xdr:colOff>571500</xdr:colOff>
      <xdr:row>85</xdr:row>
      <xdr:rowOff>0</xdr:rowOff>
    </xdr:to>
    <xdr:pic>
      <xdr:nvPicPr>
        <xdr:cNvPr id="8283" name="Рисунок 8282">
          <a:extLst>
            <a:ext uri="{FF2B5EF4-FFF2-40B4-BE49-F238E27FC236}">
              <a16:creationId xmlns:a16="http://schemas.microsoft.com/office/drawing/2014/main" id="{3A8474F0-7772-4179-998A-1EAAAE24709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44897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85</xdr:row>
      <xdr:rowOff>25400</xdr:rowOff>
    </xdr:from>
    <xdr:to>
      <xdr:col>11</xdr:col>
      <xdr:colOff>571500</xdr:colOff>
      <xdr:row>86</xdr:row>
      <xdr:rowOff>0</xdr:rowOff>
    </xdr:to>
    <xdr:pic>
      <xdr:nvPicPr>
        <xdr:cNvPr id="8285" name="Рисунок 8284">
          <a:extLst>
            <a:ext uri="{FF2B5EF4-FFF2-40B4-BE49-F238E27FC236}">
              <a16:creationId xmlns:a16="http://schemas.microsoft.com/office/drawing/2014/main" id="{9D051EA0-0623-4DD0-A394-A78E8B406E5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45469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86</xdr:row>
      <xdr:rowOff>25400</xdr:rowOff>
    </xdr:from>
    <xdr:to>
      <xdr:col>11</xdr:col>
      <xdr:colOff>571500</xdr:colOff>
      <xdr:row>87</xdr:row>
      <xdr:rowOff>0</xdr:rowOff>
    </xdr:to>
    <xdr:pic>
      <xdr:nvPicPr>
        <xdr:cNvPr id="8287" name="Рисунок 8286">
          <a:extLst>
            <a:ext uri="{FF2B5EF4-FFF2-40B4-BE49-F238E27FC236}">
              <a16:creationId xmlns:a16="http://schemas.microsoft.com/office/drawing/2014/main" id="{0E538B9C-DDAF-43E9-B6CA-BCA50A6AE65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46040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87</xdr:row>
      <xdr:rowOff>25400</xdr:rowOff>
    </xdr:from>
    <xdr:to>
      <xdr:col>11</xdr:col>
      <xdr:colOff>571500</xdr:colOff>
      <xdr:row>88</xdr:row>
      <xdr:rowOff>0</xdr:rowOff>
    </xdr:to>
    <xdr:pic>
      <xdr:nvPicPr>
        <xdr:cNvPr id="8289" name="Рисунок 8288">
          <a:extLst>
            <a:ext uri="{FF2B5EF4-FFF2-40B4-BE49-F238E27FC236}">
              <a16:creationId xmlns:a16="http://schemas.microsoft.com/office/drawing/2014/main" id="{BBE0E02C-6D7E-41F1-B573-01053013178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46612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88</xdr:row>
      <xdr:rowOff>25400</xdr:rowOff>
    </xdr:from>
    <xdr:to>
      <xdr:col>11</xdr:col>
      <xdr:colOff>571500</xdr:colOff>
      <xdr:row>89</xdr:row>
      <xdr:rowOff>0</xdr:rowOff>
    </xdr:to>
    <xdr:pic>
      <xdr:nvPicPr>
        <xdr:cNvPr id="8291" name="Рисунок 8290">
          <a:extLst>
            <a:ext uri="{FF2B5EF4-FFF2-40B4-BE49-F238E27FC236}">
              <a16:creationId xmlns:a16="http://schemas.microsoft.com/office/drawing/2014/main" id="{25FBE7C2-FF0C-4F5B-BF53-1BFBE414484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47183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89</xdr:row>
      <xdr:rowOff>25400</xdr:rowOff>
    </xdr:from>
    <xdr:to>
      <xdr:col>11</xdr:col>
      <xdr:colOff>571500</xdr:colOff>
      <xdr:row>90</xdr:row>
      <xdr:rowOff>0</xdr:rowOff>
    </xdr:to>
    <xdr:pic>
      <xdr:nvPicPr>
        <xdr:cNvPr id="8293" name="Рисунок 8292">
          <a:extLst>
            <a:ext uri="{FF2B5EF4-FFF2-40B4-BE49-F238E27FC236}">
              <a16:creationId xmlns:a16="http://schemas.microsoft.com/office/drawing/2014/main" id="{FFDCA550-D997-436D-97D5-14397095C94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47755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90</xdr:row>
      <xdr:rowOff>25400</xdr:rowOff>
    </xdr:from>
    <xdr:to>
      <xdr:col>11</xdr:col>
      <xdr:colOff>571500</xdr:colOff>
      <xdr:row>91</xdr:row>
      <xdr:rowOff>0</xdr:rowOff>
    </xdr:to>
    <xdr:pic>
      <xdr:nvPicPr>
        <xdr:cNvPr id="8295" name="Рисунок 8294">
          <a:extLst>
            <a:ext uri="{FF2B5EF4-FFF2-40B4-BE49-F238E27FC236}">
              <a16:creationId xmlns:a16="http://schemas.microsoft.com/office/drawing/2014/main" id="{07744DEF-C015-47ED-8720-A852AB76E79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48326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91</xdr:row>
      <xdr:rowOff>25400</xdr:rowOff>
    </xdr:from>
    <xdr:to>
      <xdr:col>11</xdr:col>
      <xdr:colOff>571500</xdr:colOff>
      <xdr:row>92</xdr:row>
      <xdr:rowOff>0</xdr:rowOff>
    </xdr:to>
    <xdr:pic>
      <xdr:nvPicPr>
        <xdr:cNvPr id="8297" name="Рисунок 8296">
          <a:extLst>
            <a:ext uri="{FF2B5EF4-FFF2-40B4-BE49-F238E27FC236}">
              <a16:creationId xmlns:a16="http://schemas.microsoft.com/office/drawing/2014/main" id="{E73355FE-E7EA-4391-8131-5BF89F9055F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48898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92</xdr:row>
      <xdr:rowOff>25400</xdr:rowOff>
    </xdr:from>
    <xdr:to>
      <xdr:col>11</xdr:col>
      <xdr:colOff>571500</xdr:colOff>
      <xdr:row>93</xdr:row>
      <xdr:rowOff>0</xdr:rowOff>
    </xdr:to>
    <xdr:pic>
      <xdr:nvPicPr>
        <xdr:cNvPr id="8299" name="Рисунок 8298">
          <a:extLst>
            <a:ext uri="{FF2B5EF4-FFF2-40B4-BE49-F238E27FC236}">
              <a16:creationId xmlns:a16="http://schemas.microsoft.com/office/drawing/2014/main" id="{DED7F2D4-2B7C-444F-B832-77EF199396A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49469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93</xdr:row>
      <xdr:rowOff>25400</xdr:rowOff>
    </xdr:from>
    <xdr:to>
      <xdr:col>11</xdr:col>
      <xdr:colOff>571500</xdr:colOff>
      <xdr:row>94</xdr:row>
      <xdr:rowOff>0</xdr:rowOff>
    </xdr:to>
    <xdr:pic>
      <xdr:nvPicPr>
        <xdr:cNvPr id="8301" name="Рисунок 8300">
          <a:extLst>
            <a:ext uri="{FF2B5EF4-FFF2-40B4-BE49-F238E27FC236}">
              <a16:creationId xmlns:a16="http://schemas.microsoft.com/office/drawing/2014/main" id="{6F2FC2E4-E41C-4EA3-AE4C-40122CF54A3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50041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94</xdr:row>
      <xdr:rowOff>25400</xdr:rowOff>
    </xdr:from>
    <xdr:to>
      <xdr:col>11</xdr:col>
      <xdr:colOff>571500</xdr:colOff>
      <xdr:row>95</xdr:row>
      <xdr:rowOff>0</xdr:rowOff>
    </xdr:to>
    <xdr:pic>
      <xdr:nvPicPr>
        <xdr:cNvPr id="8303" name="Рисунок 8302">
          <a:extLst>
            <a:ext uri="{FF2B5EF4-FFF2-40B4-BE49-F238E27FC236}">
              <a16:creationId xmlns:a16="http://schemas.microsoft.com/office/drawing/2014/main" id="{761F7452-69E5-4396-AE95-C61171047AC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50612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95</xdr:row>
      <xdr:rowOff>25400</xdr:rowOff>
    </xdr:from>
    <xdr:to>
      <xdr:col>11</xdr:col>
      <xdr:colOff>571500</xdr:colOff>
      <xdr:row>96</xdr:row>
      <xdr:rowOff>0</xdr:rowOff>
    </xdr:to>
    <xdr:pic>
      <xdr:nvPicPr>
        <xdr:cNvPr id="8305" name="Рисунок 8304">
          <a:extLst>
            <a:ext uri="{FF2B5EF4-FFF2-40B4-BE49-F238E27FC236}">
              <a16:creationId xmlns:a16="http://schemas.microsoft.com/office/drawing/2014/main" id="{6847949D-1C2B-4E57-9D0A-7AEA4846E18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51184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96</xdr:row>
      <xdr:rowOff>25400</xdr:rowOff>
    </xdr:from>
    <xdr:to>
      <xdr:col>11</xdr:col>
      <xdr:colOff>571500</xdr:colOff>
      <xdr:row>97</xdr:row>
      <xdr:rowOff>0</xdr:rowOff>
    </xdr:to>
    <xdr:pic>
      <xdr:nvPicPr>
        <xdr:cNvPr id="8307" name="Рисунок 8306">
          <a:extLst>
            <a:ext uri="{FF2B5EF4-FFF2-40B4-BE49-F238E27FC236}">
              <a16:creationId xmlns:a16="http://schemas.microsoft.com/office/drawing/2014/main" id="{E85626BD-0A5D-4ACF-AACD-C58ED3128E4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51755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97</xdr:row>
      <xdr:rowOff>25400</xdr:rowOff>
    </xdr:from>
    <xdr:to>
      <xdr:col>11</xdr:col>
      <xdr:colOff>571500</xdr:colOff>
      <xdr:row>98</xdr:row>
      <xdr:rowOff>0</xdr:rowOff>
    </xdr:to>
    <xdr:pic>
      <xdr:nvPicPr>
        <xdr:cNvPr id="8309" name="Рисунок 8308">
          <a:extLst>
            <a:ext uri="{FF2B5EF4-FFF2-40B4-BE49-F238E27FC236}">
              <a16:creationId xmlns:a16="http://schemas.microsoft.com/office/drawing/2014/main" id="{02C13CF6-FF5B-4137-A740-916EF4E6A29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52327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98</xdr:row>
      <xdr:rowOff>25400</xdr:rowOff>
    </xdr:from>
    <xdr:to>
      <xdr:col>11</xdr:col>
      <xdr:colOff>571500</xdr:colOff>
      <xdr:row>99</xdr:row>
      <xdr:rowOff>0</xdr:rowOff>
    </xdr:to>
    <xdr:pic>
      <xdr:nvPicPr>
        <xdr:cNvPr id="8311" name="Рисунок 8310">
          <a:extLst>
            <a:ext uri="{FF2B5EF4-FFF2-40B4-BE49-F238E27FC236}">
              <a16:creationId xmlns:a16="http://schemas.microsoft.com/office/drawing/2014/main" id="{3C2555A6-C4F2-4492-89B1-B5EE2BAF815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52898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99</xdr:row>
      <xdr:rowOff>25400</xdr:rowOff>
    </xdr:from>
    <xdr:to>
      <xdr:col>11</xdr:col>
      <xdr:colOff>571500</xdr:colOff>
      <xdr:row>100</xdr:row>
      <xdr:rowOff>0</xdr:rowOff>
    </xdr:to>
    <xdr:pic>
      <xdr:nvPicPr>
        <xdr:cNvPr id="8313" name="Рисунок 8312">
          <a:extLst>
            <a:ext uri="{FF2B5EF4-FFF2-40B4-BE49-F238E27FC236}">
              <a16:creationId xmlns:a16="http://schemas.microsoft.com/office/drawing/2014/main" id="{48CE6BD1-CC33-4DAD-BDAF-BFD452AF85A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53470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100</xdr:row>
      <xdr:rowOff>25400</xdr:rowOff>
    </xdr:from>
    <xdr:to>
      <xdr:col>11</xdr:col>
      <xdr:colOff>571500</xdr:colOff>
      <xdr:row>101</xdr:row>
      <xdr:rowOff>0</xdr:rowOff>
    </xdr:to>
    <xdr:pic>
      <xdr:nvPicPr>
        <xdr:cNvPr id="8315" name="Рисунок 8314">
          <a:extLst>
            <a:ext uri="{FF2B5EF4-FFF2-40B4-BE49-F238E27FC236}">
              <a16:creationId xmlns:a16="http://schemas.microsoft.com/office/drawing/2014/main" id="{78E412C7-7A86-4021-A831-F120B20BBFF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54041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101</xdr:row>
      <xdr:rowOff>25400</xdr:rowOff>
    </xdr:from>
    <xdr:to>
      <xdr:col>11</xdr:col>
      <xdr:colOff>571500</xdr:colOff>
      <xdr:row>102</xdr:row>
      <xdr:rowOff>0</xdr:rowOff>
    </xdr:to>
    <xdr:pic>
      <xdr:nvPicPr>
        <xdr:cNvPr id="8317" name="Рисунок 8316">
          <a:extLst>
            <a:ext uri="{FF2B5EF4-FFF2-40B4-BE49-F238E27FC236}">
              <a16:creationId xmlns:a16="http://schemas.microsoft.com/office/drawing/2014/main" id="{D346848E-C92D-4B70-9855-BDE15348C7F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54613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102</xdr:row>
      <xdr:rowOff>25400</xdr:rowOff>
    </xdr:from>
    <xdr:to>
      <xdr:col>11</xdr:col>
      <xdr:colOff>571500</xdr:colOff>
      <xdr:row>103</xdr:row>
      <xdr:rowOff>0</xdr:rowOff>
    </xdr:to>
    <xdr:pic>
      <xdr:nvPicPr>
        <xdr:cNvPr id="8319" name="Рисунок 8318">
          <a:extLst>
            <a:ext uri="{FF2B5EF4-FFF2-40B4-BE49-F238E27FC236}">
              <a16:creationId xmlns:a16="http://schemas.microsoft.com/office/drawing/2014/main" id="{4419CEE2-8C18-49F2-A86B-4CDB4245B8B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55184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103</xdr:row>
      <xdr:rowOff>25400</xdr:rowOff>
    </xdr:from>
    <xdr:to>
      <xdr:col>11</xdr:col>
      <xdr:colOff>571500</xdr:colOff>
      <xdr:row>104</xdr:row>
      <xdr:rowOff>0</xdr:rowOff>
    </xdr:to>
    <xdr:pic>
      <xdr:nvPicPr>
        <xdr:cNvPr id="8321" name="Рисунок 8320">
          <a:extLst>
            <a:ext uri="{FF2B5EF4-FFF2-40B4-BE49-F238E27FC236}">
              <a16:creationId xmlns:a16="http://schemas.microsoft.com/office/drawing/2014/main" id="{A1D6C3FC-B87F-419C-950C-823D518A31A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55756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104</xdr:row>
      <xdr:rowOff>25400</xdr:rowOff>
    </xdr:from>
    <xdr:to>
      <xdr:col>11</xdr:col>
      <xdr:colOff>571500</xdr:colOff>
      <xdr:row>105</xdr:row>
      <xdr:rowOff>0</xdr:rowOff>
    </xdr:to>
    <xdr:pic>
      <xdr:nvPicPr>
        <xdr:cNvPr id="8323" name="Рисунок 8322">
          <a:extLst>
            <a:ext uri="{FF2B5EF4-FFF2-40B4-BE49-F238E27FC236}">
              <a16:creationId xmlns:a16="http://schemas.microsoft.com/office/drawing/2014/main" id="{FB08E406-F2A7-4A16-BA70-194755DFEEC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56327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105</xdr:row>
      <xdr:rowOff>25400</xdr:rowOff>
    </xdr:from>
    <xdr:to>
      <xdr:col>11</xdr:col>
      <xdr:colOff>571500</xdr:colOff>
      <xdr:row>106</xdr:row>
      <xdr:rowOff>0</xdr:rowOff>
    </xdr:to>
    <xdr:pic>
      <xdr:nvPicPr>
        <xdr:cNvPr id="8325" name="Рисунок 8324">
          <a:extLst>
            <a:ext uri="{FF2B5EF4-FFF2-40B4-BE49-F238E27FC236}">
              <a16:creationId xmlns:a16="http://schemas.microsoft.com/office/drawing/2014/main" id="{97591E39-977F-46F8-8983-B38CF8C98F2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56899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106</xdr:row>
      <xdr:rowOff>25400</xdr:rowOff>
    </xdr:from>
    <xdr:to>
      <xdr:col>11</xdr:col>
      <xdr:colOff>571500</xdr:colOff>
      <xdr:row>107</xdr:row>
      <xdr:rowOff>0</xdr:rowOff>
    </xdr:to>
    <xdr:pic>
      <xdr:nvPicPr>
        <xdr:cNvPr id="8327" name="Рисунок 8326">
          <a:extLst>
            <a:ext uri="{FF2B5EF4-FFF2-40B4-BE49-F238E27FC236}">
              <a16:creationId xmlns:a16="http://schemas.microsoft.com/office/drawing/2014/main" id="{BAA76018-011C-49AF-844E-243400565F3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57470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107</xdr:row>
      <xdr:rowOff>25400</xdr:rowOff>
    </xdr:from>
    <xdr:to>
      <xdr:col>11</xdr:col>
      <xdr:colOff>571500</xdr:colOff>
      <xdr:row>108</xdr:row>
      <xdr:rowOff>0</xdr:rowOff>
    </xdr:to>
    <xdr:pic>
      <xdr:nvPicPr>
        <xdr:cNvPr id="8329" name="Рисунок 8328">
          <a:extLst>
            <a:ext uri="{FF2B5EF4-FFF2-40B4-BE49-F238E27FC236}">
              <a16:creationId xmlns:a16="http://schemas.microsoft.com/office/drawing/2014/main" id="{D3A3A94C-CC50-40D5-8143-FA816E882C5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58042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108</xdr:row>
      <xdr:rowOff>25400</xdr:rowOff>
    </xdr:from>
    <xdr:to>
      <xdr:col>11</xdr:col>
      <xdr:colOff>571500</xdr:colOff>
      <xdr:row>109</xdr:row>
      <xdr:rowOff>0</xdr:rowOff>
    </xdr:to>
    <xdr:pic>
      <xdr:nvPicPr>
        <xdr:cNvPr id="8331" name="Рисунок 8330">
          <a:extLst>
            <a:ext uri="{FF2B5EF4-FFF2-40B4-BE49-F238E27FC236}">
              <a16:creationId xmlns:a16="http://schemas.microsoft.com/office/drawing/2014/main" id="{4D423E9D-7A11-4D1D-991F-BBAD1714AD5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58613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109</xdr:row>
      <xdr:rowOff>25400</xdr:rowOff>
    </xdr:from>
    <xdr:to>
      <xdr:col>11</xdr:col>
      <xdr:colOff>571500</xdr:colOff>
      <xdr:row>110</xdr:row>
      <xdr:rowOff>0</xdr:rowOff>
    </xdr:to>
    <xdr:pic>
      <xdr:nvPicPr>
        <xdr:cNvPr id="8333" name="Рисунок 8332">
          <a:extLst>
            <a:ext uri="{FF2B5EF4-FFF2-40B4-BE49-F238E27FC236}">
              <a16:creationId xmlns:a16="http://schemas.microsoft.com/office/drawing/2014/main" id="{9C7F97E8-C43D-4C50-85EB-CD7D030BC0E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59185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110</xdr:row>
      <xdr:rowOff>25400</xdr:rowOff>
    </xdr:from>
    <xdr:to>
      <xdr:col>11</xdr:col>
      <xdr:colOff>571500</xdr:colOff>
      <xdr:row>111</xdr:row>
      <xdr:rowOff>0</xdr:rowOff>
    </xdr:to>
    <xdr:pic>
      <xdr:nvPicPr>
        <xdr:cNvPr id="8335" name="Рисунок 8334">
          <a:extLst>
            <a:ext uri="{FF2B5EF4-FFF2-40B4-BE49-F238E27FC236}">
              <a16:creationId xmlns:a16="http://schemas.microsoft.com/office/drawing/2014/main" id="{B25CB279-21A3-47A9-868C-E74B1AE63FC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59756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111</xdr:row>
      <xdr:rowOff>25400</xdr:rowOff>
    </xdr:from>
    <xdr:to>
      <xdr:col>11</xdr:col>
      <xdr:colOff>571500</xdr:colOff>
      <xdr:row>112</xdr:row>
      <xdr:rowOff>0</xdr:rowOff>
    </xdr:to>
    <xdr:pic>
      <xdr:nvPicPr>
        <xdr:cNvPr id="8337" name="Рисунок 8336">
          <a:extLst>
            <a:ext uri="{FF2B5EF4-FFF2-40B4-BE49-F238E27FC236}">
              <a16:creationId xmlns:a16="http://schemas.microsoft.com/office/drawing/2014/main" id="{77B281DB-B7C3-4956-B240-1F683B49908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60328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112</xdr:row>
      <xdr:rowOff>25400</xdr:rowOff>
    </xdr:from>
    <xdr:to>
      <xdr:col>11</xdr:col>
      <xdr:colOff>571500</xdr:colOff>
      <xdr:row>113</xdr:row>
      <xdr:rowOff>0</xdr:rowOff>
    </xdr:to>
    <xdr:pic>
      <xdr:nvPicPr>
        <xdr:cNvPr id="8339" name="Рисунок 8338">
          <a:extLst>
            <a:ext uri="{FF2B5EF4-FFF2-40B4-BE49-F238E27FC236}">
              <a16:creationId xmlns:a16="http://schemas.microsoft.com/office/drawing/2014/main" id="{FCB2B6F6-461E-435C-9DB7-43CF939FAB8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60899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113</xdr:row>
      <xdr:rowOff>25400</xdr:rowOff>
    </xdr:from>
    <xdr:to>
      <xdr:col>11</xdr:col>
      <xdr:colOff>571500</xdr:colOff>
      <xdr:row>114</xdr:row>
      <xdr:rowOff>0</xdr:rowOff>
    </xdr:to>
    <xdr:pic>
      <xdr:nvPicPr>
        <xdr:cNvPr id="8341" name="Рисунок 8340">
          <a:extLst>
            <a:ext uri="{FF2B5EF4-FFF2-40B4-BE49-F238E27FC236}">
              <a16:creationId xmlns:a16="http://schemas.microsoft.com/office/drawing/2014/main" id="{4690FB20-99BF-457A-8B0E-028A8362F87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61471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114</xdr:row>
      <xdr:rowOff>25400</xdr:rowOff>
    </xdr:from>
    <xdr:to>
      <xdr:col>11</xdr:col>
      <xdr:colOff>571500</xdr:colOff>
      <xdr:row>115</xdr:row>
      <xdr:rowOff>0</xdr:rowOff>
    </xdr:to>
    <xdr:pic>
      <xdr:nvPicPr>
        <xdr:cNvPr id="8343" name="Рисунок 8342">
          <a:extLst>
            <a:ext uri="{FF2B5EF4-FFF2-40B4-BE49-F238E27FC236}">
              <a16:creationId xmlns:a16="http://schemas.microsoft.com/office/drawing/2014/main" id="{78D8EA08-7F30-4407-9057-09434630372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62042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115</xdr:row>
      <xdr:rowOff>25400</xdr:rowOff>
    </xdr:from>
    <xdr:to>
      <xdr:col>11</xdr:col>
      <xdr:colOff>571500</xdr:colOff>
      <xdr:row>116</xdr:row>
      <xdr:rowOff>0</xdr:rowOff>
    </xdr:to>
    <xdr:pic>
      <xdr:nvPicPr>
        <xdr:cNvPr id="8345" name="Рисунок 8344">
          <a:extLst>
            <a:ext uri="{FF2B5EF4-FFF2-40B4-BE49-F238E27FC236}">
              <a16:creationId xmlns:a16="http://schemas.microsoft.com/office/drawing/2014/main" id="{DB26E355-8FCC-4ABD-85B5-0F4C2325F3C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62614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116</xdr:row>
      <xdr:rowOff>25400</xdr:rowOff>
    </xdr:from>
    <xdr:to>
      <xdr:col>11</xdr:col>
      <xdr:colOff>571500</xdr:colOff>
      <xdr:row>117</xdr:row>
      <xdr:rowOff>0</xdr:rowOff>
    </xdr:to>
    <xdr:pic>
      <xdr:nvPicPr>
        <xdr:cNvPr id="8347" name="Рисунок 8346">
          <a:extLst>
            <a:ext uri="{FF2B5EF4-FFF2-40B4-BE49-F238E27FC236}">
              <a16:creationId xmlns:a16="http://schemas.microsoft.com/office/drawing/2014/main" id="{06489FAF-6375-4DE7-AE2A-5B7A97F1A56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63185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117</xdr:row>
      <xdr:rowOff>25400</xdr:rowOff>
    </xdr:from>
    <xdr:to>
      <xdr:col>11</xdr:col>
      <xdr:colOff>571500</xdr:colOff>
      <xdr:row>118</xdr:row>
      <xdr:rowOff>0</xdr:rowOff>
    </xdr:to>
    <xdr:pic>
      <xdr:nvPicPr>
        <xdr:cNvPr id="8349" name="Рисунок 8348">
          <a:extLst>
            <a:ext uri="{FF2B5EF4-FFF2-40B4-BE49-F238E27FC236}">
              <a16:creationId xmlns:a16="http://schemas.microsoft.com/office/drawing/2014/main" id="{D3C1962A-E196-4FC3-A679-00A554AC267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63757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118</xdr:row>
      <xdr:rowOff>25400</xdr:rowOff>
    </xdr:from>
    <xdr:to>
      <xdr:col>11</xdr:col>
      <xdr:colOff>571500</xdr:colOff>
      <xdr:row>119</xdr:row>
      <xdr:rowOff>0</xdr:rowOff>
    </xdr:to>
    <xdr:pic>
      <xdr:nvPicPr>
        <xdr:cNvPr id="8351" name="Рисунок 8350">
          <a:extLst>
            <a:ext uri="{FF2B5EF4-FFF2-40B4-BE49-F238E27FC236}">
              <a16:creationId xmlns:a16="http://schemas.microsoft.com/office/drawing/2014/main" id="{99F23497-990A-45A0-A987-5861CAB5D53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64328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119</xdr:row>
      <xdr:rowOff>25400</xdr:rowOff>
    </xdr:from>
    <xdr:to>
      <xdr:col>11</xdr:col>
      <xdr:colOff>571500</xdr:colOff>
      <xdr:row>120</xdr:row>
      <xdr:rowOff>0</xdr:rowOff>
    </xdr:to>
    <xdr:pic>
      <xdr:nvPicPr>
        <xdr:cNvPr id="8353" name="Рисунок 8352">
          <a:extLst>
            <a:ext uri="{FF2B5EF4-FFF2-40B4-BE49-F238E27FC236}">
              <a16:creationId xmlns:a16="http://schemas.microsoft.com/office/drawing/2014/main" id="{24D78E07-2AB1-4E5E-AFAC-7990F91F9B3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64900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120</xdr:row>
      <xdr:rowOff>25400</xdr:rowOff>
    </xdr:from>
    <xdr:to>
      <xdr:col>11</xdr:col>
      <xdr:colOff>571500</xdr:colOff>
      <xdr:row>121</xdr:row>
      <xdr:rowOff>0</xdr:rowOff>
    </xdr:to>
    <xdr:pic>
      <xdr:nvPicPr>
        <xdr:cNvPr id="8355" name="Рисунок 8354">
          <a:extLst>
            <a:ext uri="{FF2B5EF4-FFF2-40B4-BE49-F238E27FC236}">
              <a16:creationId xmlns:a16="http://schemas.microsoft.com/office/drawing/2014/main" id="{A0EE1F38-CB15-4CD4-9FCF-C8C84A8BE3F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65471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121</xdr:row>
      <xdr:rowOff>25400</xdr:rowOff>
    </xdr:from>
    <xdr:to>
      <xdr:col>11</xdr:col>
      <xdr:colOff>571500</xdr:colOff>
      <xdr:row>122</xdr:row>
      <xdr:rowOff>0</xdr:rowOff>
    </xdr:to>
    <xdr:pic>
      <xdr:nvPicPr>
        <xdr:cNvPr id="8357" name="Рисунок 8356">
          <a:extLst>
            <a:ext uri="{FF2B5EF4-FFF2-40B4-BE49-F238E27FC236}">
              <a16:creationId xmlns:a16="http://schemas.microsoft.com/office/drawing/2014/main" id="{9E21B4B8-C9F6-4D94-A8DC-65C320007F0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66043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122</xdr:row>
      <xdr:rowOff>25400</xdr:rowOff>
    </xdr:from>
    <xdr:to>
      <xdr:col>11</xdr:col>
      <xdr:colOff>571500</xdr:colOff>
      <xdr:row>123</xdr:row>
      <xdr:rowOff>0</xdr:rowOff>
    </xdr:to>
    <xdr:pic>
      <xdr:nvPicPr>
        <xdr:cNvPr id="8359" name="Рисунок 8358">
          <a:extLst>
            <a:ext uri="{FF2B5EF4-FFF2-40B4-BE49-F238E27FC236}">
              <a16:creationId xmlns:a16="http://schemas.microsoft.com/office/drawing/2014/main" id="{3F74B4FF-FEAF-4C22-8744-2F6D4B85EDA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66614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123</xdr:row>
      <xdr:rowOff>25400</xdr:rowOff>
    </xdr:from>
    <xdr:to>
      <xdr:col>11</xdr:col>
      <xdr:colOff>571500</xdr:colOff>
      <xdr:row>124</xdr:row>
      <xdr:rowOff>0</xdr:rowOff>
    </xdr:to>
    <xdr:pic>
      <xdr:nvPicPr>
        <xdr:cNvPr id="8361" name="Рисунок 8360">
          <a:extLst>
            <a:ext uri="{FF2B5EF4-FFF2-40B4-BE49-F238E27FC236}">
              <a16:creationId xmlns:a16="http://schemas.microsoft.com/office/drawing/2014/main" id="{3DA87818-9D31-41F4-A1F1-7476044A8F3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67186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124</xdr:row>
      <xdr:rowOff>25400</xdr:rowOff>
    </xdr:from>
    <xdr:to>
      <xdr:col>11</xdr:col>
      <xdr:colOff>571500</xdr:colOff>
      <xdr:row>125</xdr:row>
      <xdr:rowOff>0</xdr:rowOff>
    </xdr:to>
    <xdr:pic>
      <xdr:nvPicPr>
        <xdr:cNvPr id="8363" name="Рисунок 8362">
          <a:extLst>
            <a:ext uri="{FF2B5EF4-FFF2-40B4-BE49-F238E27FC236}">
              <a16:creationId xmlns:a16="http://schemas.microsoft.com/office/drawing/2014/main" id="{8924ACD9-8704-47A7-98DD-66A1652544F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67757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125</xdr:row>
      <xdr:rowOff>25400</xdr:rowOff>
    </xdr:from>
    <xdr:to>
      <xdr:col>11</xdr:col>
      <xdr:colOff>571500</xdr:colOff>
      <xdr:row>126</xdr:row>
      <xdr:rowOff>0</xdr:rowOff>
    </xdr:to>
    <xdr:pic>
      <xdr:nvPicPr>
        <xdr:cNvPr id="8365" name="Рисунок 8364">
          <a:extLst>
            <a:ext uri="{FF2B5EF4-FFF2-40B4-BE49-F238E27FC236}">
              <a16:creationId xmlns:a16="http://schemas.microsoft.com/office/drawing/2014/main" id="{F1A88853-E905-4C97-AA27-99C98AD3A24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68329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126</xdr:row>
      <xdr:rowOff>25400</xdr:rowOff>
    </xdr:from>
    <xdr:to>
      <xdr:col>11</xdr:col>
      <xdr:colOff>571500</xdr:colOff>
      <xdr:row>127</xdr:row>
      <xdr:rowOff>0</xdr:rowOff>
    </xdr:to>
    <xdr:pic>
      <xdr:nvPicPr>
        <xdr:cNvPr id="8367" name="Рисунок 8366">
          <a:extLst>
            <a:ext uri="{FF2B5EF4-FFF2-40B4-BE49-F238E27FC236}">
              <a16:creationId xmlns:a16="http://schemas.microsoft.com/office/drawing/2014/main" id="{7E6A1A5F-FEC4-4C85-97BF-F249817B7A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68900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127</xdr:row>
      <xdr:rowOff>25400</xdr:rowOff>
    </xdr:from>
    <xdr:to>
      <xdr:col>11</xdr:col>
      <xdr:colOff>571500</xdr:colOff>
      <xdr:row>128</xdr:row>
      <xdr:rowOff>0</xdr:rowOff>
    </xdr:to>
    <xdr:pic>
      <xdr:nvPicPr>
        <xdr:cNvPr id="8369" name="Рисунок 8368">
          <a:extLst>
            <a:ext uri="{FF2B5EF4-FFF2-40B4-BE49-F238E27FC236}">
              <a16:creationId xmlns:a16="http://schemas.microsoft.com/office/drawing/2014/main" id="{5C06B87C-1FD8-4640-AD42-F8D210D53BA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69472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128</xdr:row>
      <xdr:rowOff>25400</xdr:rowOff>
    </xdr:from>
    <xdr:to>
      <xdr:col>11</xdr:col>
      <xdr:colOff>571500</xdr:colOff>
      <xdr:row>129</xdr:row>
      <xdr:rowOff>0</xdr:rowOff>
    </xdr:to>
    <xdr:pic>
      <xdr:nvPicPr>
        <xdr:cNvPr id="8371" name="Рисунок 8370">
          <a:extLst>
            <a:ext uri="{FF2B5EF4-FFF2-40B4-BE49-F238E27FC236}">
              <a16:creationId xmlns:a16="http://schemas.microsoft.com/office/drawing/2014/main" id="{751F27D5-53FC-4040-B454-C36E97ECC0B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70043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129</xdr:row>
      <xdr:rowOff>25400</xdr:rowOff>
    </xdr:from>
    <xdr:to>
      <xdr:col>11</xdr:col>
      <xdr:colOff>571500</xdr:colOff>
      <xdr:row>130</xdr:row>
      <xdr:rowOff>0</xdr:rowOff>
    </xdr:to>
    <xdr:pic>
      <xdr:nvPicPr>
        <xdr:cNvPr id="8373" name="Рисунок 8372">
          <a:extLst>
            <a:ext uri="{FF2B5EF4-FFF2-40B4-BE49-F238E27FC236}">
              <a16:creationId xmlns:a16="http://schemas.microsoft.com/office/drawing/2014/main" id="{D5F04B99-C27E-4D95-8595-12FA956ACA6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70615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130</xdr:row>
      <xdr:rowOff>25400</xdr:rowOff>
    </xdr:from>
    <xdr:to>
      <xdr:col>11</xdr:col>
      <xdr:colOff>571500</xdr:colOff>
      <xdr:row>131</xdr:row>
      <xdr:rowOff>0</xdr:rowOff>
    </xdr:to>
    <xdr:pic>
      <xdr:nvPicPr>
        <xdr:cNvPr id="8375" name="Рисунок 8374">
          <a:extLst>
            <a:ext uri="{FF2B5EF4-FFF2-40B4-BE49-F238E27FC236}">
              <a16:creationId xmlns:a16="http://schemas.microsoft.com/office/drawing/2014/main" id="{C6CFEFD1-7BBC-489F-8EFA-5D8D61416A5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71186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131</xdr:row>
      <xdr:rowOff>25400</xdr:rowOff>
    </xdr:from>
    <xdr:to>
      <xdr:col>11</xdr:col>
      <xdr:colOff>571500</xdr:colOff>
      <xdr:row>132</xdr:row>
      <xdr:rowOff>0</xdr:rowOff>
    </xdr:to>
    <xdr:pic>
      <xdr:nvPicPr>
        <xdr:cNvPr id="8377" name="Рисунок 8376">
          <a:extLst>
            <a:ext uri="{FF2B5EF4-FFF2-40B4-BE49-F238E27FC236}">
              <a16:creationId xmlns:a16="http://schemas.microsoft.com/office/drawing/2014/main" id="{FF4599AE-916E-4D4B-AE86-194DAC158E9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71758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132</xdr:row>
      <xdr:rowOff>25400</xdr:rowOff>
    </xdr:from>
    <xdr:to>
      <xdr:col>11</xdr:col>
      <xdr:colOff>571500</xdr:colOff>
      <xdr:row>133</xdr:row>
      <xdr:rowOff>0</xdr:rowOff>
    </xdr:to>
    <xdr:pic>
      <xdr:nvPicPr>
        <xdr:cNvPr id="8379" name="Рисунок 8378">
          <a:extLst>
            <a:ext uri="{FF2B5EF4-FFF2-40B4-BE49-F238E27FC236}">
              <a16:creationId xmlns:a16="http://schemas.microsoft.com/office/drawing/2014/main" id="{F7306DB5-F4A3-4A1E-B2EB-1F5E63B3B77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72329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133</xdr:row>
      <xdr:rowOff>25400</xdr:rowOff>
    </xdr:from>
    <xdr:to>
      <xdr:col>11</xdr:col>
      <xdr:colOff>571500</xdr:colOff>
      <xdr:row>134</xdr:row>
      <xdr:rowOff>0</xdr:rowOff>
    </xdr:to>
    <xdr:pic>
      <xdr:nvPicPr>
        <xdr:cNvPr id="8381" name="Рисунок 8380">
          <a:extLst>
            <a:ext uri="{FF2B5EF4-FFF2-40B4-BE49-F238E27FC236}">
              <a16:creationId xmlns:a16="http://schemas.microsoft.com/office/drawing/2014/main" id="{D6416463-72B3-45FE-AED8-68BAF22BB8A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72901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134</xdr:row>
      <xdr:rowOff>25400</xdr:rowOff>
    </xdr:from>
    <xdr:to>
      <xdr:col>11</xdr:col>
      <xdr:colOff>571500</xdr:colOff>
      <xdr:row>135</xdr:row>
      <xdr:rowOff>0</xdr:rowOff>
    </xdr:to>
    <xdr:pic>
      <xdr:nvPicPr>
        <xdr:cNvPr id="8383" name="Рисунок 8382">
          <a:extLst>
            <a:ext uri="{FF2B5EF4-FFF2-40B4-BE49-F238E27FC236}">
              <a16:creationId xmlns:a16="http://schemas.microsoft.com/office/drawing/2014/main" id="{9DC14B67-9148-4CD2-9886-A97B6424664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73472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135</xdr:row>
      <xdr:rowOff>25400</xdr:rowOff>
    </xdr:from>
    <xdr:to>
      <xdr:col>11</xdr:col>
      <xdr:colOff>571500</xdr:colOff>
      <xdr:row>136</xdr:row>
      <xdr:rowOff>0</xdr:rowOff>
    </xdr:to>
    <xdr:pic>
      <xdr:nvPicPr>
        <xdr:cNvPr id="8385" name="Рисунок 8384">
          <a:extLst>
            <a:ext uri="{FF2B5EF4-FFF2-40B4-BE49-F238E27FC236}">
              <a16:creationId xmlns:a16="http://schemas.microsoft.com/office/drawing/2014/main" id="{B1349302-2F2E-4E6B-AE77-3E07EBC384F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74044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136</xdr:row>
      <xdr:rowOff>25400</xdr:rowOff>
    </xdr:from>
    <xdr:to>
      <xdr:col>11</xdr:col>
      <xdr:colOff>571500</xdr:colOff>
      <xdr:row>137</xdr:row>
      <xdr:rowOff>0</xdr:rowOff>
    </xdr:to>
    <xdr:pic>
      <xdr:nvPicPr>
        <xdr:cNvPr id="8387" name="Рисунок 8386">
          <a:extLst>
            <a:ext uri="{FF2B5EF4-FFF2-40B4-BE49-F238E27FC236}">
              <a16:creationId xmlns:a16="http://schemas.microsoft.com/office/drawing/2014/main" id="{8603FA72-8559-419D-8706-0155FDF87F1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74615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137</xdr:row>
      <xdr:rowOff>25400</xdr:rowOff>
    </xdr:from>
    <xdr:to>
      <xdr:col>11</xdr:col>
      <xdr:colOff>571500</xdr:colOff>
      <xdr:row>138</xdr:row>
      <xdr:rowOff>0</xdr:rowOff>
    </xdr:to>
    <xdr:pic>
      <xdr:nvPicPr>
        <xdr:cNvPr id="8389" name="Рисунок 8388">
          <a:extLst>
            <a:ext uri="{FF2B5EF4-FFF2-40B4-BE49-F238E27FC236}">
              <a16:creationId xmlns:a16="http://schemas.microsoft.com/office/drawing/2014/main" id="{15A34B7B-50DC-455B-88AA-ED8AE7845A8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75187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138</xdr:row>
      <xdr:rowOff>25400</xdr:rowOff>
    </xdr:from>
    <xdr:to>
      <xdr:col>11</xdr:col>
      <xdr:colOff>571500</xdr:colOff>
      <xdr:row>139</xdr:row>
      <xdr:rowOff>0</xdr:rowOff>
    </xdr:to>
    <xdr:pic>
      <xdr:nvPicPr>
        <xdr:cNvPr id="8391" name="Рисунок 8390">
          <a:extLst>
            <a:ext uri="{FF2B5EF4-FFF2-40B4-BE49-F238E27FC236}">
              <a16:creationId xmlns:a16="http://schemas.microsoft.com/office/drawing/2014/main" id="{A1F78E8A-A151-43D2-9FC5-87DBE62082E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75758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139</xdr:row>
      <xdr:rowOff>25400</xdr:rowOff>
    </xdr:from>
    <xdr:to>
      <xdr:col>11</xdr:col>
      <xdr:colOff>571500</xdr:colOff>
      <xdr:row>140</xdr:row>
      <xdr:rowOff>0</xdr:rowOff>
    </xdr:to>
    <xdr:pic>
      <xdr:nvPicPr>
        <xdr:cNvPr id="8393" name="Рисунок 8392">
          <a:extLst>
            <a:ext uri="{FF2B5EF4-FFF2-40B4-BE49-F238E27FC236}">
              <a16:creationId xmlns:a16="http://schemas.microsoft.com/office/drawing/2014/main" id="{B7A34CAF-E101-49BB-AFDD-9149CB9F439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76330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140</xdr:row>
      <xdr:rowOff>25400</xdr:rowOff>
    </xdr:from>
    <xdr:to>
      <xdr:col>11</xdr:col>
      <xdr:colOff>571500</xdr:colOff>
      <xdr:row>141</xdr:row>
      <xdr:rowOff>0</xdr:rowOff>
    </xdr:to>
    <xdr:pic>
      <xdr:nvPicPr>
        <xdr:cNvPr id="8395" name="Рисунок 8394">
          <a:extLst>
            <a:ext uri="{FF2B5EF4-FFF2-40B4-BE49-F238E27FC236}">
              <a16:creationId xmlns:a16="http://schemas.microsoft.com/office/drawing/2014/main" id="{772D0467-8493-4438-BBA1-E31AC844ECD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76901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141</xdr:row>
      <xdr:rowOff>25400</xdr:rowOff>
    </xdr:from>
    <xdr:to>
      <xdr:col>11</xdr:col>
      <xdr:colOff>571500</xdr:colOff>
      <xdr:row>142</xdr:row>
      <xdr:rowOff>0</xdr:rowOff>
    </xdr:to>
    <xdr:pic>
      <xdr:nvPicPr>
        <xdr:cNvPr id="8397" name="Рисунок 8396">
          <a:extLst>
            <a:ext uri="{FF2B5EF4-FFF2-40B4-BE49-F238E27FC236}">
              <a16:creationId xmlns:a16="http://schemas.microsoft.com/office/drawing/2014/main" id="{F9BD2278-7268-4E9F-BD4E-2FAAD297842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77473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142</xdr:row>
      <xdr:rowOff>25400</xdr:rowOff>
    </xdr:from>
    <xdr:to>
      <xdr:col>11</xdr:col>
      <xdr:colOff>571500</xdr:colOff>
      <xdr:row>143</xdr:row>
      <xdr:rowOff>0</xdr:rowOff>
    </xdr:to>
    <xdr:pic>
      <xdr:nvPicPr>
        <xdr:cNvPr id="8399" name="Рисунок 8398">
          <a:extLst>
            <a:ext uri="{FF2B5EF4-FFF2-40B4-BE49-F238E27FC236}">
              <a16:creationId xmlns:a16="http://schemas.microsoft.com/office/drawing/2014/main" id="{69C13676-E988-4688-9641-FA8964FEFB6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78044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143</xdr:row>
      <xdr:rowOff>25400</xdr:rowOff>
    </xdr:from>
    <xdr:to>
      <xdr:col>11</xdr:col>
      <xdr:colOff>571500</xdr:colOff>
      <xdr:row>144</xdr:row>
      <xdr:rowOff>0</xdr:rowOff>
    </xdr:to>
    <xdr:pic>
      <xdr:nvPicPr>
        <xdr:cNvPr id="8401" name="Рисунок 8400">
          <a:extLst>
            <a:ext uri="{FF2B5EF4-FFF2-40B4-BE49-F238E27FC236}">
              <a16:creationId xmlns:a16="http://schemas.microsoft.com/office/drawing/2014/main" id="{0050D85B-6EC1-44BC-97D9-B084B86ED54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78616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144</xdr:row>
      <xdr:rowOff>25400</xdr:rowOff>
    </xdr:from>
    <xdr:to>
      <xdr:col>11</xdr:col>
      <xdr:colOff>571500</xdr:colOff>
      <xdr:row>145</xdr:row>
      <xdr:rowOff>0</xdr:rowOff>
    </xdr:to>
    <xdr:pic>
      <xdr:nvPicPr>
        <xdr:cNvPr id="8403" name="Рисунок 8402">
          <a:extLst>
            <a:ext uri="{FF2B5EF4-FFF2-40B4-BE49-F238E27FC236}">
              <a16:creationId xmlns:a16="http://schemas.microsoft.com/office/drawing/2014/main" id="{B829F60C-B315-465C-B992-4A39AB15F27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79187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145</xdr:row>
      <xdr:rowOff>25400</xdr:rowOff>
    </xdr:from>
    <xdr:to>
      <xdr:col>11</xdr:col>
      <xdr:colOff>571500</xdr:colOff>
      <xdr:row>146</xdr:row>
      <xdr:rowOff>0</xdr:rowOff>
    </xdr:to>
    <xdr:pic>
      <xdr:nvPicPr>
        <xdr:cNvPr id="8405" name="Рисунок 8404">
          <a:extLst>
            <a:ext uri="{FF2B5EF4-FFF2-40B4-BE49-F238E27FC236}">
              <a16:creationId xmlns:a16="http://schemas.microsoft.com/office/drawing/2014/main" id="{6C214D07-8A7B-4AE0-834B-3388852A3CD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79759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146</xdr:row>
      <xdr:rowOff>25400</xdr:rowOff>
    </xdr:from>
    <xdr:to>
      <xdr:col>11</xdr:col>
      <xdr:colOff>571500</xdr:colOff>
      <xdr:row>147</xdr:row>
      <xdr:rowOff>0</xdr:rowOff>
    </xdr:to>
    <xdr:pic>
      <xdr:nvPicPr>
        <xdr:cNvPr id="8407" name="Рисунок 8406">
          <a:extLst>
            <a:ext uri="{FF2B5EF4-FFF2-40B4-BE49-F238E27FC236}">
              <a16:creationId xmlns:a16="http://schemas.microsoft.com/office/drawing/2014/main" id="{2616F620-4C0C-48B8-B903-8C34D17C986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80330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147</xdr:row>
      <xdr:rowOff>25400</xdr:rowOff>
    </xdr:from>
    <xdr:to>
      <xdr:col>11</xdr:col>
      <xdr:colOff>571500</xdr:colOff>
      <xdr:row>148</xdr:row>
      <xdr:rowOff>0</xdr:rowOff>
    </xdr:to>
    <xdr:pic>
      <xdr:nvPicPr>
        <xdr:cNvPr id="8409" name="Рисунок 8408">
          <a:extLst>
            <a:ext uri="{FF2B5EF4-FFF2-40B4-BE49-F238E27FC236}">
              <a16:creationId xmlns:a16="http://schemas.microsoft.com/office/drawing/2014/main" id="{91DFBE7B-495E-403E-B72A-50FDAA5E781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80902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148</xdr:row>
      <xdr:rowOff>25400</xdr:rowOff>
    </xdr:from>
    <xdr:to>
      <xdr:col>11</xdr:col>
      <xdr:colOff>571500</xdr:colOff>
      <xdr:row>149</xdr:row>
      <xdr:rowOff>0</xdr:rowOff>
    </xdr:to>
    <xdr:pic>
      <xdr:nvPicPr>
        <xdr:cNvPr id="8411" name="Рисунок 8410">
          <a:extLst>
            <a:ext uri="{FF2B5EF4-FFF2-40B4-BE49-F238E27FC236}">
              <a16:creationId xmlns:a16="http://schemas.microsoft.com/office/drawing/2014/main" id="{4F9AAF8F-4FB0-41F5-B501-2463327A5EA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81473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149</xdr:row>
      <xdr:rowOff>25400</xdr:rowOff>
    </xdr:from>
    <xdr:to>
      <xdr:col>11</xdr:col>
      <xdr:colOff>571500</xdr:colOff>
      <xdr:row>150</xdr:row>
      <xdr:rowOff>0</xdr:rowOff>
    </xdr:to>
    <xdr:pic>
      <xdr:nvPicPr>
        <xdr:cNvPr id="8413" name="Рисунок 8412">
          <a:extLst>
            <a:ext uri="{FF2B5EF4-FFF2-40B4-BE49-F238E27FC236}">
              <a16:creationId xmlns:a16="http://schemas.microsoft.com/office/drawing/2014/main" id="{468F7D0B-7F01-4A31-BA39-4FEA20334D4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82045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150</xdr:row>
      <xdr:rowOff>25400</xdr:rowOff>
    </xdr:from>
    <xdr:to>
      <xdr:col>11</xdr:col>
      <xdr:colOff>571500</xdr:colOff>
      <xdr:row>151</xdr:row>
      <xdr:rowOff>0</xdr:rowOff>
    </xdr:to>
    <xdr:pic>
      <xdr:nvPicPr>
        <xdr:cNvPr id="8415" name="Рисунок 8414">
          <a:extLst>
            <a:ext uri="{FF2B5EF4-FFF2-40B4-BE49-F238E27FC236}">
              <a16:creationId xmlns:a16="http://schemas.microsoft.com/office/drawing/2014/main" id="{FCCAE327-C5BE-4024-805B-2E53B7B222A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82616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151</xdr:row>
      <xdr:rowOff>25400</xdr:rowOff>
    </xdr:from>
    <xdr:to>
      <xdr:col>11</xdr:col>
      <xdr:colOff>571500</xdr:colOff>
      <xdr:row>152</xdr:row>
      <xdr:rowOff>0</xdr:rowOff>
    </xdr:to>
    <xdr:pic>
      <xdr:nvPicPr>
        <xdr:cNvPr id="8417" name="Рисунок 8416">
          <a:extLst>
            <a:ext uri="{FF2B5EF4-FFF2-40B4-BE49-F238E27FC236}">
              <a16:creationId xmlns:a16="http://schemas.microsoft.com/office/drawing/2014/main" id="{2206E40C-AA20-4B11-8132-82D6DA0703B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83188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152</xdr:row>
      <xdr:rowOff>25400</xdr:rowOff>
    </xdr:from>
    <xdr:to>
      <xdr:col>11</xdr:col>
      <xdr:colOff>571500</xdr:colOff>
      <xdr:row>153</xdr:row>
      <xdr:rowOff>0</xdr:rowOff>
    </xdr:to>
    <xdr:pic>
      <xdr:nvPicPr>
        <xdr:cNvPr id="8419" name="Рисунок 8418">
          <a:extLst>
            <a:ext uri="{FF2B5EF4-FFF2-40B4-BE49-F238E27FC236}">
              <a16:creationId xmlns:a16="http://schemas.microsoft.com/office/drawing/2014/main" id="{ADF17201-4035-4230-AE13-6F46618C4BE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83759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153</xdr:row>
      <xdr:rowOff>25400</xdr:rowOff>
    </xdr:from>
    <xdr:to>
      <xdr:col>11</xdr:col>
      <xdr:colOff>571500</xdr:colOff>
      <xdr:row>154</xdr:row>
      <xdr:rowOff>0</xdr:rowOff>
    </xdr:to>
    <xdr:pic>
      <xdr:nvPicPr>
        <xdr:cNvPr id="8421" name="Рисунок 8420">
          <a:extLst>
            <a:ext uri="{FF2B5EF4-FFF2-40B4-BE49-F238E27FC236}">
              <a16:creationId xmlns:a16="http://schemas.microsoft.com/office/drawing/2014/main" id="{C5998390-C193-4586-B2F7-57AC5AC7936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84331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154</xdr:row>
      <xdr:rowOff>25400</xdr:rowOff>
    </xdr:from>
    <xdr:to>
      <xdr:col>11</xdr:col>
      <xdr:colOff>571500</xdr:colOff>
      <xdr:row>155</xdr:row>
      <xdr:rowOff>0</xdr:rowOff>
    </xdr:to>
    <xdr:pic>
      <xdr:nvPicPr>
        <xdr:cNvPr id="8423" name="Рисунок 8422">
          <a:extLst>
            <a:ext uri="{FF2B5EF4-FFF2-40B4-BE49-F238E27FC236}">
              <a16:creationId xmlns:a16="http://schemas.microsoft.com/office/drawing/2014/main" id="{39256435-A765-4323-9FCA-3AA87B1E3B5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84902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155</xdr:row>
      <xdr:rowOff>25400</xdr:rowOff>
    </xdr:from>
    <xdr:to>
      <xdr:col>11</xdr:col>
      <xdr:colOff>571500</xdr:colOff>
      <xdr:row>156</xdr:row>
      <xdr:rowOff>0</xdr:rowOff>
    </xdr:to>
    <xdr:pic>
      <xdr:nvPicPr>
        <xdr:cNvPr id="8425" name="Рисунок 8424">
          <a:extLst>
            <a:ext uri="{FF2B5EF4-FFF2-40B4-BE49-F238E27FC236}">
              <a16:creationId xmlns:a16="http://schemas.microsoft.com/office/drawing/2014/main" id="{C25BCEB5-3E59-491B-9F42-E53D8B99452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85474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156</xdr:row>
      <xdr:rowOff>25400</xdr:rowOff>
    </xdr:from>
    <xdr:to>
      <xdr:col>11</xdr:col>
      <xdr:colOff>571500</xdr:colOff>
      <xdr:row>157</xdr:row>
      <xdr:rowOff>0</xdr:rowOff>
    </xdr:to>
    <xdr:pic>
      <xdr:nvPicPr>
        <xdr:cNvPr id="8427" name="Рисунок 8426">
          <a:extLst>
            <a:ext uri="{FF2B5EF4-FFF2-40B4-BE49-F238E27FC236}">
              <a16:creationId xmlns:a16="http://schemas.microsoft.com/office/drawing/2014/main" id="{AF846BD5-5577-47AA-9A8E-A800D3E3077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86045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157</xdr:row>
      <xdr:rowOff>25400</xdr:rowOff>
    </xdr:from>
    <xdr:to>
      <xdr:col>11</xdr:col>
      <xdr:colOff>571500</xdr:colOff>
      <xdr:row>158</xdr:row>
      <xdr:rowOff>0</xdr:rowOff>
    </xdr:to>
    <xdr:pic>
      <xdr:nvPicPr>
        <xdr:cNvPr id="8429" name="Рисунок 8428">
          <a:extLst>
            <a:ext uri="{FF2B5EF4-FFF2-40B4-BE49-F238E27FC236}">
              <a16:creationId xmlns:a16="http://schemas.microsoft.com/office/drawing/2014/main" id="{62FB9C18-C20F-4A94-ABFB-EA630F236B8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86617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158</xdr:row>
      <xdr:rowOff>25400</xdr:rowOff>
    </xdr:from>
    <xdr:to>
      <xdr:col>11</xdr:col>
      <xdr:colOff>571500</xdr:colOff>
      <xdr:row>159</xdr:row>
      <xdr:rowOff>0</xdr:rowOff>
    </xdr:to>
    <xdr:pic>
      <xdr:nvPicPr>
        <xdr:cNvPr id="8431" name="Рисунок 8430">
          <a:extLst>
            <a:ext uri="{FF2B5EF4-FFF2-40B4-BE49-F238E27FC236}">
              <a16:creationId xmlns:a16="http://schemas.microsoft.com/office/drawing/2014/main" id="{BE6730F3-A2AB-4936-878C-681A93212B7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87188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159</xdr:row>
      <xdr:rowOff>25400</xdr:rowOff>
    </xdr:from>
    <xdr:to>
      <xdr:col>11</xdr:col>
      <xdr:colOff>571500</xdr:colOff>
      <xdr:row>160</xdr:row>
      <xdr:rowOff>0</xdr:rowOff>
    </xdr:to>
    <xdr:pic>
      <xdr:nvPicPr>
        <xdr:cNvPr id="8433" name="Рисунок 8432">
          <a:extLst>
            <a:ext uri="{FF2B5EF4-FFF2-40B4-BE49-F238E27FC236}">
              <a16:creationId xmlns:a16="http://schemas.microsoft.com/office/drawing/2014/main" id="{EA6A77D9-8791-4737-BF6A-0005BB6EFEC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87760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160</xdr:row>
      <xdr:rowOff>25400</xdr:rowOff>
    </xdr:from>
    <xdr:to>
      <xdr:col>11</xdr:col>
      <xdr:colOff>571500</xdr:colOff>
      <xdr:row>161</xdr:row>
      <xdr:rowOff>0</xdr:rowOff>
    </xdr:to>
    <xdr:pic>
      <xdr:nvPicPr>
        <xdr:cNvPr id="8435" name="Рисунок 8434">
          <a:extLst>
            <a:ext uri="{FF2B5EF4-FFF2-40B4-BE49-F238E27FC236}">
              <a16:creationId xmlns:a16="http://schemas.microsoft.com/office/drawing/2014/main" id="{E652C339-D973-47CE-8A56-0BFE735A722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88331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161</xdr:row>
      <xdr:rowOff>25400</xdr:rowOff>
    </xdr:from>
    <xdr:to>
      <xdr:col>11</xdr:col>
      <xdr:colOff>571500</xdr:colOff>
      <xdr:row>162</xdr:row>
      <xdr:rowOff>0</xdr:rowOff>
    </xdr:to>
    <xdr:pic>
      <xdr:nvPicPr>
        <xdr:cNvPr id="8437" name="Рисунок 8436">
          <a:extLst>
            <a:ext uri="{FF2B5EF4-FFF2-40B4-BE49-F238E27FC236}">
              <a16:creationId xmlns:a16="http://schemas.microsoft.com/office/drawing/2014/main" id="{ECAF5506-A8E0-4982-AFE4-4E4B2696631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88903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162</xdr:row>
      <xdr:rowOff>25400</xdr:rowOff>
    </xdr:from>
    <xdr:to>
      <xdr:col>11</xdr:col>
      <xdr:colOff>571500</xdr:colOff>
      <xdr:row>163</xdr:row>
      <xdr:rowOff>0</xdr:rowOff>
    </xdr:to>
    <xdr:pic>
      <xdr:nvPicPr>
        <xdr:cNvPr id="8439" name="Рисунок 8438">
          <a:extLst>
            <a:ext uri="{FF2B5EF4-FFF2-40B4-BE49-F238E27FC236}">
              <a16:creationId xmlns:a16="http://schemas.microsoft.com/office/drawing/2014/main" id="{55DAF69A-8AA2-436B-BC3A-06BF65F357F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89474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163</xdr:row>
      <xdr:rowOff>25400</xdr:rowOff>
    </xdr:from>
    <xdr:to>
      <xdr:col>11</xdr:col>
      <xdr:colOff>571500</xdr:colOff>
      <xdr:row>164</xdr:row>
      <xdr:rowOff>0</xdr:rowOff>
    </xdr:to>
    <xdr:pic>
      <xdr:nvPicPr>
        <xdr:cNvPr id="8441" name="Рисунок 8440">
          <a:extLst>
            <a:ext uri="{FF2B5EF4-FFF2-40B4-BE49-F238E27FC236}">
              <a16:creationId xmlns:a16="http://schemas.microsoft.com/office/drawing/2014/main" id="{7F3BF9B5-A28C-42AE-97C4-471575471D8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90046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164</xdr:row>
      <xdr:rowOff>25400</xdr:rowOff>
    </xdr:from>
    <xdr:to>
      <xdr:col>11</xdr:col>
      <xdr:colOff>571500</xdr:colOff>
      <xdr:row>165</xdr:row>
      <xdr:rowOff>0</xdr:rowOff>
    </xdr:to>
    <xdr:pic>
      <xdr:nvPicPr>
        <xdr:cNvPr id="8443" name="Рисунок 8442">
          <a:extLst>
            <a:ext uri="{FF2B5EF4-FFF2-40B4-BE49-F238E27FC236}">
              <a16:creationId xmlns:a16="http://schemas.microsoft.com/office/drawing/2014/main" id="{E3AD8A61-9FAD-4092-A474-3CB2B1DAD57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90617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165</xdr:row>
      <xdr:rowOff>25400</xdr:rowOff>
    </xdr:from>
    <xdr:to>
      <xdr:col>11</xdr:col>
      <xdr:colOff>571500</xdr:colOff>
      <xdr:row>166</xdr:row>
      <xdr:rowOff>0</xdr:rowOff>
    </xdr:to>
    <xdr:pic>
      <xdr:nvPicPr>
        <xdr:cNvPr id="8445" name="Рисунок 8444">
          <a:extLst>
            <a:ext uri="{FF2B5EF4-FFF2-40B4-BE49-F238E27FC236}">
              <a16:creationId xmlns:a16="http://schemas.microsoft.com/office/drawing/2014/main" id="{3DADDDC7-976A-4C82-AA12-187352CFD83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91189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166</xdr:row>
      <xdr:rowOff>25400</xdr:rowOff>
    </xdr:from>
    <xdr:to>
      <xdr:col>11</xdr:col>
      <xdr:colOff>571500</xdr:colOff>
      <xdr:row>167</xdr:row>
      <xdr:rowOff>0</xdr:rowOff>
    </xdr:to>
    <xdr:pic>
      <xdr:nvPicPr>
        <xdr:cNvPr id="8447" name="Рисунок 8446">
          <a:extLst>
            <a:ext uri="{FF2B5EF4-FFF2-40B4-BE49-F238E27FC236}">
              <a16:creationId xmlns:a16="http://schemas.microsoft.com/office/drawing/2014/main" id="{2EA4853B-2D42-438C-BBB5-1BF0139F349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91760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168</xdr:row>
      <xdr:rowOff>25400</xdr:rowOff>
    </xdr:from>
    <xdr:to>
      <xdr:col>11</xdr:col>
      <xdr:colOff>571500</xdr:colOff>
      <xdr:row>169</xdr:row>
      <xdr:rowOff>0</xdr:rowOff>
    </xdr:to>
    <xdr:pic>
      <xdr:nvPicPr>
        <xdr:cNvPr id="8449" name="Рисунок 8448">
          <a:extLst>
            <a:ext uri="{FF2B5EF4-FFF2-40B4-BE49-F238E27FC236}">
              <a16:creationId xmlns:a16="http://schemas.microsoft.com/office/drawing/2014/main" id="{775AA45F-2866-4C91-BC7F-9270BCCFAE9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92903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172</xdr:row>
      <xdr:rowOff>25400</xdr:rowOff>
    </xdr:from>
    <xdr:to>
      <xdr:col>11</xdr:col>
      <xdr:colOff>571500</xdr:colOff>
      <xdr:row>173</xdr:row>
      <xdr:rowOff>0</xdr:rowOff>
    </xdr:to>
    <xdr:pic>
      <xdr:nvPicPr>
        <xdr:cNvPr id="8451" name="Рисунок 8450">
          <a:extLst>
            <a:ext uri="{FF2B5EF4-FFF2-40B4-BE49-F238E27FC236}">
              <a16:creationId xmlns:a16="http://schemas.microsoft.com/office/drawing/2014/main" id="{FD2485C1-B7D3-4CB6-A3C9-03C107575C0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95189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173</xdr:row>
      <xdr:rowOff>25400</xdr:rowOff>
    </xdr:from>
    <xdr:to>
      <xdr:col>11</xdr:col>
      <xdr:colOff>571500</xdr:colOff>
      <xdr:row>174</xdr:row>
      <xdr:rowOff>0</xdr:rowOff>
    </xdr:to>
    <xdr:pic>
      <xdr:nvPicPr>
        <xdr:cNvPr id="8453" name="Рисунок 8452">
          <a:extLst>
            <a:ext uri="{FF2B5EF4-FFF2-40B4-BE49-F238E27FC236}">
              <a16:creationId xmlns:a16="http://schemas.microsoft.com/office/drawing/2014/main" id="{29205C2A-90F8-45BC-903B-47AE8C1B5EA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95761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174</xdr:row>
      <xdr:rowOff>25400</xdr:rowOff>
    </xdr:from>
    <xdr:to>
      <xdr:col>11</xdr:col>
      <xdr:colOff>571500</xdr:colOff>
      <xdr:row>175</xdr:row>
      <xdr:rowOff>0</xdr:rowOff>
    </xdr:to>
    <xdr:pic>
      <xdr:nvPicPr>
        <xdr:cNvPr id="8455" name="Рисунок 8454">
          <a:extLst>
            <a:ext uri="{FF2B5EF4-FFF2-40B4-BE49-F238E27FC236}">
              <a16:creationId xmlns:a16="http://schemas.microsoft.com/office/drawing/2014/main" id="{DEEA9F7B-6B90-4D4F-864C-D2E91D30DFC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96332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175</xdr:row>
      <xdr:rowOff>25400</xdr:rowOff>
    </xdr:from>
    <xdr:to>
      <xdr:col>11</xdr:col>
      <xdr:colOff>571500</xdr:colOff>
      <xdr:row>176</xdr:row>
      <xdr:rowOff>0</xdr:rowOff>
    </xdr:to>
    <xdr:pic>
      <xdr:nvPicPr>
        <xdr:cNvPr id="8457" name="Рисунок 8456">
          <a:extLst>
            <a:ext uri="{FF2B5EF4-FFF2-40B4-BE49-F238E27FC236}">
              <a16:creationId xmlns:a16="http://schemas.microsoft.com/office/drawing/2014/main" id="{29DA0F48-A753-4528-8CBB-2E6AF569AA2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96904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176</xdr:row>
      <xdr:rowOff>25400</xdr:rowOff>
    </xdr:from>
    <xdr:to>
      <xdr:col>11</xdr:col>
      <xdr:colOff>571500</xdr:colOff>
      <xdr:row>177</xdr:row>
      <xdr:rowOff>0</xdr:rowOff>
    </xdr:to>
    <xdr:pic>
      <xdr:nvPicPr>
        <xdr:cNvPr id="8459" name="Рисунок 8458">
          <a:extLst>
            <a:ext uri="{FF2B5EF4-FFF2-40B4-BE49-F238E27FC236}">
              <a16:creationId xmlns:a16="http://schemas.microsoft.com/office/drawing/2014/main" id="{B9F7ECF3-E282-4B23-A7D7-8C2B3686D35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97475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177</xdr:row>
      <xdr:rowOff>25400</xdr:rowOff>
    </xdr:from>
    <xdr:to>
      <xdr:col>11</xdr:col>
      <xdr:colOff>571500</xdr:colOff>
      <xdr:row>178</xdr:row>
      <xdr:rowOff>0</xdr:rowOff>
    </xdr:to>
    <xdr:pic>
      <xdr:nvPicPr>
        <xdr:cNvPr id="8461" name="Рисунок 8460">
          <a:extLst>
            <a:ext uri="{FF2B5EF4-FFF2-40B4-BE49-F238E27FC236}">
              <a16:creationId xmlns:a16="http://schemas.microsoft.com/office/drawing/2014/main" id="{53F2C66F-D505-446D-905D-E4B2E682578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98047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182</xdr:row>
      <xdr:rowOff>25400</xdr:rowOff>
    </xdr:from>
    <xdr:to>
      <xdr:col>11</xdr:col>
      <xdr:colOff>571500</xdr:colOff>
      <xdr:row>183</xdr:row>
      <xdr:rowOff>0</xdr:rowOff>
    </xdr:to>
    <xdr:pic>
      <xdr:nvPicPr>
        <xdr:cNvPr id="8463" name="Рисунок 8462">
          <a:extLst>
            <a:ext uri="{FF2B5EF4-FFF2-40B4-BE49-F238E27FC236}">
              <a16:creationId xmlns:a16="http://schemas.microsoft.com/office/drawing/2014/main" id="{44184CB1-E1D2-41C0-870F-ADAA46033DD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00904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183</xdr:row>
      <xdr:rowOff>25400</xdr:rowOff>
    </xdr:from>
    <xdr:to>
      <xdr:col>11</xdr:col>
      <xdr:colOff>571500</xdr:colOff>
      <xdr:row>184</xdr:row>
      <xdr:rowOff>0</xdr:rowOff>
    </xdr:to>
    <xdr:pic>
      <xdr:nvPicPr>
        <xdr:cNvPr id="8465" name="Рисунок 8464">
          <a:extLst>
            <a:ext uri="{FF2B5EF4-FFF2-40B4-BE49-F238E27FC236}">
              <a16:creationId xmlns:a16="http://schemas.microsoft.com/office/drawing/2014/main" id="{F71A254D-52D8-4305-A6F5-D11111092A7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01476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184</xdr:row>
      <xdr:rowOff>25400</xdr:rowOff>
    </xdr:from>
    <xdr:to>
      <xdr:col>11</xdr:col>
      <xdr:colOff>571500</xdr:colOff>
      <xdr:row>185</xdr:row>
      <xdr:rowOff>0</xdr:rowOff>
    </xdr:to>
    <xdr:pic>
      <xdr:nvPicPr>
        <xdr:cNvPr id="8467" name="Рисунок 8466">
          <a:extLst>
            <a:ext uri="{FF2B5EF4-FFF2-40B4-BE49-F238E27FC236}">
              <a16:creationId xmlns:a16="http://schemas.microsoft.com/office/drawing/2014/main" id="{7FA4E939-60B9-41A1-A172-26EFA0E0E88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02047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185</xdr:row>
      <xdr:rowOff>25400</xdr:rowOff>
    </xdr:from>
    <xdr:to>
      <xdr:col>11</xdr:col>
      <xdr:colOff>571500</xdr:colOff>
      <xdr:row>186</xdr:row>
      <xdr:rowOff>0</xdr:rowOff>
    </xdr:to>
    <xdr:pic>
      <xdr:nvPicPr>
        <xdr:cNvPr id="8469" name="Рисунок 8468">
          <a:extLst>
            <a:ext uri="{FF2B5EF4-FFF2-40B4-BE49-F238E27FC236}">
              <a16:creationId xmlns:a16="http://schemas.microsoft.com/office/drawing/2014/main" id="{A2FFACE6-6C8A-47AA-BA74-0594D32DAB5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02619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186</xdr:row>
      <xdr:rowOff>25400</xdr:rowOff>
    </xdr:from>
    <xdr:to>
      <xdr:col>11</xdr:col>
      <xdr:colOff>571500</xdr:colOff>
      <xdr:row>187</xdr:row>
      <xdr:rowOff>0</xdr:rowOff>
    </xdr:to>
    <xdr:pic>
      <xdr:nvPicPr>
        <xdr:cNvPr id="8471" name="Рисунок 8470">
          <a:extLst>
            <a:ext uri="{FF2B5EF4-FFF2-40B4-BE49-F238E27FC236}">
              <a16:creationId xmlns:a16="http://schemas.microsoft.com/office/drawing/2014/main" id="{C98A4EA0-369A-4C37-AD27-AC66E9ECCEF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03190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187</xdr:row>
      <xdr:rowOff>25400</xdr:rowOff>
    </xdr:from>
    <xdr:to>
      <xdr:col>11</xdr:col>
      <xdr:colOff>571500</xdr:colOff>
      <xdr:row>188</xdr:row>
      <xdr:rowOff>0</xdr:rowOff>
    </xdr:to>
    <xdr:pic>
      <xdr:nvPicPr>
        <xdr:cNvPr id="8473" name="Рисунок 8472">
          <a:extLst>
            <a:ext uri="{FF2B5EF4-FFF2-40B4-BE49-F238E27FC236}">
              <a16:creationId xmlns:a16="http://schemas.microsoft.com/office/drawing/2014/main" id="{DB5D1A9A-827C-4F9A-9BCB-123DB1E6C9B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03762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188</xdr:row>
      <xdr:rowOff>25400</xdr:rowOff>
    </xdr:from>
    <xdr:to>
      <xdr:col>11</xdr:col>
      <xdr:colOff>571500</xdr:colOff>
      <xdr:row>189</xdr:row>
      <xdr:rowOff>0</xdr:rowOff>
    </xdr:to>
    <xdr:pic>
      <xdr:nvPicPr>
        <xdr:cNvPr id="8475" name="Рисунок 8474">
          <a:extLst>
            <a:ext uri="{FF2B5EF4-FFF2-40B4-BE49-F238E27FC236}">
              <a16:creationId xmlns:a16="http://schemas.microsoft.com/office/drawing/2014/main" id="{8405B208-6382-4159-9F11-44D730ABFD2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04333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189</xdr:row>
      <xdr:rowOff>25400</xdr:rowOff>
    </xdr:from>
    <xdr:to>
      <xdr:col>11</xdr:col>
      <xdr:colOff>571500</xdr:colOff>
      <xdr:row>190</xdr:row>
      <xdr:rowOff>0</xdr:rowOff>
    </xdr:to>
    <xdr:pic>
      <xdr:nvPicPr>
        <xdr:cNvPr id="8477" name="Рисунок 8476">
          <a:extLst>
            <a:ext uri="{FF2B5EF4-FFF2-40B4-BE49-F238E27FC236}">
              <a16:creationId xmlns:a16="http://schemas.microsoft.com/office/drawing/2014/main" id="{0A5F1C2A-FF2C-485E-B1AE-747A4FFCF8B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04905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190</xdr:row>
      <xdr:rowOff>25400</xdr:rowOff>
    </xdr:from>
    <xdr:to>
      <xdr:col>11</xdr:col>
      <xdr:colOff>571500</xdr:colOff>
      <xdr:row>191</xdr:row>
      <xdr:rowOff>0</xdr:rowOff>
    </xdr:to>
    <xdr:pic>
      <xdr:nvPicPr>
        <xdr:cNvPr id="8479" name="Рисунок 8478">
          <a:extLst>
            <a:ext uri="{FF2B5EF4-FFF2-40B4-BE49-F238E27FC236}">
              <a16:creationId xmlns:a16="http://schemas.microsoft.com/office/drawing/2014/main" id="{1936CC38-5011-49E8-AF39-9ADADA26B6C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05476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191</xdr:row>
      <xdr:rowOff>25400</xdr:rowOff>
    </xdr:from>
    <xdr:to>
      <xdr:col>11</xdr:col>
      <xdr:colOff>571500</xdr:colOff>
      <xdr:row>192</xdr:row>
      <xdr:rowOff>0</xdr:rowOff>
    </xdr:to>
    <xdr:pic>
      <xdr:nvPicPr>
        <xdr:cNvPr id="8481" name="Рисунок 8480">
          <a:extLst>
            <a:ext uri="{FF2B5EF4-FFF2-40B4-BE49-F238E27FC236}">
              <a16:creationId xmlns:a16="http://schemas.microsoft.com/office/drawing/2014/main" id="{1D636A95-282D-46D4-8CF9-45701712536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06048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192</xdr:row>
      <xdr:rowOff>25400</xdr:rowOff>
    </xdr:from>
    <xdr:to>
      <xdr:col>11</xdr:col>
      <xdr:colOff>571500</xdr:colOff>
      <xdr:row>193</xdr:row>
      <xdr:rowOff>0</xdr:rowOff>
    </xdr:to>
    <xdr:pic>
      <xdr:nvPicPr>
        <xdr:cNvPr id="8483" name="Рисунок 8482">
          <a:extLst>
            <a:ext uri="{FF2B5EF4-FFF2-40B4-BE49-F238E27FC236}">
              <a16:creationId xmlns:a16="http://schemas.microsoft.com/office/drawing/2014/main" id="{37BB8621-6754-45D8-92DF-7CD3C99D22A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06619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193</xdr:row>
      <xdr:rowOff>25400</xdr:rowOff>
    </xdr:from>
    <xdr:to>
      <xdr:col>11</xdr:col>
      <xdr:colOff>571500</xdr:colOff>
      <xdr:row>194</xdr:row>
      <xdr:rowOff>0</xdr:rowOff>
    </xdr:to>
    <xdr:pic>
      <xdr:nvPicPr>
        <xdr:cNvPr id="8485" name="Рисунок 8484">
          <a:extLst>
            <a:ext uri="{FF2B5EF4-FFF2-40B4-BE49-F238E27FC236}">
              <a16:creationId xmlns:a16="http://schemas.microsoft.com/office/drawing/2014/main" id="{D34E5A86-5680-4E0E-AAC3-4722D5F2ECE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07191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194</xdr:row>
      <xdr:rowOff>25400</xdr:rowOff>
    </xdr:from>
    <xdr:to>
      <xdr:col>11</xdr:col>
      <xdr:colOff>571500</xdr:colOff>
      <xdr:row>195</xdr:row>
      <xdr:rowOff>0</xdr:rowOff>
    </xdr:to>
    <xdr:pic>
      <xdr:nvPicPr>
        <xdr:cNvPr id="8487" name="Рисунок 8486">
          <a:extLst>
            <a:ext uri="{FF2B5EF4-FFF2-40B4-BE49-F238E27FC236}">
              <a16:creationId xmlns:a16="http://schemas.microsoft.com/office/drawing/2014/main" id="{1199E539-C873-4AA6-9615-FA3F3D54A84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07762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195</xdr:row>
      <xdr:rowOff>25400</xdr:rowOff>
    </xdr:from>
    <xdr:to>
      <xdr:col>11</xdr:col>
      <xdr:colOff>571500</xdr:colOff>
      <xdr:row>196</xdr:row>
      <xdr:rowOff>0</xdr:rowOff>
    </xdr:to>
    <xdr:pic>
      <xdr:nvPicPr>
        <xdr:cNvPr id="8489" name="Рисунок 8488">
          <a:extLst>
            <a:ext uri="{FF2B5EF4-FFF2-40B4-BE49-F238E27FC236}">
              <a16:creationId xmlns:a16="http://schemas.microsoft.com/office/drawing/2014/main" id="{2FE3F171-A04E-44FA-BE82-F65A5F73831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08334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196</xdr:row>
      <xdr:rowOff>25400</xdr:rowOff>
    </xdr:from>
    <xdr:to>
      <xdr:col>11</xdr:col>
      <xdr:colOff>571500</xdr:colOff>
      <xdr:row>197</xdr:row>
      <xdr:rowOff>0</xdr:rowOff>
    </xdr:to>
    <xdr:pic>
      <xdr:nvPicPr>
        <xdr:cNvPr id="8491" name="Рисунок 8490">
          <a:extLst>
            <a:ext uri="{FF2B5EF4-FFF2-40B4-BE49-F238E27FC236}">
              <a16:creationId xmlns:a16="http://schemas.microsoft.com/office/drawing/2014/main" id="{A88F675C-91CA-41EE-B4B6-64BA8314F04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08905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197</xdr:row>
      <xdr:rowOff>25400</xdr:rowOff>
    </xdr:from>
    <xdr:to>
      <xdr:col>11</xdr:col>
      <xdr:colOff>571500</xdr:colOff>
      <xdr:row>198</xdr:row>
      <xdr:rowOff>0</xdr:rowOff>
    </xdr:to>
    <xdr:pic>
      <xdr:nvPicPr>
        <xdr:cNvPr id="8493" name="Рисунок 8492">
          <a:extLst>
            <a:ext uri="{FF2B5EF4-FFF2-40B4-BE49-F238E27FC236}">
              <a16:creationId xmlns:a16="http://schemas.microsoft.com/office/drawing/2014/main" id="{40BCDDA6-1484-4332-97E7-ECF8496695B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09477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202</xdr:row>
      <xdr:rowOff>25400</xdr:rowOff>
    </xdr:from>
    <xdr:to>
      <xdr:col>11</xdr:col>
      <xdr:colOff>571500</xdr:colOff>
      <xdr:row>203</xdr:row>
      <xdr:rowOff>0</xdr:rowOff>
    </xdr:to>
    <xdr:pic>
      <xdr:nvPicPr>
        <xdr:cNvPr id="8495" name="Рисунок 8494">
          <a:extLst>
            <a:ext uri="{FF2B5EF4-FFF2-40B4-BE49-F238E27FC236}">
              <a16:creationId xmlns:a16="http://schemas.microsoft.com/office/drawing/2014/main" id="{6D689A1F-37FC-4C00-8EEE-D9BF6A4625C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12334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203</xdr:row>
      <xdr:rowOff>25400</xdr:rowOff>
    </xdr:from>
    <xdr:to>
      <xdr:col>11</xdr:col>
      <xdr:colOff>571500</xdr:colOff>
      <xdr:row>204</xdr:row>
      <xdr:rowOff>0</xdr:rowOff>
    </xdr:to>
    <xdr:pic>
      <xdr:nvPicPr>
        <xdr:cNvPr id="8497" name="Рисунок 8496">
          <a:extLst>
            <a:ext uri="{FF2B5EF4-FFF2-40B4-BE49-F238E27FC236}">
              <a16:creationId xmlns:a16="http://schemas.microsoft.com/office/drawing/2014/main" id="{9E3C6170-FBBA-44DA-B1DF-28AF8C2A4EE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12906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204</xdr:row>
      <xdr:rowOff>25400</xdr:rowOff>
    </xdr:from>
    <xdr:to>
      <xdr:col>11</xdr:col>
      <xdr:colOff>571500</xdr:colOff>
      <xdr:row>205</xdr:row>
      <xdr:rowOff>0</xdr:rowOff>
    </xdr:to>
    <xdr:pic>
      <xdr:nvPicPr>
        <xdr:cNvPr id="8499" name="Рисунок 8498">
          <a:extLst>
            <a:ext uri="{FF2B5EF4-FFF2-40B4-BE49-F238E27FC236}">
              <a16:creationId xmlns:a16="http://schemas.microsoft.com/office/drawing/2014/main" id="{5BA03329-DC2B-4007-ADEE-044D06AE3E0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13477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206</xdr:row>
      <xdr:rowOff>25400</xdr:rowOff>
    </xdr:from>
    <xdr:to>
      <xdr:col>11</xdr:col>
      <xdr:colOff>571500</xdr:colOff>
      <xdr:row>207</xdr:row>
      <xdr:rowOff>0</xdr:rowOff>
    </xdr:to>
    <xdr:pic>
      <xdr:nvPicPr>
        <xdr:cNvPr id="8501" name="Рисунок 8500">
          <a:extLst>
            <a:ext uri="{FF2B5EF4-FFF2-40B4-BE49-F238E27FC236}">
              <a16:creationId xmlns:a16="http://schemas.microsoft.com/office/drawing/2014/main" id="{5A217603-400C-495B-9A2A-9C6A03E46ED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14620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207</xdr:row>
      <xdr:rowOff>25400</xdr:rowOff>
    </xdr:from>
    <xdr:to>
      <xdr:col>11</xdr:col>
      <xdr:colOff>571500</xdr:colOff>
      <xdr:row>208</xdr:row>
      <xdr:rowOff>0</xdr:rowOff>
    </xdr:to>
    <xdr:pic>
      <xdr:nvPicPr>
        <xdr:cNvPr id="8503" name="Рисунок 8502">
          <a:extLst>
            <a:ext uri="{FF2B5EF4-FFF2-40B4-BE49-F238E27FC236}">
              <a16:creationId xmlns:a16="http://schemas.microsoft.com/office/drawing/2014/main" id="{ADA598C9-58D1-4FBB-8CA6-4E3333E7FBB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15192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208</xdr:row>
      <xdr:rowOff>25400</xdr:rowOff>
    </xdr:from>
    <xdr:to>
      <xdr:col>11</xdr:col>
      <xdr:colOff>571500</xdr:colOff>
      <xdr:row>209</xdr:row>
      <xdr:rowOff>0</xdr:rowOff>
    </xdr:to>
    <xdr:pic>
      <xdr:nvPicPr>
        <xdr:cNvPr id="8505" name="Рисунок 8504">
          <a:extLst>
            <a:ext uri="{FF2B5EF4-FFF2-40B4-BE49-F238E27FC236}">
              <a16:creationId xmlns:a16="http://schemas.microsoft.com/office/drawing/2014/main" id="{E09B0BF5-3DC4-4591-9FB1-18344D6A494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15763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209</xdr:row>
      <xdr:rowOff>25400</xdr:rowOff>
    </xdr:from>
    <xdr:to>
      <xdr:col>11</xdr:col>
      <xdr:colOff>571500</xdr:colOff>
      <xdr:row>210</xdr:row>
      <xdr:rowOff>0</xdr:rowOff>
    </xdr:to>
    <xdr:pic>
      <xdr:nvPicPr>
        <xdr:cNvPr id="8507" name="Рисунок 8506">
          <a:extLst>
            <a:ext uri="{FF2B5EF4-FFF2-40B4-BE49-F238E27FC236}">
              <a16:creationId xmlns:a16="http://schemas.microsoft.com/office/drawing/2014/main" id="{C68C8427-7D55-4ACD-914A-50E33728700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16335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210</xdr:row>
      <xdr:rowOff>25400</xdr:rowOff>
    </xdr:from>
    <xdr:to>
      <xdr:col>11</xdr:col>
      <xdr:colOff>571500</xdr:colOff>
      <xdr:row>211</xdr:row>
      <xdr:rowOff>0</xdr:rowOff>
    </xdr:to>
    <xdr:pic>
      <xdr:nvPicPr>
        <xdr:cNvPr id="8509" name="Рисунок 8508">
          <a:extLst>
            <a:ext uri="{FF2B5EF4-FFF2-40B4-BE49-F238E27FC236}">
              <a16:creationId xmlns:a16="http://schemas.microsoft.com/office/drawing/2014/main" id="{8F12EBDC-2958-41BB-AEB2-8430A6F7BB5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16906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211</xdr:row>
      <xdr:rowOff>25400</xdr:rowOff>
    </xdr:from>
    <xdr:to>
      <xdr:col>11</xdr:col>
      <xdr:colOff>571500</xdr:colOff>
      <xdr:row>212</xdr:row>
      <xdr:rowOff>0</xdr:rowOff>
    </xdr:to>
    <xdr:pic>
      <xdr:nvPicPr>
        <xdr:cNvPr id="8511" name="Рисунок 8510">
          <a:extLst>
            <a:ext uri="{FF2B5EF4-FFF2-40B4-BE49-F238E27FC236}">
              <a16:creationId xmlns:a16="http://schemas.microsoft.com/office/drawing/2014/main" id="{DC28E8A2-CACE-44F2-AAB8-1F6FC159CA3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17478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212</xdr:row>
      <xdr:rowOff>25400</xdr:rowOff>
    </xdr:from>
    <xdr:to>
      <xdr:col>11</xdr:col>
      <xdr:colOff>571500</xdr:colOff>
      <xdr:row>213</xdr:row>
      <xdr:rowOff>0</xdr:rowOff>
    </xdr:to>
    <xdr:pic>
      <xdr:nvPicPr>
        <xdr:cNvPr id="8513" name="Рисунок 8512">
          <a:extLst>
            <a:ext uri="{FF2B5EF4-FFF2-40B4-BE49-F238E27FC236}">
              <a16:creationId xmlns:a16="http://schemas.microsoft.com/office/drawing/2014/main" id="{279F6F32-10D6-44F7-B310-9D3717B92C3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18049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213</xdr:row>
      <xdr:rowOff>25400</xdr:rowOff>
    </xdr:from>
    <xdr:to>
      <xdr:col>11</xdr:col>
      <xdr:colOff>571500</xdr:colOff>
      <xdr:row>214</xdr:row>
      <xdr:rowOff>0</xdr:rowOff>
    </xdr:to>
    <xdr:pic>
      <xdr:nvPicPr>
        <xdr:cNvPr id="8515" name="Рисунок 8514">
          <a:extLst>
            <a:ext uri="{FF2B5EF4-FFF2-40B4-BE49-F238E27FC236}">
              <a16:creationId xmlns:a16="http://schemas.microsoft.com/office/drawing/2014/main" id="{19E1D7FA-2402-4245-AF96-323B6278423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18621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215</xdr:row>
      <xdr:rowOff>25400</xdr:rowOff>
    </xdr:from>
    <xdr:to>
      <xdr:col>11</xdr:col>
      <xdr:colOff>571500</xdr:colOff>
      <xdr:row>216</xdr:row>
      <xdr:rowOff>0</xdr:rowOff>
    </xdr:to>
    <xdr:pic>
      <xdr:nvPicPr>
        <xdr:cNvPr id="8517" name="Рисунок 8516">
          <a:extLst>
            <a:ext uri="{FF2B5EF4-FFF2-40B4-BE49-F238E27FC236}">
              <a16:creationId xmlns:a16="http://schemas.microsoft.com/office/drawing/2014/main" id="{9535459D-DE27-4D8D-88BC-298F8E6A896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19764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216</xdr:row>
      <xdr:rowOff>25400</xdr:rowOff>
    </xdr:from>
    <xdr:to>
      <xdr:col>11</xdr:col>
      <xdr:colOff>571500</xdr:colOff>
      <xdr:row>217</xdr:row>
      <xdr:rowOff>0</xdr:rowOff>
    </xdr:to>
    <xdr:pic>
      <xdr:nvPicPr>
        <xdr:cNvPr id="8519" name="Рисунок 8518">
          <a:extLst>
            <a:ext uri="{FF2B5EF4-FFF2-40B4-BE49-F238E27FC236}">
              <a16:creationId xmlns:a16="http://schemas.microsoft.com/office/drawing/2014/main" id="{F4CAE78F-1632-477E-921B-1A78F2EA335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20335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217</xdr:row>
      <xdr:rowOff>25400</xdr:rowOff>
    </xdr:from>
    <xdr:to>
      <xdr:col>11</xdr:col>
      <xdr:colOff>571500</xdr:colOff>
      <xdr:row>218</xdr:row>
      <xdr:rowOff>0</xdr:rowOff>
    </xdr:to>
    <xdr:pic>
      <xdr:nvPicPr>
        <xdr:cNvPr id="8521" name="Рисунок 8520">
          <a:extLst>
            <a:ext uri="{FF2B5EF4-FFF2-40B4-BE49-F238E27FC236}">
              <a16:creationId xmlns:a16="http://schemas.microsoft.com/office/drawing/2014/main" id="{2BDB49E7-5AD7-4E94-AA55-3D94D21B49E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20907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218</xdr:row>
      <xdr:rowOff>25400</xdr:rowOff>
    </xdr:from>
    <xdr:to>
      <xdr:col>11</xdr:col>
      <xdr:colOff>571500</xdr:colOff>
      <xdr:row>219</xdr:row>
      <xdr:rowOff>0</xdr:rowOff>
    </xdr:to>
    <xdr:pic>
      <xdr:nvPicPr>
        <xdr:cNvPr id="8523" name="Рисунок 8522">
          <a:extLst>
            <a:ext uri="{FF2B5EF4-FFF2-40B4-BE49-F238E27FC236}">
              <a16:creationId xmlns:a16="http://schemas.microsoft.com/office/drawing/2014/main" id="{4827F752-2809-44B5-8B8B-13543852329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21478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219</xdr:row>
      <xdr:rowOff>25400</xdr:rowOff>
    </xdr:from>
    <xdr:to>
      <xdr:col>11</xdr:col>
      <xdr:colOff>571500</xdr:colOff>
      <xdr:row>220</xdr:row>
      <xdr:rowOff>0</xdr:rowOff>
    </xdr:to>
    <xdr:pic>
      <xdr:nvPicPr>
        <xdr:cNvPr id="8525" name="Рисунок 8524">
          <a:extLst>
            <a:ext uri="{FF2B5EF4-FFF2-40B4-BE49-F238E27FC236}">
              <a16:creationId xmlns:a16="http://schemas.microsoft.com/office/drawing/2014/main" id="{EB76DCC9-E55A-40D5-83F3-27DD82656E1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22050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220</xdr:row>
      <xdr:rowOff>25400</xdr:rowOff>
    </xdr:from>
    <xdr:to>
      <xdr:col>11</xdr:col>
      <xdr:colOff>571500</xdr:colOff>
      <xdr:row>221</xdr:row>
      <xdr:rowOff>0</xdr:rowOff>
    </xdr:to>
    <xdr:pic>
      <xdr:nvPicPr>
        <xdr:cNvPr id="8527" name="Рисунок 8526">
          <a:extLst>
            <a:ext uri="{FF2B5EF4-FFF2-40B4-BE49-F238E27FC236}">
              <a16:creationId xmlns:a16="http://schemas.microsoft.com/office/drawing/2014/main" id="{DA626F3D-83F6-4D11-9678-7BE24FC8BE9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22621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221</xdr:row>
      <xdr:rowOff>25400</xdr:rowOff>
    </xdr:from>
    <xdr:to>
      <xdr:col>11</xdr:col>
      <xdr:colOff>571500</xdr:colOff>
      <xdr:row>222</xdr:row>
      <xdr:rowOff>0</xdr:rowOff>
    </xdr:to>
    <xdr:pic>
      <xdr:nvPicPr>
        <xdr:cNvPr id="8529" name="Рисунок 8528">
          <a:extLst>
            <a:ext uri="{FF2B5EF4-FFF2-40B4-BE49-F238E27FC236}">
              <a16:creationId xmlns:a16="http://schemas.microsoft.com/office/drawing/2014/main" id="{32ED8478-C2D3-4FA9-AFEB-95EC9EC3C44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23193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222</xdr:row>
      <xdr:rowOff>25400</xdr:rowOff>
    </xdr:from>
    <xdr:to>
      <xdr:col>11</xdr:col>
      <xdr:colOff>571500</xdr:colOff>
      <xdr:row>223</xdr:row>
      <xdr:rowOff>0</xdr:rowOff>
    </xdr:to>
    <xdr:pic>
      <xdr:nvPicPr>
        <xdr:cNvPr id="8531" name="Рисунок 8530">
          <a:extLst>
            <a:ext uri="{FF2B5EF4-FFF2-40B4-BE49-F238E27FC236}">
              <a16:creationId xmlns:a16="http://schemas.microsoft.com/office/drawing/2014/main" id="{A196A4A7-1960-462E-8301-6602708D07A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23764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223</xdr:row>
      <xdr:rowOff>25400</xdr:rowOff>
    </xdr:from>
    <xdr:to>
      <xdr:col>11</xdr:col>
      <xdr:colOff>571500</xdr:colOff>
      <xdr:row>224</xdr:row>
      <xdr:rowOff>0</xdr:rowOff>
    </xdr:to>
    <xdr:pic>
      <xdr:nvPicPr>
        <xdr:cNvPr id="8533" name="Рисунок 8532">
          <a:extLst>
            <a:ext uri="{FF2B5EF4-FFF2-40B4-BE49-F238E27FC236}">
              <a16:creationId xmlns:a16="http://schemas.microsoft.com/office/drawing/2014/main" id="{B68A6954-DBBB-4932-861C-10519A2D8B8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24336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224</xdr:row>
      <xdr:rowOff>25400</xdr:rowOff>
    </xdr:from>
    <xdr:to>
      <xdr:col>11</xdr:col>
      <xdr:colOff>571500</xdr:colOff>
      <xdr:row>225</xdr:row>
      <xdr:rowOff>0</xdr:rowOff>
    </xdr:to>
    <xdr:pic>
      <xdr:nvPicPr>
        <xdr:cNvPr id="8535" name="Рисунок 8534">
          <a:extLst>
            <a:ext uri="{FF2B5EF4-FFF2-40B4-BE49-F238E27FC236}">
              <a16:creationId xmlns:a16="http://schemas.microsoft.com/office/drawing/2014/main" id="{2DB73AAF-EBB6-4696-A74A-3ED46C49282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24907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225</xdr:row>
      <xdr:rowOff>25400</xdr:rowOff>
    </xdr:from>
    <xdr:to>
      <xdr:col>11</xdr:col>
      <xdr:colOff>571500</xdr:colOff>
      <xdr:row>226</xdr:row>
      <xdr:rowOff>0</xdr:rowOff>
    </xdr:to>
    <xdr:pic>
      <xdr:nvPicPr>
        <xdr:cNvPr id="8537" name="Рисунок 8536">
          <a:extLst>
            <a:ext uri="{FF2B5EF4-FFF2-40B4-BE49-F238E27FC236}">
              <a16:creationId xmlns:a16="http://schemas.microsoft.com/office/drawing/2014/main" id="{B88E3CC4-6BC3-427E-ABC9-14AF5372E6E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25479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226</xdr:row>
      <xdr:rowOff>25400</xdr:rowOff>
    </xdr:from>
    <xdr:to>
      <xdr:col>11</xdr:col>
      <xdr:colOff>571500</xdr:colOff>
      <xdr:row>227</xdr:row>
      <xdr:rowOff>0</xdr:rowOff>
    </xdr:to>
    <xdr:pic>
      <xdr:nvPicPr>
        <xdr:cNvPr id="8539" name="Рисунок 8538">
          <a:extLst>
            <a:ext uri="{FF2B5EF4-FFF2-40B4-BE49-F238E27FC236}">
              <a16:creationId xmlns:a16="http://schemas.microsoft.com/office/drawing/2014/main" id="{497735DA-6FDC-4F97-8AAD-D00F3862DB4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26050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227</xdr:row>
      <xdr:rowOff>25400</xdr:rowOff>
    </xdr:from>
    <xdr:to>
      <xdr:col>11</xdr:col>
      <xdr:colOff>571500</xdr:colOff>
      <xdr:row>228</xdr:row>
      <xdr:rowOff>0</xdr:rowOff>
    </xdr:to>
    <xdr:pic>
      <xdr:nvPicPr>
        <xdr:cNvPr id="8541" name="Рисунок 8540">
          <a:extLst>
            <a:ext uri="{FF2B5EF4-FFF2-40B4-BE49-F238E27FC236}">
              <a16:creationId xmlns:a16="http://schemas.microsoft.com/office/drawing/2014/main" id="{916260BB-C5C5-4546-9943-FA19E965EBB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26622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228</xdr:row>
      <xdr:rowOff>25400</xdr:rowOff>
    </xdr:from>
    <xdr:to>
      <xdr:col>11</xdr:col>
      <xdr:colOff>571500</xdr:colOff>
      <xdr:row>229</xdr:row>
      <xdr:rowOff>0</xdr:rowOff>
    </xdr:to>
    <xdr:pic>
      <xdr:nvPicPr>
        <xdr:cNvPr id="8543" name="Рисунок 8542">
          <a:extLst>
            <a:ext uri="{FF2B5EF4-FFF2-40B4-BE49-F238E27FC236}">
              <a16:creationId xmlns:a16="http://schemas.microsoft.com/office/drawing/2014/main" id="{03E247EC-2684-46E0-89B7-F03C873176B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27193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229</xdr:row>
      <xdr:rowOff>25400</xdr:rowOff>
    </xdr:from>
    <xdr:to>
      <xdr:col>11</xdr:col>
      <xdr:colOff>571500</xdr:colOff>
      <xdr:row>230</xdr:row>
      <xdr:rowOff>0</xdr:rowOff>
    </xdr:to>
    <xdr:pic>
      <xdr:nvPicPr>
        <xdr:cNvPr id="8545" name="Рисунок 8544">
          <a:extLst>
            <a:ext uri="{FF2B5EF4-FFF2-40B4-BE49-F238E27FC236}">
              <a16:creationId xmlns:a16="http://schemas.microsoft.com/office/drawing/2014/main" id="{DDA6D4B2-6625-4D1E-AB2D-ED473EF3478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27765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230</xdr:row>
      <xdr:rowOff>25400</xdr:rowOff>
    </xdr:from>
    <xdr:to>
      <xdr:col>11</xdr:col>
      <xdr:colOff>571500</xdr:colOff>
      <xdr:row>231</xdr:row>
      <xdr:rowOff>0</xdr:rowOff>
    </xdr:to>
    <xdr:pic>
      <xdr:nvPicPr>
        <xdr:cNvPr id="8547" name="Рисунок 8546">
          <a:extLst>
            <a:ext uri="{FF2B5EF4-FFF2-40B4-BE49-F238E27FC236}">
              <a16:creationId xmlns:a16="http://schemas.microsoft.com/office/drawing/2014/main" id="{C2F7F12D-EF8F-471B-86BD-531A6D4D44E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28336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231</xdr:row>
      <xdr:rowOff>25400</xdr:rowOff>
    </xdr:from>
    <xdr:to>
      <xdr:col>11</xdr:col>
      <xdr:colOff>571500</xdr:colOff>
      <xdr:row>232</xdr:row>
      <xdr:rowOff>0</xdr:rowOff>
    </xdr:to>
    <xdr:pic>
      <xdr:nvPicPr>
        <xdr:cNvPr id="8549" name="Рисунок 8548">
          <a:extLst>
            <a:ext uri="{FF2B5EF4-FFF2-40B4-BE49-F238E27FC236}">
              <a16:creationId xmlns:a16="http://schemas.microsoft.com/office/drawing/2014/main" id="{73E8EB75-650F-43AB-A2EA-1F79157A230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28908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232</xdr:row>
      <xdr:rowOff>25400</xdr:rowOff>
    </xdr:from>
    <xdr:to>
      <xdr:col>11</xdr:col>
      <xdr:colOff>571500</xdr:colOff>
      <xdr:row>233</xdr:row>
      <xdr:rowOff>0</xdr:rowOff>
    </xdr:to>
    <xdr:pic>
      <xdr:nvPicPr>
        <xdr:cNvPr id="8551" name="Рисунок 8550">
          <a:extLst>
            <a:ext uri="{FF2B5EF4-FFF2-40B4-BE49-F238E27FC236}">
              <a16:creationId xmlns:a16="http://schemas.microsoft.com/office/drawing/2014/main" id="{296881C9-45CF-4F2A-9896-F9D9229C9C6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29479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233</xdr:row>
      <xdr:rowOff>25400</xdr:rowOff>
    </xdr:from>
    <xdr:to>
      <xdr:col>11</xdr:col>
      <xdr:colOff>571500</xdr:colOff>
      <xdr:row>234</xdr:row>
      <xdr:rowOff>0</xdr:rowOff>
    </xdr:to>
    <xdr:pic>
      <xdr:nvPicPr>
        <xdr:cNvPr id="8553" name="Рисунок 8552">
          <a:extLst>
            <a:ext uri="{FF2B5EF4-FFF2-40B4-BE49-F238E27FC236}">
              <a16:creationId xmlns:a16="http://schemas.microsoft.com/office/drawing/2014/main" id="{E836FC15-C1D7-4088-9730-E02E023B867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30051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234</xdr:row>
      <xdr:rowOff>25400</xdr:rowOff>
    </xdr:from>
    <xdr:to>
      <xdr:col>11</xdr:col>
      <xdr:colOff>571500</xdr:colOff>
      <xdr:row>235</xdr:row>
      <xdr:rowOff>0</xdr:rowOff>
    </xdr:to>
    <xdr:pic>
      <xdr:nvPicPr>
        <xdr:cNvPr id="8555" name="Рисунок 8554">
          <a:extLst>
            <a:ext uri="{FF2B5EF4-FFF2-40B4-BE49-F238E27FC236}">
              <a16:creationId xmlns:a16="http://schemas.microsoft.com/office/drawing/2014/main" id="{9D42062A-2F37-4BA4-8941-4D6CF7381F9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30622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235</xdr:row>
      <xdr:rowOff>25400</xdr:rowOff>
    </xdr:from>
    <xdr:to>
      <xdr:col>11</xdr:col>
      <xdr:colOff>571500</xdr:colOff>
      <xdr:row>236</xdr:row>
      <xdr:rowOff>0</xdr:rowOff>
    </xdr:to>
    <xdr:pic>
      <xdr:nvPicPr>
        <xdr:cNvPr id="8557" name="Рисунок 8556">
          <a:extLst>
            <a:ext uri="{FF2B5EF4-FFF2-40B4-BE49-F238E27FC236}">
              <a16:creationId xmlns:a16="http://schemas.microsoft.com/office/drawing/2014/main" id="{B1857765-C301-4C6C-A669-90B5AA8D0EE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31194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236</xdr:row>
      <xdr:rowOff>25400</xdr:rowOff>
    </xdr:from>
    <xdr:to>
      <xdr:col>11</xdr:col>
      <xdr:colOff>571500</xdr:colOff>
      <xdr:row>237</xdr:row>
      <xdr:rowOff>0</xdr:rowOff>
    </xdr:to>
    <xdr:pic>
      <xdr:nvPicPr>
        <xdr:cNvPr id="8559" name="Рисунок 8558">
          <a:extLst>
            <a:ext uri="{FF2B5EF4-FFF2-40B4-BE49-F238E27FC236}">
              <a16:creationId xmlns:a16="http://schemas.microsoft.com/office/drawing/2014/main" id="{896B22AF-6F53-4B14-A896-EFD95E967AB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31765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237</xdr:row>
      <xdr:rowOff>25400</xdr:rowOff>
    </xdr:from>
    <xdr:to>
      <xdr:col>11</xdr:col>
      <xdr:colOff>571500</xdr:colOff>
      <xdr:row>238</xdr:row>
      <xdr:rowOff>0</xdr:rowOff>
    </xdr:to>
    <xdr:pic>
      <xdr:nvPicPr>
        <xdr:cNvPr id="8561" name="Рисунок 8560">
          <a:extLst>
            <a:ext uri="{FF2B5EF4-FFF2-40B4-BE49-F238E27FC236}">
              <a16:creationId xmlns:a16="http://schemas.microsoft.com/office/drawing/2014/main" id="{82A39131-FD28-4C99-9AE4-249AC424BF4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32337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238</xdr:row>
      <xdr:rowOff>25400</xdr:rowOff>
    </xdr:from>
    <xdr:to>
      <xdr:col>11</xdr:col>
      <xdr:colOff>571500</xdr:colOff>
      <xdr:row>239</xdr:row>
      <xdr:rowOff>0</xdr:rowOff>
    </xdr:to>
    <xdr:pic>
      <xdr:nvPicPr>
        <xdr:cNvPr id="8563" name="Рисунок 8562">
          <a:extLst>
            <a:ext uri="{FF2B5EF4-FFF2-40B4-BE49-F238E27FC236}">
              <a16:creationId xmlns:a16="http://schemas.microsoft.com/office/drawing/2014/main" id="{76BC0445-9A56-4041-9B2B-F43D3CAA7A5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32908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239</xdr:row>
      <xdr:rowOff>25400</xdr:rowOff>
    </xdr:from>
    <xdr:to>
      <xdr:col>11</xdr:col>
      <xdr:colOff>571500</xdr:colOff>
      <xdr:row>240</xdr:row>
      <xdr:rowOff>0</xdr:rowOff>
    </xdr:to>
    <xdr:pic>
      <xdr:nvPicPr>
        <xdr:cNvPr id="8565" name="Рисунок 8564">
          <a:extLst>
            <a:ext uri="{FF2B5EF4-FFF2-40B4-BE49-F238E27FC236}">
              <a16:creationId xmlns:a16="http://schemas.microsoft.com/office/drawing/2014/main" id="{9D4F7187-B712-48DF-809F-863817EF902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33480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240</xdr:row>
      <xdr:rowOff>25400</xdr:rowOff>
    </xdr:from>
    <xdr:to>
      <xdr:col>11</xdr:col>
      <xdr:colOff>571500</xdr:colOff>
      <xdr:row>241</xdr:row>
      <xdr:rowOff>0</xdr:rowOff>
    </xdr:to>
    <xdr:pic>
      <xdr:nvPicPr>
        <xdr:cNvPr id="8567" name="Рисунок 8566">
          <a:extLst>
            <a:ext uri="{FF2B5EF4-FFF2-40B4-BE49-F238E27FC236}">
              <a16:creationId xmlns:a16="http://schemas.microsoft.com/office/drawing/2014/main" id="{4042FCBD-5511-4E3D-B8F8-1D9E2A53F10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34051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241</xdr:row>
      <xdr:rowOff>25400</xdr:rowOff>
    </xdr:from>
    <xdr:to>
      <xdr:col>11</xdr:col>
      <xdr:colOff>571500</xdr:colOff>
      <xdr:row>242</xdr:row>
      <xdr:rowOff>0</xdr:rowOff>
    </xdr:to>
    <xdr:pic>
      <xdr:nvPicPr>
        <xdr:cNvPr id="8569" name="Рисунок 8568">
          <a:extLst>
            <a:ext uri="{FF2B5EF4-FFF2-40B4-BE49-F238E27FC236}">
              <a16:creationId xmlns:a16="http://schemas.microsoft.com/office/drawing/2014/main" id="{1A2760C6-5064-427F-8A60-40D67C72EBF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34623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242</xdr:row>
      <xdr:rowOff>25400</xdr:rowOff>
    </xdr:from>
    <xdr:to>
      <xdr:col>11</xdr:col>
      <xdr:colOff>571500</xdr:colOff>
      <xdr:row>243</xdr:row>
      <xdr:rowOff>0</xdr:rowOff>
    </xdr:to>
    <xdr:pic>
      <xdr:nvPicPr>
        <xdr:cNvPr id="8571" name="Рисунок 8570">
          <a:extLst>
            <a:ext uri="{FF2B5EF4-FFF2-40B4-BE49-F238E27FC236}">
              <a16:creationId xmlns:a16="http://schemas.microsoft.com/office/drawing/2014/main" id="{66F0A6A4-3FB5-486A-88FC-7CF15C1EF44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35194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243</xdr:row>
      <xdr:rowOff>25400</xdr:rowOff>
    </xdr:from>
    <xdr:to>
      <xdr:col>11</xdr:col>
      <xdr:colOff>571500</xdr:colOff>
      <xdr:row>244</xdr:row>
      <xdr:rowOff>0</xdr:rowOff>
    </xdr:to>
    <xdr:pic>
      <xdr:nvPicPr>
        <xdr:cNvPr id="8573" name="Рисунок 8572">
          <a:extLst>
            <a:ext uri="{FF2B5EF4-FFF2-40B4-BE49-F238E27FC236}">
              <a16:creationId xmlns:a16="http://schemas.microsoft.com/office/drawing/2014/main" id="{25C1DAAF-B5FA-40F3-AF28-D78EB57D103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35766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244</xdr:row>
      <xdr:rowOff>25400</xdr:rowOff>
    </xdr:from>
    <xdr:to>
      <xdr:col>11</xdr:col>
      <xdr:colOff>571500</xdr:colOff>
      <xdr:row>245</xdr:row>
      <xdr:rowOff>0</xdr:rowOff>
    </xdr:to>
    <xdr:pic>
      <xdr:nvPicPr>
        <xdr:cNvPr id="8575" name="Рисунок 8574">
          <a:extLst>
            <a:ext uri="{FF2B5EF4-FFF2-40B4-BE49-F238E27FC236}">
              <a16:creationId xmlns:a16="http://schemas.microsoft.com/office/drawing/2014/main" id="{B7649C9C-8A26-47EF-8273-4C85DC491C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36337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245</xdr:row>
      <xdr:rowOff>25400</xdr:rowOff>
    </xdr:from>
    <xdr:to>
      <xdr:col>11</xdr:col>
      <xdr:colOff>571500</xdr:colOff>
      <xdr:row>246</xdr:row>
      <xdr:rowOff>0</xdr:rowOff>
    </xdr:to>
    <xdr:pic>
      <xdr:nvPicPr>
        <xdr:cNvPr id="8577" name="Рисунок 8576">
          <a:extLst>
            <a:ext uri="{FF2B5EF4-FFF2-40B4-BE49-F238E27FC236}">
              <a16:creationId xmlns:a16="http://schemas.microsoft.com/office/drawing/2014/main" id="{5C5C87DE-67AE-4DBD-8226-60CB4A52EDB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36909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246</xdr:row>
      <xdr:rowOff>25400</xdr:rowOff>
    </xdr:from>
    <xdr:to>
      <xdr:col>11</xdr:col>
      <xdr:colOff>571500</xdr:colOff>
      <xdr:row>247</xdr:row>
      <xdr:rowOff>0</xdr:rowOff>
    </xdr:to>
    <xdr:pic>
      <xdr:nvPicPr>
        <xdr:cNvPr id="8579" name="Рисунок 8578">
          <a:extLst>
            <a:ext uri="{FF2B5EF4-FFF2-40B4-BE49-F238E27FC236}">
              <a16:creationId xmlns:a16="http://schemas.microsoft.com/office/drawing/2014/main" id="{D86B3A71-A244-433F-9CBE-6773C8290AB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37480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247</xdr:row>
      <xdr:rowOff>25400</xdr:rowOff>
    </xdr:from>
    <xdr:to>
      <xdr:col>11</xdr:col>
      <xdr:colOff>571500</xdr:colOff>
      <xdr:row>248</xdr:row>
      <xdr:rowOff>0</xdr:rowOff>
    </xdr:to>
    <xdr:pic>
      <xdr:nvPicPr>
        <xdr:cNvPr id="8581" name="Рисунок 8580">
          <a:extLst>
            <a:ext uri="{FF2B5EF4-FFF2-40B4-BE49-F238E27FC236}">
              <a16:creationId xmlns:a16="http://schemas.microsoft.com/office/drawing/2014/main" id="{213F6DE9-BC0A-48C9-975B-35B5C2F253F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38052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248</xdr:row>
      <xdr:rowOff>25400</xdr:rowOff>
    </xdr:from>
    <xdr:to>
      <xdr:col>11</xdr:col>
      <xdr:colOff>571500</xdr:colOff>
      <xdr:row>249</xdr:row>
      <xdr:rowOff>0</xdr:rowOff>
    </xdr:to>
    <xdr:pic>
      <xdr:nvPicPr>
        <xdr:cNvPr id="8583" name="Рисунок 8582">
          <a:extLst>
            <a:ext uri="{FF2B5EF4-FFF2-40B4-BE49-F238E27FC236}">
              <a16:creationId xmlns:a16="http://schemas.microsoft.com/office/drawing/2014/main" id="{5DE58EBC-EBAA-4FAC-B84F-0EE5FA559D7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38623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249</xdr:row>
      <xdr:rowOff>25400</xdr:rowOff>
    </xdr:from>
    <xdr:to>
      <xdr:col>11</xdr:col>
      <xdr:colOff>571500</xdr:colOff>
      <xdr:row>250</xdr:row>
      <xdr:rowOff>0</xdr:rowOff>
    </xdr:to>
    <xdr:pic>
      <xdr:nvPicPr>
        <xdr:cNvPr id="8585" name="Рисунок 8584">
          <a:extLst>
            <a:ext uri="{FF2B5EF4-FFF2-40B4-BE49-F238E27FC236}">
              <a16:creationId xmlns:a16="http://schemas.microsoft.com/office/drawing/2014/main" id="{34D50AC8-498F-42AA-85AF-2F81B22144C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39195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250</xdr:row>
      <xdr:rowOff>25400</xdr:rowOff>
    </xdr:from>
    <xdr:to>
      <xdr:col>11</xdr:col>
      <xdr:colOff>571500</xdr:colOff>
      <xdr:row>251</xdr:row>
      <xdr:rowOff>0</xdr:rowOff>
    </xdr:to>
    <xdr:pic>
      <xdr:nvPicPr>
        <xdr:cNvPr id="8587" name="Рисунок 8586">
          <a:extLst>
            <a:ext uri="{FF2B5EF4-FFF2-40B4-BE49-F238E27FC236}">
              <a16:creationId xmlns:a16="http://schemas.microsoft.com/office/drawing/2014/main" id="{07459D46-30F0-4352-B806-7FDEB858689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39766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251</xdr:row>
      <xdr:rowOff>25400</xdr:rowOff>
    </xdr:from>
    <xdr:to>
      <xdr:col>11</xdr:col>
      <xdr:colOff>571500</xdr:colOff>
      <xdr:row>252</xdr:row>
      <xdr:rowOff>0</xdr:rowOff>
    </xdr:to>
    <xdr:pic>
      <xdr:nvPicPr>
        <xdr:cNvPr id="8589" name="Рисунок 8588">
          <a:extLst>
            <a:ext uri="{FF2B5EF4-FFF2-40B4-BE49-F238E27FC236}">
              <a16:creationId xmlns:a16="http://schemas.microsoft.com/office/drawing/2014/main" id="{5807BF86-251B-4245-A2B0-A9DA4356A67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40338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252</xdr:row>
      <xdr:rowOff>25400</xdr:rowOff>
    </xdr:from>
    <xdr:to>
      <xdr:col>11</xdr:col>
      <xdr:colOff>571500</xdr:colOff>
      <xdr:row>253</xdr:row>
      <xdr:rowOff>0</xdr:rowOff>
    </xdr:to>
    <xdr:pic>
      <xdr:nvPicPr>
        <xdr:cNvPr id="8591" name="Рисунок 8590">
          <a:extLst>
            <a:ext uri="{FF2B5EF4-FFF2-40B4-BE49-F238E27FC236}">
              <a16:creationId xmlns:a16="http://schemas.microsoft.com/office/drawing/2014/main" id="{504AA0BD-3100-4A43-91B4-9239FB384D4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40909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253</xdr:row>
      <xdr:rowOff>25400</xdr:rowOff>
    </xdr:from>
    <xdr:to>
      <xdr:col>11</xdr:col>
      <xdr:colOff>571500</xdr:colOff>
      <xdr:row>254</xdr:row>
      <xdr:rowOff>0</xdr:rowOff>
    </xdr:to>
    <xdr:pic>
      <xdr:nvPicPr>
        <xdr:cNvPr id="8593" name="Рисунок 8592">
          <a:extLst>
            <a:ext uri="{FF2B5EF4-FFF2-40B4-BE49-F238E27FC236}">
              <a16:creationId xmlns:a16="http://schemas.microsoft.com/office/drawing/2014/main" id="{733C3DF4-9722-48C4-8EEB-D4CC49D9668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41481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254</xdr:row>
      <xdr:rowOff>25400</xdr:rowOff>
    </xdr:from>
    <xdr:to>
      <xdr:col>11</xdr:col>
      <xdr:colOff>571500</xdr:colOff>
      <xdr:row>255</xdr:row>
      <xdr:rowOff>0</xdr:rowOff>
    </xdr:to>
    <xdr:pic>
      <xdr:nvPicPr>
        <xdr:cNvPr id="8595" name="Рисунок 8594">
          <a:extLst>
            <a:ext uri="{FF2B5EF4-FFF2-40B4-BE49-F238E27FC236}">
              <a16:creationId xmlns:a16="http://schemas.microsoft.com/office/drawing/2014/main" id="{F8B64243-CF1C-4521-9586-EAC95506D2A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42052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255</xdr:row>
      <xdr:rowOff>25400</xdr:rowOff>
    </xdr:from>
    <xdr:to>
      <xdr:col>11</xdr:col>
      <xdr:colOff>571500</xdr:colOff>
      <xdr:row>256</xdr:row>
      <xdr:rowOff>0</xdr:rowOff>
    </xdr:to>
    <xdr:pic>
      <xdr:nvPicPr>
        <xdr:cNvPr id="8597" name="Рисунок 8596">
          <a:extLst>
            <a:ext uri="{FF2B5EF4-FFF2-40B4-BE49-F238E27FC236}">
              <a16:creationId xmlns:a16="http://schemas.microsoft.com/office/drawing/2014/main" id="{D58281EB-1740-4BC3-AEDF-9DD2C2CB74C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42624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256</xdr:row>
      <xdr:rowOff>25400</xdr:rowOff>
    </xdr:from>
    <xdr:to>
      <xdr:col>11</xdr:col>
      <xdr:colOff>571500</xdr:colOff>
      <xdr:row>257</xdr:row>
      <xdr:rowOff>0</xdr:rowOff>
    </xdr:to>
    <xdr:pic>
      <xdr:nvPicPr>
        <xdr:cNvPr id="8599" name="Рисунок 8598">
          <a:extLst>
            <a:ext uri="{FF2B5EF4-FFF2-40B4-BE49-F238E27FC236}">
              <a16:creationId xmlns:a16="http://schemas.microsoft.com/office/drawing/2014/main" id="{D9DB0E69-C391-415F-9B09-73DC7BE38C7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43195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257</xdr:row>
      <xdr:rowOff>25400</xdr:rowOff>
    </xdr:from>
    <xdr:to>
      <xdr:col>11</xdr:col>
      <xdr:colOff>571500</xdr:colOff>
      <xdr:row>258</xdr:row>
      <xdr:rowOff>0</xdr:rowOff>
    </xdr:to>
    <xdr:pic>
      <xdr:nvPicPr>
        <xdr:cNvPr id="8601" name="Рисунок 8600">
          <a:extLst>
            <a:ext uri="{FF2B5EF4-FFF2-40B4-BE49-F238E27FC236}">
              <a16:creationId xmlns:a16="http://schemas.microsoft.com/office/drawing/2014/main" id="{F6BAF249-7A16-4CDD-B386-76E21A266DF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43767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258</xdr:row>
      <xdr:rowOff>25400</xdr:rowOff>
    </xdr:from>
    <xdr:to>
      <xdr:col>11</xdr:col>
      <xdr:colOff>571500</xdr:colOff>
      <xdr:row>259</xdr:row>
      <xdr:rowOff>0</xdr:rowOff>
    </xdr:to>
    <xdr:pic>
      <xdr:nvPicPr>
        <xdr:cNvPr id="8603" name="Рисунок 8602">
          <a:extLst>
            <a:ext uri="{FF2B5EF4-FFF2-40B4-BE49-F238E27FC236}">
              <a16:creationId xmlns:a16="http://schemas.microsoft.com/office/drawing/2014/main" id="{AF7166F0-77B2-4305-9A70-E5DBA3021DC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44338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259</xdr:row>
      <xdr:rowOff>25400</xdr:rowOff>
    </xdr:from>
    <xdr:to>
      <xdr:col>11</xdr:col>
      <xdr:colOff>571500</xdr:colOff>
      <xdr:row>260</xdr:row>
      <xdr:rowOff>0</xdr:rowOff>
    </xdr:to>
    <xdr:pic>
      <xdr:nvPicPr>
        <xdr:cNvPr id="8605" name="Рисунок 8604">
          <a:extLst>
            <a:ext uri="{FF2B5EF4-FFF2-40B4-BE49-F238E27FC236}">
              <a16:creationId xmlns:a16="http://schemas.microsoft.com/office/drawing/2014/main" id="{032D21D7-2B13-4F99-82F9-6810534F786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44910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260</xdr:row>
      <xdr:rowOff>25400</xdr:rowOff>
    </xdr:from>
    <xdr:to>
      <xdr:col>11</xdr:col>
      <xdr:colOff>571500</xdr:colOff>
      <xdr:row>261</xdr:row>
      <xdr:rowOff>0</xdr:rowOff>
    </xdr:to>
    <xdr:pic>
      <xdr:nvPicPr>
        <xdr:cNvPr id="8607" name="Рисунок 8606">
          <a:extLst>
            <a:ext uri="{FF2B5EF4-FFF2-40B4-BE49-F238E27FC236}">
              <a16:creationId xmlns:a16="http://schemas.microsoft.com/office/drawing/2014/main" id="{040FFBF0-9BAA-42ED-8DA5-C14D14E6FA5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45481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261</xdr:row>
      <xdr:rowOff>25400</xdr:rowOff>
    </xdr:from>
    <xdr:to>
      <xdr:col>11</xdr:col>
      <xdr:colOff>571500</xdr:colOff>
      <xdr:row>262</xdr:row>
      <xdr:rowOff>0</xdr:rowOff>
    </xdr:to>
    <xdr:pic>
      <xdr:nvPicPr>
        <xdr:cNvPr id="8609" name="Рисунок 8608">
          <a:extLst>
            <a:ext uri="{FF2B5EF4-FFF2-40B4-BE49-F238E27FC236}">
              <a16:creationId xmlns:a16="http://schemas.microsoft.com/office/drawing/2014/main" id="{48C26107-EBEE-4536-8CA8-D3A364C981E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46053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262</xdr:row>
      <xdr:rowOff>25400</xdr:rowOff>
    </xdr:from>
    <xdr:to>
      <xdr:col>11</xdr:col>
      <xdr:colOff>571500</xdr:colOff>
      <xdr:row>263</xdr:row>
      <xdr:rowOff>0</xdr:rowOff>
    </xdr:to>
    <xdr:pic>
      <xdr:nvPicPr>
        <xdr:cNvPr id="8611" name="Рисунок 8610">
          <a:extLst>
            <a:ext uri="{FF2B5EF4-FFF2-40B4-BE49-F238E27FC236}">
              <a16:creationId xmlns:a16="http://schemas.microsoft.com/office/drawing/2014/main" id="{4A39BA30-16B4-4B61-80DF-4C0855F29A5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46624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263</xdr:row>
      <xdr:rowOff>25400</xdr:rowOff>
    </xdr:from>
    <xdr:to>
      <xdr:col>11</xdr:col>
      <xdr:colOff>571500</xdr:colOff>
      <xdr:row>264</xdr:row>
      <xdr:rowOff>0</xdr:rowOff>
    </xdr:to>
    <xdr:pic>
      <xdr:nvPicPr>
        <xdr:cNvPr id="8613" name="Рисунок 8612">
          <a:extLst>
            <a:ext uri="{FF2B5EF4-FFF2-40B4-BE49-F238E27FC236}">
              <a16:creationId xmlns:a16="http://schemas.microsoft.com/office/drawing/2014/main" id="{566FD323-059B-481E-A900-0E48E4DC120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47196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264</xdr:row>
      <xdr:rowOff>25400</xdr:rowOff>
    </xdr:from>
    <xdr:to>
      <xdr:col>11</xdr:col>
      <xdr:colOff>571500</xdr:colOff>
      <xdr:row>265</xdr:row>
      <xdr:rowOff>0</xdr:rowOff>
    </xdr:to>
    <xdr:pic>
      <xdr:nvPicPr>
        <xdr:cNvPr id="8615" name="Рисунок 8614">
          <a:extLst>
            <a:ext uri="{FF2B5EF4-FFF2-40B4-BE49-F238E27FC236}">
              <a16:creationId xmlns:a16="http://schemas.microsoft.com/office/drawing/2014/main" id="{6998DD43-206C-429D-A549-E0B91DC0475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47767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265</xdr:row>
      <xdr:rowOff>25400</xdr:rowOff>
    </xdr:from>
    <xdr:to>
      <xdr:col>11</xdr:col>
      <xdr:colOff>571500</xdr:colOff>
      <xdr:row>266</xdr:row>
      <xdr:rowOff>0</xdr:rowOff>
    </xdr:to>
    <xdr:pic>
      <xdr:nvPicPr>
        <xdr:cNvPr id="8617" name="Рисунок 8616">
          <a:extLst>
            <a:ext uri="{FF2B5EF4-FFF2-40B4-BE49-F238E27FC236}">
              <a16:creationId xmlns:a16="http://schemas.microsoft.com/office/drawing/2014/main" id="{6139DEBF-3198-49F5-A28C-C546ADCE19F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48339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266</xdr:row>
      <xdr:rowOff>25400</xdr:rowOff>
    </xdr:from>
    <xdr:to>
      <xdr:col>11</xdr:col>
      <xdr:colOff>571500</xdr:colOff>
      <xdr:row>267</xdr:row>
      <xdr:rowOff>0</xdr:rowOff>
    </xdr:to>
    <xdr:pic>
      <xdr:nvPicPr>
        <xdr:cNvPr id="8619" name="Рисунок 8618">
          <a:extLst>
            <a:ext uri="{FF2B5EF4-FFF2-40B4-BE49-F238E27FC236}">
              <a16:creationId xmlns:a16="http://schemas.microsoft.com/office/drawing/2014/main" id="{8FDE48C0-4BC4-4219-BF78-A8271CFBBF8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48910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267</xdr:row>
      <xdr:rowOff>25400</xdr:rowOff>
    </xdr:from>
    <xdr:to>
      <xdr:col>11</xdr:col>
      <xdr:colOff>571500</xdr:colOff>
      <xdr:row>268</xdr:row>
      <xdr:rowOff>0</xdr:rowOff>
    </xdr:to>
    <xdr:pic>
      <xdr:nvPicPr>
        <xdr:cNvPr id="8621" name="Рисунок 8620">
          <a:extLst>
            <a:ext uri="{FF2B5EF4-FFF2-40B4-BE49-F238E27FC236}">
              <a16:creationId xmlns:a16="http://schemas.microsoft.com/office/drawing/2014/main" id="{5B83A165-029E-4DFD-B1A1-6F43DFBEE77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49482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268</xdr:row>
      <xdr:rowOff>25400</xdr:rowOff>
    </xdr:from>
    <xdr:to>
      <xdr:col>11</xdr:col>
      <xdr:colOff>571500</xdr:colOff>
      <xdr:row>269</xdr:row>
      <xdr:rowOff>0</xdr:rowOff>
    </xdr:to>
    <xdr:pic>
      <xdr:nvPicPr>
        <xdr:cNvPr id="8623" name="Рисунок 8622">
          <a:extLst>
            <a:ext uri="{FF2B5EF4-FFF2-40B4-BE49-F238E27FC236}">
              <a16:creationId xmlns:a16="http://schemas.microsoft.com/office/drawing/2014/main" id="{5CF205C1-5C2D-4B2F-A54A-C13375F25E3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50053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269</xdr:row>
      <xdr:rowOff>25400</xdr:rowOff>
    </xdr:from>
    <xdr:to>
      <xdr:col>11</xdr:col>
      <xdr:colOff>571500</xdr:colOff>
      <xdr:row>270</xdr:row>
      <xdr:rowOff>0</xdr:rowOff>
    </xdr:to>
    <xdr:pic>
      <xdr:nvPicPr>
        <xdr:cNvPr id="8625" name="Рисунок 8624">
          <a:extLst>
            <a:ext uri="{FF2B5EF4-FFF2-40B4-BE49-F238E27FC236}">
              <a16:creationId xmlns:a16="http://schemas.microsoft.com/office/drawing/2014/main" id="{42D5287F-2FFF-40D7-8946-39E8AFB94AE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50625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270</xdr:row>
      <xdr:rowOff>25400</xdr:rowOff>
    </xdr:from>
    <xdr:to>
      <xdr:col>11</xdr:col>
      <xdr:colOff>571500</xdr:colOff>
      <xdr:row>271</xdr:row>
      <xdr:rowOff>0</xdr:rowOff>
    </xdr:to>
    <xdr:pic>
      <xdr:nvPicPr>
        <xdr:cNvPr id="8627" name="Рисунок 8626">
          <a:extLst>
            <a:ext uri="{FF2B5EF4-FFF2-40B4-BE49-F238E27FC236}">
              <a16:creationId xmlns:a16="http://schemas.microsoft.com/office/drawing/2014/main" id="{22180131-BF67-46FF-897C-C7894F90DC7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51196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271</xdr:row>
      <xdr:rowOff>25400</xdr:rowOff>
    </xdr:from>
    <xdr:to>
      <xdr:col>11</xdr:col>
      <xdr:colOff>571500</xdr:colOff>
      <xdr:row>272</xdr:row>
      <xdr:rowOff>0</xdr:rowOff>
    </xdr:to>
    <xdr:pic>
      <xdr:nvPicPr>
        <xdr:cNvPr id="8629" name="Рисунок 8628">
          <a:extLst>
            <a:ext uri="{FF2B5EF4-FFF2-40B4-BE49-F238E27FC236}">
              <a16:creationId xmlns:a16="http://schemas.microsoft.com/office/drawing/2014/main" id="{6943AD28-D218-490E-B9F3-ACB3988E617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51768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272</xdr:row>
      <xdr:rowOff>25400</xdr:rowOff>
    </xdr:from>
    <xdr:to>
      <xdr:col>11</xdr:col>
      <xdr:colOff>571500</xdr:colOff>
      <xdr:row>273</xdr:row>
      <xdr:rowOff>0</xdr:rowOff>
    </xdr:to>
    <xdr:pic>
      <xdr:nvPicPr>
        <xdr:cNvPr id="8631" name="Рисунок 8630">
          <a:extLst>
            <a:ext uri="{FF2B5EF4-FFF2-40B4-BE49-F238E27FC236}">
              <a16:creationId xmlns:a16="http://schemas.microsoft.com/office/drawing/2014/main" id="{F0E9E94D-0162-430C-BE9C-2163D834366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52339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273</xdr:row>
      <xdr:rowOff>25400</xdr:rowOff>
    </xdr:from>
    <xdr:to>
      <xdr:col>11</xdr:col>
      <xdr:colOff>571500</xdr:colOff>
      <xdr:row>274</xdr:row>
      <xdr:rowOff>0</xdr:rowOff>
    </xdr:to>
    <xdr:pic>
      <xdr:nvPicPr>
        <xdr:cNvPr id="8633" name="Рисунок 8632">
          <a:extLst>
            <a:ext uri="{FF2B5EF4-FFF2-40B4-BE49-F238E27FC236}">
              <a16:creationId xmlns:a16="http://schemas.microsoft.com/office/drawing/2014/main" id="{73623795-3B9C-4908-9C5C-29C221A092E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52911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274</xdr:row>
      <xdr:rowOff>25400</xdr:rowOff>
    </xdr:from>
    <xdr:to>
      <xdr:col>11</xdr:col>
      <xdr:colOff>571500</xdr:colOff>
      <xdr:row>275</xdr:row>
      <xdr:rowOff>0</xdr:rowOff>
    </xdr:to>
    <xdr:pic>
      <xdr:nvPicPr>
        <xdr:cNvPr id="8635" name="Рисунок 8634">
          <a:extLst>
            <a:ext uri="{FF2B5EF4-FFF2-40B4-BE49-F238E27FC236}">
              <a16:creationId xmlns:a16="http://schemas.microsoft.com/office/drawing/2014/main" id="{3AA2F0D5-B2CC-426B-8E84-CBC975485D5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53482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279</xdr:row>
      <xdr:rowOff>25400</xdr:rowOff>
    </xdr:from>
    <xdr:to>
      <xdr:col>11</xdr:col>
      <xdr:colOff>571500</xdr:colOff>
      <xdr:row>280</xdr:row>
      <xdr:rowOff>0</xdr:rowOff>
    </xdr:to>
    <xdr:pic>
      <xdr:nvPicPr>
        <xdr:cNvPr id="8637" name="Рисунок 8636">
          <a:extLst>
            <a:ext uri="{FF2B5EF4-FFF2-40B4-BE49-F238E27FC236}">
              <a16:creationId xmlns:a16="http://schemas.microsoft.com/office/drawing/2014/main" id="{6B6C5EEF-C2F5-4C6F-AC3F-069FAD55504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56340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280</xdr:row>
      <xdr:rowOff>25400</xdr:rowOff>
    </xdr:from>
    <xdr:to>
      <xdr:col>11</xdr:col>
      <xdr:colOff>571500</xdr:colOff>
      <xdr:row>281</xdr:row>
      <xdr:rowOff>0</xdr:rowOff>
    </xdr:to>
    <xdr:pic>
      <xdr:nvPicPr>
        <xdr:cNvPr id="8639" name="Рисунок 8638">
          <a:extLst>
            <a:ext uri="{FF2B5EF4-FFF2-40B4-BE49-F238E27FC236}">
              <a16:creationId xmlns:a16="http://schemas.microsoft.com/office/drawing/2014/main" id="{32758711-4DC5-4DAF-8DFC-36E0600FAA6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56911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281</xdr:row>
      <xdr:rowOff>25400</xdr:rowOff>
    </xdr:from>
    <xdr:to>
      <xdr:col>11</xdr:col>
      <xdr:colOff>571500</xdr:colOff>
      <xdr:row>282</xdr:row>
      <xdr:rowOff>0</xdr:rowOff>
    </xdr:to>
    <xdr:pic>
      <xdr:nvPicPr>
        <xdr:cNvPr id="8641" name="Рисунок 8640">
          <a:extLst>
            <a:ext uri="{FF2B5EF4-FFF2-40B4-BE49-F238E27FC236}">
              <a16:creationId xmlns:a16="http://schemas.microsoft.com/office/drawing/2014/main" id="{80E00204-BA0F-4F07-A64E-3A0CEF846BB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57483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282</xdr:row>
      <xdr:rowOff>25400</xdr:rowOff>
    </xdr:from>
    <xdr:to>
      <xdr:col>11</xdr:col>
      <xdr:colOff>571500</xdr:colOff>
      <xdr:row>283</xdr:row>
      <xdr:rowOff>0</xdr:rowOff>
    </xdr:to>
    <xdr:pic>
      <xdr:nvPicPr>
        <xdr:cNvPr id="8643" name="Рисунок 8642">
          <a:extLst>
            <a:ext uri="{FF2B5EF4-FFF2-40B4-BE49-F238E27FC236}">
              <a16:creationId xmlns:a16="http://schemas.microsoft.com/office/drawing/2014/main" id="{D2CAA3ED-07F0-4761-A0DF-706A617652C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58054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283</xdr:row>
      <xdr:rowOff>25400</xdr:rowOff>
    </xdr:from>
    <xdr:to>
      <xdr:col>11</xdr:col>
      <xdr:colOff>571500</xdr:colOff>
      <xdr:row>284</xdr:row>
      <xdr:rowOff>0</xdr:rowOff>
    </xdr:to>
    <xdr:pic>
      <xdr:nvPicPr>
        <xdr:cNvPr id="8645" name="Рисунок 8644">
          <a:extLst>
            <a:ext uri="{FF2B5EF4-FFF2-40B4-BE49-F238E27FC236}">
              <a16:creationId xmlns:a16="http://schemas.microsoft.com/office/drawing/2014/main" id="{8DB96065-0A81-4ADF-B8C0-361B848C1D3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58626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284</xdr:row>
      <xdr:rowOff>25400</xdr:rowOff>
    </xdr:from>
    <xdr:to>
      <xdr:col>11</xdr:col>
      <xdr:colOff>571500</xdr:colOff>
      <xdr:row>285</xdr:row>
      <xdr:rowOff>0</xdr:rowOff>
    </xdr:to>
    <xdr:pic>
      <xdr:nvPicPr>
        <xdr:cNvPr id="8647" name="Рисунок 8646">
          <a:extLst>
            <a:ext uri="{FF2B5EF4-FFF2-40B4-BE49-F238E27FC236}">
              <a16:creationId xmlns:a16="http://schemas.microsoft.com/office/drawing/2014/main" id="{4452E999-6A8B-48D8-87AC-DA8127BA406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59197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285</xdr:row>
      <xdr:rowOff>25400</xdr:rowOff>
    </xdr:from>
    <xdr:to>
      <xdr:col>11</xdr:col>
      <xdr:colOff>571500</xdr:colOff>
      <xdr:row>286</xdr:row>
      <xdr:rowOff>0</xdr:rowOff>
    </xdr:to>
    <xdr:pic>
      <xdr:nvPicPr>
        <xdr:cNvPr id="8649" name="Рисунок 8648">
          <a:extLst>
            <a:ext uri="{FF2B5EF4-FFF2-40B4-BE49-F238E27FC236}">
              <a16:creationId xmlns:a16="http://schemas.microsoft.com/office/drawing/2014/main" id="{EAD3AAD6-63FE-420B-B229-EF41E02AFED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59769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286</xdr:row>
      <xdr:rowOff>25400</xdr:rowOff>
    </xdr:from>
    <xdr:to>
      <xdr:col>11</xdr:col>
      <xdr:colOff>571500</xdr:colOff>
      <xdr:row>287</xdr:row>
      <xdr:rowOff>0</xdr:rowOff>
    </xdr:to>
    <xdr:pic>
      <xdr:nvPicPr>
        <xdr:cNvPr id="8651" name="Рисунок 8650">
          <a:extLst>
            <a:ext uri="{FF2B5EF4-FFF2-40B4-BE49-F238E27FC236}">
              <a16:creationId xmlns:a16="http://schemas.microsoft.com/office/drawing/2014/main" id="{182F3C0E-E94E-49C8-BC9A-9796BA8BEB0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60340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287</xdr:row>
      <xdr:rowOff>25400</xdr:rowOff>
    </xdr:from>
    <xdr:to>
      <xdr:col>11</xdr:col>
      <xdr:colOff>571500</xdr:colOff>
      <xdr:row>288</xdr:row>
      <xdr:rowOff>0</xdr:rowOff>
    </xdr:to>
    <xdr:pic>
      <xdr:nvPicPr>
        <xdr:cNvPr id="8653" name="Рисунок 8652">
          <a:extLst>
            <a:ext uri="{FF2B5EF4-FFF2-40B4-BE49-F238E27FC236}">
              <a16:creationId xmlns:a16="http://schemas.microsoft.com/office/drawing/2014/main" id="{06176F43-C610-46C6-8A0F-D62D2849A02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60912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288</xdr:row>
      <xdr:rowOff>25400</xdr:rowOff>
    </xdr:from>
    <xdr:to>
      <xdr:col>11</xdr:col>
      <xdr:colOff>571500</xdr:colOff>
      <xdr:row>289</xdr:row>
      <xdr:rowOff>0</xdr:rowOff>
    </xdr:to>
    <xdr:pic>
      <xdr:nvPicPr>
        <xdr:cNvPr id="8655" name="Рисунок 8654">
          <a:extLst>
            <a:ext uri="{FF2B5EF4-FFF2-40B4-BE49-F238E27FC236}">
              <a16:creationId xmlns:a16="http://schemas.microsoft.com/office/drawing/2014/main" id="{58A62578-029A-40E1-863A-D451D73F956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61483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289</xdr:row>
      <xdr:rowOff>25400</xdr:rowOff>
    </xdr:from>
    <xdr:to>
      <xdr:col>11</xdr:col>
      <xdr:colOff>571500</xdr:colOff>
      <xdr:row>290</xdr:row>
      <xdr:rowOff>0</xdr:rowOff>
    </xdr:to>
    <xdr:pic>
      <xdr:nvPicPr>
        <xdr:cNvPr id="8657" name="Рисунок 8656">
          <a:extLst>
            <a:ext uri="{FF2B5EF4-FFF2-40B4-BE49-F238E27FC236}">
              <a16:creationId xmlns:a16="http://schemas.microsoft.com/office/drawing/2014/main" id="{168AF531-AE83-4BDC-9609-23E440E6413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62055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290</xdr:row>
      <xdr:rowOff>25400</xdr:rowOff>
    </xdr:from>
    <xdr:to>
      <xdr:col>11</xdr:col>
      <xdr:colOff>571500</xdr:colOff>
      <xdr:row>291</xdr:row>
      <xdr:rowOff>0</xdr:rowOff>
    </xdr:to>
    <xdr:pic>
      <xdr:nvPicPr>
        <xdr:cNvPr id="8659" name="Рисунок 8658">
          <a:extLst>
            <a:ext uri="{FF2B5EF4-FFF2-40B4-BE49-F238E27FC236}">
              <a16:creationId xmlns:a16="http://schemas.microsoft.com/office/drawing/2014/main" id="{CD9625B3-F06D-41D3-A2CC-35796EFB9A0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62626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291</xdr:row>
      <xdr:rowOff>25400</xdr:rowOff>
    </xdr:from>
    <xdr:to>
      <xdr:col>11</xdr:col>
      <xdr:colOff>571500</xdr:colOff>
      <xdr:row>292</xdr:row>
      <xdr:rowOff>0</xdr:rowOff>
    </xdr:to>
    <xdr:pic>
      <xdr:nvPicPr>
        <xdr:cNvPr id="8661" name="Рисунок 8660">
          <a:extLst>
            <a:ext uri="{FF2B5EF4-FFF2-40B4-BE49-F238E27FC236}">
              <a16:creationId xmlns:a16="http://schemas.microsoft.com/office/drawing/2014/main" id="{091B7971-4B5E-4B85-8C88-A9119AD31CF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63198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292</xdr:row>
      <xdr:rowOff>25400</xdr:rowOff>
    </xdr:from>
    <xdr:to>
      <xdr:col>11</xdr:col>
      <xdr:colOff>571500</xdr:colOff>
      <xdr:row>293</xdr:row>
      <xdr:rowOff>0</xdr:rowOff>
    </xdr:to>
    <xdr:pic>
      <xdr:nvPicPr>
        <xdr:cNvPr id="8663" name="Рисунок 8662">
          <a:extLst>
            <a:ext uri="{FF2B5EF4-FFF2-40B4-BE49-F238E27FC236}">
              <a16:creationId xmlns:a16="http://schemas.microsoft.com/office/drawing/2014/main" id="{6D282960-68F8-444F-AE83-7429832A2C4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63769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293</xdr:row>
      <xdr:rowOff>25400</xdr:rowOff>
    </xdr:from>
    <xdr:to>
      <xdr:col>11</xdr:col>
      <xdr:colOff>571500</xdr:colOff>
      <xdr:row>294</xdr:row>
      <xdr:rowOff>0</xdr:rowOff>
    </xdr:to>
    <xdr:pic>
      <xdr:nvPicPr>
        <xdr:cNvPr id="8665" name="Рисунок 8664">
          <a:extLst>
            <a:ext uri="{FF2B5EF4-FFF2-40B4-BE49-F238E27FC236}">
              <a16:creationId xmlns:a16="http://schemas.microsoft.com/office/drawing/2014/main" id="{7001741E-6421-452E-844A-134ADC065D1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64341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294</xdr:row>
      <xdr:rowOff>25400</xdr:rowOff>
    </xdr:from>
    <xdr:to>
      <xdr:col>11</xdr:col>
      <xdr:colOff>571500</xdr:colOff>
      <xdr:row>295</xdr:row>
      <xdr:rowOff>0</xdr:rowOff>
    </xdr:to>
    <xdr:pic>
      <xdr:nvPicPr>
        <xdr:cNvPr id="8667" name="Рисунок 8666">
          <a:extLst>
            <a:ext uri="{FF2B5EF4-FFF2-40B4-BE49-F238E27FC236}">
              <a16:creationId xmlns:a16="http://schemas.microsoft.com/office/drawing/2014/main" id="{ADF52DF3-0A77-4940-BB3A-186BB1E6842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64912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295</xdr:row>
      <xdr:rowOff>25400</xdr:rowOff>
    </xdr:from>
    <xdr:to>
      <xdr:col>11</xdr:col>
      <xdr:colOff>571500</xdr:colOff>
      <xdr:row>296</xdr:row>
      <xdr:rowOff>0</xdr:rowOff>
    </xdr:to>
    <xdr:pic>
      <xdr:nvPicPr>
        <xdr:cNvPr id="8669" name="Рисунок 8668">
          <a:extLst>
            <a:ext uri="{FF2B5EF4-FFF2-40B4-BE49-F238E27FC236}">
              <a16:creationId xmlns:a16="http://schemas.microsoft.com/office/drawing/2014/main" id="{6ED27E6E-0EE3-4C7F-AE7D-98E544A3C54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65484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296</xdr:row>
      <xdr:rowOff>25400</xdr:rowOff>
    </xdr:from>
    <xdr:to>
      <xdr:col>11</xdr:col>
      <xdr:colOff>571500</xdr:colOff>
      <xdr:row>297</xdr:row>
      <xdr:rowOff>0</xdr:rowOff>
    </xdr:to>
    <xdr:pic>
      <xdr:nvPicPr>
        <xdr:cNvPr id="8671" name="Рисунок 8670">
          <a:extLst>
            <a:ext uri="{FF2B5EF4-FFF2-40B4-BE49-F238E27FC236}">
              <a16:creationId xmlns:a16="http://schemas.microsoft.com/office/drawing/2014/main" id="{58BA55C8-9994-4DA6-9466-1822C53A20F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66055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297</xdr:row>
      <xdr:rowOff>25400</xdr:rowOff>
    </xdr:from>
    <xdr:to>
      <xdr:col>11</xdr:col>
      <xdr:colOff>571500</xdr:colOff>
      <xdr:row>298</xdr:row>
      <xdr:rowOff>0</xdr:rowOff>
    </xdr:to>
    <xdr:pic>
      <xdr:nvPicPr>
        <xdr:cNvPr id="8673" name="Рисунок 8672">
          <a:extLst>
            <a:ext uri="{FF2B5EF4-FFF2-40B4-BE49-F238E27FC236}">
              <a16:creationId xmlns:a16="http://schemas.microsoft.com/office/drawing/2014/main" id="{1C28C73B-23E5-4A32-86E1-F6DEA557823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66627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298</xdr:row>
      <xdr:rowOff>25400</xdr:rowOff>
    </xdr:from>
    <xdr:to>
      <xdr:col>11</xdr:col>
      <xdr:colOff>571500</xdr:colOff>
      <xdr:row>299</xdr:row>
      <xdr:rowOff>0</xdr:rowOff>
    </xdr:to>
    <xdr:pic>
      <xdr:nvPicPr>
        <xdr:cNvPr id="8675" name="Рисунок 8674">
          <a:extLst>
            <a:ext uri="{FF2B5EF4-FFF2-40B4-BE49-F238E27FC236}">
              <a16:creationId xmlns:a16="http://schemas.microsoft.com/office/drawing/2014/main" id="{5FE6AF17-CA5A-439C-8606-AB899EAA1C9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67198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299</xdr:row>
      <xdr:rowOff>25400</xdr:rowOff>
    </xdr:from>
    <xdr:to>
      <xdr:col>11</xdr:col>
      <xdr:colOff>571500</xdr:colOff>
      <xdr:row>300</xdr:row>
      <xdr:rowOff>0</xdr:rowOff>
    </xdr:to>
    <xdr:pic>
      <xdr:nvPicPr>
        <xdr:cNvPr id="8677" name="Рисунок 8676">
          <a:extLst>
            <a:ext uri="{FF2B5EF4-FFF2-40B4-BE49-F238E27FC236}">
              <a16:creationId xmlns:a16="http://schemas.microsoft.com/office/drawing/2014/main" id="{6C769351-8673-46A6-A90B-BFDB65DE767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67770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300</xdr:row>
      <xdr:rowOff>25400</xdr:rowOff>
    </xdr:from>
    <xdr:to>
      <xdr:col>11</xdr:col>
      <xdr:colOff>571500</xdr:colOff>
      <xdr:row>301</xdr:row>
      <xdr:rowOff>0</xdr:rowOff>
    </xdr:to>
    <xdr:pic>
      <xdr:nvPicPr>
        <xdr:cNvPr id="8679" name="Рисунок 8678">
          <a:extLst>
            <a:ext uri="{FF2B5EF4-FFF2-40B4-BE49-F238E27FC236}">
              <a16:creationId xmlns:a16="http://schemas.microsoft.com/office/drawing/2014/main" id="{ACD99CDE-BD0A-4E15-BFF1-22502EF51A7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68341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301</xdr:row>
      <xdr:rowOff>25400</xdr:rowOff>
    </xdr:from>
    <xdr:to>
      <xdr:col>11</xdr:col>
      <xdr:colOff>571500</xdr:colOff>
      <xdr:row>302</xdr:row>
      <xdr:rowOff>0</xdr:rowOff>
    </xdr:to>
    <xdr:pic>
      <xdr:nvPicPr>
        <xdr:cNvPr id="8681" name="Рисунок 8680">
          <a:extLst>
            <a:ext uri="{FF2B5EF4-FFF2-40B4-BE49-F238E27FC236}">
              <a16:creationId xmlns:a16="http://schemas.microsoft.com/office/drawing/2014/main" id="{19520937-35C4-4A20-9509-BB668B1478A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68913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302</xdr:row>
      <xdr:rowOff>25400</xdr:rowOff>
    </xdr:from>
    <xdr:to>
      <xdr:col>11</xdr:col>
      <xdr:colOff>571500</xdr:colOff>
      <xdr:row>303</xdr:row>
      <xdr:rowOff>0</xdr:rowOff>
    </xdr:to>
    <xdr:pic>
      <xdr:nvPicPr>
        <xdr:cNvPr id="8683" name="Рисунок 8682">
          <a:extLst>
            <a:ext uri="{FF2B5EF4-FFF2-40B4-BE49-F238E27FC236}">
              <a16:creationId xmlns:a16="http://schemas.microsoft.com/office/drawing/2014/main" id="{46DC9441-C1FE-42CC-8BB7-12610E5EFE7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69484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303</xdr:row>
      <xdr:rowOff>25400</xdr:rowOff>
    </xdr:from>
    <xdr:to>
      <xdr:col>11</xdr:col>
      <xdr:colOff>571500</xdr:colOff>
      <xdr:row>304</xdr:row>
      <xdr:rowOff>0</xdr:rowOff>
    </xdr:to>
    <xdr:pic>
      <xdr:nvPicPr>
        <xdr:cNvPr id="8685" name="Рисунок 8684">
          <a:extLst>
            <a:ext uri="{FF2B5EF4-FFF2-40B4-BE49-F238E27FC236}">
              <a16:creationId xmlns:a16="http://schemas.microsoft.com/office/drawing/2014/main" id="{9699BEE8-AD75-4018-9790-B5BF20C7F44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70056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304</xdr:row>
      <xdr:rowOff>25400</xdr:rowOff>
    </xdr:from>
    <xdr:to>
      <xdr:col>11</xdr:col>
      <xdr:colOff>571500</xdr:colOff>
      <xdr:row>305</xdr:row>
      <xdr:rowOff>0</xdr:rowOff>
    </xdr:to>
    <xdr:pic>
      <xdr:nvPicPr>
        <xdr:cNvPr id="8687" name="Рисунок 8686">
          <a:extLst>
            <a:ext uri="{FF2B5EF4-FFF2-40B4-BE49-F238E27FC236}">
              <a16:creationId xmlns:a16="http://schemas.microsoft.com/office/drawing/2014/main" id="{327CF5D9-AA44-4C29-81E3-646661CB4AB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70627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305</xdr:row>
      <xdr:rowOff>25400</xdr:rowOff>
    </xdr:from>
    <xdr:to>
      <xdr:col>11</xdr:col>
      <xdr:colOff>571500</xdr:colOff>
      <xdr:row>306</xdr:row>
      <xdr:rowOff>0</xdr:rowOff>
    </xdr:to>
    <xdr:pic>
      <xdr:nvPicPr>
        <xdr:cNvPr id="8689" name="Рисунок 8688">
          <a:extLst>
            <a:ext uri="{FF2B5EF4-FFF2-40B4-BE49-F238E27FC236}">
              <a16:creationId xmlns:a16="http://schemas.microsoft.com/office/drawing/2014/main" id="{F93BD5D7-ED0B-48E2-B4E9-AB4F1964302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71199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306</xdr:row>
      <xdr:rowOff>25400</xdr:rowOff>
    </xdr:from>
    <xdr:to>
      <xdr:col>11</xdr:col>
      <xdr:colOff>418592</xdr:colOff>
      <xdr:row>307</xdr:row>
      <xdr:rowOff>0</xdr:rowOff>
    </xdr:to>
    <xdr:pic>
      <xdr:nvPicPr>
        <xdr:cNvPr id="8691" name="Рисунок 8690">
          <a:extLst>
            <a:ext uri="{FF2B5EF4-FFF2-40B4-BE49-F238E27FC236}">
              <a16:creationId xmlns:a16="http://schemas.microsoft.com/office/drawing/2014/main" id="{84F763AC-9E41-4890-83ED-3394338317E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71770675"/>
          <a:ext cx="393192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307</xdr:row>
      <xdr:rowOff>25400</xdr:rowOff>
    </xdr:from>
    <xdr:to>
      <xdr:col>11</xdr:col>
      <xdr:colOff>571500</xdr:colOff>
      <xdr:row>308</xdr:row>
      <xdr:rowOff>0</xdr:rowOff>
    </xdr:to>
    <xdr:pic>
      <xdr:nvPicPr>
        <xdr:cNvPr id="8693" name="Рисунок 8692">
          <a:extLst>
            <a:ext uri="{FF2B5EF4-FFF2-40B4-BE49-F238E27FC236}">
              <a16:creationId xmlns:a16="http://schemas.microsoft.com/office/drawing/2014/main" id="{BB659B1E-E571-4122-B837-686482011BD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72342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308</xdr:row>
      <xdr:rowOff>25400</xdr:rowOff>
    </xdr:from>
    <xdr:to>
      <xdr:col>11</xdr:col>
      <xdr:colOff>571500</xdr:colOff>
      <xdr:row>309</xdr:row>
      <xdr:rowOff>0</xdr:rowOff>
    </xdr:to>
    <xdr:pic>
      <xdr:nvPicPr>
        <xdr:cNvPr id="8695" name="Рисунок 8694">
          <a:extLst>
            <a:ext uri="{FF2B5EF4-FFF2-40B4-BE49-F238E27FC236}">
              <a16:creationId xmlns:a16="http://schemas.microsoft.com/office/drawing/2014/main" id="{5AD16628-F4A1-42A3-9EFA-9A627721E2D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72913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309</xdr:row>
      <xdr:rowOff>25400</xdr:rowOff>
    </xdr:from>
    <xdr:to>
      <xdr:col>11</xdr:col>
      <xdr:colOff>571500</xdr:colOff>
      <xdr:row>310</xdr:row>
      <xdr:rowOff>0</xdr:rowOff>
    </xdr:to>
    <xdr:pic>
      <xdr:nvPicPr>
        <xdr:cNvPr id="8697" name="Рисунок 8696">
          <a:extLst>
            <a:ext uri="{FF2B5EF4-FFF2-40B4-BE49-F238E27FC236}">
              <a16:creationId xmlns:a16="http://schemas.microsoft.com/office/drawing/2014/main" id="{95C4AA7E-F5B3-42D8-A6CA-0ECE2D693EB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73485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310</xdr:row>
      <xdr:rowOff>25400</xdr:rowOff>
    </xdr:from>
    <xdr:to>
      <xdr:col>11</xdr:col>
      <xdr:colOff>571500</xdr:colOff>
      <xdr:row>311</xdr:row>
      <xdr:rowOff>0</xdr:rowOff>
    </xdr:to>
    <xdr:pic>
      <xdr:nvPicPr>
        <xdr:cNvPr id="8699" name="Рисунок 8698">
          <a:extLst>
            <a:ext uri="{FF2B5EF4-FFF2-40B4-BE49-F238E27FC236}">
              <a16:creationId xmlns:a16="http://schemas.microsoft.com/office/drawing/2014/main" id="{0A789960-7A78-4904-B2E0-0DD1AF78BEA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74056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311</xdr:row>
      <xdr:rowOff>25400</xdr:rowOff>
    </xdr:from>
    <xdr:to>
      <xdr:col>11</xdr:col>
      <xdr:colOff>571500</xdr:colOff>
      <xdr:row>312</xdr:row>
      <xdr:rowOff>0</xdr:rowOff>
    </xdr:to>
    <xdr:pic>
      <xdr:nvPicPr>
        <xdr:cNvPr id="8701" name="Рисунок 8700">
          <a:extLst>
            <a:ext uri="{FF2B5EF4-FFF2-40B4-BE49-F238E27FC236}">
              <a16:creationId xmlns:a16="http://schemas.microsoft.com/office/drawing/2014/main" id="{EA5AF602-EA03-4DFB-9F33-85C5F489018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74628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312</xdr:row>
      <xdr:rowOff>25400</xdr:rowOff>
    </xdr:from>
    <xdr:to>
      <xdr:col>11</xdr:col>
      <xdr:colOff>571500</xdr:colOff>
      <xdr:row>313</xdr:row>
      <xdr:rowOff>0</xdr:rowOff>
    </xdr:to>
    <xdr:pic>
      <xdr:nvPicPr>
        <xdr:cNvPr id="8703" name="Рисунок 8702">
          <a:extLst>
            <a:ext uri="{FF2B5EF4-FFF2-40B4-BE49-F238E27FC236}">
              <a16:creationId xmlns:a16="http://schemas.microsoft.com/office/drawing/2014/main" id="{D8F3B515-0E13-4B2C-896A-D9F177657AC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75199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313</xdr:row>
      <xdr:rowOff>25400</xdr:rowOff>
    </xdr:from>
    <xdr:to>
      <xdr:col>11</xdr:col>
      <xdr:colOff>571500</xdr:colOff>
      <xdr:row>314</xdr:row>
      <xdr:rowOff>0</xdr:rowOff>
    </xdr:to>
    <xdr:pic>
      <xdr:nvPicPr>
        <xdr:cNvPr id="8705" name="Рисунок 8704">
          <a:extLst>
            <a:ext uri="{FF2B5EF4-FFF2-40B4-BE49-F238E27FC236}">
              <a16:creationId xmlns:a16="http://schemas.microsoft.com/office/drawing/2014/main" id="{1828A9BC-42BE-43E6-983A-A0AE56DFD22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75771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314</xdr:row>
      <xdr:rowOff>25400</xdr:rowOff>
    </xdr:from>
    <xdr:to>
      <xdr:col>11</xdr:col>
      <xdr:colOff>571500</xdr:colOff>
      <xdr:row>315</xdr:row>
      <xdr:rowOff>0</xdr:rowOff>
    </xdr:to>
    <xdr:pic>
      <xdr:nvPicPr>
        <xdr:cNvPr id="8707" name="Рисунок 8706">
          <a:extLst>
            <a:ext uri="{FF2B5EF4-FFF2-40B4-BE49-F238E27FC236}">
              <a16:creationId xmlns:a16="http://schemas.microsoft.com/office/drawing/2014/main" id="{440F2181-7C00-4977-872D-450EBFCC5FE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76342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315</xdr:row>
      <xdr:rowOff>25400</xdr:rowOff>
    </xdr:from>
    <xdr:to>
      <xdr:col>11</xdr:col>
      <xdr:colOff>571500</xdr:colOff>
      <xdr:row>316</xdr:row>
      <xdr:rowOff>0</xdr:rowOff>
    </xdr:to>
    <xdr:pic>
      <xdr:nvPicPr>
        <xdr:cNvPr id="8709" name="Рисунок 8708">
          <a:extLst>
            <a:ext uri="{FF2B5EF4-FFF2-40B4-BE49-F238E27FC236}">
              <a16:creationId xmlns:a16="http://schemas.microsoft.com/office/drawing/2014/main" id="{5806F9AB-D9E2-46CE-979B-AD8511AA9AF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76914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316</xdr:row>
      <xdr:rowOff>25400</xdr:rowOff>
    </xdr:from>
    <xdr:to>
      <xdr:col>11</xdr:col>
      <xdr:colOff>571500</xdr:colOff>
      <xdr:row>317</xdr:row>
      <xdr:rowOff>0</xdr:rowOff>
    </xdr:to>
    <xdr:pic>
      <xdr:nvPicPr>
        <xdr:cNvPr id="8711" name="Рисунок 8710">
          <a:extLst>
            <a:ext uri="{FF2B5EF4-FFF2-40B4-BE49-F238E27FC236}">
              <a16:creationId xmlns:a16="http://schemas.microsoft.com/office/drawing/2014/main" id="{278F39DD-0B24-43E7-B237-C4B51F3D9B4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77485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317</xdr:row>
      <xdr:rowOff>25400</xdr:rowOff>
    </xdr:from>
    <xdr:to>
      <xdr:col>11</xdr:col>
      <xdr:colOff>571500</xdr:colOff>
      <xdr:row>318</xdr:row>
      <xdr:rowOff>0</xdr:rowOff>
    </xdr:to>
    <xdr:pic>
      <xdr:nvPicPr>
        <xdr:cNvPr id="8713" name="Рисунок 8712">
          <a:extLst>
            <a:ext uri="{FF2B5EF4-FFF2-40B4-BE49-F238E27FC236}">
              <a16:creationId xmlns:a16="http://schemas.microsoft.com/office/drawing/2014/main" id="{88712B53-76EA-404A-80CA-1B75BD3ED94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78057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318</xdr:row>
      <xdr:rowOff>25400</xdr:rowOff>
    </xdr:from>
    <xdr:to>
      <xdr:col>11</xdr:col>
      <xdr:colOff>571500</xdr:colOff>
      <xdr:row>319</xdr:row>
      <xdr:rowOff>0</xdr:rowOff>
    </xdr:to>
    <xdr:pic>
      <xdr:nvPicPr>
        <xdr:cNvPr id="8715" name="Рисунок 8714">
          <a:extLst>
            <a:ext uri="{FF2B5EF4-FFF2-40B4-BE49-F238E27FC236}">
              <a16:creationId xmlns:a16="http://schemas.microsoft.com/office/drawing/2014/main" id="{F14BB8B9-A3AF-4F12-87EA-05BB87165FD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78628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319</xdr:row>
      <xdr:rowOff>25400</xdr:rowOff>
    </xdr:from>
    <xdr:to>
      <xdr:col>11</xdr:col>
      <xdr:colOff>571500</xdr:colOff>
      <xdr:row>320</xdr:row>
      <xdr:rowOff>0</xdr:rowOff>
    </xdr:to>
    <xdr:pic>
      <xdr:nvPicPr>
        <xdr:cNvPr id="8717" name="Рисунок 8716">
          <a:extLst>
            <a:ext uri="{FF2B5EF4-FFF2-40B4-BE49-F238E27FC236}">
              <a16:creationId xmlns:a16="http://schemas.microsoft.com/office/drawing/2014/main" id="{22B9B380-6D79-4C54-A7BC-0B0D966A415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79200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321</xdr:row>
      <xdr:rowOff>25400</xdr:rowOff>
    </xdr:from>
    <xdr:to>
      <xdr:col>11</xdr:col>
      <xdr:colOff>571500</xdr:colOff>
      <xdr:row>322</xdr:row>
      <xdr:rowOff>0</xdr:rowOff>
    </xdr:to>
    <xdr:pic>
      <xdr:nvPicPr>
        <xdr:cNvPr id="8719" name="Рисунок 8718">
          <a:extLst>
            <a:ext uri="{FF2B5EF4-FFF2-40B4-BE49-F238E27FC236}">
              <a16:creationId xmlns:a16="http://schemas.microsoft.com/office/drawing/2014/main" id="{223BB397-1D5A-4BE6-84EE-B4267BDA763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80343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322</xdr:row>
      <xdr:rowOff>25400</xdr:rowOff>
    </xdr:from>
    <xdr:to>
      <xdr:col>11</xdr:col>
      <xdr:colOff>571500</xdr:colOff>
      <xdr:row>323</xdr:row>
      <xdr:rowOff>0</xdr:rowOff>
    </xdr:to>
    <xdr:pic>
      <xdr:nvPicPr>
        <xdr:cNvPr id="8721" name="Рисунок 8720">
          <a:extLst>
            <a:ext uri="{FF2B5EF4-FFF2-40B4-BE49-F238E27FC236}">
              <a16:creationId xmlns:a16="http://schemas.microsoft.com/office/drawing/2014/main" id="{FB1E2488-B165-40D2-93F9-048E266DC51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80914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323</xdr:row>
      <xdr:rowOff>25400</xdr:rowOff>
    </xdr:from>
    <xdr:to>
      <xdr:col>11</xdr:col>
      <xdr:colOff>571500</xdr:colOff>
      <xdr:row>324</xdr:row>
      <xdr:rowOff>0</xdr:rowOff>
    </xdr:to>
    <xdr:pic>
      <xdr:nvPicPr>
        <xdr:cNvPr id="8723" name="Рисунок 8722">
          <a:extLst>
            <a:ext uri="{FF2B5EF4-FFF2-40B4-BE49-F238E27FC236}">
              <a16:creationId xmlns:a16="http://schemas.microsoft.com/office/drawing/2014/main" id="{D74D3C70-2458-4663-A2CB-C9A61FDCF3F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81486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324</xdr:row>
      <xdr:rowOff>25400</xdr:rowOff>
    </xdr:from>
    <xdr:to>
      <xdr:col>11</xdr:col>
      <xdr:colOff>571500</xdr:colOff>
      <xdr:row>325</xdr:row>
      <xdr:rowOff>0</xdr:rowOff>
    </xdr:to>
    <xdr:pic>
      <xdr:nvPicPr>
        <xdr:cNvPr id="8725" name="Рисунок 8724">
          <a:extLst>
            <a:ext uri="{FF2B5EF4-FFF2-40B4-BE49-F238E27FC236}">
              <a16:creationId xmlns:a16="http://schemas.microsoft.com/office/drawing/2014/main" id="{48B945A5-4F42-4E1D-A5E4-43ADFAE869A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82057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325</xdr:row>
      <xdr:rowOff>25400</xdr:rowOff>
    </xdr:from>
    <xdr:to>
      <xdr:col>11</xdr:col>
      <xdr:colOff>571500</xdr:colOff>
      <xdr:row>326</xdr:row>
      <xdr:rowOff>0</xdr:rowOff>
    </xdr:to>
    <xdr:pic>
      <xdr:nvPicPr>
        <xdr:cNvPr id="8727" name="Рисунок 8726">
          <a:extLst>
            <a:ext uri="{FF2B5EF4-FFF2-40B4-BE49-F238E27FC236}">
              <a16:creationId xmlns:a16="http://schemas.microsoft.com/office/drawing/2014/main" id="{D4F453FF-5ED7-4B70-BBF9-F9BB7C65FF4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82629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326</xdr:row>
      <xdr:rowOff>25400</xdr:rowOff>
    </xdr:from>
    <xdr:to>
      <xdr:col>11</xdr:col>
      <xdr:colOff>571500</xdr:colOff>
      <xdr:row>327</xdr:row>
      <xdr:rowOff>0</xdr:rowOff>
    </xdr:to>
    <xdr:pic>
      <xdr:nvPicPr>
        <xdr:cNvPr id="8729" name="Рисунок 8728">
          <a:extLst>
            <a:ext uri="{FF2B5EF4-FFF2-40B4-BE49-F238E27FC236}">
              <a16:creationId xmlns:a16="http://schemas.microsoft.com/office/drawing/2014/main" id="{39732680-C524-4B3A-AF0B-902FFC4EC83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83200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327</xdr:row>
      <xdr:rowOff>25400</xdr:rowOff>
    </xdr:from>
    <xdr:to>
      <xdr:col>11</xdr:col>
      <xdr:colOff>571500</xdr:colOff>
      <xdr:row>328</xdr:row>
      <xdr:rowOff>0</xdr:rowOff>
    </xdr:to>
    <xdr:pic>
      <xdr:nvPicPr>
        <xdr:cNvPr id="8731" name="Рисунок 8730">
          <a:extLst>
            <a:ext uri="{FF2B5EF4-FFF2-40B4-BE49-F238E27FC236}">
              <a16:creationId xmlns:a16="http://schemas.microsoft.com/office/drawing/2014/main" id="{0200996F-2611-43A6-A233-85EE3E5C7D6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83772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328</xdr:row>
      <xdr:rowOff>25400</xdr:rowOff>
    </xdr:from>
    <xdr:to>
      <xdr:col>11</xdr:col>
      <xdr:colOff>571500</xdr:colOff>
      <xdr:row>329</xdr:row>
      <xdr:rowOff>0</xdr:rowOff>
    </xdr:to>
    <xdr:pic>
      <xdr:nvPicPr>
        <xdr:cNvPr id="8733" name="Рисунок 8732">
          <a:extLst>
            <a:ext uri="{FF2B5EF4-FFF2-40B4-BE49-F238E27FC236}">
              <a16:creationId xmlns:a16="http://schemas.microsoft.com/office/drawing/2014/main" id="{526571C4-6FF8-45A4-A8E7-F0096E6ACD5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84343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329</xdr:row>
      <xdr:rowOff>25400</xdr:rowOff>
    </xdr:from>
    <xdr:to>
      <xdr:col>11</xdr:col>
      <xdr:colOff>571500</xdr:colOff>
      <xdr:row>330</xdr:row>
      <xdr:rowOff>0</xdr:rowOff>
    </xdr:to>
    <xdr:pic>
      <xdr:nvPicPr>
        <xdr:cNvPr id="8735" name="Рисунок 8734">
          <a:extLst>
            <a:ext uri="{FF2B5EF4-FFF2-40B4-BE49-F238E27FC236}">
              <a16:creationId xmlns:a16="http://schemas.microsoft.com/office/drawing/2014/main" id="{AF5CFA83-37C9-45AE-918B-B28E12C6D01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84915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330</xdr:row>
      <xdr:rowOff>25400</xdr:rowOff>
    </xdr:from>
    <xdr:to>
      <xdr:col>11</xdr:col>
      <xdr:colOff>571500</xdr:colOff>
      <xdr:row>331</xdr:row>
      <xdr:rowOff>0</xdr:rowOff>
    </xdr:to>
    <xdr:pic>
      <xdr:nvPicPr>
        <xdr:cNvPr id="8737" name="Рисунок 8736">
          <a:extLst>
            <a:ext uri="{FF2B5EF4-FFF2-40B4-BE49-F238E27FC236}">
              <a16:creationId xmlns:a16="http://schemas.microsoft.com/office/drawing/2014/main" id="{66AE6869-12CC-4BEE-84ED-4B686D1561C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85486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331</xdr:row>
      <xdr:rowOff>25400</xdr:rowOff>
    </xdr:from>
    <xdr:to>
      <xdr:col>11</xdr:col>
      <xdr:colOff>571500</xdr:colOff>
      <xdr:row>332</xdr:row>
      <xdr:rowOff>0</xdr:rowOff>
    </xdr:to>
    <xdr:pic>
      <xdr:nvPicPr>
        <xdr:cNvPr id="8739" name="Рисунок 8738">
          <a:extLst>
            <a:ext uri="{FF2B5EF4-FFF2-40B4-BE49-F238E27FC236}">
              <a16:creationId xmlns:a16="http://schemas.microsoft.com/office/drawing/2014/main" id="{16358108-964A-4AEC-8B8C-7FB699FB4AF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86058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332</xdr:row>
      <xdr:rowOff>25400</xdr:rowOff>
    </xdr:from>
    <xdr:to>
      <xdr:col>11</xdr:col>
      <xdr:colOff>571500</xdr:colOff>
      <xdr:row>333</xdr:row>
      <xdr:rowOff>0</xdr:rowOff>
    </xdr:to>
    <xdr:pic>
      <xdr:nvPicPr>
        <xdr:cNvPr id="8741" name="Рисунок 8740">
          <a:extLst>
            <a:ext uri="{FF2B5EF4-FFF2-40B4-BE49-F238E27FC236}">
              <a16:creationId xmlns:a16="http://schemas.microsoft.com/office/drawing/2014/main" id="{18574829-DD48-4639-AB1E-9DFF086EF26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86629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333</xdr:row>
      <xdr:rowOff>25400</xdr:rowOff>
    </xdr:from>
    <xdr:to>
      <xdr:col>11</xdr:col>
      <xdr:colOff>571500</xdr:colOff>
      <xdr:row>334</xdr:row>
      <xdr:rowOff>0</xdr:rowOff>
    </xdr:to>
    <xdr:pic>
      <xdr:nvPicPr>
        <xdr:cNvPr id="8743" name="Рисунок 8742">
          <a:extLst>
            <a:ext uri="{FF2B5EF4-FFF2-40B4-BE49-F238E27FC236}">
              <a16:creationId xmlns:a16="http://schemas.microsoft.com/office/drawing/2014/main" id="{3EE08CE6-F55D-4A60-B073-D420B84A661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87201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334</xdr:row>
      <xdr:rowOff>25400</xdr:rowOff>
    </xdr:from>
    <xdr:to>
      <xdr:col>11</xdr:col>
      <xdr:colOff>571500</xdr:colOff>
      <xdr:row>335</xdr:row>
      <xdr:rowOff>0</xdr:rowOff>
    </xdr:to>
    <xdr:pic>
      <xdr:nvPicPr>
        <xdr:cNvPr id="8745" name="Рисунок 8744">
          <a:extLst>
            <a:ext uri="{FF2B5EF4-FFF2-40B4-BE49-F238E27FC236}">
              <a16:creationId xmlns:a16="http://schemas.microsoft.com/office/drawing/2014/main" id="{E71F2337-516E-4AD4-BDF6-CA3BA12AFB0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87772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335</xdr:row>
      <xdr:rowOff>25400</xdr:rowOff>
    </xdr:from>
    <xdr:to>
      <xdr:col>11</xdr:col>
      <xdr:colOff>571500</xdr:colOff>
      <xdr:row>336</xdr:row>
      <xdr:rowOff>0</xdr:rowOff>
    </xdr:to>
    <xdr:pic>
      <xdr:nvPicPr>
        <xdr:cNvPr id="8747" name="Рисунок 8746">
          <a:extLst>
            <a:ext uri="{FF2B5EF4-FFF2-40B4-BE49-F238E27FC236}">
              <a16:creationId xmlns:a16="http://schemas.microsoft.com/office/drawing/2014/main" id="{482E1019-0EF6-42A6-B213-480B613F4BF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88344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336</xdr:row>
      <xdr:rowOff>25400</xdr:rowOff>
    </xdr:from>
    <xdr:to>
      <xdr:col>11</xdr:col>
      <xdr:colOff>571500</xdr:colOff>
      <xdr:row>337</xdr:row>
      <xdr:rowOff>0</xdr:rowOff>
    </xdr:to>
    <xdr:pic>
      <xdr:nvPicPr>
        <xdr:cNvPr id="8749" name="Рисунок 8748">
          <a:extLst>
            <a:ext uri="{FF2B5EF4-FFF2-40B4-BE49-F238E27FC236}">
              <a16:creationId xmlns:a16="http://schemas.microsoft.com/office/drawing/2014/main" id="{32833719-AB4C-4C9B-B492-5E8E4F9F9DB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88915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337</xdr:row>
      <xdr:rowOff>25400</xdr:rowOff>
    </xdr:from>
    <xdr:to>
      <xdr:col>11</xdr:col>
      <xdr:colOff>571500</xdr:colOff>
      <xdr:row>338</xdr:row>
      <xdr:rowOff>0</xdr:rowOff>
    </xdr:to>
    <xdr:pic>
      <xdr:nvPicPr>
        <xdr:cNvPr id="8751" name="Рисунок 8750">
          <a:extLst>
            <a:ext uri="{FF2B5EF4-FFF2-40B4-BE49-F238E27FC236}">
              <a16:creationId xmlns:a16="http://schemas.microsoft.com/office/drawing/2014/main" id="{6070DFFA-80C8-4D8A-A040-A147FA9191B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89487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338</xdr:row>
      <xdr:rowOff>25400</xdr:rowOff>
    </xdr:from>
    <xdr:to>
      <xdr:col>11</xdr:col>
      <xdr:colOff>571500</xdr:colOff>
      <xdr:row>339</xdr:row>
      <xdr:rowOff>0</xdr:rowOff>
    </xdr:to>
    <xdr:pic>
      <xdr:nvPicPr>
        <xdr:cNvPr id="8753" name="Рисунок 8752">
          <a:extLst>
            <a:ext uri="{FF2B5EF4-FFF2-40B4-BE49-F238E27FC236}">
              <a16:creationId xmlns:a16="http://schemas.microsoft.com/office/drawing/2014/main" id="{947810DF-6C31-4324-BF1A-95E51B638F8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90058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339</xdr:row>
      <xdr:rowOff>25400</xdr:rowOff>
    </xdr:from>
    <xdr:to>
      <xdr:col>11</xdr:col>
      <xdr:colOff>571500</xdr:colOff>
      <xdr:row>340</xdr:row>
      <xdr:rowOff>0</xdr:rowOff>
    </xdr:to>
    <xdr:pic>
      <xdr:nvPicPr>
        <xdr:cNvPr id="8755" name="Рисунок 8754">
          <a:extLst>
            <a:ext uri="{FF2B5EF4-FFF2-40B4-BE49-F238E27FC236}">
              <a16:creationId xmlns:a16="http://schemas.microsoft.com/office/drawing/2014/main" id="{4F7AD2AB-77E6-4297-B668-79A36FCEA30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90630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340</xdr:row>
      <xdr:rowOff>25400</xdr:rowOff>
    </xdr:from>
    <xdr:to>
      <xdr:col>11</xdr:col>
      <xdr:colOff>571500</xdr:colOff>
      <xdr:row>341</xdr:row>
      <xdr:rowOff>0</xdr:rowOff>
    </xdr:to>
    <xdr:pic>
      <xdr:nvPicPr>
        <xdr:cNvPr id="8757" name="Рисунок 8756">
          <a:extLst>
            <a:ext uri="{FF2B5EF4-FFF2-40B4-BE49-F238E27FC236}">
              <a16:creationId xmlns:a16="http://schemas.microsoft.com/office/drawing/2014/main" id="{8C9B8148-B37E-4C55-8D97-29BA5223B25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91201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341</xdr:row>
      <xdr:rowOff>25400</xdr:rowOff>
    </xdr:from>
    <xdr:to>
      <xdr:col>11</xdr:col>
      <xdr:colOff>571500</xdr:colOff>
      <xdr:row>342</xdr:row>
      <xdr:rowOff>0</xdr:rowOff>
    </xdr:to>
    <xdr:pic>
      <xdr:nvPicPr>
        <xdr:cNvPr id="8759" name="Рисунок 8758">
          <a:extLst>
            <a:ext uri="{FF2B5EF4-FFF2-40B4-BE49-F238E27FC236}">
              <a16:creationId xmlns:a16="http://schemas.microsoft.com/office/drawing/2014/main" id="{BBC71BE9-813D-4CDA-9DBE-189B52B2393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91773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342</xdr:row>
      <xdr:rowOff>25400</xdr:rowOff>
    </xdr:from>
    <xdr:to>
      <xdr:col>11</xdr:col>
      <xdr:colOff>571500</xdr:colOff>
      <xdr:row>343</xdr:row>
      <xdr:rowOff>0</xdr:rowOff>
    </xdr:to>
    <xdr:pic>
      <xdr:nvPicPr>
        <xdr:cNvPr id="8761" name="Рисунок 8760">
          <a:extLst>
            <a:ext uri="{FF2B5EF4-FFF2-40B4-BE49-F238E27FC236}">
              <a16:creationId xmlns:a16="http://schemas.microsoft.com/office/drawing/2014/main" id="{6F756C3B-0E0C-4DC0-944F-4D8CE666005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92344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343</xdr:row>
      <xdr:rowOff>25400</xdr:rowOff>
    </xdr:from>
    <xdr:to>
      <xdr:col>11</xdr:col>
      <xdr:colOff>571500</xdr:colOff>
      <xdr:row>344</xdr:row>
      <xdr:rowOff>0</xdr:rowOff>
    </xdr:to>
    <xdr:pic>
      <xdr:nvPicPr>
        <xdr:cNvPr id="8763" name="Рисунок 8762">
          <a:extLst>
            <a:ext uri="{FF2B5EF4-FFF2-40B4-BE49-F238E27FC236}">
              <a16:creationId xmlns:a16="http://schemas.microsoft.com/office/drawing/2014/main" id="{7E97EBCD-F150-4502-97C9-D5047522013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92916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344</xdr:row>
      <xdr:rowOff>25400</xdr:rowOff>
    </xdr:from>
    <xdr:to>
      <xdr:col>11</xdr:col>
      <xdr:colOff>571500</xdr:colOff>
      <xdr:row>345</xdr:row>
      <xdr:rowOff>0</xdr:rowOff>
    </xdr:to>
    <xdr:pic>
      <xdr:nvPicPr>
        <xdr:cNvPr id="8765" name="Рисунок 8764">
          <a:extLst>
            <a:ext uri="{FF2B5EF4-FFF2-40B4-BE49-F238E27FC236}">
              <a16:creationId xmlns:a16="http://schemas.microsoft.com/office/drawing/2014/main" id="{194A2860-C0E4-4A69-A311-E5A8CFCBE1A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93487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345</xdr:row>
      <xdr:rowOff>25400</xdr:rowOff>
    </xdr:from>
    <xdr:to>
      <xdr:col>11</xdr:col>
      <xdr:colOff>571500</xdr:colOff>
      <xdr:row>346</xdr:row>
      <xdr:rowOff>0</xdr:rowOff>
    </xdr:to>
    <xdr:pic>
      <xdr:nvPicPr>
        <xdr:cNvPr id="8767" name="Рисунок 8766">
          <a:extLst>
            <a:ext uri="{FF2B5EF4-FFF2-40B4-BE49-F238E27FC236}">
              <a16:creationId xmlns:a16="http://schemas.microsoft.com/office/drawing/2014/main" id="{11BDCCF5-FD59-486E-A630-FBAFE4C4010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94059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346</xdr:row>
      <xdr:rowOff>25400</xdr:rowOff>
    </xdr:from>
    <xdr:to>
      <xdr:col>11</xdr:col>
      <xdr:colOff>571500</xdr:colOff>
      <xdr:row>347</xdr:row>
      <xdr:rowOff>0</xdr:rowOff>
    </xdr:to>
    <xdr:pic>
      <xdr:nvPicPr>
        <xdr:cNvPr id="8769" name="Рисунок 8768">
          <a:extLst>
            <a:ext uri="{FF2B5EF4-FFF2-40B4-BE49-F238E27FC236}">
              <a16:creationId xmlns:a16="http://schemas.microsoft.com/office/drawing/2014/main" id="{7C79595E-7053-445D-ABAD-74AC2A5681D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94630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347</xdr:row>
      <xdr:rowOff>25400</xdr:rowOff>
    </xdr:from>
    <xdr:to>
      <xdr:col>11</xdr:col>
      <xdr:colOff>571500</xdr:colOff>
      <xdr:row>348</xdr:row>
      <xdr:rowOff>0</xdr:rowOff>
    </xdr:to>
    <xdr:pic>
      <xdr:nvPicPr>
        <xdr:cNvPr id="8771" name="Рисунок 8770">
          <a:extLst>
            <a:ext uri="{FF2B5EF4-FFF2-40B4-BE49-F238E27FC236}">
              <a16:creationId xmlns:a16="http://schemas.microsoft.com/office/drawing/2014/main" id="{596CF232-E0CE-44A5-A9D1-B03F74CE42A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95202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348</xdr:row>
      <xdr:rowOff>25400</xdr:rowOff>
    </xdr:from>
    <xdr:to>
      <xdr:col>11</xdr:col>
      <xdr:colOff>571500</xdr:colOff>
      <xdr:row>349</xdr:row>
      <xdr:rowOff>0</xdr:rowOff>
    </xdr:to>
    <xdr:pic>
      <xdr:nvPicPr>
        <xdr:cNvPr id="8773" name="Рисунок 8772">
          <a:extLst>
            <a:ext uri="{FF2B5EF4-FFF2-40B4-BE49-F238E27FC236}">
              <a16:creationId xmlns:a16="http://schemas.microsoft.com/office/drawing/2014/main" id="{63442E58-6A05-4DFD-A8B5-0F18E5097DC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95773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349</xdr:row>
      <xdr:rowOff>25400</xdr:rowOff>
    </xdr:from>
    <xdr:to>
      <xdr:col>11</xdr:col>
      <xdr:colOff>571500</xdr:colOff>
      <xdr:row>350</xdr:row>
      <xdr:rowOff>0</xdr:rowOff>
    </xdr:to>
    <xdr:pic>
      <xdr:nvPicPr>
        <xdr:cNvPr id="8775" name="Рисунок 8774">
          <a:extLst>
            <a:ext uri="{FF2B5EF4-FFF2-40B4-BE49-F238E27FC236}">
              <a16:creationId xmlns:a16="http://schemas.microsoft.com/office/drawing/2014/main" id="{F6938626-EAA4-4F36-A57B-12EA2F007C5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96345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350</xdr:row>
      <xdr:rowOff>25400</xdr:rowOff>
    </xdr:from>
    <xdr:to>
      <xdr:col>11</xdr:col>
      <xdr:colOff>571500</xdr:colOff>
      <xdr:row>351</xdr:row>
      <xdr:rowOff>0</xdr:rowOff>
    </xdr:to>
    <xdr:pic>
      <xdr:nvPicPr>
        <xdr:cNvPr id="8777" name="Рисунок 8776">
          <a:extLst>
            <a:ext uri="{FF2B5EF4-FFF2-40B4-BE49-F238E27FC236}">
              <a16:creationId xmlns:a16="http://schemas.microsoft.com/office/drawing/2014/main" id="{F5F977DF-FE51-4552-ACCF-528F3C11E3E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96916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351</xdr:row>
      <xdr:rowOff>25400</xdr:rowOff>
    </xdr:from>
    <xdr:to>
      <xdr:col>11</xdr:col>
      <xdr:colOff>571500</xdr:colOff>
      <xdr:row>352</xdr:row>
      <xdr:rowOff>0</xdr:rowOff>
    </xdr:to>
    <xdr:pic>
      <xdr:nvPicPr>
        <xdr:cNvPr id="8779" name="Рисунок 8778">
          <a:extLst>
            <a:ext uri="{FF2B5EF4-FFF2-40B4-BE49-F238E27FC236}">
              <a16:creationId xmlns:a16="http://schemas.microsoft.com/office/drawing/2014/main" id="{22104C17-0A50-4F50-ADF0-6D0FFC54D53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97488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352</xdr:row>
      <xdr:rowOff>25400</xdr:rowOff>
    </xdr:from>
    <xdr:to>
      <xdr:col>11</xdr:col>
      <xdr:colOff>571500</xdr:colOff>
      <xdr:row>353</xdr:row>
      <xdr:rowOff>0</xdr:rowOff>
    </xdr:to>
    <xdr:pic>
      <xdr:nvPicPr>
        <xdr:cNvPr id="8781" name="Рисунок 8780">
          <a:extLst>
            <a:ext uri="{FF2B5EF4-FFF2-40B4-BE49-F238E27FC236}">
              <a16:creationId xmlns:a16="http://schemas.microsoft.com/office/drawing/2014/main" id="{5344378E-6407-465E-9AB6-3AD3DF7D739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98059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355</xdr:row>
      <xdr:rowOff>25400</xdr:rowOff>
    </xdr:from>
    <xdr:to>
      <xdr:col>11</xdr:col>
      <xdr:colOff>571500</xdr:colOff>
      <xdr:row>356</xdr:row>
      <xdr:rowOff>0</xdr:rowOff>
    </xdr:to>
    <xdr:pic>
      <xdr:nvPicPr>
        <xdr:cNvPr id="8783" name="Рисунок 8782">
          <a:extLst>
            <a:ext uri="{FF2B5EF4-FFF2-40B4-BE49-F238E27FC236}">
              <a16:creationId xmlns:a16="http://schemas.microsoft.com/office/drawing/2014/main" id="{751B4743-F319-42A7-AA4A-0B2D18B8485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99774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356</xdr:row>
      <xdr:rowOff>25400</xdr:rowOff>
    </xdr:from>
    <xdr:to>
      <xdr:col>11</xdr:col>
      <xdr:colOff>571500</xdr:colOff>
      <xdr:row>357</xdr:row>
      <xdr:rowOff>0</xdr:rowOff>
    </xdr:to>
    <xdr:pic>
      <xdr:nvPicPr>
        <xdr:cNvPr id="8785" name="Рисунок 8784">
          <a:extLst>
            <a:ext uri="{FF2B5EF4-FFF2-40B4-BE49-F238E27FC236}">
              <a16:creationId xmlns:a16="http://schemas.microsoft.com/office/drawing/2014/main" id="{551D5088-7FF9-4DF3-8CAF-26387E25A37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00345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357</xdr:row>
      <xdr:rowOff>25400</xdr:rowOff>
    </xdr:from>
    <xdr:to>
      <xdr:col>11</xdr:col>
      <xdr:colOff>571500</xdr:colOff>
      <xdr:row>358</xdr:row>
      <xdr:rowOff>0</xdr:rowOff>
    </xdr:to>
    <xdr:pic>
      <xdr:nvPicPr>
        <xdr:cNvPr id="8787" name="Рисунок 8786">
          <a:extLst>
            <a:ext uri="{FF2B5EF4-FFF2-40B4-BE49-F238E27FC236}">
              <a16:creationId xmlns:a16="http://schemas.microsoft.com/office/drawing/2014/main" id="{9B3E2CA5-0120-4C46-97EC-24D5D459FE7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00917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358</xdr:row>
      <xdr:rowOff>25400</xdr:rowOff>
    </xdr:from>
    <xdr:to>
      <xdr:col>11</xdr:col>
      <xdr:colOff>571500</xdr:colOff>
      <xdr:row>359</xdr:row>
      <xdr:rowOff>0</xdr:rowOff>
    </xdr:to>
    <xdr:pic>
      <xdr:nvPicPr>
        <xdr:cNvPr id="8789" name="Рисунок 8788">
          <a:extLst>
            <a:ext uri="{FF2B5EF4-FFF2-40B4-BE49-F238E27FC236}">
              <a16:creationId xmlns:a16="http://schemas.microsoft.com/office/drawing/2014/main" id="{C6B4AD93-0C8B-400D-AF98-28D5DE02651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01488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359</xdr:row>
      <xdr:rowOff>25400</xdr:rowOff>
    </xdr:from>
    <xdr:to>
      <xdr:col>11</xdr:col>
      <xdr:colOff>571500</xdr:colOff>
      <xdr:row>360</xdr:row>
      <xdr:rowOff>0</xdr:rowOff>
    </xdr:to>
    <xdr:pic>
      <xdr:nvPicPr>
        <xdr:cNvPr id="8791" name="Рисунок 8790">
          <a:extLst>
            <a:ext uri="{FF2B5EF4-FFF2-40B4-BE49-F238E27FC236}">
              <a16:creationId xmlns:a16="http://schemas.microsoft.com/office/drawing/2014/main" id="{311BCD84-7AD6-443C-89CD-07B77CBE364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02060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360</xdr:row>
      <xdr:rowOff>25400</xdr:rowOff>
    </xdr:from>
    <xdr:to>
      <xdr:col>11</xdr:col>
      <xdr:colOff>571500</xdr:colOff>
      <xdr:row>361</xdr:row>
      <xdr:rowOff>0</xdr:rowOff>
    </xdr:to>
    <xdr:pic>
      <xdr:nvPicPr>
        <xdr:cNvPr id="8793" name="Рисунок 8792">
          <a:extLst>
            <a:ext uri="{FF2B5EF4-FFF2-40B4-BE49-F238E27FC236}">
              <a16:creationId xmlns:a16="http://schemas.microsoft.com/office/drawing/2014/main" id="{F63EC815-7E5D-432E-A9CA-079AF4CC7E2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02631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361</xdr:row>
      <xdr:rowOff>25400</xdr:rowOff>
    </xdr:from>
    <xdr:to>
      <xdr:col>11</xdr:col>
      <xdr:colOff>571500</xdr:colOff>
      <xdr:row>362</xdr:row>
      <xdr:rowOff>0</xdr:rowOff>
    </xdr:to>
    <xdr:pic>
      <xdr:nvPicPr>
        <xdr:cNvPr id="8795" name="Рисунок 8794">
          <a:extLst>
            <a:ext uri="{FF2B5EF4-FFF2-40B4-BE49-F238E27FC236}">
              <a16:creationId xmlns:a16="http://schemas.microsoft.com/office/drawing/2014/main" id="{4BD071BD-C686-4134-8563-C71E69B0DB1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03203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362</xdr:row>
      <xdr:rowOff>25400</xdr:rowOff>
    </xdr:from>
    <xdr:to>
      <xdr:col>11</xdr:col>
      <xdr:colOff>571500</xdr:colOff>
      <xdr:row>363</xdr:row>
      <xdr:rowOff>0</xdr:rowOff>
    </xdr:to>
    <xdr:pic>
      <xdr:nvPicPr>
        <xdr:cNvPr id="8797" name="Рисунок 8796">
          <a:extLst>
            <a:ext uri="{FF2B5EF4-FFF2-40B4-BE49-F238E27FC236}">
              <a16:creationId xmlns:a16="http://schemas.microsoft.com/office/drawing/2014/main" id="{63E682A9-5F89-463B-87B7-7610EDC14DF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03774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363</xdr:row>
      <xdr:rowOff>25400</xdr:rowOff>
    </xdr:from>
    <xdr:to>
      <xdr:col>11</xdr:col>
      <xdr:colOff>571500</xdr:colOff>
      <xdr:row>364</xdr:row>
      <xdr:rowOff>0</xdr:rowOff>
    </xdr:to>
    <xdr:pic>
      <xdr:nvPicPr>
        <xdr:cNvPr id="8799" name="Рисунок 8798">
          <a:extLst>
            <a:ext uri="{FF2B5EF4-FFF2-40B4-BE49-F238E27FC236}">
              <a16:creationId xmlns:a16="http://schemas.microsoft.com/office/drawing/2014/main" id="{E5C008B7-5FB2-4B8F-8486-C96B6C4EC85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04346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364</xdr:row>
      <xdr:rowOff>25400</xdr:rowOff>
    </xdr:from>
    <xdr:to>
      <xdr:col>11</xdr:col>
      <xdr:colOff>571500</xdr:colOff>
      <xdr:row>365</xdr:row>
      <xdr:rowOff>0</xdr:rowOff>
    </xdr:to>
    <xdr:pic>
      <xdr:nvPicPr>
        <xdr:cNvPr id="8801" name="Рисунок 8800">
          <a:extLst>
            <a:ext uri="{FF2B5EF4-FFF2-40B4-BE49-F238E27FC236}">
              <a16:creationId xmlns:a16="http://schemas.microsoft.com/office/drawing/2014/main" id="{8D23886C-20FD-4D92-823B-74C9DAB1163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04917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365</xdr:row>
      <xdr:rowOff>25400</xdr:rowOff>
    </xdr:from>
    <xdr:to>
      <xdr:col>11</xdr:col>
      <xdr:colOff>571500</xdr:colOff>
      <xdr:row>366</xdr:row>
      <xdr:rowOff>0</xdr:rowOff>
    </xdr:to>
    <xdr:pic>
      <xdr:nvPicPr>
        <xdr:cNvPr id="8803" name="Рисунок 8802">
          <a:extLst>
            <a:ext uri="{FF2B5EF4-FFF2-40B4-BE49-F238E27FC236}">
              <a16:creationId xmlns:a16="http://schemas.microsoft.com/office/drawing/2014/main" id="{5F7EF340-A852-40B8-9D70-0C159873C52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05489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366</xdr:row>
      <xdr:rowOff>25400</xdr:rowOff>
    </xdr:from>
    <xdr:to>
      <xdr:col>11</xdr:col>
      <xdr:colOff>571500</xdr:colOff>
      <xdr:row>367</xdr:row>
      <xdr:rowOff>0</xdr:rowOff>
    </xdr:to>
    <xdr:pic>
      <xdr:nvPicPr>
        <xdr:cNvPr id="8805" name="Рисунок 8804">
          <a:extLst>
            <a:ext uri="{FF2B5EF4-FFF2-40B4-BE49-F238E27FC236}">
              <a16:creationId xmlns:a16="http://schemas.microsoft.com/office/drawing/2014/main" id="{C78E55B3-0CC7-4B05-A13D-70C6CF7BC6D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06060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367</xdr:row>
      <xdr:rowOff>25400</xdr:rowOff>
    </xdr:from>
    <xdr:to>
      <xdr:col>11</xdr:col>
      <xdr:colOff>571500</xdr:colOff>
      <xdr:row>368</xdr:row>
      <xdr:rowOff>0</xdr:rowOff>
    </xdr:to>
    <xdr:pic>
      <xdr:nvPicPr>
        <xdr:cNvPr id="8807" name="Рисунок 8806">
          <a:extLst>
            <a:ext uri="{FF2B5EF4-FFF2-40B4-BE49-F238E27FC236}">
              <a16:creationId xmlns:a16="http://schemas.microsoft.com/office/drawing/2014/main" id="{8F943946-313B-4122-843D-FFA890E3F8D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06632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368</xdr:row>
      <xdr:rowOff>25400</xdr:rowOff>
    </xdr:from>
    <xdr:to>
      <xdr:col>11</xdr:col>
      <xdr:colOff>571500</xdr:colOff>
      <xdr:row>369</xdr:row>
      <xdr:rowOff>0</xdr:rowOff>
    </xdr:to>
    <xdr:pic>
      <xdr:nvPicPr>
        <xdr:cNvPr id="8809" name="Рисунок 8808">
          <a:extLst>
            <a:ext uri="{FF2B5EF4-FFF2-40B4-BE49-F238E27FC236}">
              <a16:creationId xmlns:a16="http://schemas.microsoft.com/office/drawing/2014/main" id="{EE541DDA-6C03-4782-8C7E-A03037244D1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07203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369</xdr:row>
      <xdr:rowOff>25400</xdr:rowOff>
    </xdr:from>
    <xdr:to>
      <xdr:col>11</xdr:col>
      <xdr:colOff>571500</xdr:colOff>
      <xdr:row>370</xdr:row>
      <xdr:rowOff>0</xdr:rowOff>
    </xdr:to>
    <xdr:pic>
      <xdr:nvPicPr>
        <xdr:cNvPr id="8811" name="Рисунок 8810">
          <a:extLst>
            <a:ext uri="{FF2B5EF4-FFF2-40B4-BE49-F238E27FC236}">
              <a16:creationId xmlns:a16="http://schemas.microsoft.com/office/drawing/2014/main" id="{06A575A3-6D15-4769-A11B-8F3D207284F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07775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370</xdr:row>
      <xdr:rowOff>25400</xdr:rowOff>
    </xdr:from>
    <xdr:to>
      <xdr:col>11</xdr:col>
      <xdr:colOff>571500</xdr:colOff>
      <xdr:row>371</xdr:row>
      <xdr:rowOff>0</xdr:rowOff>
    </xdr:to>
    <xdr:pic>
      <xdr:nvPicPr>
        <xdr:cNvPr id="8813" name="Рисунок 8812">
          <a:extLst>
            <a:ext uri="{FF2B5EF4-FFF2-40B4-BE49-F238E27FC236}">
              <a16:creationId xmlns:a16="http://schemas.microsoft.com/office/drawing/2014/main" id="{FD157B68-1706-407B-B210-3DD8FDED6B7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08346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371</xdr:row>
      <xdr:rowOff>25400</xdr:rowOff>
    </xdr:from>
    <xdr:to>
      <xdr:col>11</xdr:col>
      <xdr:colOff>571500</xdr:colOff>
      <xdr:row>372</xdr:row>
      <xdr:rowOff>0</xdr:rowOff>
    </xdr:to>
    <xdr:pic>
      <xdr:nvPicPr>
        <xdr:cNvPr id="8815" name="Рисунок 8814">
          <a:extLst>
            <a:ext uri="{FF2B5EF4-FFF2-40B4-BE49-F238E27FC236}">
              <a16:creationId xmlns:a16="http://schemas.microsoft.com/office/drawing/2014/main" id="{2F17C8DA-2D9D-49FA-B139-6730727FAB4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08918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372</xdr:row>
      <xdr:rowOff>25400</xdr:rowOff>
    </xdr:from>
    <xdr:to>
      <xdr:col>11</xdr:col>
      <xdr:colOff>571500</xdr:colOff>
      <xdr:row>373</xdr:row>
      <xdr:rowOff>0</xdr:rowOff>
    </xdr:to>
    <xdr:pic>
      <xdr:nvPicPr>
        <xdr:cNvPr id="8817" name="Рисунок 8816">
          <a:extLst>
            <a:ext uri="{FF2B5EF4-FFF2-40B4-BE49-F238E27FC236}">
              <a16:creationId xmlns:a16="http://schemas.microsoft.com/office/drawing/2014/main" id="{60FF2F7C-3F6C-42CC-94AA-5A03ED89024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09489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373</xdr:row>
      <xdr:rowOff>25400</xdr:rowOff>
    </xdr:from>
    <xdr:to>
      <xdr:col>11</xdr:col>
      <xdr:colOff>571500</xdr:colOff>
      <xdr:row>374</xdr:row>
      <xdr:rowOff>0</xdr:rowOff>
    </xdr:to>
    <xdr:pic>
      <xdr:nvPicPr>
        <xdr:cNvPr id="8819" name="Рисунок 8818">
          <a:extLst>
            <a:ext uri="{FF2B5EF4-FFF2-40B4-BE49-F238E27FC236}">
              <a16:creationId xmlns:a16="http://schemas.microsoft.com/office/drawing/2014/main" id="{1F038B4A-52BB-4EAC-82A7-C7ED5C2D2DA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10061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374</xdr:row>
      <xdr:rowOff>25400</xdr:rowOff>
    </xdr:from>
    <xdr:to>
      <xdr:col>11</xdr:col>
      <xdr:colOff>571500</xdr:colOff>
      <xdr:row>375</xdr:row>
      <xdr:rowOff>0</xdr:rowOff>
    </xdr:to>
    <xdr:pic>
      <xdr:nvPicPr>
        <xdr:cNvPr id="8821" name="Рисунок 8820">
          <a:extLst>
            <a:ext uri="{FF2B5EF4-FFF2-40B4-BE49-F238E27FC236}">
              <a16:creationId xmlns:a16="http://schemas.microsoft.com/office/drawing/2014/main" id="{5D7B8661-1369-468D-9AB2-E16B08F3CD5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10632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375</xdr:row>
      <xdr:rowOff>25400</xdr:rowOff>
    </xdr:from>
    <xdr:to>
      <xdr:col>11</xdr:col>
      <xdr:colOff>571500</xdr:colOff>
      <xdr:row>376</xdr:row>
      <xdr:rowOff>0</xdr:rowOff>
    </xdr:to>
    <xdr:pic>
      <xdr:nvPicPr>
        <xdr:cNvPr id="8823" name="Рисунок 8822">
          <a:extLst>
            <a:ext uri="{FF2B5EF4-FFF2-40B4-BE49-F238E27FC236}">
              <a16:creationId xmlns:a16="http://schemas.microsoft.com/office/drawing/2014/main" id="{86E29C8F-071B-477E-B238-35F1E304682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11204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376</xdr:row>
      <xdr:rowOff>25400</xdr:rowOff>
    </xdr:from>
    <xdr:to>
      <xdr:col>11</xdr:col>
      <xdr:colOff>571500</xdr:colOff>
      <xdr:row>377</xdr:row>
      <xdr:rowOff>0</xdr:rowOff>
    </xdr:to>
    <xdr:pic>
      <xdr:nvPicPr>
        <xdr:cNvPr id="8825" name="Рисунок 8824">
          <a:extLst>
            <a:ext uri="{FF2B5EF4-FFF2-40B4-BE49-F238E27FC236}">
              <a16:creationId xmlns:a16="http://schemas.microsoft.com/office/drawing/2014/main" id="{0BA76A52-C84F-49FA-82E7-D47AC2144E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11775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377</xdr:row>
      <xdr:rowOff>25400</xdr:rowOff>
    </xdr:from>
    <xdr:to>
      <xdr:col>11</xdr:col>
      <xdr:colOff>571500</xdr:colOff>
      <xdr:row>378</xdr:row>
      <xdr:rowOff>0</xdr:rowOff>
    </xdr:to>
    <xdr:pic>
      <xdr:nvPicPr>
        <xdr:cNvPr id="8827" name="Рисунок 8826">
          <a:extLst>
            <a:ext uri="{FF2B5EF4-FFF2-40B4-BE49-F238E27FC236}">
              <a16:creationId xmlns:a16="http://schemas.microsoft.com/office/drawing/2014/main" id="{8E8C4140-1279-452B-BAE4-5BDACD3A916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12347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379</xdr:row>
      <xdr:rowOff>25400</xdr:rowOff>
    </xdr:from>
    <xdr:to>
      <xdr:col>11</xdr:col>
      <xdr:colOff>571500</xdr:colOff>
      <xdr:row>380</xdr:row>
      <xdr:rowOff>0</xdr:rowOff>
    </xdr:to>
    <xdr:pic>
      <xdr:nvPicPr>
        <xdr:cNvPr id="8829" name="Рисунок 8828">
          <a:extLst>
            <a:ext uri="{FF2B5EF4-FFF2-40B4-BE49-F238E27FC236}">
              <a16:creationId xmlns:a16="http://schemas.microsoft.com/office/drawing/2014/main" id="{DBD80DD1-2EFD-4DB9-A83C-104D51F0858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13490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380</xdr:row>
      <xdr:rowOff>25400</xdr:rowOff>
    </xdr:from>
    <xdr:to>
      <xdr:col>11</xdr:col>
      <xdr:colOff>571500</xdr:colOff>
      <xdr:row>381</xdr:row>
      <xdr:rowOff>0</xdr:rowOff>
    </xdr:to>
    <xdr:pic>
      <xdr:nvPicPr>
        <xdr:cNvPr id="8831" name="Рисунок 8830">
          <a:extLst>
            <a:ext uri="{FF2B5EF4-FFF2-40B4-BE49-F238E27FC236}">
              <a16:creationId xmlns:a16="http://schemas.microsoft.com/office/drawing/2014/main" id="{D6E1D5E7-A7A7-49B3-886C-9EB20981E19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14061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381</xdr:row>
      <xdr:rowOff>25400</xdr:rowOff>
    </xdr:from>
    <xdr:to>
      <xdr:col>11</xdr:col>
      <xdr:colOff>571500</xdr:colOff>
      <xdr:row>382</xdr:row>
      <xdr:rowOff>0</xdr:rowOff>
    </xdr:to>
    <xdr:pic>
      <xdr:nvPicPr>
        <xdr:cNvPr id="8833" name="Рисунок 8832">
          <a:extLst>
            <a:ext uri="{FF2B5EF4-FFF2-40B4-BE49-F238E27FC236}">
              <a16:creationId xmlns:a16="http://schemas.microsoft.com/office/drawing/2014/main" id="{A94BB0A5-F8B7-4766-B927-38190E75817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14633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382</xdr:row>
      <xdr:rowOff>25400</xdr:rowOff>
    </xdr:from>
    <xdr:to>
      <xdr:col>11</xdr:col>
      <xdr:colOff>571500</xdr:colOff>
      <xdr:row>383</xdr:row>
      <xdr:rowOff>0</xdr:rowOff>
    </xdr:to>
    <xdr:pic>
      <xdr:nvPicPr>
        <xdr:cNvPr id="8835" name="Рисунок 8834">
          <a:extLst>
            <a:ext uri="{FF2B5EF4-FFF2-40B4-BE49-F238E27FC236}">
              <a16:creationId xmlns:a16="http://schemas.microsoft.com/office/drawing/2014/main" id="{BAE69794-9084-4F9D-A35A-9B3A8F7D70C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15204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383</xdr:row>
      <xdr:rowOff>25400</xdr:rowOff>
    </xdr:from>
    <xdr:to>
      <xdr:col>11</xdr:col>
      <xdr:colOff>571500</xdr:colOff>
      <xdr:row>384</xdr:row>
      <xdr:rowOff>0</xdr:rowOff>
    </xdr:to>
    <xdr:pic>
      <xdr:nvPicPr>
        <xdr:cNvPr id="8837" name="Рисунок 8836">
          <a:extLst>
            <a:ext uri="{FF2B5EF4-FFF2-40B4-BE49-F238E27FC236}">
              <a16:creationId xmlns:a16="http://schemas.microsoft.com/office/drawing/2014/main" id="{D3674316-6FBC-41A4-AD0D-2EFAE0CE5A2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15776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384</xdr:row>
      <xdr:rowOff>25400</xdr:rowOff>
    </xdr:from>
    <xdr:to>
      <xdr:col>11</xdr:col>
      <xdr:colOff>571500</xdr:colOff>
      <xdr:row>385</xdr:row>
      <xdr:rowOff>0</xdr:rowOff>
    </xdr:to>
    <xdr:pic>
      <xdr:nvPicPr>
        <xdr:cNvPr id="8839" name="Рисунок 8838">
          <a:extLst>
            <a:ext uri="{FF2B5EF4-FFF2-40B4-BE49-F238E27FC236}">
              <a16:creationId xmlns:a16="http://schemas.microsoft.com/office/drawing/2014/main" id="{1E90F391-A676-4FB4-ADE1-CD566BBA35F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16347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385</xdr:row>
      <xdr:rowOff>25400</xdr:rowOff>
    </xdr:from>
    <xdr:to>
      <xdr:col>11</xdr:col>
      <xdr:colOff>571500</xdr:colOff>
      <xdr:row>386</xdr:row>
      <xdr:rowOff>0</xdr:rowOff>
    </xdr:to>
    <xdr:pic>
      <xdr:nvPicPr>
        <xdr:cNvPr id="8841" name="Рисунок 8840">
          <a:extLst>
            <a:ext uri="{FF2B5EF4-FFF2-40B4-BE49-F238E27FC236}">
              <a16:creationId xmlns:a16="http://schemas.microsoft.com/office/drawing/2014/main" id="{FDF13663-4759-4559-BF8A-1C2AB0288A0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16919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386</xdr:row>
      <xdr:rowOff>25400</xdr:rowOff>
    </xdr:from>
    <xdr:to>
      <xdr:col>11</xdr:col>
      <xdr:colOff>571500</xdr:colOff>
      <xdr:row>387</xdr:row>
      <xdr:rowOff>0</xdr:rowOff>
    </xdr:to>
    <xdr:pic>
      <xdr:nvPicPr>
        <xdr:cNvPr id="8843" name="Рисунок 8842">
          <a:extLst>
            <a:ext uri="{FF2B5EF4-FFF2-40B4-BE49-F238E27FC236}">
              <a16:creationId xmlns:a16="http://schemas.microsoft.com/office/drawing/2014/main" id="{3A8C724D-1A59-402F-BA45-732D3E7E930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17490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387</xdr:row>
      <xdr:rowOff>25400</xdr:rowOff>
    </xdr:from>
    <xdr:to>
      <xdr:col>11</xdr:col>
      <xdr:colOff>571500</xdr:colOff>
      <xdr:row>388</xdr:row>
      <xdr:rowOff>0</xdr:rowOff>
    </xdr:to>
    <xdr:pic>
      <xdr:nvPicPr>
        <xdr:cNvPr id="8845" name="Рисунок 8844">
          <a:extLst>
            <a:ext uri="{FF2B5EF4-FFF2-40B4-BE49-F238E27FC236}">
              <a16:creationId xmlns:a16="http://schemas.microsoft.com/office/drawing/2014/main" id="{DE652553-3DC0-434E-9986-C2B5CBA38FE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18062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388</xdr:row>
      <xdr:rowOff>25400</xdr:rowOff>
    </xdr:from>
    <xdr:to>
      <xdr:col>11</xdr:col>
      <xdr:colOff>571500</xdr:colOff>
      <xdr:row>389</xdr:row>
      <xdr:rowOff>0</xdr:rowOff>
    </xdr:to>
    <xdr:pic>
      <xdr:nvPicPr>
        <xdr:cNvPr id="8847" name="Рисунок 8846">
          <a:extLst>
            <a:ext uri="{FF2B5EF4-FFF2-40B4-BE49-F238E27FC236}">
              <a16:creationId xmlns:a16="http://schemas.microsoft.com/office/drawing/2014/main" id="{2F1292D1-49D7-4E78-B562-60F99EA3F37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18633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389</xdr:row>
      <xdr:rowOff>25400</xdr:rowOff>
    </xdr:from>
    <xdr:to>
      <xdr:col>11</xdr:col>
      <xdr:colOff>571500</xdr:colOff>
      <xdr:row>390</xdr:row>
      <xdr:rowOff>0</xdr:rowOff>
    </xdr:to>
    <xdr:pic>
      <xdr:nvPicPr>
        <xdr:cNvPr id="8849" name="Рисунок 8848">
          <a:extLst>
            <a:ext uri="{FF2B5EF4-FFF2-40B4-BE49-F238E27FC236}">
              <a16:creationId xmlns:a16="http://schemas.microsoft.com/office/drawing/2014/main" id="{60861DBA-38AE-490D-B11B-46ECFD158D0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19205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390</xdr:row>
      <xdr:rowOff>25400</xdr:rowOff>
    </xdr:from>
    <xdr:to>
      <xdr:col>11</xdr:col>
      <xdr:colOff>571500</xdr:colOff>
      <xdr:row>391</xdr:row>
      <xdr:rowOff>0</xdr:rowOff>
    </xdr:to>
    <xdr:pic>
      <xdr:nvPicPr>
        <xdr:cNvPr id="8851" name="Рисунок 8850">
          <a:extLst>
            <a:ext uri="{FF2B5EF4-FFF2-40B4-BE49-F238E27FC236}">
              <a16:creationId xmlns:a16="http://schemas.microsoft.com/office/drawing/2014/main" id="{E5DD7D02-17E1-4308-9CFD-7725C926C44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19776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391</xdr:row>
      <xdr:rowOff>25400</xdr:rowOff>
    </xdr:from>
    <xdr:to>
      <xdr:col>11</xdr:col>
      <xdr:colOff>571500</xdr:colOff>
      <xdr:row>392</xdr:row>
      <xdr:rowOff>0</xdr:rowOff>
    </xdr:to>
    <xdr:pic>
      <xdr:nvPicPr>
        <xdr:cNvPr id="8853" name="Рисунок 8852">
          <a:extLst>
            <a:ext uri="{FF2B5EF4-FFF2-40B4-BE49-F238E27FC236}">
              <a16:creationId xmlns:a16="http://schemas.microsoft.com/office/drawing/2014/main" id="{A538C5DE-979F-45D0-AF24-FB5F57249C9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20348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392</xdr:row>
      <xdr:rowOff>25400</xdr:rowOff>
    </xdr:from>
    <xdr:to>
      <xdr:col>11</xdr:col>
      <xdr:colOff>571500</xdr:colOff>
      <xdr:row>393</xdr:row>
      <xdr:rowOff>0</xdr:rowOff>
    </xdr:to>
    <xdr:pic>
      <xdr:nvPicPr>
        <xdr:cNvPr id="8855" name="Рисунок 8854">
          <a:extLst>
            <a:ext uri="{FF2B5EF4-FFF2-40B4-BE49-F238E27FC236}">
              <a16:creationId xmlns:a16="http://schemas.microsoft.com/office/drawing/2014/main" id="{9DB113E9-37C6-4342-B989-2C3804264C2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20919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393</xdr:row>
      <xdr:rowOff>25400</xdr:rowOff>
    </xdr:from>
    <xdr:to>
      <xdr:col>11</xdr:col>
      <xdr:colOff>571500</xdr:colOff>
      <xdr:row>394</xdr:row>
      <xdr:rowOff>0</xdr:rowOff>
    </xdr:to>
    <xdr:pic>
      <xdr:nvPicPr>
        <xdr:cNvPr id="8857" name="Рисунок 8856">
          <a:extLst>
            <a:ext uri="{FF2B5EF4-FFF2-40B4-BE49-F238E27FC236}">
              <a16:creationId xmlns:a16="http://schemas.microsoft.com/office/drawing/2014/main" id="{D3C8BA42-EF31-4C6D-98AB-EC530DC0553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21491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394</xdr:row>
      <xdr:rowOff>25400</xdr:rowOff>
    </xdr:from>
    <xdr:to>
      <xdr:col>11</xdr:col>
      <xdr:colOff>571500</xdr:colOff>
      <xdr:row>395</xdr:row>
      <xdr:rowOff>0</xdr:rowOff>
    </xdr:to>
    <xdr:pic>
      <xdr:nvPicPr>
        <xdr:cNvPr id="8859" name="Рисунок 8858">
          <a:extLst>
            <a:ext uri="{FF2B5EF4-FFF2-40B4-BE49-F238E27FC236}">
              <a16:creationId xmlns:a16="http://schemas.microsoft.com/office/drawing/2014/main" id="{ED26F77B-EB38-4554-8324-1DE5FAB87A8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22062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395</xdr:row>
      <xdr:rowOff>25400</xdr:rowOff>
    </xdr:from>
    <xdr:to>
      <xdr:col>11</xdr:col>
      <xdr:colOff>571500</xdr:colOff>
      <xdr:row>396</xdr:row>
      <xdr:rowOff>0</xdr:rowOff>
    </xdr:to>
    <xdr:pic>
      <xdr:nvPicPr>
        <xdr:cNvPr id="8861" name="Рисунок 8860">
          <a:extLst>
            <a:ext uri="{FF2B5EF4-FFF2-40B4-BE49-F238E27FC236}">
              <a16:creationId xmlns:a16="http://schemas.microsoft.com/office/drawing/2014/main" id="{5AF6A5FF-617B-4565-B66B-D032A215D07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22634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396</xdr:row>
      <xdr:rowOff>25400</xdr:rowOff>
    </xdr:from>
    <xdr:to>
      <xdr:col>11</xdr:col>
      <xdr:colOff>571500</xdr:colOff>
      <xdr:row>397</xdr:row>
      <xdr:rowOff>0</xdr:rowOff>
    </xdr:to>
    <xdr:pic>
      <xdr:nvPicPr>
        <xdr:cNvPr id="8863" name="Рисунок 8862">
          <a:extLst>
            <a:ext uri="{FF2B5EF4-FFF2-40B4-BE49-F238E27FC236}">
              <a16:creationId xmlns:a16="http://schemas.microsoft.com/office/drawing/2014/main" id="{E5538CDA-94B1-4990-A672-E3B288E6872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23205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397</xdr:row>
      <xdr:rowOff>25400</xdr:rowOff>
    </xdr:from>
    <xdr:to>
      <xdr:col>11</xdr:col>
      <xdr:colOff>571500</xdr:colOff>
      <xdr:row>398</xdr:row>
      <xdr:rowOff>0</xdr:rowOff>
    </xdr:to>
    <xdr:pic>
      <xdr:nvPicPr>
        <xdr:cNvPr id="8865" name="Рисунок 8864">
          <a:extLst>
            <a:ext uri="{FF2B5EF4-FFF2-40B4-BE49-F238E27FC236}">
              <a16:creationId xmlns:a16="http://schemas.microsoft.com/office/drawing/2014/main" id="{E9B7C938-E6D8-4BFC-8F16-84557023B91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23777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398</xdr:row>
      <xdr:rowOff>25400</xdr:rowOff>
    </xdr:from>
    <xdr:to>
      <xdr:col>11</xdr:col>
      <xdr:colOff>571500</xdr:colOff>
      <xdr:row>399</xdr:row>
      <xdr:rowOff>0</xdr:rowOff>
    </xdr:to>
    <xdr:pic>
      <xdr:nvPicPr>
        <xdr:cNvPr id="8867" name="Рисунок 8866">
          <a:extLst>
            <a:ext uri="{FF2B5EF4-FFF2-40B4-BE49-F238E27FC236}">
              <a16:creationId xmlns:a16="http://schemas.microsoft.com/office/drawing/2014/main" id="{D0ADBD44-9D45-47B7-B8CE-1D8F4C11182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24348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399</xdr:row>
      <xdr:rowOff>25400</xdr:rowOff>
    </xdr:from>
    <xdr:to>
      <xdr:col>11</xdr:col>
      <xdr:colOff>571500</xdr:colOff>
      <xdr:row>400</xdr:row>
      <xdr:rowOff>0</xdr:rowOff>
    </xdr:to>
    <xdr:pic>
      <xdr:nvPicPr>
        <xdr:cNvPr id="8869" name="Рисунок 8868">
          <a:extLst>
            <a:ext uri="{FF2B5EF4-FFF2-40B4-BE49-F238E27FC236}">
              <a16:creationId xmlns:a16="http://schemas.microsoft.com/office/drawing/2014/main" id="{588A6BA9-8F69-42C4-A3EC-1EDE3D2E6C9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24920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400</xdr:row>
      <xdr:rowOff>25400</xdr:rowOff>
    </xdr:from>
    <xdr:to>
      <xdr:col>11</xdr:col>
      <xdr:colOff>571500</xdr:colOff>
      <xdr:row>401</xdr:row>
      <xdr:rowOff>0</xdr:rowOff>
    </xdr:to>
    <xdr:pic>
      <xdr:nvPicPr>
        <xdr:cNvPr id="8871" name="Рисунок 8870">
          <a:extLst>
            <a:ext uri="{FF2B5EF4-FFF2-40B4-BE49-F238E27FC236}">
              <a16:creationId xmlns:a16="http://schemas.microsoft.com/office/drawing/2014/main" id="{FD9BDC2A-BE6D-4656-9D59-AD0632A99DF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25491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401</xdr:row>
      <xdr:rowOff>25400</xdr:rowOff>
    </xdr:from>
    <xdr:to>
      <xdr:col>11</xdr:col>
      <xdr:colOff>571500</xdr:colOff>
      <xdr:row>402</xdr:row>
      <xdr:rowOff>0</xdr:rowOff>
    </xdr:to>
    <xdr:pic>
      <xdr:nvPicPr>
        <xdr:cNvPr id="8873" name="Рисунок 8872">
          <a:extLst>
            <a:ext uri="{FF2B5EF4-FFF2-40B4-BE49-F238E27FC236}">
              <a16:creationId xmlns:a16="http://schemas.microsoft.com/office/drawing/2014/main" id="{8753DE63-56E7-46AB-9AE4-1413D01DADD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26063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402</xdr:row>
      <xdr:rowOff>25400</xdr:rowOff>
    </xdr:from>
    <xdr:to>
      <xdr:col>11</xdr:col>
      <xdr:colOff>571500</xdr:colOff>
      <xdr:row>403</xdr:row>
      <xdr:rowOff>0</xdr:rowOff>
    </xdr:to>
    <xdr:pic>
      <xdr:nvPicPr>
        <xdr:cNvPr id="8875" name="Рисунок 8874">
          <a:extLst>
            <a:ext uri="{FF2B5EF4-FFF2-40B4-BE49-F238E27FC236}">
              <a16:creationId xmlns:a16="http://schemas.microsoft.com/office/drawing/2014/main" id="{F834A8FC-8131-43FE-A4B5-48FAAA19E2D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26634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403</xdr:row>
      <xdr:rowOff>25400</xdr:rowOff>
    </xdr:from>
    <xdr:to>
      <xdr:col>11</xdr:col>
      <xdr:colOff>571500</xdr:colOff>
      <xdr:row>404</xdr:row>
      <xdr:rowOff>0</xdr:rowOff>
    </xdr:to>
    <xdr:pic>
      <xdr:nvPicPr>
        <xdr:cNvPr id="8877" name="Рисунок 8876">
          <a:extLst>
            <a:ext uri="{FF2B5EF4-FFF2-40B4-BE49-F238E27FC236}">
              <a16:creationId xmlns:a16="http://schemas.microsoft.com/office/drawing/2014/main" id="{292C3FC8-8777-4EA9-81DA-5D21945301D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27206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404</xdr:row>
      <xdr:rowOff>25400</xdr:rowOff>
    </xdr:from>
    <xdr:to>
      <xdr:col>11</xdr:col>
      <xdr:colOff>571500</xdr:colOff>
      <xdr:row>405</xdr:row>
      <xdr:rowOff>0</xdr:rowOff>
    </xdr:to>
    <xdr:pic>
      <xdr:nvPicPr>
        <xdr:cNvPr id="8879" name="Рисунок 8878">
          <a:extLst>
            <a:ext uri="{FF2B5EF4-FFF2-40B4-BE49-F238E27FC236}">
              <a16:creationId xmlns:a16="http://schemas.microsoft.com/office/drawing/2014/main" id="{0D74AC5C-B5F6-42DF-BB68-8D6C93A4859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27777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405</xdr:row>
      <xdr:rowOff>25400</xdr:rowOff>
    </xdr:from>
    <xdr:to>
      <xdr:col>11</xdr:col>
      <xdr:colOff>571500</xdr:colOff>
      <xdr:row>406</xdr:row>
      <xdr:rowOff>0</xdr:rowOff>
    </xdr:to>
    <xdr:pic>
      <xdr:nvPicPr>
        <xdr:cNvPr id="8881" name="Рисунок 8880">
          <a:extLst>
            <a:ext uri="{FF2B5EF4-FFF2-40B4-BE49-F238E27FC236}">
              <a16:creationId xmlns:a16="http://schemas.microsoft.com/office/drawing/2014/main" id="{B2EFCDBD-3C3E-4BC2-B0FE-42D72472567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28349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406</xdr:row>
      <xdr:rowOff>25400</xdr:rowOff>
    </xdr:from>
    <xdr:to>
      <xdr:col>11</xdr:col>
      <xdr:colOff>571500</xdr:colOff>
      <xdr:row>407</xdr:row>
      <xdr:rowOff>0</xdr:rowOff>
    </xdr:to>
    <xdr:pic>
      <xdr:nvPicPr>
        <xdr:cNvPr id="8883" name="Рисунок 8882">
          <a:extLst>
            <a:ext uri="{FF2B5EF4-FFF2-40B4-BE49-F238E27FC236}">
              <a16:creationId xmlns:a16="http://schemas.microsoft.com/office/drawing/2014/main" id="{BCA515D6-648F-409F-932D-0F38C9250E8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28920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407</xdr:row>
      <xdr:rowOff>25400</xdr:rowOff>
    </xdr:from>
    <xdr:to>
      <xdr:col>11</xdr:col>
      <xdr:colOff>571500</xdr:colOff>
      <xdr:row>408</xdr:row>
      <xdr:rowOff>0</xdr:rowOff>
    </xdr:to>
    <xdr:pic>
      <xdr:nvPicPr>
        <xdr:cNvPr id="8885" name="Рисунок 8884">
          <a:extLst>
            <a:ext uri="{FF2B5EF4-FFF2-40B4-BE49-F238E27FC236}">
              <a16:creationId xmlns:a16="http://schemas.microsoft.com/office/drawing/2014/main" id="{D422EA7E-EAB5-4C52-85C8-C3D1CE4D0CB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29492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408</xdr:row>
      <xdr:rowOff>25400</xdr:rowOff>
    </xdr:from>
    <xdr:to>
      <xdr:col>11</xdr:col>
      <xdr:colOff>571500</xdr:colOff>
      <xdr:row>409</xdr:row>
      <xdr:rowOff>0</xdr:rowOff>
    </xdr:to>
    <xdr:pic>
      <xdr:nvPicPr>
        <xdr:cNvPr id="8887" name="Рисунок 8886">
          <a:extLst>
            <a:ext uri="{FF2B5EF4-FFF2-40B4-BE49-F238E27FC236}">
              <a16:creationId xmlns:a16="http://schemas.microsoft.com/office/drawing/2014/main" id="{154185CB-22EB-43D2-8E9D-A278EFAE6D8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30063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409</xdr:row>
      <xdr:rowOff>25400</xdr:rowOff>
    </xdr:from>
    <xdr:to>
      <xdr:col>11</xdr:col>
      <xdr:colOff>571500</xdr:colOff>
      <xdr:row>410</xdr:row>
      <xdr:rowOff>0</xdr:rowOff>
    </xdr:to>
    <xdr:pic>
      <xdr:nvPicPr>
        <xdr:cNvPr id="8889" name="Рисунок 8888">
          <a:extLst>
            <a:ext uri="{FF2B5EF4-FFF2-40B4-BE49-F238E27FC236}">
              <a16:creationId xmlns:a16="http://schemas.microsoft.com/office/drawing/2014/main" id="{89F1F873-6B8A-49AD-A70B-7AC56864608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30635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410</xdr:row>
      <xdr:rowOff>25400</xdr:rowOff>
    </xdr:from>
    <xdr:to>
      <xdr:col>11</xdr:col>
      <xdr:colOff>571500</xdr:colOff>
      <xdr:row>411</xdr:row>
      <xdr:rowOff>0</xdr:rowOff>
    </xdr:to>
    <xdr:pic>
      <xdr:nvPicPr>
        <xdr:cNvPr id="8891" name="Рисунок 8890">
          <a:extLst>
            <a:ext uri="{FF2B5EF4-FFF2-40B4-BE49-F238E27FC236}">
              <a16:creationId xmlns:a16="http://schemas.microsoft.com/office/drawing/2014/main" id="{078484ED-4B9B-4854-8730-2C014503A56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31206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411</xdr:row>
      <xdr:rowOff>25400</xdr:rowOff>
    </xdr:from>
    <xdr:to>
      <xdr:col>11</xdr:col>
      <xdr:colOff>571500</xdr:colOff>
      <xdr:row>412</xdr:row>
      <xdr:rowOff>0</xdr:rowOff>
    </xdr:to>
    <xdr:pic>
      <xdr:nvPicPr>
        <xdr:cNvPr id="8893" name="Рисунок 8892">
          <a:extLst>
            <a:ext uri="{FF2B5EF4-FFF2-40B4-BE49-F238E27FC236}">
              <a16:creationId xmlns:a16="http://schemas.microsoft.com/office/drawing/2014/main" id="{B988BE27-754F-4D5D-AB57-5D039F03138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31778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412</xdr:row>
      <xdr:rowOff>25400</xdr:rowOff>
    </xdr:from>
    <xdr:to>
      <xdr:col>11</xdr:col>
      <xdr:colOff>571500</xdr:colOff>
      <xdr:row>413</xdr:row>
      <xdr:rowOff>0</xdr:rowOff>
    </xdr:to>
    <xdr:pic>
      <xdr:nvPicPr>
        <xdr:cNvPr id="8895" name="Рисунок 8894">
          <a:extLst>
            <a:ext uri="{FF2B5EF4-FFF2-40B4-BE49-F238E27FC236}">
              <a16:creationId xmlns:a16="http://schemas.microsoft.com/office/drawing/2014/main" id="{7A10F6BB-F255-43F7-8F77-8B162F22887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32349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413</xdr:row>
      <xdr:rowOff>25400</xdr:rowOff>
    </xdr:from>
    <xdr:to>
      <xdr:col>11</xdr:col>
      <xdr:colOff>571500</xdr:colOff>
      <xdr:row>414</xdr:row>
      <xdr:rowOff>0</xdr:rowOff>
    </xdr:to>
    <xdr:pic>
      <xdr:nvPicPr>
        <xdr:cNvPr id="8897" name="Рисунок 8896">
          <a:extLst>
            <a:ext uri="{FF2B5EF4-FFF2-40B4-BE49-F238E27FC236}">
              <a16:creationId xmlns:a16="http://schemas.microsoft.com/office/drawing/2014/main" id="{1D96109B-82C0-48D7-9B40-79D125B48E7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32921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414</xdr:row>
      <xdr:rowOff>25400</xdr:rowOff>
    </xdr:from>
    <xdr:to>
      <xdr:col>11</xdr:col>
      <xdr:colOff>571500</xdr:colOff>
      <xdr:row>415</xdr:row>
      <xdr:rowOff>0</xdr:rowOff>
    </xdr:to>
    <xdr:pic>
      <xdr:nvPicPr>
        <xdr:cNvPr id="8899" name="Рисунок 8898">
          <a:extLst>
            <a:ext uri="{FF2B5EF4-FFF2-40B4-BE49-F238E27FC236}">
              <a16:creationId xmlns:a16="http://schemas.microsoft.com/office/drawing/2014/main" id="{D9673BEA-B5D1-4B5A-AD30-8CBD57FF084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33492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415</xdr:row>
      <xdr:rowOff>25400</xdr:rowOff>
    </xdr:from>
    <xdr:to>
      <xdr:col>11</xdr:col>
      <xdr:colOff>571500</xdr:colOff>
      <xdr:row>416</xdr:row>
      <xdr:rowOff>0</xdr:rowOff>
    </xdr:to>
    <xdr:pic>
      <xdr:nvPicPr>
        <xdr:cNvPr id="8901" name="Рисунок 8900">
          <a:extLst>
            <a:ext uri="{FF2B5EF4-FFF2-40B4-BE49-F238E27FC236}">
              <a16:creationId xmlns:a16="http://schemas.microsoft.com/office/drawing/2014/main" id="{0E060053-8F5C-4A04-9333-A957DC1237B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34064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416</xdr:row>
      <xdr:rowOff>25400</xdr:rowOff>
    </xdr:from>
    <xdr:to>
      <xdr:col>11</xdr:col>
      <xdr:colOff>571500</xdr:colOff>
      <xdr:row>417</xdr:row>
      <xdr:rowOff>0</xdr:rowOff>
    </xdr:to>
    <xdr:pic>
      <xdr:nvPicPr>
        <xdr:cNvPr id="8903" name="Рисунок 8902">
          <a:extLst>
            <a:ext uri="{FF2B5EF4-FFF2-40B4-BE49-F238E27FC236}">
              <a16:creationId xmlns:a16="http://schemas.microsoft.com/office/drawing/2014/main" id="{5FA6F44A-578A-4E79-9814-57A9EAC8DD5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34635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417</xdr:row>
      <xdr:rowOff>25400</xdr:rowOff>
    </xdr:from>
    <xdr:to>
      <xdr:col>11</xdr:col>
      <xdr:colOff>571500</xdr:colOff>
      <xdr:row>418</xdr:row>
      <xdr:rowOff>0</xdr:rowOff>
    </xdr:to>
    <xdr:pic>
      <xdr:nvPicPr>
        <xdr:cNvPr id="8905" name="Рисунок 8904">
          <a:extLst>
            <a:ext uri="{FF2B5EF4-FFF2-40B4-BE49-F238E27FC236}">
              <a16:creationId xmlns:a16="http://schemas.microsoft.com/office/drawing/2014/main" id="{75CFE2AA-D29F-4C08-8F8E-17864CBB4EE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35207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418</xdr:row>
      <xdr:rowOff>25400</xdr:rowOff>
    </xdr:from>
    <xdr:to>
      <xdr:col>11</xdr:col>
      <xdr:colOff>571500</xdr:colOff>
      <xdr:row>419</xdr:row>
      <xdr:rowOff>0</xdr:rowOff>
    </xdr:to>
    <xdr:pic>
      <xdr:nvPicPr>
        <xdr:cNvPr id="8907" name="Рисунок 8906">
          <a:extLst>
            <a:ext uri="{FF2B5EF4-FFF2-40B4-BE49-F238E27FC236}">
              <a16:creationId xmlns:a16="http://schemas.microsoft.com/office/drawing/2014/main" id="{8BA6EDE6-B1F6-400C-B1FC-1DAFA134911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35778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419</xdr:row>
      <xdr:rowOff>25400</xdr:rowOff>
    </xdr:from>
    <xdr:to>
      <xdr:col>11</xdr:col>
      <xdr:colOff>571500</xdr:colOff>
      <xdr:row>420</xdr:row>
      <xdr:rowOff>0</xdr:rowOff>
    </xdr:to>
    <xdr:pic>
      <xdr:nvPicPr>
        <xdr:cNvPr id="8909" name="Рисунок 8908">
          <a:extLst>
            <a:ext uri="{FF2B5EF4-FFF2-40B4-BE49-F238E27FC236}">
              <a16:creationId xmlns:a16="http://schemas.microsoft.com/office/drawing/2014/main" id="{0F0814AE-0D6F-4C72-B22C-2893C247EF5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36350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420</xdr:row>
      <xdr:rowOff>25400</xdr:rowOff>
    </xdr:from>
    <xdr:to>
      <xdr:col>11</xdr:col>
      <xdr:colOff>571500</xdr:colOff>
      <xdr:row>421</xdr:row>
      <xdr:rowOff>0</xdr:rowOff>
    </xdr:to>
    <xdr:pic>
      <xdr:nvPicPr>
        <xdr:cNvPr id="8911" name="Рисунок 8910">
          <a:extLst>
            <a:ext uri="{FF2B5EF4-FFF2-40B4-BE49-F238E27FC236}">
              <a16:creationId xmlns:a16="http://schemas.microsoft.com/office/drawing/2014/main" id="{3E65A502-E2F0-4BD2-8A4A-C4C34C9CEB7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36921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421</xdr:row>
      <xdr:rowOff>25400</xdr:rowOff>
    </xdr:from>
    <xdr:to>
      <xdr:col>11</xdr:col>
      <xdr:colOff>571500</xdr:colOff>
      <xdr:row>422</xdr:row>
      <xdr:rowOff>0</xdr:rowOff>
    </xdr:to>
    <xdr:pic>
      <xdr:nvPicPr>
        <xdr:cNvPr id="8913" name="Рисунок 8912">
          <a:extLst>
            <a:ext uri="{FF2B5EF4-FFF2-40B4-BE49-F238E27FC236}">
              <a16:creationId xmlns:a16="http://schemas.microsoft.com/office/drawing/2014/main" id="{BC21DF2E-2CFE-485C-A3A4-9E89C3D3A0B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37493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422</xdr:row>
      <xdr:rowOff>25400</xdr:rowOff>
    </xdr:from>
    <xdr:to>
      <xdr:col>11</xdr:col>
      <xdr:colOff>571500</xdr:colOff>
      <xdr:row>423</xdr:row>
      <xdr:rowOff>0</xdr:rowOff>
    </xdr:to>
    <xdr:pic>
      <xdr:nvPicPr>
        <xdr:cNvPr id="8915" name="Рисунок 8914">
          <a:extLst>
            <a:ext uri="{FF2B5EF4-FFF2-40B4-BE49-F238E27FC236}">
              <a16:creationId xmlns:a16="http://schemas.microsoft.com/office/drawing/2014/main" id="{D0FFD157-87AF-4362-9228-A453F1B5E1A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38064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423</xdr:row>
      <xdr:rowOff>25400</xdr:rowOff>
    </xdr:from>
    <xdr:to>
      <xdr:col>11</xdr:col>
      <xdr:colOff>571500</xdr:colOff>
      <xdr:row>424</xdr:row>
      <xdr:rowOff>0</xdr:rowOff>
    </xdr:to>
    <xdr:pic>
      <xdr:nvPicPr>
        <xdr:cNvPr id="8917" name="Рисунок 8916">
          <a:extLst>
            <a:ext uri="{FF2B5EF4-FFF2-40B4-BE49-F238E27FC236}">
              <a16:creationId xmlns:a16="http://schemas.microsoft.com/office/drawing/2014/main" id="{6A22FD83-6AB2-47C8-9347-B607B86CEF5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38636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424</xdr:row>
      <xdr:rowOff>25400</xdr:rowOff>
    </xdr:from>
    <xdr:to>
      <xdr:col>11</xdr:col>
      <xdr:colOff>571500</xdr:colOff>
      <xdr:row>425</xdr:row>
      <xdr:rowOff>0</xdr:rowOff>
    </xdr:to>
    <xdr:pic>
      <xdr:nvPicPr>
        <xdr:cNvPr id="8919" name="Рисунок 8918">
          <a:extLst>
            <a:ext uri="{FF2B5EF4-FFF2-40B4-BE49-F238E27FC236}">
              <a16:creationId xmlns:a16="http://schemas.microsoft.com/office/drawing/2014/main" id="{4A114876-EC8A-4C9B-BC4E-1A55A71AA59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39207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425</xdr:row>
      <xdr:rowOff>25400</xdr:rowOff>
    </xdr:from>
    <xdr:to>
      <xdr:col>11</xdr:col>
      <xdr:colOff>571500</xdr:colOff>
      <xdr:row>426</xdr:row>
      <xdr:rowOff>0</xdr:rowOff>
    </xdr:to>
    <xdr:pic>
      <xdr:nvPicPr>
        <xdr:cNvPr id="8921" name="Рисунок 8920">
          <a:extLst>
            <a:ext uri="{FF2B5EF4-FFF2-40B4-BE49-F238E27FC236}">
              <a16:creationId xmlns:a16="http://schemas.microsoft.com/office/drawing/2014/main" id="{ECBF28EE-07B9-44F4-A9DF-DB9AF1531D0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39779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426</xdr:row>
      <xdr:rowOff>25400</xdr:rowOff>
    </xdr:from>
    <xdr:to>
      <xdr:col>11</xdr:col>
      <xdr:colOff>571500</xdr:colOff>
      <xdr:row>427</xdr:row>
      <xdr:rowOff>0</xdr:rowOff>
    </xdr:to>
    <xdr:pic>
      <xdr:nvPicPr>
        <xdr:cNvPr id="8923" name="Рисунок 8922">
          <a:extLst>
            <a:ext uri="{FF2B5EF4-FFF2-40B4-BE49-F238E27FC236}">
              <a16:creationId xmlns:a16="http://schemas.microsoft.com/office/drawing/2014/main" id="{08E8CBF7-875F-4EDA-AF3E-FE4EF91D98D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40350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427</xdr:row>
      <xdr:rowOff>25400</xdr:rowOff>
    </xdr:from>
    <xdr:to>
      <xdr:col>11</xdr:col>
      <xdr:colOff>571500</xdr:colOff>
      <xdr:row>428</xdr:row>
      <xdr:rowOff>0</xdr:rowOff>
    </xdr:to>
    <xdr:pic>
      <xdr:nvPicPr>
        <xdr:cNvPr id="8925" name="Рисунок 8924">
          <a:extLst>
            <a:ext uri="{FF2B5EF4-FFF2-40B4-BE49-F238E27FC236}">
              <a16:creationId xmlns:a16="http://schemas.microsoft.com/office/drawing/2014/main" id="{FAAD4664-347D-40BF-BCDD-D41D01C22AB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40922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428</xdr:row>
      <xdr:rowOff>25400</xdr:rowOff>
    </xdr:from>
    <xdr:to>
      <xdr:col>11</xdr:col>
      <xdr:colOff>571500</xdr:colOff>
      <xdr:row>429</xdr:row>
      <xdr:rowOff>0</xdr:rowOff>
    </xdr:to>
    <xdr:pic>
      <xdr:nvPicPr>
        <xdr:cNvPr id="8927" name="Рисунок 8926">
          <a:extLst>
            <a:ext uri="{FF2B5EF4-FFF2-40B4-BE49-F238E27FC236}">
              <a16:creationId xmlns:a16="http://schemas.microsoft.com/office/drawing/2014/main" id="{1A4BA17D-2EF2-4262-B373-B372D5B9CE0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41493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429</xdr:row>
      <xdr:rowOff>25400</xdr:rowOff>
    </xdr:from>
    <xdr:to>
      <xdr:col>11</xdr:col>
      <xdr:colOff>571500</xdr:colOff>
      <xdr:row>430</xdr:row>
      <xdr:rowOff>0</xdr:rowOff>
    </xdr:to>
    <xdr:pic>
      <xdr:nvPicPr>
        <xdr:cNvPr id="8929" name="Рисунок 8928">
          <a:extLst>
            <a:ext uri="{FF2B5EF4-FFF2-40B4-BE49-F238E27FC236}">
              <a16:creationId xmlns:a16="http://schemas.microsoft.com/office/drawing/2014/main" id="{BA4F092A-9B05-47F8-B8EF-6049127BEEC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42065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430</xdr:row>
      <xdr:rowOff>25400</xdr:rowOff>
    </xdr:from>
    <xdr:to>
      <xdr:col>11</xdr:col>
      <xdr:colOff>571500</xdr:colOff>
      <xdr:row>431</xdr:row>
      <xdr:rowOff>0</xdr:rowOff>
    </xdr:to>
    <xdr:pic>
      <xdr:nvPicPr>
        <xdr:cNvPr id="8931" name="Рисунок 8930">
          <a:extLst>
            <a:ext uri="{FF2B5EF4-FFF2-40B4-BE49-F238E27FC236}">
              <a16:creationId xmlns:a16="http://schemas.microsoft.com/office/drawing/2014/main" id="{82D7ED1B-82A5-4A52-813E-6F8B3C2327B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42636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431</xdr:row>
      <xdr:rowOff>25400</xdr:rowOff>
    </xdr:from>
    <xdr:to>
      <xdr:col>11</xdr:col>
      <xdr:colOff>571500</xdr:colOff>
      <xdr:row>432</xdr:row>
      <xdr:rowOff>0</xdr:rowOff>
    </xdr:to>
    <xdr:pic>
      <xdr:nvPicPr>
        <xdr:cNvPr id="8933" name="Рисунок 8932">
          <a:extLst>
            <a:ext uri="{FF2B5EF4-FFF2-40B4-BE49-F238E27FC236}">
              <a16:creationId xmlns:a16="http://schemas.microsoft.com/office/drawing/2014/main" id="{78C9F58D-72CC-4987-9048-7729930994D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43208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432</xdr:row>
      <xdr:rowOff>25400</xdr:rowOff>
    </xdr:from>
    <xdr:to>
      <xdr:col>11</xdr:col>
      <xdr:colOff>571500</xdr:colOff>
      <xdr:row>433</xdr:row>
      <xdr:rowOff>0</xdr:rowOff>
    </xdr:to>
    <xdr:pic>
      <xdr:nvPicPr>
        <xdr:cNvPr id="8935" name="Рисунок 8934">
          <a:extLst>
            <a:ext uri="{FF2B5EF4-FFF2-40B4-BE49-F238E27FC236}">
              <a16:creationId xmlns:a16="http://schemas.microsoft.com/office/drawing/2014/main" id="{C0AF348B-6F0C-4F87-801F-9CD480D24E2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43779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433</xdr:row>
      <xdr:rowOff>25400</xdr:rowOff>
    </xdr:from>
    <xdr:to>
      <xdr:col>11</xdr:col>
      <xdr:colOff>571500</xdr:colOff>
      <xdr:row>434</xdr:row>
      <xdr:rowOff>0</xdr:rowOff>
    </xdr:to>
    <xdr:pic>
      <xdr:nvPicPr>
        <xdr:cNvPr id="8937" name="Рисунок 8936">
          <a:extLst>
            <a:ext uri="{FF2B5EF4-FFF2-40B4-BE49-F238E27FC236}">
              <a16:creationId xmlns:a16="http://schemas.microsoft.com/office/drawing/2014/main" id="{A2F12B49-53CE-45A3-8EB7-7D7FAC7AD14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44351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434</xdr:row>
      <xdr:rowOff>25400</xdr:rowOff>
    </xdr:from>
    <xdr:to>
      <xdr:col>11</xdr:col>
      <xdr:colOff>571500</xdr:colOff>
      <xdr:row>435</xdr:row>
      <xdr:rowOff>0</xdr:rowOff>
    </xdr:to>
    <xdr:pic>
      <xdr:nvPicPr>
        <xdr:cNvPr id="8939" name="Рисунок 8938">
          <a:extLst>
            <a:ext uri="{FF2B5EF4-FFF2-40B4-BE49-F238E27FC236}">
              <a16:creationId xmlns:a16="http://schemas.microsoft.com/office/drawing/2014/main" id="{47B7C106-1105-457F-9FB5-B2BC79188A4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44922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435</xdr:row>
      <xdr:rowOff>25400</xdr:rowOff>
    </xdr:from>
    <xdr:to>
      <xdr:col>11</xdr:col>
      <xdr:colOff>571500</xdr:colOff>
      <xdr:row>436</xdr:row>
      <xdr:rowOff>0</xdr:rowOff>
    </xdr:to>
    <xdr:pic>
      <xdr:nvPicPr>
        <xdr:cNvPr id="8941" name="Рисунок 8940">
          <a:extLst>
            <a:ext uri="{FF2B5EF4-FFF2-40B4-BE49-F238E27FC236}">
              <a16:creationId xmlns:a16="http://schemas.microsoft.com/office/drawing/2014/main" id="{72EC1985-7119-427B-B74B-F452B5F0958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45494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436</xdr:row>
      <xdr:rowOff>25400</xdr:rowOff>
    </xdr:from>
    <xdr:to>
      <xdr:col>11</xdr:col>
      <xdr:colOff>571500</xdr:colOff>
      <xdr:row>437</xdr:row>
      <xdr:rowOff>0</xdr:rowOff>
    </xdr:to>
    <xdr:pic>
      <xdr:nvPicPr>
        <xdr:cNvPr id="8943" name="Рисунок 8942">
          <a:extLst>
            <a:ext uri="{FF2B5EF4-FFF2-40B4-BE49-F238E27FC236}">
              <a16:creationId xmlns:a16="http://schemas.microsoft.com/office/drawing/2014/main" id="{C771A4D5-EEBD-47A4-A1C0-82BC79A96AB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46065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437</xdr:row>
      <xdr:rowOff>25400</xdr:rowOff>
    </xdr:from>
    <xdr:to>
      <xdr:col>11</xdr:col>
      <xdr:colOff>571500</xdr:colOff>
      <xdr:row>438</xdr:row>
      <xdr:rowOff>0</xdr:rowOff>
    </xdr:to>
    <xdr:pic>
      <xdr:nvPicPr>
        <xdr:cNvPr id="8945" name="Рисунок 8944">
          <a:extLst>
            <a:ext uri="{FF2B5EF4-FFF2-40B4-BE49-F238E27FC236}">
              <a16:creationId xmlns:a16="http://schemas.microsoft.com/office/drawing/2014/main" id="{D7B408AE-19C1-4FC6-9D2F-1568A47BACF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46637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438</xdr:row>
      <xdr:rowOff>25400</xdr:rowOff>
    </xdr:from>
    <xdr:to>
      <xdr:col>11</xdr:col>
      <xdr:colOff>571500</xdr:colOff>
      <xdr:row>439</xdr:row>
      <xdr:rowOff>0</xdr:rowOff>
    </xdr:to>
    <xdr:pic>
      <xdr:nvPicPr>
        <xdr:cNvPr id="8947" name="Рисунок 8946">
          <a:extLst>
            <a:ext uri="{FF2B5EF4-FFF2-40B4-BE49-F238E27FC236}">
              <a16:creationId xmlns:a16="http://schemas.microsoft.com/office/drawing/2014/main" id="{2FC6776E-F1C0-419F-8049-9F316A1C399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47208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439</xdr:row>
      <xdr:rowOff>25400</xdr:rowOff>
    </xdr:from>
    <xdr:to>
      <xdr:col>11</xdr:col>
      <xdr:colOff>571500</xdr:colOff>
      <xdr:row>440</xdr:row>
      <xdr:rowOff>0</xdr:rowOff>
    </xdr:to>
    <xdr:pic>
      <xdr:nvPicPr>
        <xdr:cNvPr id="8949" name="Рисунок 8948">
          <a:extLst>
            <a:ext uri="{FF2B5EF4-FFF2-40B4-BE49-F238E27FC236}">
              <a16:creationId xmlns:a16="http://schemas.microsoft.com/office/drawing/2014/main" id="{7FC7A511-E17E-4034-A26E-1CA50C083D5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47780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440</xdr:row>
      <xdr:rowOff>25400</xdr:rowOff>
    </xdr:from>
    <xdr:to>
      <xdr:col>11</xdr:col>
      <xdr:colOff>571500</xdr:colOff>
      <xdr:row>441</xdr:row>
      <xdr:rowOff>0</xdr:rowOff>
    </xdr:to>
    <xdr:pic>
      <xdr:nvPicPr>
        <xdr:cNvPr id="8951" name="Рисунок 8950">
          <a:extLst>
            <a:ext uri="{FF2B5EF4-FFF2-40B4-BE49-F238E27FC236}">
              <a16:creationId xmlns:a16="http://schemas.microsoft.com/office/drawing/2014/main" id="{181277CF-FDDE-4D6D-A2AD-80A7D394328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48351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441</xdr:row>
      <xdr:rowOff>25400</xdr:rowOff>
    </xdr:from>
    <xdr:to>
      <xdr:col>11</xdr:col>
      <xdr:colOff>571500</xdr:colOff>
      <xdr:row>442</xdr:row>
      <xdr:rowOff>0</xdr:rowOff>
    </xdr:to>
    <xdr:pic>
      <xdr:nvPicPr>
        <xdr:cNvPr id="8953" name="Рисунок 8952">
          <a:extLst>
            <a:ext uri="{FF2B5EF4-FFF2-40B4-BE49-F238E27FC236}">
              <a16:creationId xmlns:a16="http://schemas.microsoft.com/office/drawing/2014/main" id="{4FBABFAA-9438-45F2-A54D-C03197CDB4D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48923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442</xdr:row>
      <xdr:rowOff>25400</xdr:rowOff>
    </xdr:from>
    <xdr:to>
      <xdr:col>11</xdr:col>
      <xdr:colOff>571500</xdr:colOff>
      <xdr:row>443</xdr:row>
      <xdr:rowOff>0</xdr:rowOff>
    </xdr:to>
    <xdr:pic>
      <xdr:nvPicPr>
        <xdr:cNvPr id="8955" name="Рисунок 8954">
          <a:extLst>
            <a:ext uri="{FF2B5EF4-FFF2-40B4-BE49-F238E27FC236}">
              <a16:creationId xmlns:a16="http://schemas.microsoft.com/office/drawing/2014/main" id="{274B8FF3-1088-4BC1-8D40-8E533A6EDB5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49494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443</xdr:row>
      <xdr:rowOff>25400</xdr:rowOff>
    </xdr:from>
    <xdr:to>
      <xdr:col>11</xdr:col>
      <xdr:colOff>571500</xdr:colOff>
      <xdr:row>444</xdr:row>
      <xdr:rowOff>0</xdr:rowOff>
    </xdr:to>
    <xdr:pic>
      <xdr:nvPicPr>
        <xdr:cNvPr id="8957" name="Рисунок 8956">
          <a:extLst>
            <a:ext uri="{FF2B5EF4-FFF2-40B4-BE49-F238E27FC236}">
              <a16:creationId xmlns:a16="http://schemas.microsoft.com/office/drawing/2014/main" id="{40E02091-7ABE-469D-87AA-7B20288D7A5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50066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444</xdr:row>
      <xdr:rowOff>25400</xdr:rowOff>
    </xdr:from>
    <xdr:to>
      <xdr:col>11</xdr:col>
      <xdr:colOff>571500</xdr:colOff>
      <xdr:row>445</xdr:row>
      <xdr:rowOff>0</xdr:rowOff>
    </xdr:to>
    <xdr:pic>
      <xdr:nvPicPr>
        <xdr:cNvPr id="8959" name="Рисунок 8958">
          <a:extLst>
            <a:ext uri="{FF2B5EF4-FFF2-40B4-BE49-F238E27FC236}">
              <a16:creationId xmlns:a16="http://schemas.microsoft.com/office/drawing/2014/main" id="{D8FFD7B5-912D-4B0A-B4DD-FFD9434D603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50637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445</xdr:row>
      <xdr:rowOff>25400</xdr:rowOff>
    </xdr:from>
    <xdr:to>
      <xdr:col>11</xdr:col>
      <xdr:colOff>571500</xdr:colOff>
      <xdr:row>446</xdr:row>
      <xdr:rowOff>0</xdr:rowOff>
    </xdr:to>
    <xdr:pic>
      <xdr:nvPicPr>
        <xdr:cNvPr id="8961" name="Рисунок 8960">
          <a:extLst>
            <a:ext uri="{FF2B5EF4-FFF2-40B4-BE49-F238E27FC236}">
              <a16:creationId xmlns:a16="http://schemas.microsoft.com/office/drawing/2014/main" id="{61888A94-BF8C-4FEA-B30B-CB7EFE303ED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51209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446</xdr:row>
      <xdr:rowOff>25400</xdr:rowOff>
    </xdr:from>
    <xdr:to>
      <xdr:col>11</xdr:col>
      <xdr:colOff>571500</xdr:colOff>
      <xdr:row>447</xdr:row>
      <xdr:rowOff>0</xdr:rowOff>
    </xdr:to>
    <xdr:pic>
      <xdr:nvPicPr>
        <xdr:cNvPr id="8963" name="Рисунок 8962">
          <a:extLst>
            <a:ext uri="{FF2B5EF4-FFF2-40B4-BE49-F238E27FC236}">
              <a16:creationId xmlns:a16="http://schemas.microsoft.com/office/drawing/2014/main" id="{49BDC061-4E7D-4D1B-931F-09B8EFB17DF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51780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447</xdr:row>
      <xdr:rowOff>25400</xdr:rowOff>
    </xdr:from>
    <xdr:to>
      <xdr:col>11</xdr:col>
      <xdr:colOff>571500</xdr:colOff>
      <xdr:row>448</xdr:row>
      <xdr:rowOff>0</xdr:rowOff>
    </xdr:to>
    <xdr:pic>
      <xdr:nvPicPr>
        <xdr:cNvPr id="8965" name="Рисунок 8964">
          <a:extLst>
            <a:ext uri="{FF2B5EF4-FFF2-40B4-BE49-F238E27FC236}">
              <a16:creationId xmlns:a16="http://schemas.microsoft.com/office/drawing/2014/main" id="{94EA195D-EC2D-4621-900E-4D0197A9206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52352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448</xdr:row>
      <xdr:rowOff>25400</xdr:rowOff>
    </xdr:from>
    <xdr:to>
      <xdr:col>11</xdr:col>
      <xdr:colOff>571500</xdr:colOff>
      <xdr:row>449</xdr:row>
      <xdr:rowOff>0</xdr:rowOff>
    </xdr:to>
    <xdr:pic>
      <xdr:nvPicPr>
        <xdr:cNvPr id="8967" name="Рисунок 8966">
          <a:extLst>
            <a:ext uri="{FF2B5EF4-FFF2-40B4-BE49-F238E27FC236}">
              <a16:creationId xmlns:a16="http://schemas.microsoft.com/office/drawing/2014/main" id="{61AB5054-5414-4D11-9EC1-850D1312994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52923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449</xdr:row>
      <xdr:rowOff>25400</xdr:rowOff>
    </xdr:from>
    <xdr:to>
      <xdr:col>11</xdr:col>
      <xdr:colOff>571500</xdr:colOff>
      <xdr:row>450</xdr:row>
      <xdr:rowOff>0</xdr:rowOff>
    </xdr:to>
    <xdr:pic>
      <xdr:nvPicPr>
        <xdr:cNvPr id="8969" name="Рисунок 8968">
          <a:extLst>
            <a:ext uri="{FF2B5EF4-FFF2-40B4-BE49-F238E27FC236}">
              <a16:creationId xmlns:a16="http://schemas.microsoft.com/office/drawing/2014/main" id="{91B9840C-83CD-4E1B-9005-D3434342ED3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53495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450</xdr:row>
      <xdr:rowOff>25400</xdr:rowOff>
    </xdr:from>
    <xdr:to>
      <xdr:col>11</xdr:col>
      <xdr:colOff>571500</xdr:colOff>
      <xdr:row>451</xdr:row>
      <xdr:rowOff>0</xdr:rowOff>
    </xdr:to>
    <xdr:pic>
      <xdr:nvPicPr>
        <xdr:cNvPr id="8971" name="Рисунок 8970">
          <a:extLst>
            <a:ext uri="{FF2B5EF4-FFF2-40B4-BE49-F238E27FC236}">
              <a16:creationId xmlns:a16="http://schemas.microsoft.com/office/drawing/2014/main" id="{DD6C74E0-45F1-48D9-98FC-7B2C0B8381E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54066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451</xdr:row>
      <xdr:rowOff>25400</xdr:rowOff>
    </xdr:from>
    <xdr:to>
      <xdr:col>11</xdr:col>
      <xdr:colOff>571500</xdr:colOff>
      <xdr:row>452</xdr:row>
      <xdr:rowOff>0</xdr:rowOff>
    </xdr:to>
    <xdr:pic>
      <xdr:nvPicPr>
        <xdr:cNvPr id="8973" name="Рисунок 8972">
          <a:extLst>
            <a:ext uri="{FF2B5EF4-FFF2-40B4-BE49-F238E27FC236}">
              <a16:creationId xmlns:a16="http://schemas.microsoft.com/office/drawing/2014/main" id="{B0E7676F-B257-4E1C-955F-3597E147504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54638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452</xdr:row>
      <xdr:rowOff>25400</xdr:rowOff>
    </xdr:from>
    <xdr:to>
      <xdr:col>11</xdr:col>
      <xdr:colOff>571500</xdr:colOff>
      <xdr:row>453</xdr:row>
      <xdr:rowOff>0</xdr:rowOff>
    </xdr:to>
    <xdr:pic>
      <xdr:nvPicPr>
        <xdr:cNvPr id="8975" name="Рисунок 8974">
          <a:extLst>
            <a:ext uri="{FF2B5EF4-FFF2-40B4-BE49-F238E27FC236}">
              <a16:creationId xmlns:a16="http://schemas.microsoft.com/office/drawing/2014/main" id="{573F043E-1B07-4E33-BCF1-B461EE8108B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55209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453</xdr:row>
      <xdr:rowOff>25400</xdr:rowOff>
    </xdr:from>
    <xdr:to>
      <xdr:col>11</xdr:col>
      <xdr:colOff>571500</xdr:colOff>
      <xdr:row>454</xdr:row>
      <xdr:rowOff>0</xdr:rowOff>
    </xdr:to>
    <xdr:pic>
      <xdr:nvPicPr>
        <xdr:cNvPr id="8977" name="Рисунок 8976">
          <a:extLst>
            <a:ext uri="{FF2B5EF4-FFF2-40B4-BE49-F238E27FC236}">
              <a16:creationId xmlns:a16="http://schemas.microsoft.com/office/drawing/2014/main" id="{A93E1F40-9F24-4DF9-BD4D-8A71BC9F4E8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55781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454</xdr:row>
      <xdr:rowOff>25400</xdr:rowOff>
    </xdr:from>
    <xdr:to>
      <xdr:col>11</xdr:col>
      <xdr:colOff>571500</xdr:colOff>
      <xdr:row>455</xdr:row>
      <xdr:rowOff>0</xdr:rowOff>
    </xdr:to>
    <xdr:pic>
      <xdr:nvPicPr>
        <xdr:cNvPr id="8979" name="Рисунок 8978">
          <a:extLst>
            <a:ext uri="{FF2B5EF4-FFF2-40B4-BE49-F238E27FC236}">
              <a16:creationId xmlns:a16="http://schemas.microsoft.com/office/drawing/2014/main" id="{B5B8F072-7BDB-4CAC-82A2-E787586AB60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56352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455</xdr:row>
      <xdr:rowOff>25400</xdr:rowOff>
    </xdr:from>
    <xdr:to>
      <xdr:col>11</xdr:col>
      <xdr:colOff>571500</xdr:colOff>
      <xdr:row>456</xdr:row>
      <xdr:rowOff>0</xdr:rowOff>
    </xdr:to>
    <xdr:pic>
      <xdr:nvPicPr>
        <xdr:cNvPr id="8981" name="Рисунок 8980">
          <a:extLst>
            <a:ext uri="{FF2B5EF4-FFF2-40B4-BE49-F238E27FC236}">
              <a16:creationId xmlns:a16="http://schemas.microsoft.com/office/drawing/2014/main" id="{BCF49782-2732-479E-9BFE-83D7646EFEA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56924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456</xdr:row>
      <xdr:rowOff>25400</xdr:rowOff>
    </xdr:from>
    <xdr:to>
      <xdr:col>11</xdr:col>
      <xdr:colOff>571500</xdr:colOff>
      <xdr:row>457</xdr:row>
      <xdr:rowOff>0</xdr:rowOff>
    </xdr:to>
    <xdr:pic>
      <xdr:nvPicPr>
        <xdr:cNvPr id="8983" name="Рисунок 8982">
          <a:extLst>
            <a:ext uri="{FF2B5EF4-FFF2-40B4-BE49-F238E27FC236}">
              <a16:creationId xmlns:a16="http://schemas.microsoft.com/office/drawing/2014/main" id="{6F4B6893-9276-46B6-8D8B-3EB4B340E62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57495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457</xdr:row>
      <xdr:rowOff>25400</xdr:rowOff>
    </xdr:from>
    <xdr:to>
      <xdr:col>11</xdr:col>
      <xdr:colOff>571500</xdr:colOff>
      <xdr:row>458</xdr:row>
      <xdr:rowOff>0</xdr:rowOff>
    </xdr:to>
    <xdr:pic>
      <xdr:nvPicPr>
        <xdr:cNvPr id="8985" name="Рисунок 8984">
          <a:extLst>
            <a:ext uri="{FF2B5EF4-FFF2-40B4-BE49-F238E27FC236}">
              <a16:creationId xmlns:a16="http://schemas.microsoft.com/office/drawing/2014/main" id="{A15420E0-9511-45AB-B2D4-5F0802494CA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58067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458</xdr:row>
      <xdr:rowOff>25400</xdr:rowOff>
    </xdr:from>
    <xdr:to>
      <xdr:col>11</xdr:col>
      <xdr:colOff>571500</xdr:colOff>
      <xdr:row>459</xdr:row>
      <xdr:rowOff>0</xdr:rowOff>
    </xdr:to>
    <xdr:pic>
      <xdr:nvPicPr>
        <xdr:cNvPr id="8987" name="Рисунок 8986">
          <a:extLst>
            <a:ext uri="{FF2B5EF4-FFF2-40B4-BE49-F238E27FC236}">
              <a16:creationId xmlns:a16="http://schemas.microsoft.com/office/drawing/2014/main" id="{79A97392-C649-419F-B07A-89218303851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58638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459</xdr:row>
      <xdr:rowOff>25400</xdr:rowOff>
    </xdr:from>
    <xdr:to>
      <xdr:col>11</xdr:col>
      <xdr:colOff>571500</xdr:colOff>
      <xdr:row>460</xdr:row>
      <xdr:rowOff>0</xdr:rowOff>
    </xdr:to>
    <xdr:pic>
      <xdr:nvPicPr>
        <xdr:cNvPr id="8989" name="Рисунок 8988">
          <a:extLst>
            <a:ext uri="{FF2B5EF4-FFF2-40B4-BE49-F238E27FC236}">
              <a16:creationId xmlns:a16="http://schemas.microsoft.com/office/drawing/2014/main" id="{DA00D89F-1C54-4E22-8DFB-4D8BA5DD1C2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59210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460</xdr:row>
      <xdr:rowOff>25400</xdr:rowOff>
    </xdr:from>
    <xdr:to>
      <xdr:col>11</xdr:col>
      <xdr:colOff>571500</xdr:colOff>
      <xdr:row>461</xdr:row>
      <xdr:rowOff>0</xdr:rowOff>
    </xdr:to>
    <xdr:pic>
      <xdr:nvPicPr>
        <xdr:cNvPr id="8991" name="Рисунок 8990">
          <a:extLst>
            <a:ext uri="{FF2B5EF4-FFF2-40B4-BE49-F238E27FC236}">
              <a16:creationId xmlns:a16="http://schemas.microsoft.com/office/drawing/2014/main" id="{B1032DD1-C962-4E2F-9695-0A2BF1BC3C5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59781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461</xdr:row>
      <xdr:rowOff>25400</xdr:rowOff>
    </xdr:from>
    <xdr:to>
      <xdr:col>11</xdr:col>
      <xdr:colOff>571500</xdr:colOff>
      <xdr:row>462</xdr:row>
      <xdr:rowOff>0</xdr:rowOff>
    </xdr:to>
    <xdr:pic>
      <xdr:nvPicPr>
        <xdr:cNvPr id="8993" name="Рисунок 8992">
          <a:extLst>
            <a:ext uri="{FF2B5EF4-FFF2-40B4-BE49-F238E27FC236}">
              <a16:creationId xmlns:a16="http://schemas.microsoft.com/office/drawing/2014/main" id="{677C0DF3-075F-4E27-930F-520808E43F7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60353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462</xdr:row>
      <xdr:rowOff>25400</xdr:rowOff>
    </xdr:from>
    <xdr:to>
      <xdr:col>11</xdr:col>
      <xdr:colOff>571500</xdr:colOff>
      <xdr:row>463</xdr:row>
      <xdr:rowOff>0</xdr:rowOff>
    </xdr:to>
    <xdr:pic>
      <xdr:nvPicPr>
        <xdr:cNvPr id="8995" name="Рисунок 8994">
          <a:extLst>
            <a:ext uri="{FF2B5EF4-FFF2-40B4-BE49-F238E27FC236}">
              <a16:creationId xmlns:a16="http://schemas.microsoft.com/office/drawing/2014/main" id="{92FDEF31-0601-449F-B0A2-20B21405DE5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60924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463</xdr:row>
      <xdr:rowOff>25400</xdr:rowOff>
    </xdr:from>
    <xdr:to>
      <xdr:col>11</xdr:col>
      <xdr:colOff>571500</xdr:colOff>
      <xdr:row>464</xdr:row>
      <xdr:rowOff>0</xdr:rowOff>
    </xdr:to>
    <xdr:pic>
      <xdr:nvPicPr>
        <xdr:cNvPr id="8997" name="Рисунок 8996">
          <a:extLst>
            <a:ext uri="{FF2B5EF4-FFF2-40B4-BE49-F238E27FC236}">
              <a16:creationId xmlns:a16="http://schemas.microsoft.com/office/drawing/2014/main" id="{144715D6-BE00-4C6A-8309-1602FEC1735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61496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464</xdr:row>
      <xdr:rowOff>25400</xdr:rowOff>
    </xdr:from>
    <xdr:to>
      <xdr:col>11</xdr:col>
      <xdr:colOff>571500</xdr:colOff>
      <xdr:row>465</xdr:row>
      <xdr:rowOff>0</xdr:rowOff>
    </xdr:to>
    <xdr:pic>
      <xdr:nvPicPr>
        <xdr:cNvPr id="8999" name="Рисунок 8998">
          <a:extLst>
            <a:ext uri="{FF2B5EF4-FFF2-40B4-BE49-F238E27FC236}">
              <a16:creationId xmlns:a16="http://schemas.microsoft.com/office/drawing/2014/main" id="{A835E53C-5685-4530-A72F-CDF2C5CCEF7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62067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465</xdr:row>
      <xdr:rowOff>25400</xdr:rowOff>
    </xdr:from>
    <xdr:to>
      <xdr:col>11</xdr:col>
      <xdr:colOff>571500</xdr:colOff>
      <xdr:row>466</xdr:row>
      <xdr:rowOff>0</xdr:rowOff>
    </xdr:to>
    <xdr:pic>
      <xdr:nvPicPr>
        <xdr:cNvPr id="9001" name="Рисунок 9000">
          <a:extLst>
            <a:ext uri="{FF2B5EF4-FFF2-40B4-BE49-F238E27FC236}">
              <a16:creationId xmlns:a16="http://schemas.microsoft.com/office/drawing/2014/main" id="{4579A43F-B2C0-45C2-98BD-B01DC7B91E8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62639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466</xdr:row>
      <xdr:rowOff>25400</xdr:rowOff>
    </xdr:from>
    <xdr:to>
      <xdr:col>11</xdr:col>
      <xdr:colOff>571500</xdr:colOff>
      <xdr:row>467</xdr:row>
      <xdr:rowOff>0</xdr:rowOff>
    </xdr:to>
    <xdr:pic>
      <xdr:nvPicPr>
        <xdr:cNvPr id="9003" name="Рисунок 9002">
          <a:extLst>
            <a:ext uri="{FF2B5EF4-FFF2-40B4-BE49-F238E27FC236}">
              <a16:creationId xmlns:a16="http://schemas.microsoft.com/office/drawing/2014/main" id="{91E13932-1E99-41E9-9FAB-AFF2B4E35DA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63210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467</xdr:row>
      <xdr:rowOff>25400</xdr:rowOff>
    </xdr:from>
    <xdr:to>
      <xdr:col>11</xdr:col>
      <xdr:colOff>571500</xdr:colOff>
      <xdr:row>468</xdr:row>
      <xdr:rowOff>0</xdr:rowOff>
    </xdr:to>
    <xdr:pic>
      <xdr:nvPicPr>
        <xdr:cNvPr id="9005" name="Рисунок 9004">
          <a:extLst>
            <a:ext uri="{FF2B5EF4-FFF2-40B4-BE49-F238E27FC236}">
              <a16:creationId xmlns:a16="http://schemas.microsoft.com/office/drawing/2014/main" id="{17F0616A-6EBC-4F85-8C1E-D620712969B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63782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468</xdr:row>
      <xdr:rowOff>25400</xdr:rowOff>
    </xdr:from>
    <xdr:to>
      <xdr:col>11</xdr:col>
      <xdr:colOff>571500</xdr:colOff>
      <xdr:row>469</xdr:row>
      <xdr:rowOff>0</xdr:rowOff>
    </xdr:to>
    <xdr:pic>
      <xdr:nvPicPr>
        <xdr:cNvPr id="9007" name="Рисунок 9006">
          <a:extLst>
            <a:ext uri="{FF2B5EF4-FFF2-40B4-BE49-F238E27FC236}">
              <a16:creationId xmlns:a16="http://schemas.microsoft.com/office/drawing/2014/main" id="{26001EB1-D8C3-478D-BA04-9B2701FB18C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64353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469</xdr:row>
      <xdr:rowOff>25400</xdr:rowOff>
    </xdr:from>
    <xdr:to>
      <xdr:col>11</xdr:col>
      <xdr:colOff>571500</xdr:colOff>
      <xdr:row>470</xdr:row>
      <xdr:rowOff>0</xdr:rowOff>
    </xdr:to>
    <xdr:pic>
      <xdr:nvPicPr>
        <xdr:cNvPr id="9009" name="Рисунок 9008">
          <a:extLst>
            <a:ext uri="{FF2B5EF4-FFF2-40B4-BE49-F238E27FC236}">
              <a16:creationId xmlns:a16="http://schemas.microsoft.com/office/drawing/2014/main" id="{714331A3-7100-497D-AF0E-E0B7E91D63A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64925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470</xdr:row>
      <xdr:rowOff>25400</xdr:rowOff>
    </xdr:from>
    <xdr:to>
      <xdr:col>11</xdr:col>
      <xdr:colOff>571500</xdr:colOff>
      <xdr:row>471</xdr:row>
      <xdr:rowOff>0</xdr:rowOff>
    </xdr:to>
    <xdr:pic>
      <xdr:nvPicPr>
        <xdr:cNvPr id="9011" name="Рисунок 9010">
          <a:extLst>
            <a:ext uri="{FF2B5EF4-FFF2-40B4-BE49-F238E27FC236}">
              <a16:creationId xmlns:a16="http://schemas.microsoft.com/office/drawing/2014/main" id="{A78942F1-9347-4404-919F-EE5265A921C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65496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471</xdr:row>
      <xdr:rowOff>25400</xdr:rowOff>
    </xdr:from>
    <xdr:to>
      <xdr:col>11</xdr:col>
      <xdr:colOff>571500</xdr:colOff>
      <xdr:row>472</xdr:row>
      <xdr:rowOff>0</xdr:rowOff>
    </xdr:to>
    <xdr:pic>
      <xdr:nvPicPr>
        <xdr:cNvPr id="9013" name="Рисунок 9012">
          <a:extLst>
            <a:ext uri="{FF2B5EF4-FFF2-40B4-BE49-F238E27FC236}">
              <a16:creationId xmlns:a16="http://schemas.microsoft.com/office/drawing/2014/main" id="{7761D942-74BE-4F7C-8EB8-CE7E59A7594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66068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472</xdr:row>
      <xdr:rowOff>25400</xdr:rowOff>
    </xdr:from>
    <xdr:to>
      <xdr:col>11</xdr:col>
      <xdr:colOff>571500</xdr:colOff>
      <xdr:row>473</xdr:row>
      <xdr:rowOff>0</xdr:rowOff>
    </xdr:to>
    <xdr:pic>
      <xdr:nvPicPr>
        <xdr:cNvPr id="9015" name="Рисунок 9014">
          <a:extLst>
            <a:ext uri="{FF2B5EF4-FFF2-40B4-BE49-F238E27FC236}">
              <a16:creationId xmlns:a16="http://schemas.microsoft.com/office/drawing/2014/main" id="{7E6B424B-C7BC-4FC2-AF36-D63648BBFAF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66639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473</xdr:row>
      <xdr:rowOff>25400</xdr:rowOff>
    </xdr:from>
    <xdr:to>
      <xdr:col>11</xdr:col>
      <xdr:colOff>571500</xdr:colOff>
      <xdr:row>474</xdr:row>
      <xdr:rowOff>0</xdr:rowOff>
    </xdr:to>
    <xdr:pic>
      <xdr:nvPicPr>
        <xdr:cNvPr id="9017" name="Рисунок 9016">
          <a:extLst>
            <a:ext uri="{FF2B5EF4-FFF2-40B4-BE49-F238E27FC236}">
              <a16:creationId xmlns:a16="http://schemas.microsoft.com/office/drawing/2014/main" id="{4971CF50-79E2-4E56-A6F9-9AEBBAFBE22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67211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474</xdr:row>
      <xdr:rowOff>25400</xdr:rowOff>
    </xdr:from>
    <xdr:to>
      <xdr:col>11</xdr:col>
      <xdr:colOff>571500</xdr:colOff>
      <xdr:row>475</xdr:row>
      <xdr:rowOff>0</xdr:rowOff>
    </xdr:to>
    <xdr:pic>
      <xdr:nvPicPr>
        <xdr:cNvPr id="9019" name="Рисунок 9018">
          <a:extLst>
            <a:ext uri="{FF2B5EF4-FFF2-40B4-BE49-F238E27FC236}">
              <a16:creationId xmlns:a16="http://schemas.microsoft.com/office/drawing/2014/main" id="{652E80DD-CFD3-4C8C-83AF-0D716A39350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67782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475</xdr:row>
      <xdr:rowOff>25400</xdr:rowOff>
    </xdr:from>
    <xdr:to>
      <xdr:col>11</xdr:col>
      <xdr:colOff>571500</xdr:colOff>
      <xdr:row>476</xdr:row>
      <xdr:rowOff>0</xdr:rowOff>
    </xdr:to>
    <xdr:pic>
      <xdr:nvPicPr>
        <xdr:cNvPr id="9021" name="Рисунок 9020">
          <a:extLst>
            <a:ext uri="{FF2B5EF4-FFF2-40B4-BE49-F238E27FC236}">
              <a16:creationId xmlns:a16="http://schemas.microsoft.com/office/drawing/2014/main" id="{ED4E3331-561B-4949-85A4-8336CA8485E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68354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476</xdr:row>
      <xdr:rowOff>25400</xdr:rowOff>
    </xdr:from>
    <xdr:to>
      <xdr:col>11</xdr:col>
      <xdr:colOff>571500</xdr:colOff>
      <xdr:row>477</xdr:row>
      <xdr:rowOff>0</xdr:rowOff>
    </xdr:to>
    <xdr:pic>
      <xdr:nvPicPr>
        <xdr:cNvPr id="9023" name="Рисунок 9022">
          <a:extLst>
            <a:ext uri="{FF2B5EF4-FFF2-40B4-BE49-F238E27FC236}">
              <a16:creationId xmlns:a16="http://schemas.microsoft.com/office/drawing/2014/main" id="{07055AEF-F525-463E-A64B-16B7417F973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68925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477</xdr:row>
      <xdr:rowOff>25400</xdr:rowOff>
    </xdr:from>
    <xdr:to>
      <xdr:col>11</xdr:col>
      <xdr:colOff>571500</xdr:colOff>
      <xdr:row>478</xdr:row>
      <xdr:rowOff>0</xdr:rowOff>
    </xdr:to>
    <xdr:pic>
      <xdr:nvPicPr>
        <xdr:cNvPr id="9025" name="Рисунок 9024">
          <a:extLst>
            <a:ext uri="{FF2B5EF4-FFF2-40B4-BE49-F238E27FC236}">
              <a16:creationId xmlns:a16="http://schemas.microsoft.com/office/drawing/2014/main" id="{78DD0FB8-90D5-45AC-859E-13867C939A9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69497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478</xdr:row>
      <xdr:rowOff>25400</xdr:rowOff>
    </xdr:from>
    <xdr:to>
      <xdr:col>11</xdr:col>
      <xdr:colOff>571500</xdr:colOff>
      <xdr:row>479</xdr:row>
      <xdr:rowOff>0</xdr:rowOff>
    </xdr:to>
    <xdr:pic>
      <xdr:nvPicPr>
        <xdr:cNvPr id="9027" name="Рисунок 9026">
          <a:extLst>
            <a:ext uri="{FF2B5EF4-FFF2-40B4-BE49-F238E27FC236}">
              <a16:creationId xmlns:a16="http://schemas.microsoft.com/office/drawing/2014/main" id="{E3DF9750-613B-4C29-AB47-63A00A21CC4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70068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479</xdr:row>
      <xdr:rowOff>25400</xdr:rowOff>
    </xdr:from>
    <xdr:to>
      <xdr:col>11</xdr:col>
      <xdr:colOff>571500</xdr:colOff>
      <xdr:row>480</xdr:row>
      <xdr:rowOff>0</xdr:rowOff>
    </xdr:to>
    <xdr:pic>
      <xdr:nvPicPr>
        <xdr:cNvPr id="9029" name="Рисунок 9028">
          <a:extLst>
            <a:ext uri="{FF2B5EF4-FFF2-40B4-BE49-F238E27FC236}">
              <a16:creationId xmlns:a16="http://schemas.microsoft.com/office/drawing/2014/main" id="{2D54D4E1-0C46-4F45-B80A-6B5269DEF7D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70640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480</xdr:row>
      <xdr:rowOff>25400</xdr:rowOff>
    </xdr:from>
    <xdr:to>
      <xdr:col>11</xdr:col>
      <xdr:colOff>571500</xdr:colOff>
      <xdr:row>481</xdr:row>
      <xdr:rowOff>0</xdr:rowOff>
    </xdr:to>
    <xdr:pic>
      <xdr:nvPicPr>
        <xdr:cNvPr id="9031" name="Рисунок 9030">
          <a:extLst>
            <a:ext uri="{FF2B5EF4-FFF2-40B4-BE49-F238E27FC236}">
              <a16:creationId xmlns:a16="http://schemas.microsoft.com/office/drawing/2014/main" id="{66E8DC96-27E2-4C93-934F-CB6DF6DF355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71211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481</xdr:row>
      <xdr:rowOff>25400</xdr:rowOff>
    </xdr:from>
    <xdr:to>
      <xdr:col>11</xdr:col>
      <xdr:colOff>571500</xdr:colOff>
      <xdr:row>482</xdr:row>
      <xdr:rowOff>0</xdr:rowOff>
    </xdr:to>
    <xdr:pic>
      <xdr:nvPicPr>
        <xdr:cNvPr id="9033" name="Рисунок 9032">
          <a:extLst>
            <a:ext uri="{FF2B5EF4-FFF2-40B4-BE49-F238E27FC236}">
              <a16:creationId xmlns:a16="http://schemas.microsoft.com/office/drawing/2014/main" id="{2EB44572-C899-414B-A8B3-7B6A815CB59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71783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482</xdr:row>
      <xdr:rowOff>25400</xdr:rowOff>
    </xdr:from>
    <xdr:to>
      <xdr:col>11</xdr:col>
      <xdr:colOff>571500</xdr:colOff>
      <xdr:row>483</xdr:row>
      <xdr:rowOff>0</xdr:rowOff>
    </xdr:to>
    <xdr:pic>
      <xdr:nvPicPr>
        <xdr:cNvPr id="9035" name="Рисунок 9034">
          <a:extLst>
            <a:ext uri="{FF2B5EF4-FFF2-40B4-BE49-F238E27FC236}">
              <a16:creationId xmlns:a16="http://schemas.microsoft.com/office/drawing/2014/main" id="{B2BCB40F-EFF5-4B1A-9967-0C9A71655DC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72354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483</xdr:row>
      <xdr:rowOff>25400</xdr:rowOff>
    </xdr:from>
    <xdr:to>
      <xdr:col>11</xdr:col>
      <xdr:colOff>571500</xdr:colOff>
      <xdr:row>484</xdr:row>
      <xdr:rowOff>0</xdr:rowOff>
    </xdr:to>
    <xdr:pic>
      <xdr:nvPicPr>
        <xdr:cNvPr id="9037" name="Рисунок 9036">
          <a:extLst>
            <a:ext uri="{FF2B5EF4-FFF2-40B4-BE49-F238E27FC236}">
              <a16:creationId xmlns:a16="http://schemas.microsoft.com/office/drawing/2014/main" id="{ED3159C2-5F74-45A1-BB05-271A7C918AB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72926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484</xdr:row>
      <xdr:rowOff>25400</xdr:rowOff>
    </xdr:from>
    <xdr:to>
      <xdr:col>11</xdr:col>
      <xdr:colOff>571500</xdr:colOff>
      <xdr:row>485</xdr:row>
      <xdr:rowOff>0</xdr:rowOff>
    </xdr:to>
    <xdr:pic>
      <xdr:nvPicPr>
        <xdr:cNvPr id="9039" name="Рисунок 9038">
          <a:extLst>
            <a:ext uri="{FF2B5EF4-FFF2-40B4-BE49-F238E27FC236}">
              <a16:creationId xmlns:a16="http://schemas.microsoft.com/office/drawing/2014/main" id="{E25C3AB3-6C86-46DA-8FE3-FB215A25E9B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73497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485</xdr:row>
      <xdr:rowOff>25400</xdr:rowOff>
    </xdr:from>
    <xdr:to>
      <xdr:col>11</xdr:col>
      <xdr:colOff>571500</xdr:colOff>
      <xdr:row>486</xdr:row>
      <xdr:rowOff>0</xdr:rowOff>
    </xdr:to>
    <xdr:pic>
      <xdr:nvPicPr>
        <xdr:cNvPr id="9041" name="Рисунок 9040">
          <a:extLst>
            <a:ext uri="{FF2B5EF4-FFF2-40B4-BE49-F238E27FC236}">
              <a16:creationId xmlns:a16="http://schemas.microsoft.com/office/drawing/2014/main" id="{A013C6CB-A746-49F1-B11F-7F6CD89CEDC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74069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486</xdr:row>
      <xdr:rowOff>25400</xdr:rowOff>
    </xdr:from>
    <xdr:to>
      <xdr:col>11</xdr:col>
      <xdr:colOff>571500</xdr:colOff>
      <xdr:row>487</xdr:row>
      <xdr:rowOff>0</xdr:rowOff>
    </xdr:to>
    <xdr:pic>
      <xdr:nvPicPr>
        <xdr:cNvPr id="9043" name="Рисунок 9042">
          <a:extLst>
            <a:ext uri="{FF2B5EF4-FFF2-40B4-BE49-F238E27FC236}">
              <a16:creationId xmlns:a16="http://schemas.microsoft.com/office/drawing/2014/main" id="{BB13C94B-F5AA-4D0B-94B2-A76F40FE32D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74640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487</xdr:row>
      <xdr:rowOff>25400</xdr:rowOff>
    </xdr:from>
    <xdr:to>
      <xdr:col>11</xdr:col>
      <xdr:colOff>571500</xdr:colOff>
      <xdr:row>488</xdr:row>
      <xdr:rowOff>0</xdr:rowOff>
    </xdr:to>
    <xdr:pic>
      <xdr:nvPicPr>
        <xdr:cNvPr id="9045" name="Рисунок 9044">
          <a:extLst>
            <a:ext uri="{FF2B5EF4-FFF2-40B4-BE49-F238E27FC236}">
              <a16:creationId xmlns:a16="http://schemas.microsoft.com/office/drawing/2014/main" id="{11C22685-1F2F-4640-B1E9-3338C44F99E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75212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488</xdr:row>
      <xdr:rowOff>25400</xdr:rowOff>
    </xdr:from>
    <xdr:to>
      <xdr:col>11</xdr:col>
      <xdr:colOff>571500</xdr:colOff>
      <xdr:row>489</xdr:row>
      <xdr:rowOff>0</xdr:rowOff>
    </xdr:to>
    <xdr:pic>
      <xdr:nvPicPr>
        <xdr:cNvPr id="9047" name="Рисунок 9046">
          <a:extLst>
            <a:ext uri="{FF2B5EF4-FFF2-40B4-BE49-F238E27FC236}">
              <a16:creationId xmlns:a16="http://schemas.microsoft.com/office/drawing/2014/main" id="{F3BC75F6-ECFE-49CD-8F68-C063643CF3F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75783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489</xdr:row>
      <xdr:rowOff>25400</xdr:rowOff>
    </xdr:from>
    <xdr:to>
      <xdr:col>11</xdr:col>
      <xdr:colOff>571500</xdr:colOff>
      <xdr:row>490</xdr:row>
      <xdr:rowOff>0</xdr:rowOff>
    </xdr:to>
    <xdr:pic>
      <xdr:nvPicPr>
        <xdr:cNvPr id="9049" name="Рисунок 9048">
          <a:extLst>
            <a:ext uri="{FF2B5EF4-FFF2-40B4-BE49-F238E27FC236}">
              <a16:creationId xmlns:a16="http://schemas.microsoft.com/office/drawing/2014/main" id="{1624928E-4797-48EC-9A04-A3EA7F3B470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76355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490</xdr:row>
      <xdr:rowOff>25400</xdr:rowOff>
    </xdr:from>
    <xdr:to>
      <xdr:col>11</xdr:col>
      <xdr:colOff>571500</xdr:colOff>
      <xdr:row>491</xdr:row>
      <xdr:rowOff>0</xdr:rowOff>
    </xdr:to>
    <xdr:pic>
      <xdr:nvPicPr>
        <xdr:cNvPr id="9051" name="Рисунок 9050">
          <a:extLst>
            <a:ext uri="{FF2B5EF4-FFF2-40B4-BE49-F238E27FC236}">
              <a16:creationId xmlns:a16="http://schemas.microsoft.com/office/drawing/2014/main" id="{F41192D7-165B-496C-9727-B6E7960C2B3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5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76926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491</xdr:row>
      <xdr:rowOff>25400</xdr:rowOff>
    </xdr:from>
    <xdr:to>
      <xdr:col>11</xdr:col>
      <xdr:colOff>571500</xdr:colOff>
      <xdr:row>492</xdr:row>
      <xdr:rowOff>0</xdr:rowOff>
    </xdr:to>
    <xdr:pic>
      <xdr:nvPicPr>
        <xdr:cNvPr id="9053" name="Рисунок 9052">
          <a:extLst>
            <a:ext uri="{FF2B5EF4-FFF2-40B4-BE49-F238E27FC236}">
              <a16:creationId xmlns:a16="http://schemas.microsoft.com/office/drawing/2014/main" id="{A4D7B4CD-A78A-498A-A4D0-23A79F06D3E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6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77498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492</xdr:row>
      <xdr:rowOff>25400</xdr:rowOff>
    </xdr:from>
    <xdr:to>
      <xdr:col>11</xdr:col>
      <xdr:colOff>571500</xdr:colOff>
      <xdr:row>493</xdr:row>
      <xdr:rowOff>0</xdr:rowOff>
    </xdr:to>
    <xdr:pic>
      <xdr:nvPicPr>
        <xdr:cNvPr id="9055" name="Рисунок 9054">
          <a:extLst>
            <a:ext uri="{FF2B5EF4-FFF2-40B4-BE49-F238E27FC236}">
              <a16:creationId xmlns:a16="http://schemas.microsoft.com/office/drawing/2014/main" id="{35DCBABF-329E-41FE-8DD6-96FB79A7822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6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78069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493</xdr:row>
      <xdr:rowOff>25400</xdr:rowOff>
    </xdr:from>
    <xdr:to>
      <xdr:col>11</xdr:col>
      <xdr:colOff>571500</xdr:colOff>
      <xdr:row>494</xdr:row>
      <xdr:rowOff>0</xdr:rowOff>
    </xdr:to>
    <xdr:pic>
      <xdr:nvPicPr>
        <xdr:cNvPr id="9057" name="Рисунок 9056">
          <a:extLst>
            <a:ext uri="{FF2B5EF4-FFF2-40B4-BE49-F238E27FC236}">
              <a16:creationId xmlns:a16="http://schemas.microsoft.com/office/drawing/2014/main" id="{A3B22D89-B257-41FD-9B1A-02927335C69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6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78641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494</xdr:row>
      <xdr:rowOff>25400</xdr:rowOff>
    </xdr:from>
    <xdr:to>
      <xdr:col>11</xdr:col>
      <xdr:colOff>571500</xdr:colOff>
      <xdr:row>495</xdr:row>
      <xdr:rowOff>0</xdr:rowOff>
    </xdr:to>
    <xdr:pic>
      <xdr:nvPicPr>
        <xdr:cNvPr id="9059" name="Рисунок 9058">
          <a:extLst>
            <a:ext uri="{FF2B5EF4-FFF2-40B4-BE49-F238E27FC236}">
              <a16:creationId xmlns:a16="http://schemas.microsoft.com/office/drawing/2014/main" id="{B5BC1172-94E0-4D7D-8838-EC6DB3F8811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6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79212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495</xdr:row>
      <xdr:rowOff>25400</xdr:rowOff>
    </xdr:from>
    <xdr:to>
      <xdr:col>11</xdr:col>
      <xdr:colOff>571500</xdr:colOff>
      <xdr:row>496</xdr:row>
      <xdr:rowOff>0</xdr:rowOff>
    </xdr:to>
    <xdr:pic>
      <xdr:nvPicPr>
        <xdr:cNvPr id="9061" name="Рисунок 9060">
          <a:extLst>
            <a:ext uri="{FF2B5EF4-FFF2-40B4-BE49-F238E27FC236}">
              <a16:creationId xmlns:a16="http://schemas.microsoft.com/office/drawing/2014/main" id="{F66C2591-8B29-4A4A-A045-30D40764C13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6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79784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496</xdr:row>
      <xdr:rowOff>25400</xdr:rowOff>
    </xdr:from>
    <xdr:to>
      <xdr:col>11</xdr:col>
      <xdr:colOff>571500</xdr:colOff>
      <xdr:row>497</xdr:row>
      <xdr:rowOff>0</xdr:rowOff>
    </xdr:to>
    <xdr:pic>
      <xdr:nvPicPr>
        <xdr:cNvPr id="9063" name="Рисунок 9062">
          <a:extLst>
            <a:ext uri="{FF2B5EF4-FFF2-40B4-BE49-F238E27FC236}">
              <a16:creationId xmlns:a16="http://schemas.microsoft.com/office/drawing/2014/main" id="{1271DF13-E0AF-41A6-8D74-F1FD284F11C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6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80355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497</xdr:row>
      <xdr:rowOff>25400</xdr:rowOff>
    </xdr:from>
    <xdr:to>
      <xdr:col>11</xdr:col>
      <xdr:colOff>571500</xdr:colOff>
      <xdr:row>498</xdr:row>
      <xdr:rowOff>0</xdr:rowOff>
    </xdr:to>
    <xdr:pic>
      <xdr:nvPicPr>
        <xdr:cNvPr id="9065" name="Рисунок 9064">
          <a:extLst>
            <a:ext uri="{FF2B5EF4-FFF2-40B4-BE49-F238E27FC236}">
              <a16:creationId xmlns:a16="http://schemas.microsoft.com/office/drawing/2014/main" id="{0B9D7E61-D553-458B-A630-98B42CECDB5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6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80927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498</xdr:row>
      <xdr:rowOff>25400</xdr:rowOff>
    </xdr:from>
    <xdr:to>
      <xdr:col>11</xdr:col>
      <xdr:colOff>571500</xdr:colOff>
      <xdr:row>499</xdr:row>
      <xdr:rowOff>0</xdr:rowOff>
    </xdr:to>
    <xdr:pic>
      <xdr:nvPicPr>
        <xdr:cNvPr id="9067" name="Рисунок 9066">
          <a:extLst>
            <a:ext uri="{FF2B5EF4-FFF2-40B4-BE49-F238E27FC236}">
              <a16:creationId xmlns:a16="http://schemas.microsoft.com/office/drawing/2014/main" id="{587062D2-9854-40C2-B1C0-3D2076765FA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6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81498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499</xdr:row>
      <xdr:rowOff>25400</xdr:rowOff>
    </xdr:from>
    <xdr:to>
      <xdr:col>11</xdr:col>
      <xdr:colOff>571500</xdr:colOff>
      <xdr:row>500</xdr:row>
      <xdr:rowOff>0</xdr:rowOff>
    </xdr:to>
    <xdr:pic>
      <xdr:nvPicPr>
        <xdr:cNvPr id="9069" name="Рисунок 9068">
          <a:extLst>
            <a:ext uri="{FF2B5EF4-FFF2-40B4-BE49-F238E27FC236}">
              <a16:creationId xmlns:a16="http://schemas.microsoft.com/office/drawing/2014/main" id="{5614FD7A-D652-4505-AAAF-95DE7E0592C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6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82070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500</xdr:row>
      <xdr:rowOff>25400</xdr:rowOff>
    </xdr:from>
    <xdr:to>
      <xdr:col>11</xdr:col>
      <xdr:colOff>571500</xdr:colOff>
      <xdr:row>501</xdr:row>
      <xdr:rowOff>0</xdr:rowOff>
    </xdr:to>
    <xdr:pic>
      <xdr:nvPicPr>
        <xdr:cNvPr id="9071" name="Рисунок 9070">
          <a:extLst>
            <a:ext uri="{FF2B5EF4-FFF2-40B4-BE49-F238E27FC236}">
              <a16:creationId xmlns:a16="http://schemas.microsoft.com/office/drawing/2014/main" id="{63E71387-1D3E-4D63-AA87-29CD50985CC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6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82641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501</xdr:row>
      <xdr:rowOff>25400</xdr:rowOff>
    </xdr:from>
    <xdr:to>
      <xdr:col>11</xdr:col>
      <xdr:colOff>571500</xdr:colOff>
      <xdr:row>502</xdr:row>
      <xdr:rowOff>0</xdr:rowOff>
    </xdr:to>
    <xdr:pic>
      <xdr:nvPicPr>
        <xdr:cNvPr id="9073" name="Рисунок 9072">
          <a:extLst>
            <a:ext uri="{FF2B5EF4-FFF2-40B4-BE49-F238E27FC236}">
              <a16:creationId xmlns:a16="http://schemas.microsoft.com/office/drawing/2014/main" id="{091EEC74-0BBE-41CA-8BC9-0DE39832F26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7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83213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502</xdr:row>
      <xdr:rowOff>25400</xdr:rowOff>
    </xdr:from>
    <xdr:to>
      <xdr:col>11</xdr:col>
      <xdr:colOff>571500</xdr:colOff>
      <xdr:row>503</xdr:row>
      <xdr:rowOff>0</xdr:rowOff>
    </xdr:to>
    <xdr:pic>
      <xdr:nvPicPr>
        <xdr:cNvPr id="9075" name="Рисунок 9074">
          <a:extLst>
            <a:ext uri="{FF2B5EF4-FFF2-40B4-BE49-F238E27FC236}">
              <a16:creationId xmlns:a16="http://schemas.microsoft.com/office/drawing/2014/main" id="{C9317B36-67AD-49AA-A20C-58C0880C275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7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83784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503</xdr:row>
      <xdr:rowOff>25400</xdr:rowOff>
    </xdr:from>
    <xdr:to>
      <xdr:col>11</xdr:col>
      <xdr:colOff>571500</xdr:colOff>
      <xdr:row>504</xdr:row>
      <xdr:rowOff>0</xdr:rowOff>
    </xdr:to>
    <xdr:pic>
      <xdr:nvPicPr>
        <xdr:cNvPr id="9077" name="Рисунок 9076">
          <a:extLst>
            <a:ext uri="{FF2B5EF4-FFF2-40B4-BE49-F238E27FC236}">
              <a16:creationId xmlns:a16="http://schemas.microsoft.com/office/drawing/2014/main" id="{79D033A9-5722-4246-A247-B177CF17D0F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7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84356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504</xdr:row>
      <xdr:rowOff>25400</xdr:rowOff>
    </xdr:from>
    <xdr:to>
      <xdr:col>11</xdr:col>
      <xdr:colOff>571500</xdr:colOff>
      <xdr:row>505</xdr:row>
      <xdr:rowOff>0</xdr:rowOff>
    </xdr:to>
    <xdr:pic>
      <xdr:nvPicPr>
        <xdr:cNvPr id="9079" name="Рисунок 9078">
          <a:extLst>
            <a:ext uri="{FF2B5EF4-FFF2-40B4-BE49-F238E27FC236}">
              <a16:creationId xmlns:a16="http://schemas.microsoft.com/office/drawing/2014/main" id="{6DDF569A-3556-4096-8FE1-65C54524287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7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84927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505</xdr:row>
      <xdr:rowOff>25400</xdr:rowOff>
    </xdr:from>
    <xdr:to>
      <xdr:col>11</xdr:col>
      <xdr:colOff>571500</xdr:colOff>
      <xdr:row>506</xdr:row>
      <xdr:rowOff>0</xdr:rowOff>
    </xdr:to>
    <xdr:pic>
      <xdr:nvPicPr>
        <xdr:cNvPr id="9081" name="Рисунок 9080">
          <a:extLst>
            <a:ext uri="{FF2B5EF4-FFF2-40B4-BE49-F238E27FC236}">
              <a16:creationId xmlns:a16="http://schemas.microsoft.com/office/drawing/2014/main" id="{DD6F1CAE-0983-4735-9533-5089FE8955E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7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85499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506</xdr:row>
      <xdr:rowOff>25400</xdr:rowOff>
    </xdr:from>
    <xdr:to>
      <xdr:col>11</xdr:col>
      <xdr:colOff>571500</xdr:colOff>
      <xdr:row>507</xdr:row>
      <xdr:rowOff>0</xdr:rowOff>
    </xdr:to>
    <xdr:pic>
      <xdr:nvPicPr>
        <xdr:cNvPr id="9083" name="Рисунок 9082">
          <a:extLst>
            <a:ext uri="{FF2B5EF4-FFF2-40B4-BE49-F238E27FC236}">
              <a16:creationId xmlns:a16="http://schemas.microsoft.com/office/drawing/2014/main" id="{C7E63894-95BC-45F4-BFF0-68FD20AD8F5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7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86070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507</xdr:row>
      <xdr:rowOff>25400</xdr:rowOff>
    </xdr:from>
    <xdr:to>
      <xdr:col>11</xdr:col>
      <xdr:colOff>571500</xdr:colOff>
      <xdr:row>508</xdr:row>
      <xdr:rowOff>0</xdr:rowOff>
    </xdr:to>
    <xdr:pic>
      <xdr:nvPicPr>
        <xdr:cNvPr id="9085" name="Рисунок 9084">
          <a:extLst>
            <a:ext uri="{FF2B5EF4-FFF2-40B4-BE49-F238E27FC236}">
              <a16:creationId xmlns:a16="http://schemas.microsoft.com/office/drawing/2014/main" id="{4A3DC797-4F91-45B7-897E-100D7B9C38B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7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86642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508</xdr:row>
      <xdr:rowOff>25400</xdr:rowOff>
    </xdr:from>
    <xdr:to>
      <xdr:col>11</xdr:col>
      <xdr:colOff>571500</xdr:colOff>
      <xdr:row>509</xdr:row>
      <xdr:rowOff>0</xdr:rowOff>
    </xdr:to>
    <xdr:pic>
      <xdr:nvPicPr>
        <xdr:cNvPr id="9087" name="Рисунок 9086">
          <a:extLst>
            <a:ext uri="{FF2B5EF4-FFF2-40B4-BE49-F238E27FC236}">
              <a16:creationId xmlns:a16="http://schemas.microsoft.com/office/drawing/2014/main" id="{63808AA4-2BD6-402C-90D4-8C0D6BC368D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7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87213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509</xdr:row>
      <xdr:rowOff>25400</xdr:rowOff>
    </xdr:from>
    <xdr:to>
      <xdr:col>11</xdr:col>
      <xdr:colOff>571500</xdr:colOff>
      <xdr:row>510</xdr:row>
      <xdr:rowOff>0</xdr:rowOff>
    </xdr:to>
    <xdr:pic>
      <xdr:nvPicPr>
        <xdr:cNvPr id="9089" name="Рисунок 9088">
          <a:extLst>
            <a:ext uri="{FF2B5EF4-FFF2-40B4-BE49-F238E27FC236}">
              <a16:creationId xmlns:a16="http://schemas.microsoft.com/office/drawing/2014/main" id="{DD2489CC-EC0A-4E6F-8183-7B5DFC1239B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7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87785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510</xdr:row>
      <xdr:rowOff>25400</xdr:rowOff>
    </xdr:from>
    <xdr:to>
      <xdr:col>11</xdr:col>
      <xdr:colOff>571500</xdr:colOff>
      <xdr:row>511</xdr:row>
      <xdr:rowOff>0</xdr:rowOff>
    </xdr:to>
    <xdr:pic>
      <xdr:nvPicPr>
        <xdr:cNvPr id="9091" name="Рисунок 9090">
          <a:extLst>
            <a:ext uri="{FF2B5EF4-FFF2-40B4-BE49-F238E27FC236}">
              <a16:creationId xmlns:a16="http://schemas.microsoft.com/office/drawing/2014/main" id="{9605418D-BA8C-4F0A-A2FE-481272D0679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7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88356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511</xdr:row>
      <xdr:rowOff>25400</xdr:rowOff>
    </xdr:from>
    <xdr:to>
      <xdr:col>11</xdr:col>
      <xdr:colOff>571500</xdr:colOff>
      <xdr:row>512</xdr:row>
      <xdr:rowOff>0</xdr:rowOff>
    </xdr:to>
    <xdr:pic>
      <xdr:nvPicPr>
        <xdr:cNvPr id="9093" name="Рисунок 9092">
          <a:extLst>
            <a:ext uri="{FF2B5EF4-FFF2-40B4-BE49-F238E27FC236}">
              <a16:creationId xmlns:a16="http://schemas.microsoft.com/office/drawing/2014/main" id="{298EC838-9209-4CDD-B77F-C6DD0DD23B4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8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88928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512</xdr:row>
      <xdr:rowOff>25400</xdr:rowOff>
    </xdr:from>
    <xdr:to>
      <xdr:col>11</xdr:col>
      <xdr:colOff>571500</xdr:colOff>
      <xdr:row>513</xdr:row>
      <xdr:rowOff>0</xdr:rowOff>
    </xdr:to>
    <xdr:pic>
      <xdr:nvPicPr>
        <xdr:cNvPr id="9095" name="Рисунок 9094">
          <a:extLst>
            <a:ext uri="{FF2B5EF4-FFF2-40B4-BE49-F238E27FC236}">
              <a16:creationId xmlns:a16="http://schemas.microsoft.com/office/drawing/2014/main" id="{334458CC-DE4E-42A7-808A-68971FA7DCB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8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89499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513</xdr:row>
      <xdr:rowOff>25400</xdr:rowOff>
    </xdr:from>
    <xdr:to>
      <xdr:col>11</xdr:col>
      <xdr:colOff>571500</xdr:colOff>
      <xdr:row>514</xdr:row>
      <xdr:rowOff>0</xdr:rowOff>
    </xdr:to>
    <xdr:pic>
      <xdr:nvPicPr>
        <xdr:cNvPr id="9097" name="Рисунок 9096">
          <a:extLst>
            <a:ext uri="{FF2B5EF4-FFF2-40B4-BE49-F238E27FC236}">
              <a16:creationId xmlns:a16="http://schemas.microsoft.com/office/drawing/2014/main" id="{74D44607-0265-4DD3-9074-967883699BC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8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90071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514</xdr:row>
      <xdr:rowOff>25400</xdr:rowOff>
    </xdr:from>
    <xdr:to>
      <xdr:col>11</xdr:col>
      <xdr:colOff>571500</xdr:colOff>
      <xdr:row>515</xdr:row>
      <xdr:rowOff>0</xdr:rowOff>
    </xdr:to>
    <xdr:pic>
      <xdr:nvPicPr>
        <xdr:cNvPr id="9099" name="Рисунок 9098">
          <a:extLst>
            <a:ext uri="{FF2B5EF4-FFF2-40B4-BE49-F238E27FC236}">
              <a16:creationId xmlns:a16="http://schemas.microsoft.com/office/drawing/2014/main" id="{7DB23154-D2F2-40CC-93EF-D0530323715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8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90642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515</xdr:row>
      <xdr:rowOff>25400</xdr:rowOff>
    </xdr:from>
    <xdr:to>
      <xdr:col>11</xdr:col>
      <xdr:colOff>571500</xdr:colOff>
      <xdr:row>516</xdr:row>
      <xdr:rowOff>0</xdr:rowOff>
    </xdr:to>
    <xdr:pic>
      <xdr:nvPicPr>
        <xdr:cNvPr id="9101" name="Рисунок 9100">
          <a:extLst>
            <a:ext uri="{FF2B5EF4-FFF2-40B4-BE49-F238E27FC236}">
              <a16:creationId xmlns:a16="http://schemas.microsoft.com/office/drawing/2014/main" id="{85FE9F2F-EE3B-43FF-923D-591F16075B0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8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91214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516</xdr:row>
      <xdr:rowOff>25400</xdr:rowOff>
    </xdr:from>
    <xdr:to>
      <xdr:col>11</xdr:col>
      <xdr:colOff>571500</xdr:colOff>
      <xdr:row>517</xdr:row>
      <xdr:rowOff>0</xdr:rowOff>
    </xdr:to>
    <xdr:pic>
      <xdr:nvPicPr>
        <xdr:cNvPr id="9103" name="Рисунок 9102">
          <a:extLst>
            <a:ext uri="{FF2B5EF4-FFF2-40B4-BE49-F238E27FC236}">
              <a16:creationId xmlns:a16="http://schemas.microsoft.com/office/drawing/2014/main" id="{B26D1F00-889E-4152-AC38-470C0210D88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8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91785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517</xdr:row>
      <xdr:rowOff>25400</xdr:rowOff>
    </xdr:from>
    <xdr:to>
      <xdr:col>11</xdr:col>
      <xdr:colOff>571500</xdr:colOff>
      <xdr:row>518</xdr:row>
      <xdr:rowOff>0</xdr:rowOff>
    </xdr:to>
    <xdr:pic>
      <xdr:nvPicPr>
        <xdr:cNvPr id="9105" name="Рисунок 9104">
          <a:extLst>
            <a:ext uri="{FF2B5EF4-FFF2-40B4-BE49-F238E27FC236}">
              <a16:creationId xmlns:a16="http://schemas.microsoft.com/office/drawing/2014/main" id="{C8B712EF-7637-4773-9B58-69028D5BD19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8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92357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518</xdr:row>
      <xdr:rowOff>25400</xdr:rowOff>
    </xdr:from>
    <xdr:to>
      <xdr:col>11</xdr:col>
      <xdr:colOff>571500</xdr:colOff>
      <xdr:row>519</xdr:row>
      <xdr:rowOff>0</xdr:rowOff>
    </xdr:to>
    <xdr:pic>
      <xdr:nvPicPr>
        <xdr:cNvPr id="9107" name="Рисунок 9106">
          <a:extLst>
            <a:ext uri="{FF2B5EF4-FFF2-40B4-BE49-F238E27FC236}">
              <a16:creationId xmlns:a16="http://schemas.microsoft.com/office/drawing/2014/main" id="{323843B2-0B13-4D9D-88DD-24810877503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8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92928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519</xdr:row>
      <xdr:rowOff>25400</xdr:rowOff>
    </xdr:from>
    <xdr:to>
      <xdr:col>11</xdr:col>
      <xdr:colOff>571500</xdr:colOff>
      <xdr:row>520</xdr:row>
      <xdr:rowOff>0</xdr:rowOff>
    </xdr:to>
    <xdr:pic>
      <xdr:nvPicPr>
        <xdr:cNvPr id="9109" name="Рисунок 9108">
          <a:extLst>
            <a:ext uri="{FF2B5EF4-FFF2-40B4-BE49-F238E27FC236}">
              <a16:creationId xmlns:a16="http://schemas.microsoft.com/office/drawing/2014/main" id="{77264953-A75D-4E50-8DF8-FFF7BB09930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8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93500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520</xdr:row>
      <xdr:rowOff>25400</xdr:rowOff>
    </xdr:from>
    <xdr:to>
      <xdr:col>11</xdr:col>
      <xdr:colOff>571500</xdr:colOff>
      <xdr:row>521</xdr:row>
      <xdr:rowOff>0</xdr:rowOff>
    </xdr:to>
    <xdr:pic>
      <xdr:nvPicPr>
        <xdr:cNvPr id="9111" name="Рисунок 9110">
          <a:extLst>
            <a:ext uri="{FF2B5EF4-FFF2-40B4-BE49-F238E27FC236}">
              <a16:creationId xmlns:a16="http://schemas.microsoft.com/office/drawing/2014/main" id="{B0A93194-AD23-42D8-A565-6235F193940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8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94071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521</xdr:row>
      <xdr:rowOff>25400</xdr:rowOff>
    </xdr:from>
    <xdr:to>
      <xdr:col>11</xdr:col>
      <xdr:colOff>571500</xdr:colOff>
      <xdr:row>522</xdr:row>
      <xdr:rowOff>0</xdr:rowOff>
    </xdr:to>
    <xdr:pic>
      <xdr:nvPicPr>
        <xdr:cNvPr id="9113" name="Рисунок 9112">
          <a:extLst>
            <a:ext uri="{FF2B5EF4-FFF2-40B4-BE49-F238E27FC236}">
              <a16:creationId xmlns:a16="http://schemas.microsoft.com/office/drawing/2014/main" id="{E69572CD-A9E5-4E38-A0A2-3DB9FF07EF2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9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94643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522</xdr:row>
      <xdr:rowOff>25400</xdr:rowOff>
    </xdr:from>
    <xdr:to>
      <xdr:col>11</xdr:col>
      <xdr:colOff>571500</xdr:colOff>
      <xdr:row>523</xdr:row>
      <xdr:rowOff>0</xdr:rowOff>
    </xdr:to>
    <xdr:pic>
      <xdr:nvPicPr>
        <xdr:cNvPr id="9115" name="Рисунок 9114">
          <a:extLst>
            <a:ext uri="{FF2B5EF4-FFF2-40B4-BE49-F238E27FC236}">
              <a16:creationId xmlns:a16="http://schemas.microsoft.com/office/drawing/2014/main" id="{CC46C372-C4BF-4D8C-8FCB-7C209479F11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9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95214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523</xdr:row>
      <xdr:rowOff>25400</xdr:rowOff>
    </xdr:from>
    <xdr:to>
      <xdr:col>11</xdr:col>
      <xdr:colOff>571500</xdr:colOff>
      <xdr:row>524</xdr:row>
      <xdr:rowOff>0</xdr:rowOff>
    </xdr:to>
    <xdr:pic>
      <xdr:nvPicPr>
        <xdr:cNvPr id="9117" name="Рисунок 9116">
          <a:extLst>
            <a:ext uri="{FF2B5EF4-FFF2-40B4-BE49-F238E27FC236}">
              <a16:creationId xmlns:a16="http://schemas.microsoft.com/office/drawing/2014/main" id="{EF312A69-B972-4D34-9288-13ECBC17AF7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9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95786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524</xdr:row>
      <xdr:rowOff>25400</xdr:rowOff>
    </xdr:from>
    <xdr:to>
      <xdr:col>11</xdr:col>
      <xdr:colOff>571500</xdr:colOff>
      <xdr:row>525</xdr:row>
      <xdr:rowOff>0</xdr:rowOff>
    </xdr:to>
    <xdr:pic>
      <xdr:nvPicPr>
        <xdr:cNvPr id="9119" name="Рисунок 9118">
          <a:extLst>
            <a:ext uri="{FF2B5EF4-FFF2-40B4-BE49-F238E27FC236}">
              <a16:creationId xmlns:a16="http://schemas.microsoft.com/office/drawing/2014/main" id="{B5790472-E60F-489D-84CE-D5D3C124C17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9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96357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525</xdr:row>
      <xdr:rowOff>25400</xdr:rowOff>
    </xdr:from>
    <xdr:to>
      <xdr:col>11</xdr:col>
      <xdr:colOff>571500</xdr:colOff>
      <xdr:row>526</xdr:row>
      <xdr:rowOff>0</xdr:rowOff>
    </xdr:to>
    <xdr:pic>
      <xdr:nvPicPr>
        <xdr:cNvPr id="9121" name="Рисунок 9120">
          <a:extLst>
            <a:ext uri="{FF2B5EF4-FFF2-40B4-BE49-F238E27FC236}">
              <a16:creationId xmlns:a16="http://schemas.microsoft.com/office/drawing/2014/main" id="{67FA8F3C-221F-4258-B88B-1D62DCA3A4A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9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96929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526</xdr:row>
      <xdr:rowOff>25400</xdr:rowOff>
    </xdr:from>
    <xdr:to>
      <xdr:col>11</xdr:col>
      <xdr:colOff>571500</xdr:colOff>
      <xdr:row>527</xdr:row>
      <xdr:rowOff>0</xdr:rowOff>
    </xdr:to>
    <xdr:pic>
      <xdr:nvPicPr>
        <xdr:cNvPr id="9123" name="Рисунок 9122">
          <a:extLst>
            <a:ext uri="{FF2B5EF4-FFF2-40B4-BE49-F238E27FC236}">
              <a16:creationId xmlns:a16="http://schemas.microsoft.com/office/drawing/2014/main" id="{5FBBA3B4-B0CF-4F0C-8BF4-EFF02ED2B90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9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97500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527</xdr:row>
      <xdr:rowOff>25400</xdr:rowOff>
    </xdr:from>
    <xdr:to>
      <xdr:col>11</xdr:col>
      <xdr:colOff>571500</xdr:colOff>
      <xdr:row>528</xdr:row>
      <xdr:rowOff>0</xdr:rowOff>
    </xdr:to>
    <xdr:pic>
      <xdr:nvPicPr>
        <xdr:cNvPr id="9125" name="Рисунок 9124">
          <a:extLst>
            <a:ext uri="{FF2B5EF4-FFF2-40B4-BE49-F238E27FC236}">
              <a16:creationId xmlns:a16="http://schemas.microsoft.com/office/drawing/2014/main" id="{43BCF22B-A70F-49D7-96B7-B4497BE51E7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9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98072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528</xdr:row>
      <xdr:rowOff>25400</xdr:rowOff>
    </xdr:from>
    <xdr:to>
      <xdr:col>11</xdr:col>
      <xdr:colOff>571500</xdr:colOff>
      <xdr:row>529</xdr:row>
      <xdr:rowOff>0</xdr:rowOff>
    </xdr:to>
    <xdr:pic>
      <xdr:nvPicPr>
        <xdr:cNvPr id="9127" name="Рисунок 9126">
          <a:extLst>
            <a:ext uri="{FF2B5EF4-FFF2-40B4-BE49-F238E27FC236}">
              <a16:creationId xmlns:a16="http://schemas.microsoft.com/office/drawing/2014/main" id="{39FEA7A3-8226-44D4-9ED2-50E89B95EDE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9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98643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529</xdr:row>
      <xdr:rowOff>25400</xdr:rowOff>
    </xdr:from>
    <xdr:to>
      <xdr:col>11</xdr:col>
      <xdr:colOff>571500</xdr:colOff>
      <xdr:row>530</xdr:row>
      <xdr:rowOff>0</xdr:rowOff>
    </xdr:to>
    <xdr:pic>
      <xdr:nvPicPr>
        <xdr:cNvPr id="9129" name="Рисунок 9128">
          <a:extLst>
            <a:ext uri="{FF2B5EF4-FFF2-40B4-BE49-F238E27FC236}">
              <a16:creationId xmlns:a16="http://schemas.microsoft.com/office/drawing/2014/main" id="{E7B0FE80-B992-44C1-BC38-C5A5FB9AFF5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9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99215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530</xdr:row>
      <xdr:rowOff>25400</xdr:rowOff>
    </xdr:from>
    <xdr:to>
      <xdr:col>11</xdr:col>
      <xdr:colOff>571500</xdr:colOff>
      <xdr:row>531</xdr:row>
      <xdr:rowOff>0</xdr:rowOff>
    </xdr:to>
    <xdr:pic>
      <xdr:nvPicPr>
        <xdr:cNvPr id="9131" name="Рисунок 9130">
          <a:extLst>
            <a:ext uri="{FF2B5EF4-FFF2-40B4-BE49-F238E27FC236}">
              <a16:creationId xmlns:a16="http://schemas.microsoft.com/office/drawing/2014/main" id="{81EE091B-2056-4D99-B578-396F779A81E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9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99786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531</xdr:row>
      <xdr:rowOff>25400</xdr:rowOff>
    </xdr:from>
    <xdr:to>
      <xdr:col>11</xdr:col>
      <xdr:colOff>571500</xdr:colOff>
      <xdr:row>532</xdr:row>
      <xdr:rowOff>0</xdr:rowOff>
    </xdr:to>
    <xdr:pic>
      <xdr:nvPicPr>
        <xdr:cNvPr id="9133" name="Рисунок 9132">
          <a:extLst>
            <a:ext uri="{FF2B5EF4-FFF2-40B4-BE49-F238E27FC236}">
              <a16:creationId xmlns:a16="http://schemas.microsoft.com/office/drawing/2014/main" id="{F4B10A03-256F-40DF-ADAA-D1AE3315818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0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300358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532</xdr:row>
      <xdr:rowOff>25400</xdr:rowOff>
    </xdr:from>
    <xdr:to>
      <xdr:col>11</xdr:col>
      <xdr:colOff>571500</xdr:colOff>
      <xdr:row>533</xdr:row>
      <xdr:rowOff>0</xdr:rowOff>
    </xdr:to>
    <xdr:pic>
      <xdr:nvPicPr>
        <xdr:cNvPr id="9135" name="Рисунок 9134">
          <a:extLst>
            <a:ext uri="{FF2B5EF4-FFF2-40B4-BE49-F238E27FC236}">
              <a16:creationId xmlns:a16="http://schemas.microsoft.com/office/drawing/2014/main" id="{84FDCE68-7619-404D-B161-0595A969BD9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0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300929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533</xdr:row>
      <xdr:rowOff>25400</xdr:rowOff>
    </xdr:from>
    <xdr:to>
      <xdr:col>11</xdr:col>
      <xdr:colOff>571500</xdr:colOff>
      <xdr:row>534</xdr:row>
      <xdr:rowOff>0</xdr:rowOff>
    </xdr:to>
    <xdr:pic>
      <xdr:nvPicPr>
        <xdr:cNvPr id="9137" name="Рисунок 9136">
          <a:extLst>
            <a:ext uri="{FF2B5EF4-FFF2-40B4-BE49-F238E27FC236}">
              <a16:creationId xmlns:a16="http://schemas.microsoft.com/office/drawing/2014/main" id="{E3A9995C-B2AF-4948-94B7-C3ADE0521D0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0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301501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534</xdr:row>
      <xdr:rowOff>25400</xdr:rowOff>
    </xdr:from>
    <xdr:to>
      <xdr:col>11</xdr:col>
      <xdr:colOff>571500</xdr:colOff>
      <xdr:row>535</xdr:row>
      <xdr:rowOff>0</xdr:rowOff>
    </xdr:to>
    <xdr:pic>
      <xdr:nvPicPr>
        <xdr:cNvPr id="9139" name="Рисунок 9138">
          <a:extLst>
            <a:ext uri="{FF2B5EF4-FFF2-40B4-BE49-F238E27FC236}">
              <a16:creationId xmlns:a16="http://schemas.microsoft.com/office/drawing/2014/main" id="{87ACDAB5-34BE-44A0-BF48-A908DAEE791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0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302072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535</xdr:row>
      <xdr:rowOff>25400</xdr:rowOff>
    </xdr:from>
    <xdr:to>
      <xdr:col>11</xdr:col>
      <xdr:colOff>571500</xdr:colOff>
      <xdr:row>536</xdr:row>
      <xdr:rowOff>0</xdr:rowOff>
    </xdr:to>
    <xdr:pic>
      <xdr:nvPicPr>
        <xdr:cNvPr id="9141" name="Рисунок 9140">
          <a:extLst>
            <a:ext uri="{FF2B5EF4-FFF2-40B4-BE49-F238E27FC236}">
              <a16:creationId xmlns:a16="http://schemas.microsoft.com/office/drawing/2014/main" id="{B3102ADD-62E0-4F6C-9A5D-5F9E7B4B7B5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0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302644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536</xdr:row>
      <xdr:rowOff>25400</xdr:rowOff>
    </xdr:from>
    <xdr:to>
      <xdr:col>11</xdr:col>
      <xdr:colOff>571500</xdr:colOff>
      <xdr:row>537</xdr:row>
      <xdr:rowOff>0</xdr:rowOff>
    </xdr:to>
    <xdr:pic>
      <xdr:nvPicPr>
        <xdr:cNvPr id="9143" name="Рисунок 9142">
          <a:extLst>
            <a:ext uri="{FF2B5EF4-FFF2-40B4-BE49-F238E27FC236}">
              <a16:creationId xmlns:a16="http://schemas.microsoft.com/office/drawing/2014/main" id="{B08AC250-4A3D-40DB-9FFA-1C11D7B0BD2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0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303215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537</xdr:row>
      <xdr:rowOff>25400</xdr:rowOff>
    </xdr:from>
    <xdr:to>
      <xdr:col>11</xdr:col>
      <xdr:colOff>571500</xdr:colOff>
      <xdr:row>538</xdr:row>
      <xdr:rowOff>0</xdr:rowOff>
    </xdr:to>
    <xdr:pic>
      <xdr:nvPicPr>
        <xdr:cNvPr id="9145" name="Рисунок 9144">
          <a:extLst>
            <a:ext uri="{FF2B5EF4-FFF2-40B4-BE49-F238E27FC236}">
              <a16:creationId xmlns:a16="http://schemas.microsoft.com/office/drawing/2014/main" id="{F23C8FA4-9BC3-4027-9E5F-55770720D36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0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303787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538</xdr:row>
      <xdr:rowOff>25400</xdr:rowOff>
    </xdr:from>
    <xdr:to>
      <xdr:col>11</xdr:col>
      <xdr:colOff>571500</xdr:colOff>
      <xdr:row>539</xdr:row>
      <xdr:rowOff>0</xdr:rowOff>
    </xdr:to>
    <xdr:pic>
      <xdr:nvPicPr>
        <xdr:cNvPr id="9147" name="Рисунок 9146">
          <a:extLst>
            <a:ext uri="{FF2B5EF4-FFF2-40B4-BE49-F238E27FC236}">
              <a16:creationId xmlns:a16="http://schemas.microsoft.com/office/drawing/2014/main" id="{98582E2F-313F-4BEA-878F-6C997CD6EED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0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304358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539</xdr:row>
      <xdr:rowOff>25400</xdr:rowOff>
    </xdr:from>
    <xdr:to>
      <xdr:col>11</xdr:col>
      <xdr:colOff>571500</xdr:colOff>
      <xdr:row>540</xdr:row>
      <xdr:rowOff>0</xdr:rowOff>
    </xdr:to>
    <xdr:pic>
      <xdr:nvPicPr>
        <xdr:cNvPr id="9149" name="Рисунок 9148">
          <a:extLst>
            <a:ext uri="{FF2B5EF4-FFF2-40B4-BE49-F238E27FC236}">
              <a16:creationId xmlns:a16="http://schemas.microsoft.com/office/drawing/2014/main" id="{994A3EA7-7638-46AB-9F9A-F0FBE421E6A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0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304930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540</xdr:row>
      <xdr:rowOff>25400</xdr:rowOff>
    </xdr:from>
    <xdr:to>
      <xdr:col>11</xdr:col>
      <xdr:colOff>571500</xdr:colOff>
      <xdr:row>541</xdr:row>
      <xdr:rowOff>0</xdr:rowOff>
    </xdr:to>
    <xdr:pic>
      <xdr:nvPicPr>
        <xdr:cNvPr id="9151" name="Рисунок 9150">
          <a:extLst>
            <a:ext uri="{FF2B5EF4-FFF2-40B4-BE49-F238E27FC236}">
              <a16:creationId xmlns:a16="http://schemas.microsoft.com/office/drawing/2014/main" id="{3C3B9F83-C583-4261-9CE3-C3A8AAC07FE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0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305501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541</xdr:row>
      <xdr:rowOff>25400</xdr:rowOff>
    </xdr:from>
    <xdr:to>
      <xdr:col>11</xdr:col>
      <xdr:colOff>571500</xdr:colOff>
      <xdr:row>542</xdr:row>
      <xdr:rowOff>0</xdr:rowOff>
    </xdr:to>
    <xdr:pic>
      <xdr:nvPicPr>
        <xdr:cNvPr id="9153" name="Рисунок 9152">
          <a:extLst>
            <a:ext uri="{FF2B5EF4-FFF2-40B4-BE49-F238E27FC236}">
              <a16:creationId xmlns:a16="http://schemas.microsoft.com/office/drawing/2014/main" id="{1E5C70DA-D72F-4976-A71B-5D262514224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306073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542</xdr:row>
      <xdr:rowOff>25400</xdr:rowOff>
    </xdr:from>
    <xdr:to>
      <xdr:col>11</xdr:col>
      <xdr:colOff>571500</xdr:colOff>
      <xdr:row>543</xdr:row>
      <xdr:rowOff>0</xdr:rowOff>
    </xdr:to>
    <xdr:pic>
      <xdr:nvPicPr>
        <xdr:cNvPr id="9155" name="Рисунок 9154">
          <a:extLst>
            <a:ext uri="{FF2B5EF4-FFF2-40B4-BE49-F238E27FC236}">
              <a16:creationId xmlns:a16="http://schemas.microsoft.com/office/drawing/2014/main" id="{005A43C0-51CA-4567-9F2C-4A6C226BA6D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306644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543</xdr:row>
      <xdr:rowOff>25400</xdr:rowOff>
    </xdr:from>
    <xdr:to>
      <xdr:col>11</xdr:col>
      <xdr:colOff>571500</xdr:colOff>
      <xdr:row>544</xdr:row>
      <xdr:rowOff>0</xdr:rowOff>
    </xdr:to>
    <xdr:pic>
      <xdr:nvPicPr>
        <xdr:cNvPr id="9157" name="Рисунок 9156">
          <a:extLst>
            <a:ext uri="{FF2B5EF4-FFF2-40B4-BE49-F238E27FC236}">
              <a16:creationId xmlns:a16="http://schemas.microsoft.com/office/drawing/2014/main" id="{A2FBECAF-7831-4A20-A72F-20DFC82CC53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307216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544</xdr:row>
      <xdr:rowOff>25400</xdr:rowOff>
    </xdr:from>
    <xdr:to>
      <xdr:col>11</xdr:col>
      <xdr:colOff>571500</xdr:colOff>
      <xdr:row>545</xdr:row>
      <xdr:rowOff>0</xdr:rowOff>
    </xdr:to>
    <xdr:pic>
      <xdr:nvPicPr>
        <xdr:cNvPr id="9159" name="Рисунок 9158">
          <a:extLst>
            <a:ext uri="{FF2B5EF4-FFF2-40B4-BE49-F238E27FC236}">
              <a16:creationId xmlns:a16="http://schemas.microsoft.com/office/drawing/2014/main" id="{B6BA3DE1-EE45-42DD-9809-5F91187C893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307787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545</xdr:row>
      <xdr:rowOff>25400</xdr:rowOff>
    </xdr:from>
    <xdr:to>
      <xdr:col>11</xdr:col>
      <xdr:colOff>571500</xdr:colOff>
      <xdr:row>546</xdr:row>
      <xdr:rowOff>0</xdr:rowOff>
    </xdr:to>
    <xdr:pic>
      <xdr:nvPicPr>
        <xdr:cNvPr id="9161" name="Рисунок 9160">
          <a:extLst>
            <a:ext uri="{FF2B5EF4-FFF2-40B4-BE49-F238E27FC236}">
              <a16:creationId xmlns:a16="http://schemas.microsoft.com/office/drawing/2014/main" id="{5430F192-7350-44A0-BC3F-961138BE390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308359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546</xdr:row>
      <xdr:rowOff>25400</xdr:rowOff>
    </xdr:from>
    <xdr:to>
      <xdr:col>11</xdr:col>
      <xdr:colOff>571500</xdr:colOff>
      <xdr:row>547</xdr:row>
      <xdr:rowOff>0</xdr:rowOff>
    </xdr:to>
    <xdr:pic>
      <xdr:nvPicPr>
        <xdr:cNvPr id="9163" name="Рисунок 9162">
          <a:extLst>
            <a:ext uri="{FF2B5EF4-FFF2-40B4-BE49-F238E27FC236}">
              <a16:creationId xmlns:a16="http://schemas.microsoft.com/office/drawing/2014/main" id="{C8EE1626-D860-48DD-BF02-83CA1B01F6C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308930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547</xdr:row>
      <xdr:rowOff>25400</xdr:rowOff>
    </xdr:from>
    <xdr:to>
      <xdr:col>11</xdr:col>
      <xdr:colOff>571500</xdr:colOff>
      <xdr:row>548</xdr:row>
      <xdr:rowOff>0</xdr:rowOff>
    </xdr:to>
    <xdr:pic>
      <xdr:nvPicPr>
        <xdr:cNvPr id="9165" name="Рисунок 9164">
          <a:extLst>
            <a:ext uri="{FF2B5EF4-FFF2-40B4-BE49-F238E27FC236}">
              <a16:creationId xmlns:a16="http://schemas.microsoft.com/office/drawing/2014/main" id="{75A5555A-27DD-49C6-AB89-6313863835F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309502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548</xdr:row>
      <xdr:rowOff>25400</xdr:rowOff>
    </xdr:from>
    <xdr:to>
      <xdr:col>11</xdr:col>
      <xdr:colOff>571500</xdr:colOff>
      <xdr:row>549</xdr:row>
      <xdr:rowOff>0</xdr:rowOff>
    </xdr:to>
    <xdr:pic>
      <xdr:nvPicPr>
        <xdr:cNvPr id="9167" name="Рисунок 9166">
          <a:extLst>
            <a:ext uri="{FF2B5EF4-FFF2-40B4-BE49-F238E27FC236}">
              <a16:creationId xmlns:a16="http://schemas.microsoft.com/office/drawing/2014/main" id="{0607B547-96E4-44E0-B530-A532BA85CD1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310073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549</xdr:row>
      <xdr:rowOff>25400</xdr:rowOff>
    </xdr:from>
    <xdr:to>
      <xdr:col>11</xdr:col>
      <xdr:colOff>571500</xdr:colOff>
      <xdr:row>550</xdr:row>
      <xdr:rowOff>0</xdr:rowOff>
    </xdr:to>
    <xdr:pic>
      <xdr:nvPicPr>
        <xdr:cNvPr id="9169" name="Рисунок 9168">
          <a:extLst>
            <a:ext uri="{FF2B5EF4-FFF2-40B4-BE49-F238E27FC236}">
              <a16:creationId xmlns:a16="http://schemas.microsoft.com/office/drawing/2014/main" id="{E20183FB-CA29-402B-81C1-CC744E3C212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310645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550</xdr:row>
      <xdr:rowOff>25400</xdr:rowOff>
    </xdr:from>
    <xdr:to>
      <xdr:col>11</xdr:col>
      <xdr:colOff>571500</xdr:colOff>
      <xdr:row>551</xdr:row>
      <xdr:rowOff>0</xdr:rowOff>
    </xdr:to>
    <xdr:pic>
      <xdr:nvPicPr>
        <xdr:cNvPr id="9171" name="Рисунок 9170">
          <a:extLst>
            <a:ext uri="{FF2B5EF4-FFF2-40B4-BE49-F238E27FC236}">
              <a16:creationId xmlns:a16="http://schemas.microsoft.com/office/drawing/2014/main" id="{15D345D6-265C-4517-99B2-ED343216252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311216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551</xdr:row>
      <xdr:rowOff>25400</xdr:rowOff>
    </xdr:from>
    <xdr:to>
      <xdr:col>11</xdr:col>
      <xdr:colOff>571500</xdr:colOff>
      <xdr:row>552</xdr:row>
      <xdr:rowOff>0</xdr:rowOff>
    </xdr:to>
    <xdr:pic>
      <xdr:nvPicPr>
        <xdr:cNvPr id="9173" name="Рисунок 9172">
          <a:extLst>
            <a:ext uri="{FF2B5EF4-FFF2-40B4-BE49-F238E27FC236}">
              <a16:creationId xmlns:a16="http://schemas.microsoft.com/office/drawing/2014/main" id="{F14EEBC2-9E8F-4538-BBBB-797A3C84165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311788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552</xdr:row>
      <xdr:rowOff>25400</xdr:rowOff>
    </xdr:from>
    <xdr:to>
      <xdr:col>11</xdr:col>
      <xdr:colOff>571500</xdr:colOff>
      <xdr:row>553</xdr:row>
      <xdr:rowOff>0</xdr:rowOff>
    </xdr:to>
    <xdr:pic>
      <xdr:nvPicPr>
        <xdr:cNvPr id="9175" name="Рисунок 9174">
          <a:extLst>
            <a:ext uri="{FF2B5EF4-FFF2-40B4-BE49-F238E27FC236}">
              <a16:creationId xmlns:a16="http://schemas.microsoft.com/office/drawing/2014/main" id="{69FDB084-1456-426D-8EDF-607A00DE37F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312359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554</xdr:row>
      <xdr:rowOff>25400</xdr:rowOff>
    </xdr:from>
    <xdr:to>
      <xdr:col>11</xdr:col>
      <xdr:colOff>571500</xdr:colOff>
      <xdr:row>555</xdr:row>
      <xdr:rowOff>0</xdr:rowOff>
    </xdr:to>
    <xdr:pic>
      <xdr:nvPicPr>
        <xdr:cNvPr id="9177" name="Рисунок 9176">
          <a:extLst>
            <a:ext uri="{FF2B5EF4-FFF2-40B4-BE49-F238E27FC236}">
              <a16:creationId xmlns:a16="http://schemas.microsoft.com/office/drawing/2014/main" id="{D4CCB563-BBA6-4FE4-8082-85069E7FC7A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313502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555</xdr:row>
      <xdr:rowOff>25400</xdr:rowOff>
    </xdr:from>
    <xdr:to>
      <xdr:col>11</xdr:col>
      <xdr:colOff>571500</xdr:colOff>
      <xdr:row>556</xdr:row>
      <xdr:rowOff>0</xdr:rowOff>
    </xdr:to>
    <xdr:pic>
      <xdr:nvPicPr>
        <xdr:cNvPr id="9179" name="Рисунок 9178">
          <a:extLst>
            <a:ext uri="{FF2B5EF4-FFF2-40B4-BE49-F238E27FC236}">
              <a16:creationId xmlns:a16="http://schemas.microsoft.com/office/drawing/2014/main" id="{4C4A70F7-04C4-4DE1-9E49-88F946CC3E6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314074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556</xdr:row>
      <xdr:rowOff>25400</xdr:rowOff>
    </xdr:from>
    <xdr:to>
      <xdr:col>11</xdr:col>
      <xdr:colOff>571500</xdr:colOff>
      <xdr:row>557</xdr:row>
      <xdr:rowOff>0</xdr:rowOff>
    </xdr:to>
    <xdr:pic>
      <xdr:nvPicPr>
        <xdr:cNvPr id="9181" name="Рисунок 9180">
          <a:extLst>
            <a:ext uri="{FF2B5EF4-FFF2-40B4-BE49-F238E27FC236}">
              <a16:creationId xmlns:a16="http://schemas.microsoft.com/office/drawing/2014/main" id="{5B47ABDE-E83B-4E08-8948-5DC71BADB19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314645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559</xdr:row>
      <xdr:rowOff>25400</xdr:rowOff>
    </xdr:from>
    <xdr:to>
      <xdr:col>11</xdr:col>
      <xdr:colOff>571500</xdr:colOff>
      <xdr:row>560</xdr:row>
      <xdr:rowOff>0</xdr:rowOff>
    </xdr:to>
    <xdr:pic>
      <xdr:nvPicPr>
        <xdr:cNvPr id="9183" name="Рисунок 9182">
          <a:extLst>
            <a:ext uri="{FF2B5EF4-FFF2-40B4-BE49-F238E27FC236}">
              <a16:creationId xmlns:a16="http://schemas.microsoft.com/office/drawing/2014/main" id="{E89D1166-F3BF-4A93-B8EF-3FC04421983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316360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561</xdr:row>
      <xdr:rowOff>25400</xdr:rowOff>
    </xdr:from>
    <xdr:to>
      <xdr:col>11</xdr:col>
      <xdr:colOff>571500</xdr:colOff>
      <xdr:row>562</xdr:row>
      <xdr:rowOff>0</xdr:rowOff>
    </xdr:to>
    <xdr:pic>
      <xdr:nvPicPr>
        <xdr:cNvPr id="9185" name="Рисунок 9184">
          <a:extLst>
            <a:ext uri="{FF2B5EF4-FFF2-40B4-BE49-F238E27FC236}">
              <a16:creationId xmlns:a16="http://schemas.microsoft.com/office/drawing/2014/main" id="{167C83B7-A9F5-44A7-8FA2-5F28DCD5FBA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317503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562</xdr:row>
      <xdr:rowOff>25400</xdr:rowOff>
    </xdr:from>
    <xdr:to>
      <xdr:col>11</xdr:col>
      <xdr:colOff>571500</xdr:colOff>
      <xdr:row>563</xdr:row>
      <xdr:rowOff>0</xdr:rowOff>
    </xdr:to>
    <xdr:pic>
      <xdr:nvPicPr>
        <xdr:cNvPr id="9187" name="Рисунок 9186">
          <a:extLst>
            <a:ext uri="{FF2B5EF4-FFF2-40B4-BE49-F238E27FC236}">
              <a16:creationId xmlns:a16="http://schemas.microsoft.com/office/drawing/2014/main" id="{3C160860-EC07-4163-B26E-08AC7354727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318074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563</xdr:row>
      <xdr:rowOff>25400</xdr:rowOff>
    </xdr:from>
    <xdr:to>
      <xdr:col>11</xdr:col>
      <xdr:colOff>571500</xdr:colOff>
      <xdr:row>564</xdr:row>
      <xdr:rowOff>0</xdr:rowOff>
    </xdr:to>
    <xdr:pic>
      <xdr:nvPicPr>
        <xdr:cNvPr id="9189" name="Рисунок 9188">
          <a:extLst>
            <a:ext uri="{FF2B5EF4-FFF2-40B4-BE49-F238E27FC236}">
              <a16:creationId xmlns:a16="http://schemas.microsoft.com/office/drawing/2014/main" id="{C607D719-1203-4911-BF62-BA5BF228B33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318646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564</xdr:row>
      <xdr:rowOff>25400</xdr:rowOff>
    </xdr:from>
    <xdr:to>
      <xdr:col>11</xdr:col>
      <xdr:colOff>571500</xdr:colOff>
      <xdr:row>565</xdr:row>
      <xdr:rowOff>0</xdr:rowOff>
    </xdr:to>
    <xdr:pic>
      <xdr:nvPicPr>
        <xdr:cNvPr id="9191" name="Рисунок 9190">
          <a:extLst>
            <a:ext uri="{FF2B5EF4-FFF2-40B4-BE49-F238E27FC236}">
              <a16:creationId xmlns:a16="http://schemas.microsoft.com/office/drawing/2014/main" id="{FDEA45EC-AFDD-4E05-BDA0-73F1D00A37C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319217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565</xdr:row>
      <xdr:rowOff>25400</xdr:rowOff>
    </xdr:from>
    <xdr:to>
      <xdr:col>11</xdr:col>
      <xdr:colOff>571500</xdr:colOff>
      <xdr:row>566</xdr:row>
      <xdr:rowOff>0</xdr:rowOff>
    </xdr:to>
    <xdr:pic>
      <xdr:nvPicPr>
        <xdr:cNvPr id="9193" name="Рисунок 9192">
          <a:extLst>
            <a:ext uri="{FF2B5EF4-FFF2-40B4-BE49-F238E27FC236}">
              <a16:creationId xmlns:a16="http://schemas.microsoft.com/office/drawing/2014/main" id="{21AE744E-AA8D-4522-B382-6862EB90760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319789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566</xdr:row>
      <xdr:rowOff>25400</xdr:rowOff>
    </xdr:from>
    <xdr:to>
      <xdr:col>11</xdr:col>
      <xdr:colOff>571500</xdr:colOff>
      <xdr:row>567</xdr:row>
      <xdr:rowOff>0</xdr:rowOff>
    </xdr:to>
    <xdr:pic>
      <xdr:nvPicPr>
        <xdr:cNvPr id="9195" name="Рисунок 9194">
          <a:extLst>
            <a:ext uri="{FF2B5EF4-FFF2-40B4-BE49-F238E27FC236}">
              <a16:creationId xmlns:a16="http://schemas.microsoft.com/office/drawing/2014/main" id="{C5DDEF51-41FE-4E7C-9CAD-DB8DCD34CAA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3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320360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567</xdr:row>
      <xdr:rowOff>25400</xdr:rowOff>
    </xdr:from>
    <xdr:to>
      <xdr:col>11</xdr:col>
      <xdr:colOff>571500</xdr:colOff>
      <xdr:row>568</xdr:row>
      <xdr:rowOff>0</xdr:rowOff>
    </xdr:to>
    <xdr:pic>
      <xdr:nvPicPr>
        <xdr:cNvPr id="9197" name="Рисунок 9196">
          <a:extLst>
            <a:ext uri="{FF2B5EF4-FFF2-40B4-BE49-F238E27FC236}">
              <a16:creationId xmlns:a16="http://schemas.microsoft.com/office/drawing/2014/main" id="{78B54847-4ABC-4AC5-B223-22E44AB449A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3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320932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568</xdr:row>
      <xdr:rowOff>25400</xdr:rowOff>
    </xdr:from>
    <xdr:to>
      <xdr:col>11</xdr:col>
      <xdr:colOff>571500</xdr:colOff>
      <xdr:row>569</xdr:row>
      <xdr:rowOff>0</xdr:rowOff>
    </xdr:to>
    <xdr:pic>
      <xdr:nvPicPr>
        <xdr:cNvPr id="9199" name="Рисунок 9198">
          <a:extLst>
            <a:ext uri="{FF2B5EF4-FFF2-40B4-BE49-F238E27FC236}">
              <a16:creationId xmlns:a16="http://schemas.microsoft.com/office/drawing/2014/main" id="{5998A09A-20C3-404F-A308-B9DF55FF0CD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3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321503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569</xdr:row>
      <xdr:rowOff>25400</xdr:rowOff>
    </xdr:from>
    <xdr:to>
      <xdr:col>11</xdr:col>
      <xdr:colOff>571500</xdr:colOff>
      <xdr:row>570</xdr:row>
      <xdr:rowOff>0</xdr:rowOff>
    </xdr:to>
    <xdr:pic>
      <xdr:nvPicPr>
        <xdr:cNvPr id="9201" name="Рисунок 9200">
          <a:extLst>
            <a:ext uri="{FF2B5EF4-FFF2-40B4-BE49-F238E27FC236}">
              <a16:creationId xmlns:a16="http://schemas.microsoft.com/office/drawing/2014/main" id="{BC65CEBD-3E6E-4F97-912F-8DD08F56236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3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322075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570</xdr:row>
      <xdr:rowOff>25400</xdr:rowOff>
    </xdr:from>
    <xdr:to>
      <xdr:col>11</xdr:col>
      <xdr:colOff>571500</xdr:colOff>
      <xdr:row>571</xdr:row>
      <xdr:rowOff>0</xdr:rowOff>
    </xdr:to>
    <xdr:pic>
      <xdr:nvPicPr>
        <xdr:cNvPr id="9203" name="Рисунок 9202">
          <a:extLst>
            <a:ext uri="{FF2B5EF4-FFF2-40B4-BE49-F238E27FC236}">
              <a16:creationId xmlns:a16="http://schemas.microsoft.com/office/drawing/2014/main" id="{7CD3C286-A9CE-4A5F-800A-BD3BEC696B8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3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322646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571</xdr:row>
      <xdr:rowOff>25400</xdr:rowOff>
    </xdr:from>
    <xdr:to>
      <xdr:col>11</xdr:col>
      <xdr:colOff>571500</xdr:colOff>
      <xdr:row>572</xdr:row>
      <xdr:rowOff>0</xdr:rowOff>
    </xdr:to>
    <xdr:pic>
      <xdr:nvPicPr>
        <xdr:cNvPr id="9205" name="Рисунок 9204">
          <a:extLst>
            <a:ext uri="{FF2B5EF4-FFF2-40B4-BE49-F238E27FC236}">
              <a16:creationId xmlns:a16="http://schemas.microsoft.com/office/drawing/2014/main" id="{90C64E86-3E4F-4F50-AAFE-ABD9F4C573F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3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323218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572</xdr:row>
      <xdr:rowOff>25400</xdr:rowOff>
    </xdr:from>
    <xdr:to>
      <xdr:col>11</xdr:col>
      <xdr:colOff>571500</xdr:colOff>
      <xdr:row>573</xdr:row>
      <xdr:rowOff>0</xdr:rowOff>
    </xdr:to>
    <xdr:pic>
      <xdr:nvPicPr>
        <xdr:cNvPr id="9207" name="Рисунок 9206">
          <a:extLst>
            <a:ext uri="{FF2B5EF4-FFF2-40B4-BE49-F238E27FC236}">
              <a16:creationId xmlns:a16="http://schemas.microsoft.com/office/drawing/2014/main" id="{26D672D1-761B-4146-A1C3-7C480365124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3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323789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573</xdr:row>
      <xdr:rowOff>25400</xdr:rowOff>
    </xdr:from>
    <xdr:to>
      <xdr:col>11</xdr:col>
      <xdr:colOff>571500</xdr:colOff>
      <xdr:row>574</xdr:row>
      <xdr:rowOff>0</xdr:rowOff>
    </xdr:to>
    <xdr:pic>
      <xdr:nvPicPr>
        <xdr:cNvPr id="9209" name="Рисунок 9208">
          <a:extLst>
            <a:ext uri="{FF2B5EF4-FFF2-40B4-BE49-F238E27FC236}">
              <a16:creationId xmlns:a16="http://schemas.microsoft.com/office/drawing/2014/main" id="{1253F8E1-2CF5-4058-AE54-860E3FD6A27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3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324361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574</xdr:row>
      <xdr:rowOff>25400</xdr:rowOff>
    </xdr:from>
    <xdr:to>
      <xdr:col>11</xdr:col>
      <xdr:colOff>571500</xdr:colOff>
      <xdr:row>575</xdr:row>
      <xdr:rowOff>0</xdr:rowOff>
    </xdr:to>
    <xdr:pic>
      <xdr:nvPicPr>
        <xdr:cNvPr id="9211" name="Рисунок 9210">
          <a:extLst>
            <a:ext uri="{FF2B5EF4-FFF2-40B4-BE49-F238E27FC236}">
              <a16:creationId xmlns:a16="http://schemas.microsoft.com/office/drawing/2014/main" id="{3E6726E5-4E73-4596-A8B3-AA0E1E000BE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3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324932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575</xdr:row>
      <xdr:rowOff>25400</xdr:rowOff>
    </xdr:from>
    <xdr:to>
      <xdr:col>11</xdr:col>
      <xdr:colOff>571500</xdr:colOff>
      <xdr:row>576</xdr:row>
      <xdr:rowOff>0</xdr:rowOff>
    </xdr:to>
    <xdr:pic>
      <xdr:nvPicPr>
        <xdr:cNvPr id="9213" name="Рисунок 9212">
          <a:extLst>
            <a:ext uri="{FF2B5EF4-FFF2-40B4-BE49-F238E27FC236}">
              <a16:creationId xmlns:a16="http://schemas.microsoft.com/office/drawing/2014/main" id="{1E334D85-9A36-475C-A41E-F4B10206BEF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4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325504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576</xdr:row>
      <xdr:rowOff>25400</xdr:rowOff>
    </xdr:from>
    <xdr:to>
      <xdr:col>11</xdr:col>
      <xdr:colOff>571500</xdr:colOff>
      <xdr:row>577</xdr:row>
      <xdr:rowOff>0</xdr:rowOff>
    </xdr:to>
    <xdr:pic>
      <xdr:nvPicPr>
        <xdr:cNvPr id="9215" name="Рисунок 9214">
          <a:extLst>
            <a:ext uri="{FF2B5EF4-FFF2-40B4-BE49-F238E27FC236}">
              <a16:creationId xmlns:a16="http://schemas.microsoft.com/office/drawing/2014/main" id="{18B790FF-724B-475E-9682-B90983C5169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4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326075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577</xdr:row>
      <xdr:rowOff>25400</xdr:rowOff>
    </xdr:from>
    <xdr:to>
      <xdr:col>11</xdr:col>
      <xdr:colOff>571500</xdr:colOff>
      <xdr:row>578</xdr:row>
      <xdr:rowOff>0</xdr:rowOff>
    </xdr:to>
    <xdr:pic>
      <xdr:nvPicPr>
        <xdr:cNvPr id="9217" name="Рисунок 9216">
          <a:extLst>
            <a:ext uri="{FF2B5EF4-FFF2-40B4-BE49-F238E27FC236}">
              <a16:creationId xmlns:a16="http://schemas.microsoft.com/office/drawing/2014/main" id="{5F28A917-ADE7-40E1-BEF2-B58527DDB02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326647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578</xdr:row>
      <xdr:rowOff>25400</xdr:rowOff>
    </xdr:from>
    <xdr:to>
      <xdr:col>11</xdr:col>
      <xdr:colOff>571500</xdr:colOff>
      <xdr:row>579</xdr:row>
      <xdr:rowOff>0</xdr:rowOff>
    </xdr:to>
    <xdr:pic>
      <xdr:nvPicPr>
        <xdr:cNvPr id="9219" name="Рисунок 9218">
          <a:extLst>
            <a:ext uri="{FF2B5EF4-FFF2-40B4-BE49-F238E27FC236}">
              <a16:creationId xmlns:a16="http://schemas.microsoft.com/office/drawing/2014/main" id="{51897E70-EC06-4349-A057-88E27020BA6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327218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579</xdr:row>
      <xdr:rowOff>25400</xdr:rowOff>
    </xdr:from>
    <xdr:to>
      <xdr:col>11</xdr:col>
      <xdr:colOff>571500</xdr:colOff>
      <xdr:row>580</xdr:row>
      <xdr:rowOff>0</xdr:rowOff>
    </xdr:to>
    <xdr:pic>
      <xdr:nvPicPr>
        <xdr:cNvPr id="9221" name="Рисунок 9220">
          <a:extLst>
            <a:ext uri="{FF2B5EF4-FFF2-40B4-BE49-F238E27FC236}">
              <a16:creationId xmlns:a16="http://schemas.microsoft.com/office/drawing/2014/main" id="{49E76A19-E76A-42F9-8A59-F285467FADB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327790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580</xdr:row>
      <xdr:rowOff>25400</xdr:rowOff>
    </xdr:from>
    <xdr:to>
      <xdr:col>11</xdr:col>
      <xdr:colOff>571500</xdr:colOff>
      <xdr:row>581</xdr:row>
      <xdr:rowOff>0</xdr:rowOff>
    </xdr:to>
    <xdr:pic>
      <xdr:nvPicPr>
        <xdr:cNvPr id="9223" name="Рисунок 9222">
          <a:extLst>
            <a:ext uri="{FF2B5EF4-FFF2-40B4-BE49-F238E27FC236}">
              <a16:creationId xmlns:a16="http://schemas.microsoft.com/office/drawing/2014/main" id="{2C2C3666-7F62-4AAD-B988-704D270703C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4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328361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581</xdr:row>
      <xdr:rowOff>25400</xdr:rowOff>
    </xdr:from>
    <xdr:to>
      <xdr:col>11</xdr:col>
      <xdr:colOff>571500</xdr:colOff>
      <xdr:row>582</xdr:row>
      <xdr:rowOff>0</xdr:rowOff>
    </xdr:to>
    <xdr:pic>
      <xdr:nvPicPr>
        <xdr:cNvPr id="9225" name="Рисунок 9224">
          <a:extLst>
            <a:ext uri="{FF2B5EF4-FFF2-40B4-BE49-F238E27FC236}">
              <a16:creationId xmlns:a16="http://schemas.microsoft.com/office/drawing/2014/main" id="{8EAAF9F2-470E-4F1D-98D3-AC3084B549E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4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328933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582</xdr:row>
      <xdr:rowOff>25400</xdr:rowOff>
    </xdr:from>
    <xdr:to>
      <xdr:col>11</xdr:col>
      <xdr:colOff>571500</xdr:colOff>
      <xdr:row>583</xdr:row>
      <xdr:rowOff>0</xdr:rowOff>
    </xdr:to>
    <xdr:pic>
      <xdr:nvPicPr>
        <xdr:cNvPr id="9227" name="Рисунок 9226">
          <a:extLst>
            <a:ext uri="{FF2B5EF4-FFF2-40B4-BE49-F238E27FC236}">
              <a16:creationId xmlns:a16="http://schemas.microsoft.com/office/drawing/2014/main" id="{F117897F-3158-4C8B-81F5-694E29CF2EF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4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329504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583</xdr:row>
      <xdr:rowOff>25400</xdr:rowOff>
    </xdr:from>
    <xdr:to>
      <xdr:col>11</xdr:col>
      <xdr:colOff>571500</xdr:colOff>
      <xdr:row>584</xdr:row>
      <xdr:rowOff>0</xdr:rowOff>
    </xdr:to>
    <xdr:pic>
      <xdr:nvPicPr>
        <xdr:cNvPr id="9229" name="Рисунок 9228">
          <a:extLst>
            <a:ext uri="{FF2B5EF4-FFF2-40B4-BE49-F238E27FC236}">
              <a16:creationId xmlns:a16="http://schemas.microsoft.com/office/drawing/2014/main" id="{E8CFEAD1-5E8A-4367-BF25-6333D15A2C9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4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330076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584</xdr:row>
      <xdr:rowOff>25400</xdr:rowOff>
    </xdr:from>
    <xdr:to>
      <xdr:col>11</xdr:col>
      <xdr:colOff>571500</xdr:colOff>
      <xdr:row>585</xdr:row>
      <xdr:rowOff>0</xdr:rowOff>
    </xdr:to>
    <xdr:pic>
      <xdr:nvPicPr>
        <xdr:cNvPr id="9231" name="Рисунок 9230">
          <a:extLst>
            <a:ext uri="{FF2B5EF4-FFF2-40B4-BE49-F238E27FC236}">
              <a16:creationId xmlns:a16="http://schemas.microsoft.com/office/drawing/2014/main" id="{7DFC261D-DC03-48CA-95B5-A0C7DF04F6A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4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330647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585</xdr:row>
      <xdr:rowOff>25400</xdr:rowOff>
    </xdr:from>
    <xdr:to>
      <xdr:col>11</xdr:col>
      <xdr:colOff>571500</xdr:colOff>
      <xdr:row>586</xdr:row>
      <xdr:rowOff>0</xdr:rowOff>
    </xdr:to>
    <xdr:pic>
      <xdr:nvPicPr>
        <xdr:cNvPr id="9233" name="Рисунок 9232">
          <a:extLst>
            <a:ext uri="{FF2B5EF4-FFF2-40B4-BE49-F238E27FC236}">
              <a16:creationId xmlns:a16="http://schemas.microsoft.com/office/drawing/2014/main" id="{EEC5E8D9-6856-4B66-9BE9-D1A7BDDA917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5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331219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586</xdr:row>
      <xdr:rowOff>25400</xdr:rowOff>
    </xdr:from>
    <xdr:to>
      <xdr:col>11</xdr:col>
      <xdr:colOff>571500</xdr:colOff>
      <xdr:row>587</xdr:row>
      <xdr:rowOff>0</xdr:rowOff>
    </xdr:to>
    <xdr:pic>
      <xdr:nvPicPr>
        <xdr:cNvPr id="9235" name="Рисунок 9234">
          <a:extLst>
            <a:ext uri="{FF2B5EF4-FFF2-40B4-BE49-F238E27FC236}">
              <a16:creationId xmlns:a16="http://schemas.microsoft.com/office/drawing/2014/main" id="{2785B0D4-EF04-41DA-BEFB-6DD0D96206E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5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331790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587</xdr:row>
      <xdr:rowOff>25400</xdr:rowOff>
    </xdr:from>
    <xdr:to>
      <xdr:col>11</xdr:col>
      <xdr:colOff>571500</xdr:colOff>
      <xdr:row>588</xdr:row>
      <xdr:rowOff>0</xdr:rowOff>
    </xdr:to>
    <xdr:pic>
      <xdr:nvPicPr>
        <xdr:cNvPr id="9237" name="Рисунок 9236">
          <a:extLst>
            <a:ext uri="{FF2B5EF4-FFF2-40B4-BE49-F238E27FC236}">
              <a16:creationId xmlns:a16="http://schemas.microsoft.com/office/drawing/2014/main" id="{DFA1C262-5513-4272-9CC3-4E15419F99D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332362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588</xdr:row>
      <xdr:rowOff>25400</xdr:rowOff>
    </xdr:from>
    <xdr:to>
      <xdr:col>11</xdr:col>
      <xdr:colOff>571500</xdr:colOff>
      <xdr:row>589</xdr:row>
      <xdr:rowOff>0</xdr:rowOff>
    </xdr:to>
    <xdr:pic>
      <xdr:nvPicPr>
        <xdr:cNvPr id="9239" name="Рисунок 9238">
          <a:extLst>
            <a:ext uri="{FF2B5EF4-FFF2-40B4-BE49-F238E27FC236}">
              <a16:creationId xmlns:a16="http://schemas.microsoft.com/office/drawing/2014/main" id="{451A4316-FF6B-4DE6-914A-DD827B679C4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5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332933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589</xdr:row>
      <xdr:rowOff>25400</xdr:rowOff>
    </xdr:from>
    <xdr:to>
      <xdr:col>11</xdr:col>
      <xdr:colOff>571500</xdr:colOff>
      <xdr:row>590</xdr:row>
      <xdr:rowOff>0</xdr:rowOff>
    </xdr:to>
    <xdr:pic>
      <xdr:nvPicPr>
        <xdr:cNvPr id="9241" name="Рисунок 9240">
          <a:extLst>
            <a:ext uri="{FF2B5EF4-FFF2-40B4-BE49-F238E27FC236}">
              <a16:creationId xmlns:a16="http://schemas.microsoft.com/office/drawing/2014/main" id="{52B00DE2-1D59-4F78-975B-AD093945C7F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5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333505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590</xdr:row>
      <xdr:rowOff>25400</xdr:rowOff>
    </xdr:from>
    <xdr:to>
      <xdr:col>11</xdr:col>
      <xdr:colOff>571500</xdr:colOff>
      <xdr:row>591</xdr:row>
      <xdr:rowOff>0</xdr:rowOff>
    </xdr:to>
    <xdr:pic>
      <xdr:nvPicPr>
        <xdr:cNvPr id="9243" name="Рисунок 9242">
          <a:extLst>
            <a:ext uri="{FF2B5EF4-FFF2-40B4-BE49-F238E27FC236}">
              <a16:creationId xmlns:a16="http://schemas.microsoft.com/office/drawing/2014/main" id="{3C22DF01-2345-4365-8CC5-0307BA19F6D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5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334076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591</xdr:row>
      <xdr:rowOff>25400</xdr:rowOff>
    </xdr:from>
    <xdr:to>
      <xdr:col>11</xdr:col>
      <xdr:colOff>571500</xdr:colOff>
      <xdr:row>592</xdr:row>
      <xdr:rowOff>0</xdr:rowOff>
    </xdr:to>
    <xdr:pic>
      <xdr:nvPicPr>
        <xdr:cNvPr id="9245" name="Рисунок 9244">
          <a:extLst>
            <a:ext uri="{FF2B5EF4-FFF2-40B4-BE49-F238E27FC236}">
              <a16:creationId xmlns:a16="http://schemas.microsoft.com/office/drawing/2014/main" id="{12BC87F6-8C99-4804-A2ED-440EA4FD6C7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5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334648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592</xdr:row>
      <xdr:rowOff>25400</xdr:rowOff>
    </xdr:from>
    <xdr:to>
      <xdr:col>11</xdr:col>
      <xdr:colOff>571500</xdr:colOff>
      <xdr:row>593</xdr:row>
      <xdr:rowOff>0</xdr:rowOff>
    </xdr:to>
    <xdr:pic>
      <xdr:nvPicPr>
        <xdr:cNvPr id="9247" name="Рисунок 9246">
          <a:extLst>
            <a:ext uri="{FF2B5EF4-FFF2-40B4-BE49-F238E27FC236}">
              <a16:creationId xmlns:a16="http://schemas.microsoft.com/office/drawing/2014/main" id="{840D49F0-6741-4D50-BA17-C227DE3B89C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5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335219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593</xdr:row>
      <xdr:rowOff>25400</xdr:rowOff>
    </xdr:from>
    <xdr:to>
      <xdr:col>11</xdr:col>
      <xdr:colOff>571500</xdr:colOff>
      <xdr:row>594</xdr:row>
      <xdr:rowOff>0</xdr:rowOff>
    </xdr:to>
    <xdr:pic>
      <xdr:nvPicPr>
        <xdr:cNvPr id="9249" name="Рисунок 9248">
          <a:extLst>
            <a:ext uri="{FF2B5EF4-FFF2-40B4-BE49-F238E27FC236}">
              <a16:creationId xmlns:a16="http://schemas.microsoft.com/office/drawing/2014/main" id="{8B76EBF5-8A7B-4871-B470-2BF22E2A0A5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5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335791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594</xdr:row>
      <xdr:rowOff>25400</xdr:rowOff>
    </xdr:from>
    <xdr:to>
      <xdr:col>11</xdr:col>
      <xdr:colOff>571500</xdr:colOff>
      <xdr:row>595</xdr:row>
      <xdr:rowOff>0</xdr:rowOff>
    </xdr:to>
    <xdr:pic>
      <xdr:nvPicPr>
        <xdr:cNvPr id="9251" name="Рисунок 9250">
          <a:extLst>
            <a:ext uri="{FF2B5EF4-FFF2-40B4-BE49-F238E27FC236}">
              <a16:creationId xmlns:a16="http://schemas.microsoft.com/office/drawing/2014/main" id="{76309776-3F28-470E-8C72-0750E78A279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5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336362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595</xdr:row>
      <xdr:rowOff>25400</xdr:rowOff>
    </xdr:from>
    <xdr:to>
      <xdr:col>11</xdr:col>
      <xdr:colOff>571500</xdr:colOff>
      <xdr:row>596</xdr:row>
      <xdr:rowOff>0</xdr:rowOff>
    </xdr:to>
    <xdr:pic>
      <xdr:nvPicPr>
        <xdr:cNvPr id="9253" name="Рисунок 9252">
          <a:extLst>
            <a:ext uri="{FF2B5EF4-FFF2-40B4-BE49-F238E27FC236}">
              <a16:creationId xmlns:a16="http://schemas.microsoft.com/office/drawing/2014/main" id="{93DE407A-24DE-48AB-AD98-1454D836D9A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6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336934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596</xdr:row>
      <xdr:rowOff>25400</xdr:rowOff>
    </xdr:from>
    <xdr:to>
      <xdr:col>11</xdr:col>
      <xdr:colOff>571500</xdr:colOff>
      <xdr:row>597</xdr:row>
      <xdr:rowOff>0</xdr:rowOff>
    </xdr:to>
    <xdr:pic>
      <xdr:nvPicPr>
        <xdr:cNvPr id="9255" name="Рисунок 9254">
          <a:extLst>
            <a:ext uri="{FF2B5EF4-FFF2-40B4-BE49-F238E27FC236}">
              <a16:creationId xmlns:a16="http://schemas.microsoft.com/office/drawing/2014/main" id="{F8B1D64B-C582-4998-863B-23E0A70AC65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6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337505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597</xdr:row>
      <xdr:rowOff>25400</xdr:rowOff>
    </xdr:from>
    <xdr:to>
      <xdr:col>11</xdr:col>
      <xdr:colOff>571500</xdr:colOff>
      <xdr:row>598</xdr:row>
      <xdr:rowOff>0</xdr:rowOff>
    </xdr:to>
    <xdr:pic>
      <xdr:nvPicPr>
        <xdr:cNvPr id="9257" name="Рисунок 9256">
          <a:extLst>
            <a:ext uri="{FF2B5EF4-FFF2-40B4-BE49-F238E27FC236}">
              <a16:creationId xmlns:a16="http://schemas.microsoft.com/office/drawing/2014/main" id="{82FBBFBE-EC4B-4215-94EF-70522FA9332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6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338077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598</xdr:row>
      <xdr:rowOff>25400</xdr:rowOff>
    </xdr:from>
    <xdr:to>
      <xdr:col>11</xdr:col>
      <xdr:colOff>571500</xdr:colOff>
      <xdr:row>599</xdr:row>
      <xdr:rowOff>0</xdr:rowOff>
    </xdr:to>
    <xdr:pic>
      <xdr:nvPicPr>
        <xdr:cNvPr id="9259" name="Рисунок 9258">
          <a:extLst>
            <a:ext uri="{FF2B5EF4-FFF2-40B4-BE49-F238E27FC236}">
              <a16:creationId xmlns:a16="http://schemas.microsoft.com/office/drawing/2014/main" id="{880DF52A-A72A-42C4-9577-28BB31CEB51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6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338648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599</xdr:row>
      <xdr:rowOff>25400</xdr:rowOff>
    </xdr:from>
    <xdr:to>
      <xdr:col>11</xdr:col>
      <xdr:colOff>571500</xdr:colOff>
      <xdr:row>600</xdr:row>
      <xdr:rowOff>0</xdr:rowOff>
    </xdr:to>
    <xdr:pic>
      <xdr:nvPicPr>
        <xdr:cNvPr id="9261" name="Рисунок 9260">
          <a:extLst>
            <a:ext uri="{FF2B5EF4-FFF2-40B4-BE49-F238E27FC236}">
              <a16:creationId xmlns:a16="http://schemas.microsoft.com/office/drawing/2014/main" id="{F0A98D93-4E35-48BB-8B67-B634442F54E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6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339220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600</xdr:row>
      <xdr:rowOff>25400</xdr:rowOff>
    </xdr:from>
    <xdr:to>
      <xdr:col>11</xdr:col>
      <xdr:colOff>571500</xdr:colOff>
      <xdr:row>601</xdr:row>
      <xdr:rowOff>0</xdr:rowOff>
    </xdr:to>
    <xdr:pic>
      <xdr:nvPicPr>
        <xdr:cNvPr id="9263" name="Рисунок 9262">
          <a:extLst>
            <a:ext uri="{FF2B5EF4-FFF2-40B4-BE49-F238E27FC236}">
              <a16:creationId xmlns:a16="http://schemas.microsoft.com/office/drawing/2014/main" id="{0D95F28C-5E72-4FB8-93B9-10D5CEA608D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6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339791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601</xdr:row>
      <xdr:rowOff>25400</xdr:rowOff>
    </xdr:from>
    <xdr:to>
      <xdr:col>11</xdr:col>
      <xdr:colOff>571500</xdr:colOff>
      <xdr:row>602</xdr:row>
      <xdr:rowOff>0</xdr:rowOff>
    </xdr:to>
    <xdr:pic>
      <xdr:nvPicPr>
        <xdr:cNvPr id="9265" name="Рисунок 9264">
          <a:extLst>
            <a:ext uri="{FF2B5EF4-FFF2-40B4-BE49-F238E27FC236}">
              <a16:creationId xmlns:a16="http://schemas.microsoft.com/office/drawing/2014/main" id="{3454C794-3ACF-4C1A-9AE4-A971AF37DDC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6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340363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602</xdr:row>
      <xdr:rowOff>25400</xdr:rowOff>
    </xdr:from>
    <xdr:to>
      <xdr:col>11</xdr:col>
      <xdr:colOff>571500</xdr:colOff>
      <xdr:row>603</xdr:row>
      <xdr:rowOff>0</xdr:rowOff>
    </xdr:to>
    <xdr:pic>
      <xdr:nvPicPr>
        <xdr:cNvPr id="9267" name="Рисунок 9266">
          <a:extLst>
            <a:ext uri="{FF2B5EF4-FFF2-40B4-BE49-F238E27FC236}">
              <a16:creationId xmlns:a16="http://schemas.microsoft.com/office/drawing/2014/main" id="{6E63A55B-6F47-4F25-9C98-DD92C7017EE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6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340934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603</xdr:row>
      <xdr:rowOff>25400</xdr:rowOff>
    </xdr:from>
    <xdr:to>
      <xdr:col>11</xdr:col>
      <xdr:colOff>571500</xdr:colOff>
      <xdr:row>604</xdr:row>
      <xdr:rowOff>0</xdr:rowOff>
    </xdr:to>
    <xdr:pic>
      <xdr:nvPicPr>
        <xdr:cNvPr id="9269" name="Рисунок 9268">
          <a:extLst>
            <a:ext uri="{FF2B5EF4-FFF2-40B4-BE49-F238E27FC236}">
              <a16:creationId xmlns:a16="http://schemas.microsoft.com/office/drawing/2014/main" id="{78943AA1-3C06-4A3A-8989-74E88A8C857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6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341506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604</xdr:row>
      <xdr:rowOff>25400</xdr:rowOff>
    </xdr:from>
    <xdr:to>
      <xdr:col>11</xdr:col>
      <xdr:colOff>571500</xdr:colOff>
      <xdr:row>605</xdr:row>
      <xdr:rowOff>0</xdr:rowOff>
    </xdr:to>
    <xdr:pic>
      <xdr:nvPicPr>
        <xdr:cNvPr id="9271" name="Рисунок 9270">
          <a:extLst>
            <a:ext uri="{FF2B5EF4-FFF2-40B4-BE49-F238E27FC236}">
              <a16:creationId xmlns:a16="http://schemas.microsoft.com/office/drawing/2014/main" id="{BF414833-FBAB-40BD-B9D2-8AC89514B3F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6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342077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605</xdr:row>
      <xdr:rowOff>25400</xdr:rowOff>
    </xdr:from>
    <xdr:to>
      <xdr:col>11</xdr:col>
      <xdr:colOff>571500</xdr:colOff>
      <xdr:row>606</xdr:row>
      <xdr:rowOff>0</xdr:rowOff>
    </xdr:to>
    <xdr:pic>
      <xdr:nvPicPr>
        <xdr:cNvPr id="9273" name="Рисунок 9272">
          <a:extLst>
            <a:ext uri="{FF2B5EF4-FFF2-40B4-BE49-F238E27FC236}">
              <a16:creationId xmlns:a16="http://schemas.microsoft.com/office/drawing/2014/main" id="{0029389F-5ED7-4FEC-853F-8F35D9DD811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7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342649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606</xdr:row>
      <xdr:rowOff>25400</xdr:rowOff>
    </xdr:from>
    <xdr:to>
      <xdr:col>11</xdr:col>
      <xdr:colOff>571500</xdr:colOff>
      <xdr:row>607</xdr:row>
      <xdr:rowOff>0</xdr:rowOff>
    </xdr:to>
    <xdr:pic>
      <xdr:nvPicPr>
        <xdr:cNvPr id="9275" name="Рисунок 9274">
          <a:extLst>
            <a:ext uri="{FF2B5EF4-FFF2-40B4-BE49-F238E27FC236}">
              <a16:creationId xmlns:a16="http://schemas.microsoft.com/office/drawing/2014/main" id="{8428F806-57EA-4643-AE82-3159E02B504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7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343220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607</xdr:row>
      <xdr:rowOff>25400</xdr:rowOff>
    </xdr:from>
    <xdr:to>
      <xdr:col>11</xdr:col>
      <xdr:colOff>571500</xdr:colOff>
      <xdr:row>608</xdr:row>
      <xdr:rowOff>0</xdr:rowOff>
    </xdr:to>
    <xdr:pic>
      <xdr:nvPicPr>
        <xdr:cNvPr id="9277" name="Рисунок 9276">
          <a:extLst>
            <a:ext uri="{FF2B5EF4-FFF2-40B4-BE49-F238E27FC236}">
              <a16:creationId xmlns:a16="http://schemas.microsoft.com/office/drawing/2014/main" id="{7B56AFD1-996C-4435-A698-4B8A258BF1D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7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343792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608</xdr:row>
      <xdr:rowOff>25400</xdr:rowOff>
    </xdr:from>
    <xdr:to>
      <xdr:col>11</xdr:col>
      <xdr:colOff>571500</xdr:colOff>
      <xdr:row>609</xdr:row>
      <xdr:rowOff>0</xdr:rowOff>
    </xdr:to>
    <xdr:pic>
      <xdr:nvPicPr>
        <xdr:cNvPr id="9279" name="Рисунок 9278">
          <a:extLst>
            <a:ext uri="{FF2B5EF4-FFF2-40B4-BE49-F238E27FC236}">
              <a16:creationId xmlns:a16="http://schemas.microsoft.com/office/drawing/2014/main" id="{A7A5C376-CF78-4A95-98A7-D769F7FC780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7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344363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609</xdr:row>
      <xdr:rowOff>25400</xdr:rowOff>
    </xdr:from>
    <xdr:to>
      <xdr:col>11</xdr:col>
      <xdr:colOff>571500</xdr:colOff>
      <xdr:row>610</xdr:row>
      <xdr:rowOff>0</xdr:rowOff>
    </xdr:to>
    <xdr:pic>
      <xdr:nvPicPr>
        <xdr:cNvPr id="9281" name="Рисунок 9280">
          <a:extLst>
            <a:ext uri="{FF2B5EF4-FFF2-40B4-BE49-F238E27FC236}">
              <a16:creationId xmlns:a16="http://schemas.microsoft.com/office/drawing/2014/main" id="{BD60192C-899B-46A6-A56E-EE48AC296E3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7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344935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610</xdr:row>
      <xdr:rowOff>25400</xdr:rowOff>
    </xdr:from>
    <xdr:to>
      <xdr:col>11</xdr:col>
      <xdr:colOff>571500</xdr:colOff>
      <xdr:row>611</xdr:row>
      <xdr:rowOff>0</xdr:rowOff>
    </xdr:to>
    <xdr:pic>
      <xdr:nvPicPr>
        <xdr:cNvPr id="9283" name="Рисунок 9282">
          <a:extLst>
            <a:ext uri="{FF2B5EF4-FFF2-40B4-BE49-F238E27FC236}">
              <a16:creationId xmlns:a16="http://schemas.microsoft.com/office/drawing/2014/main" id="{29380C87-ED0A-4139-BA9D-6F62AE851B6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7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345506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611</xdr:row>
      <xdr:rowOff>25400</xdr:rowOff>
    </xdr:from>
    <xdr:to>
      <xdr:col>11</xdr:col>
      <xdr:colOff>571500</xdr:colOff>
      <xdr:row>612</xdr:row>
      <xdr:rowOff>0</xdr:rowOff>
    </xdr:to>
    <xdr:pic>
      <xdr:nvPicPr>
        <xdr:cNvPr id="9285" name="Рисунок 9284">
          <a:extLst>
            <a:ext uri="{FF2B5EF4-FFF2-40B4-BE49-F238E27FC236}">
              <a16:creationId xmlns:a16="http://schemas.microsoft.com/office/drawing/2014/main" id="{01FB1962-2E2A-4278-A13E-6B8F90FC706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7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346078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612</xdr:row>
      <xdr:rowOff>25400</xdr:rowOff>
    </xdr:from>
    <xdr:to>
      <xdr:col>11</xdr:col>
      <xdr:colOff>571500</xdr:colOff>
      <xdr:row>613</xdr:row>
      <xdr:rowOff>0</xdr:rowOff>
    </xdr:to>
    <xdr:pic>
      <xdr:nvPicPr>
        <xdr:cNvPr id="9287" name="Рисунок 9286">
          <a:extLst>
            <a:ext uri="{FF2B5EF4-FFF2-40B4-BE49-F238E27FC236}">
              <a16:creationId xmlns:a16="http://schemas.microsoft.com/office/drawing/2014/main" id="{9EF55A45-9329-4EDD-ACC4-CB82D8B12E8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7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346649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613</xdr:row>
      <xdr:rowOff>25400</xdr:rowOff>
    </xdr:from>
    <xdr:to>
      <xdr:col>11</xdr:col>
      <xdr:colOff>571500</xdr:colOff>
      <xdr:row>614</xdr:row>
      <xdr:rowOff>0</xdr:rowOff>
    </xdr:to>
    <xdr:pic>
      <xdr:nvPicPr>
        <xdr:cNvPr id="9289" name="Рисунок 9288">
          <a:extLst>
            <a:ext uri="{FF2B5EF4-FFF2-40B4-BE49-F238E27FC236}">
              <a16:creationId xmlns:a16="http://schemas.microsoft.com/office/drawing/2014/main" id="{16AA7D50-F874-45BF-AB5B-1024EA91572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7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347221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614</xdr:row>
      <xdr:rowOff>25400</xdr:rowOff>
    </xdr:from>
    <xdr:to>
      <xdr:col>11</xdr:col>
      <xdr:colOff>571500</xdr:colOff>
      <xdr:row>615</xdr:row>
      <xdr:rowOff>0</xdr:rowOff>
    </xdr:to>
    <xdr:pic>
      <xdr:nvPicPr>
        <xdr:cNvPr id="9291" name="Рисунок 9290">
          <a:extLst>
            <a:ext uri="{FF2B5EF4-FFF2-40B4-BE49-F238E27FC236}">
              <a16:creationId xmlns:a16="http://schemas.microsoft.com/office/drawing/2014/main" id="{446ADFFE-9384-4033-8CD3-826447C98EF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7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347792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615</xdr:row>
      <xdr:rowOff>25400</xdr:rowOff>
    </xdr:from>
    <xdr:to>
      <xdr:col>11</xdr:col>
      <xdr:colOff>571500</xdr:colOff>
      <xdr:row>616</xdr:row>
      <xdr:rowOff>0</xdr:rowOff>
    </xdr:to>
    <xdr:pic>
      <xdr:nvPicPr>
        <xdr:cNvPr id="9293" name="Рисунок 9292">
          <a:extLst>
            <a:ext uri="{FF2B5EF4-FFF2-40B4-BE49-F238E27FC236}">
              <a16:creationId xmlns:a16="http://schemas.microsoft.com/office/drawing/2014/main" id="{6C3D7E8E-11AF-46D0-8DAA-B29722A0D2D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8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348364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616</xdr:row>
      <xdr:rowOff>25400</xdr:rowOff>
    </xdr:from>
    <xdr:to>
      <xdr:col>11</xdr:col>
      <xdr:colOff>571500</xdr:colOff>
      <xdr:row>617</xdr:row>
      <xdr:rowOff>0</xdr:rowOff>
    </xdr:to>
    <xdr:pic>
      <xdr:nvPicPr>
        <xdr:cNvPr id="9295" name="Рисунок 9294">
          <a:extLst>
            <a:ext uri="{FF2B5EF4-FFF2-40B4-BE49-F238E27FC236}">
              <a16:creationId xmlns:a16="http://schemas.microsoft.com/office/drawing/2014/main" id="{E8BC4AD8-AF15-4D92-A068-ADBDBE3E986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8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348935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617</xdr:row>
      <xdr:rowOff>25400</xdr:rowOff>
    </xdr:from>
    <xdr:to>
      <xdr:col>11</xdr:col>
      <xdr:colOff>571500</xdr:colOff>
      <xdr:row>618</xdr:row>
      <xdr:rowOff>0</xdr:rowOff>
    </xdr:to>
    <xdr:pic>
      <xdr:nvPicPr>
        <xdr:cNvPr id="9297" name="Рисунок 9296">
          <a:extLst>
            <a:ext uri="{FF2B5EF4-FFF2-40B4-BE49-F238E27FC236}">
              <a16:creationId xmlns:a16="http://schemas.microsoft.com/office/drawing/2014/main" id="{96AE4F97-AB43-41BB-B911-3DBACF86D50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8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349507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618</xdr:row>
      <xdr:rowOff>25400</xdr:rowOff>
    </xdr:from>
    <xdr:to>
      <xdr:col>11</xdr:col>
      <xdr:colOff>571500</xdr:colOff>
      <xdr:row>619</xdr:row>
      <xdr:rowOff>0</xdr:rowOff>
    </xdr:to>
    <xdr:pic>
      <xdr:nvPicPr>
        <xdr:cNvPr id="9299" name="Рисунок 9298">
          <a:extLst>
            <a:ext uri="{FF2B5EF4-FFF2-40B4-BE49-F238E27FC236}">
              <a16:creationId xmlns:a16="http://schemas.microsoft.com/office/drawing/2014/main" id="{B2A461F6-F6AF-4F8A-8EA6-F7253FC3A28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8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350078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619</xdr:row>
      <xdr:rowOff>25400</xdr:rowOff>
    </xdr:from>
    <xdr:to>
      <xdr:col>11</xdr:col>
      <xdr:colOff>571500</xdr:colOff>
      <xdr:row>620</xdr:row>
      <xdr:rowOff>0</xdr:rowOff>
    </xdr:to>
    <xdr:pic>
      <xdr:nvPicPr>
        <xdr:cNvPr id="9301" name="Рисунок 9300">
          <a:extLst>
            <a:ext uri="{FF2B5EF4-FFF2-40B4-BE49-F238E27FC236}">
              <a16:creationId xmlns:a16="http://schemas.microsoft.com/office/drawing/2014/main" id="{53822C27-E991-44F2-B952-45C107C9A4E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8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350650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620</xdr:row>
      <xdr:rowOff>25400</xdr:rowOff>
    </xdr:from>
    <xdr:to>
      <xdr:col>11</xdr:col>
      <xdr:colOff>571500</xdr:colOff>
      <xdr:row>621</xdr:row>
      <xdr:rowOff>0</xdr:rowOff>
    </xdr:to>
    <xdr:pic>
      <xdr:nvPicPr>
        <xdr:cNvPr id="9303" name="Рисунок 9302">
          <a:extLst>
            <a:ext uri="{FF2B5EF4-FFF2-40B4-BE49-F238E27FC236}">
              <a16:creationId xmlns:a16="http://schemas.microsoft.com/office/drawing/2014/main" id="{F55110F9-2384-4891-94FB-B78989EC1B5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8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351221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621</xdr:row>
      <xdr:rowOff>25400</xdr:rowOff>
    </xdr:from>
    <xdr:to>
      <xdr:col>11</xdr:col>
      <xdr:colOff>571500</xdr:colOff>
      <xdr:row>622</xdr:row>
      <xdr:rowOff>0</xdr:rowOff>
    </xdr:to>
    <xdr:pic>
      <xdr:nvPicPr>
        <xdr:cNvPr id="9305" name="Рисунок 9304">
          <a:extLst>
            <a:ext uri="{FF2B5EF4-FFF2-40B4-BE49-F238E27FC236}">
              <a16:creationId xmlns:a16="http://schemas.microsoft.com/office/drawing/2014/main" id="{8FF5A852-0333-45BE-984B-663615B2ADC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8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351793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622</xdr:row>
      <xdr:rowOff>25400</xdr:rowOff>
    </xdr:from>
    <xdr:to>
      <xdr:col>11</xdr:col>
      <xdr:colOff>571500</xdr:colOff>
      <xdr:row>623</xdr:row>
      <xdr:rowOff>0</xdr:rowOff>
    </xdr:to>
    <xdr:pic>
      <xdr:nvPicPr>
        <xdr:cNvPr id="9307" name="Рисунок 9306">
          <a:extLst>
            <a:ext uri="{FF2B5EF4-FFF2-40B4-BE49-F238E27FC236}">
              <a16:creationId xmlns:a16="http://schemas.microsoft.com/office/drawing/2014/main" id="{1621AEC3-9F0F-4CB6-B364-FAAACAECBD0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8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352364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623</xdr:row>
      <xdr:rowOff>25400</xdr:rowOff>
    </xdr:from>
    <xdr:to>
      <xdr:col>11</xdr:col>
      <xdr:colOff>571500</xdr:colOff>
      <xdr:row>624</xdr:row>
      <xdr:rowOff>0</xdr:rowOff>
    </xdr:to>
    <xdr:pic>
      <xdr:nvPicPr>
        <xdr:cNvPr id="9309" name="Рисунок 9308">
          <a:extLst>
            <a:ext uri="{FF2B5EF4-FFF2-40B4-BE49-F238E27FC236}">
              <a16:creationId xmlns:a16="http://schemas.microsoft.com/office/drawing/2014/main" id="{E0643568-E26A-4EAF-9C9B-F4952F2E0C3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8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352936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624</xdr:row>
      <xdr:rowOff>25400</xdr:rowOff>
    </xdr:from>
    <xdr:to>
      <xdr:col>11</xdr:col>
      <xdr:colOff>571500</xdr:colOff>
      <xdr:row>625</xdr:row>
      <xdr:rowOff>0</xdr:rowOff>
    </xdr:to>
    <xdr:pic>
      <xdr:nvPicPr>
        <xdr:cNvPr id="9311" name="Рисунок 9310">
          <a:extLst>
            <a:ext uri="{FF2B5EF4-FFF2-40B4-BE49-F238E27FC236}">
              <a16:creationId xmlns:a16="http://schemas.microsoft.com/office/drawing/2014/main" id="{AC499ADC-DFF3-494C-861E-07D5B9DAB39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8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353507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625</xdr:row>
      <xdr:rowOff>25400</xdr:rowOff>
    </xdr:from>
    <xdr:to>
      <xdr:col>11</xdr:col>
      <xdr:colOff>571500</xdr:colOff>
      <xdr:row>626</xdr:row>
      <xdr:rowOff>0</xdr:rowOff>
    </xdr:to>
    <xdr:pic>
      <xdr:nvPicPr>
        <xdr:cNvPr id="9313" name="Рисунок 9312">
          <a:extLst>
            <a:ext uri="{FF2B5EF4-FFF2-40B4-BE49-F238E27FC236}">
              <a16:creationId xmlns:a16="http://schemas.microsoft.com/office/drawing/2014/main" id="{41C9DC4E-BDC9-4A4D-8E47-C78B7BFA015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9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354079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626</xdr:row>
      <xdr:rowOff>25400</xdr:rowOff>
    </xdr:from>
    <xdr:to>
      <xdr:col>11</xdr:col>
      <xdr:colOff>571500</xdr:colOff>
      <xdr:row>627</xdr:row>
      <xdr:rowOff>0</xdr:rowOff>
    </xdr:to>
    <xdr:pic>
      <xdr:nvPicPr>
        <xdr:cNvPr id="9315" name="Рисунок 9314">
          <a:extLst>
            <a:ext uri="{FF2B5EF4-FFF2-40B4-BE49-F238E27FC236}">
              <a16:creationId xmlns:a16="http://schemas.microsoft.com/office/drawing/2014/main" id="{EC3AA7CD-C3E4-4315-A167-6C53C75C08B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9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354650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627</xdr:row>
      <xdr:rowOff>25400</xdr:rowOff>
    </xdr:from>
    <xdr:to>
      <xdr:col>11</xdr:col>
      <xdr:colOff>571500</xdr:colOff>
      <xdr:row>628</xdr:row>
      <xdr:rowOff>0</xdr:rowOff>
    </xdr:to>
    <xdr:pic>
      <xdr:nvPicPr>
        <xdr:cNvPr id="9317" name="Рисунок 9316">
          <a:extLst>
            <a:ext uri="{FF2B5EF4-FFF2-40B4-BE49-F238E27FC236}">
              <a16:creationId xmlns:a16="http://schemas.microsoft.com/office/drawing/2014/main" id="{9434CF73-8AAD-4FE2-B82D-2D2367AEF65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9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355222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628</xdr:row>
      <xdr:rowOff>25400</xdr:rowOff>
    </xdr:from>
    <xdr:to>
      <xdr:col>11</xdr:col>
      <xdr:colOff>571500</xdr:colOff>
      <xdr:row>629</xdr:row>
      <xdr:rowOff>0</xdr:rowOff>
    </xdr:to>
    <xdr:pic>
      <xdr:nvPicPr>
        <xdr:cNvPr id="9319" name="Рисунок 9318">
          <a:extLst>
            <a:ext uri="{FF2B5EF4-FFF2-40B4-BE49-F238E27FC236}">
              <a16:creationId xmlns:a16="http://schemas.microsoft.com/office/drawing/2014/main" id="{89B4982D-BFAD-478E-BD1D-DD6FF9C51F5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9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355793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629</xdr:row>
      <xdr:rowOff>25400</xdr:rowOff>
    </xdr:from>
    <xdr:to>
      <xdr:col>11</xdr:col>
      <xdr:colOff>571500</xdr:colOff>
      <xdr:row>630</xdr:row>
      <xdr:rowOff>0</xdr:rowOff>
    </xdr:to>
    <xdr:pic>
      <xdr:nvPicPr>
        <xdr:cNvPr id="9321" name="Рисунок 9320">
          <a:extLst>
            <a:ext uri="{FF2B5EF4-FFF2-40B4-BE49-F238E27FC236}">
              <a16:creationId xmlns:a16="http://schemas.microsoft.com/office/drawing/2014/main" id="{329718EF-3EEC-428D-9758-CA43677BEC7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9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356365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630</xdr:row>
      <xdr:rowOff>25400</xdr:rowOff>
    </xdr:from>
    <xdr:to>
      <xdr:col>11</xdr:col>
      <xdr:colOff>571500</xdr:colOff>
      <xdr:row>631</xdr:row>
      <xdr:rowOff>0</xdr:rowOff>
    </xdr:to>
    <xdr:pic>
      <xdr:nvPicPr>
        <xdr:cNvPr id="9323" name="Рисунок 9322">
          <a:extLst>
            <a:ext uri="{FF2B5EF4-FFF2-40B4-BE49-F238E27FC236}">
              <a16:creationId xmlns:a16="http://schemas.microsoft.com/office/drawing/2014/main" id="{A33C3609-8B92-408A-B703-DDBE06DC591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9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356936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631</xdr:row>
      <xdr:rowOff>25400</xdr:rowOff>
    </xdr:from>
    <xdr:to>
      <xdr:col>11</xdr:col>
      <xdr:colOff>571500</xdr:colOff>
      <xdr:row>632</xdr:row>
      <xdr:rowOff>0</xdr:rowOff>
    </xdr:to>
    <xdr:pic>
      <xdr:nvPicPr>
        <xdr:cNvPr id="9325" name="Рисунок 9324">
          <a:extLst>
            <a:ext uri="{FF2B5EF4-FFF2-40B4-BE49-F238E27FC236}">
              <a16:creationId xmlns:a16="http://schemas.microsoft.com/office/drawing/2014/main" id="{D22FBEE5-F3C1-4EB7-80A9-169BFA507F1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9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357508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632</xdr:row>
      <xdr:rowOff>25400</xdr:rowOff>
    </xdr:from>
    <xdr:to>
      <xdr:col>11</xdr:col>
      <xdr:colOff>571500</xdr:colOff>
      <xdr:row>633</xdr:row>
      <xdr:rowOff>0</xdr:rowOff>
    </xdr:to>
    <xdr:pic>
      <xdr:nvPicPr>
        <xdr:cNvPr id="9327" name="Рисунок 9326">
          <a:extLst>
            <a:ext uri="{FF2B5EF4-FFF2-40B4-BE49-F238E27FC236}">
              <a16:creationId xmlns:a16="http://schemas.microsoft.com/office/drawing/2014/main" id="{1E36B4A9-EBB9-42A8-A7D7-FBD291EB145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9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358079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633</xdr:row>
      <xdr:rowOff>25400</xdr:rowOff>
    </xdr:from>
    <xdr:to>
      <xdr:col>11</xdr:col>
      <xdr:colOff>571500</xdr:colOff>
      <xdr:row>634</xdr:row>
      <xdr:rowOff>0</xdr:rowOff>
    </xdr:to>
    <xdr:pic>
      <xdr:nvPicPr>
        <xdr:cNvPr id="9329" name="Рисунок 9328">
          <a:extLst>
            <a:ext uri="{FF2B5EF4-FFF2-40B4-BE49-F238E27FC236}">
              <a16:creationId xmlns:a16="http://schemas.microsoft.com/office/drawing/2014/main" id="{9567A3E0-EBED-4BD9-9725-52E1E7D3465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9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358651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634</xdr:row>
      <xdr:rowOff>25400</xdr:rowOff>
    </xdr:from>
    <xdr:to>
      <xdr:col>11</xdr:col>
      <xdr:colOff>571500</xdr:colOff>
      <xdr:row>635</xdr:row>
      <xdr:rowOff>0</xdr:rowOff>
    </xdr:to>
    <xdr:pic>
      <xdr:nvPicPr>
        <xdr:cNvPr id="9331" name="Рисунок 9330">
          <a:extLst>
            <a:ext uri="{FF2B5EF4-FFF2-40B4-BE49-F238E27FC236}">
              <a16:creationId xmlns:a16="http://schemas.microsoft.com/office/drawing/2014/main" id="{4F1F0A8A-DE38-44DF-8D3B-CDC63F8F532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59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359222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635</xdr:row>
      <xdr:rowOff>25400</xdr:rowOff>
    </xdr:from>
    <xdr:to>
      <xdr:col>11</xdr:col>
      <xdr:colOff>571500</xdr:colOff>
      <xdr:row>636</xdr:row>
      <xdr:rowOff>0</xdr:rowOff>
    </xdr:to>
    <xdr:pic>
      <xdr:nvPicPr>
        <xdr:cNvPr id="9333" name="Рисунок 9332">
          <a:extLst>
            <a:ext uri="{FF2B5EF4-FFF2-40B4-BE49-F238E27FC236}">
              <a16:creationId xmlns:a16="http://schemas.microsoft.com/office/drawing/2014/main" id="{800B9D2A-16E5-4751-9D03-E08C81886C8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0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359794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636</xdr:row>
      <xdr:rowOff>25400</xdr:rowOff>
    </xdr:from>
    <xdr:to>
      <xdr:col>11</xdr:col>
      <xdr:colOff>571500</xdr:colOff>
      <xdr:row>637</xdr:row>
      <xdr:rowOff>0</xdr:rowOff>
    </xdr:to>
    <xdr:pic>
      <xdr:nvPicPr>
        <xdr:cNvPr id="9335" name="Рисунок 9334">
          <a:extLst>
            <a:ext uri="{FF2B5EF4-FFF2-40B4-BE49-F238E27FC236}">
              <a16:creationId xmlns:a16="http://schemas.microsoft.com/office/drawing/2014/main" id="{9E4145B8-E682-4ABE-8787-BA0399482BC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0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360365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637</xdr:row>
      <xdr:rowOff>25400</xdr:rowOff>
    </xdr:from>
    <xdr:to>
      <xdr:col>11</xdr:col>
      <xdr:colOff>571500</xdr:colOff>
      <xdr:row>638</xdr:row>
      <xdr:rowOff>0</xdr:rowOff>
    </xdr:to>
    <xdr:pic>
      <xdr:nvPicPr>
        <xdr:cNvPr id="9337" name="Рисунок 9336">
          <a:extLst>
            <a:ext uri="{FF2B5EF4-FFF2-40B4-BE49-F238E27FC236}">
              <a16:creationId xmlns:a16="http://schemas.microsoft.com/office/drawing/2014/main" id="{47579F18-7173-4A05-AED1-6FA94DDA763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0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360937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639</xdr:row>
      <xdr:rowOff>25400</xdr:rowOff>
    </xdr:from>
    <xdr:to>
      <xdr:col>11</xdr:col>
      <xdr:colOff>571500</xdr:colOff>
      <xdr:row>640</xdr:row>
      <xdr:rowOff>0</xdr:rowOff>
    </xdr:to>
    <xdr:pic>
      <xdr:nvPicPr>
        <xdr:cNvPr id="9339" name="Рисунок 9338">
          <a:extLst>
            <a:ext uri="{FF2B5EF4-FFF2-40B4-BE49-F238E27FC236}">
              <a16:creationId xmlns:a16="http://schemas.microsoft.com/office/drawing/2014/main" id="{03A2E531-F672-4A7D-B47F-29297A96964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0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362080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640</xdr:row>
      <xdr:rowOff>25400</xdr:rowOff>
    </xdr:from>
    <xdr:to>
      <xdr:col>11</xdr:col>
      <xdr:colOff>571500</xdr:colOff>
      <xdr:row>641</xdr:row>
      <xdr:rowOff>0</xdr:rowOff>
    </xdr:to>
    <xdr:pic>
      <xdr:nvPicPr>
        <xdr:cNvPr id="9341" name="Рисунок 9340">
          <a:extLst>
            <a:ext uri="{FF2B5EF4-FFF2-40B4-BE49-F238E27FC236}">
              <a16:creationId xmlns:a16="http://schemas.microsoft.com/office/drawing/2014/main" id="{F2CC975A-2AA0-4D7C-9416-7BC0A3F7448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0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362651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641</xdr:row>
      <xdr:rowOff>25400</xdr:rowOff>
    </xdr:from>
    <xdr:to>
      <xdr:col>11</xdr:col>
      <xdr:colOff>571500</xdr:colOff>
      <xdr:row>642</xdr:row>
      <xdr:rowOff>0</xdr:rowOff>
    </xdr:to>
    <xdr:pic>
      <xdr:nvPicPr>
        <xdr:cNvPr id="9343" name="Рисунок 9342">
          <a:extLst>
            <a:ext uri="{FF2B5EF4-FFF2-40B4-BE49-F238E27FC236}">
              <a16:creationId xmlns:a16="http://schemas.microsoft.com/office/drawing/2014/main" id="{78A5088E-1645-44A0-B41B-FFDC3F7270A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0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363223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642</xdr:row>
      <xdr:rowOff>25400</xdr:rowOff>
    </xdr:from>
    <xdr:to>
      <xdr:col>11</xdr:col>
      <xdr:colOff>571500</xdr:colOff>
      <xdr:row>643</xdr:row>
      <xdr:rowOff>0</xdr:rowOff>
    </xdr:to>
    <xdr:pic>
      <xdr:nvPicPr>
        <xdr:cNvPr id="9345" name="Рисунок 9344">
          <a:extLst>
            <a:ext uri="{FF2B5EF4-FFF2-40B4-BE49-F238E27FC236}">
              <a16:creationId xmlns:a16="http://schemas.microsoft.com/office/drawing/2014/main" id="{32059228-BF02-4CE8-88AF-F1A3B913195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0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363794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643</xdr:row>
      <xdr:rowOff>25400</xdr:rowOff>
    </xdr:from>
    <xdr:to>
      <xdr:col>11</xdr:col>
      <xdr:colOff>571500</xdr:colOff>
      <xdr:row>644</xdr:row>
      <xdr:rowOff>0</xdr:rowOff>
    </xdr:to>
    <xdr:pic>
      <xdr:nvPicPr>
        <xdr:cNvPr id="9347" name="Рисунок 9346">
          <a:extLst>
            <a:ext uri="{FF2B5EF4-FFF2-40B4-BE49-F238E27FC236}">
              <a16:creationId xmlns:a16="http://schemas.microsoft.com/office/drawing/2014/main" id="{4DE93326-5F4F-463C-B942-0AD9A256178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0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364366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644</xdr:row>
      <xdr:rowOff>25400</xdr:rowOff>
    </xdr:from>
    <xdr:to>
      <xdr:col>11</xdr:col>
      <xdr:colOff>571500</xdr:colOff>
      <xdr:row>645</xdr:row>
      <xdr:rowOff>0</xdr:rowOff>
    </xdr:to>
    <xdr:pic>
      <xdr:nvPicPr>
        <xdr:cNvPr id="9349" name="Рисунок 9348">
          <a:extLst>
            <a:ext uri="{FF2B5EF4-FFF2-40B4-BE49-F238E27FC236}">
              <a16:creationId xmlns:a16="http://schemas.microsoft.com/office/drawing/2014/main" id="{83E0162A-E661-4BAD-A5BE-23579FF8123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0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364937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645</xdr:row>
      <xdr:rowOff>25400</xdr:rowOff>
    </xdr:from>
    <xdr:to>
      <xdr:col>11</xdr:col>
      <xdr:colOff>571500</xdr:colOff>
      <xdr:row>646</xdr:row>
      <xdr:rowOff>0</xdr:rowOff>
    </xdr:to>
    <xdr:pic>
      <xdr:nvPicPr>
        <xdr:cNvPr id="9351" name="Рисунок 9350">
          <a:extLst>
            <a:ext uri="{FF2B5EF4-FFF2-40B4-BE49-F238E27FC236}">
              <a16:creationId xmlns:a16="http://schemas.microsoft.com/office/drawing/2014/main" id="{861CAEFE-AA3E-436B-9DB3-5A7091D80A6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0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365509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646</xdr:row>
      <xdr:rowOff>25400</xdr:rowOff>
    </xdr:from>
    <xdr:to>
      <xdr:col>11</xdr:col>
      <xdr:colOff>571500</xdr:colOff>
      <xdr:row>647</xdr:row>
      <xdr:rowOff>0</xdr:rowOff>
    </xdr:to>
    <xdr:pic>
      <xdr:nvPicPr>
        <xdr:cNvPr id="9353" name="Рисунок 9352">
          <a:extLst>
            <a:ext uri="{FF2B5EF4-FFF2-40B4-BE49-F238E27FC236}">
              <a16:creationId xmlns:a16="http://schemas.microsoft.com/office/drawing/2014/main" id="{661B8466-F362-4438-845B-A2CBCE19DDB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366080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648</xdr:row>
      <xdr:rowOff>25400</xdr:rowOff>
    </xdr:from>
    <xdr:to>
      <xdr:col>11</xdr:col>
      <xdr:colOff>571500</xdr:colOff>
      <xdr:row>649</xdr:row>
      <xdr:rowOff>0</xdr:rowOff>
    </xdr:to>
    <xdr:pic>
      <xdr:nvPicPr>
        <xdr:cNvPr id="9355" name="Рисунок 9354">
          <a:extLst>
            <a:ext uri="{FF2B5EF4-FFF2-40B4-BE49-F238E27FC236}">
              <a16:creationId xmlns:a16="http://schemas.microsoft.com/office/drawing/2014/main" id="{FF32CD19-7A2D-45E4-9015-8C0A4CE6398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367223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649</xdr:row>
      <xdr:rowOff>25400</xdr:rowOff>
    </xdr:from>
    <xdr:to>
      <xdr:col>11</xdr:col>
      <xdr:colOff>571500</xdr:colOff>
      <xdr:row>650</xdr:row>
      <xdr:rowOff>0</xdr:rowOff>
    </xdr:to>
    <xdr:pic>
      <xdr:nvPicPr>
        <xdr:cNvPr id="9357" name="Рисунок 9356">
          <a:extLst>
            <a:ext uri="{FF2B5EF4-FFF2-40B4-BE49-F238E27FC236}">
              <a16:creationId xmlns:a16="http://schemas.microsoft.com/office/drawing/2014/main" id="{6CCA38A2-1B12-4AC1-A22A-CF2050C0930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367795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650</xdr:row>
      <xdr:rowOff>25400</xdr:rowOff>
    </xdr:from>
    <xdr:to>
      <xdr:col>11</xdr:col>
      <xdr:colOff>571500</xdr:colOff>
      <xdr:row>651</xdr:row>
      <xdr:rowOff>0</xdr:rowOff>
    </xdr:to>
    <xdr:pic>
      <xdr:nvPicPr>
        <xdr:cNvPr id="9359" name="Рисунок 9358">
          <a:extLst>
            <a:ext uri="{FF2B5EF4-FFF2-40B4-BE49-F238E27FC236}">
              <a16:creationId xmlns:a16="http://schemas.microsoft.com/office/drawing/2014/main" id="{21A56088-2D5A-46F6-B3E9-BC725D00DBA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368366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651</xdr:row>
      <xdr:rowOff>25400</xdr:rowOff>
    </xdr:from>
    <xdr:to>
      <xdr:col>11</xdr:col>
      <xdr:colOff>571500</xdr:colOff>
      <xdr:row>652</xdr:row>
      <xdr:rowOff>0</xdr:rowOff>
    </xdr:to>
    <xdr:pic>
      <xdr:nvPicPr>
        <xdr:cNvPr id="9361" name="Рисунок 9360">
          <a:extLst>
            <a:ext uri="{FF2B5EF4-FFF2-40B4-BE49-F238E27FC236}">
              <a16:creationId xmlns:a16="http://schemas.microsoft.com/office/drawing/2014/main" id="{C12256C3-F848-4EEA-87A1-81C04CE545C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368938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652</xdr:row>
      <xdr:rowOff>25400</xdr:rowOff>
    </xdr:from>
    <xdr:to>
      <xdr:col>11</xdr:col>
      <xdr:colOff>571500</xdr:colOff>
      <xdr:row>653</xdr:row>
      <xdr:rowOff>0</xdr:rowOff>
    </xdr:to>
    <xdr:pic>
      <xdr:nvPicPr>
        <xdr:cNvPr id="9363" name="Рисунок 9362">
          <a:extLst>
            <a:ext uri="{FF2B5EF4-FFF2-40B4-BE49-F238E27FC236}">
              <a16:creationId xmlns:a16="http://schemas.microsoft.com/office/drawing/2014/main" id="{9AA7828E-F356-42C0-90E8-25A17C959F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369509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653</xdr:row>
      <xdr:rowOff>25400</xdr:rowOff>
    </xdr:from>
    <xdr:to>
      <xdr:col>11</xdr:col>
      <xdr:colOff>456819</xdr:colOff>
      <xdr:row>654</xdr:row>
      <xdr:rowOff>0</xdr:rowOff>
    </xdr:to>
    <xdr:pic>
      <xdr:nvPicPr>
        <xdr:cNvPr id="9365" name="Рисунок 9364">
          <a:extLst>
            <a:ext uri="{FF2B5EF4-FFF2-40B4-BE49-F238E27FC236}">
              <a16:creationId xmlns:a16="http://schemas.microsoft.com/office/drawing/2014/main" id="{C00C3210-EF4F-4578-967C-3A61492C964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370081175"/>
          <a:ext cx="431419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654</xdr:row>
      <xdr:rowOff>25400</xdr:rowOff>
    </xdr:from>
    <xdr:to>
      <xdr:col>11</xdr:col>
      <xdr:colOff>571500</xdr:colOff>
      <xdr:row>655</xdr:row>
      <xdr:rowOff>0</xdr:rowOff>
    </xdr:to>
    <xdr:pic>
      <xdr:nvPicPr>
        <xdr:cNvPr id="9367" name="Рисунок 9366">
          <a:extLst>
            <a:ext uri="{FF2B5EF4-FFF2-40B4-BE49-F238E27FC236}">
              <a16:creationId xmlns:a16="http://schemas.microsoft.com/office/drawing/2014/main" id="{CAA896FF-9109-43D9-A816-54140AF3546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370652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655</xdr:row>
      <xdr:rowOff>25400</xdr:rowOff>
    </xdr:from>
    <xdr:to>
      <xdr:col>11</xdr:col>
      <xdr:colOff>571500</xdr:colOff>
      <xdr:row>656</xdr:row>
      <xdr:rowOff>0</xdr:rowOff>
    </xdr:to>
    <xdr:pic>
      <xdr:nvPicPr>
        <xdr:cNvPr id="9369" name="Рисунок 9368">
          <a:extLst>
            <a:ext uri="{FF2B5EF4-FFF2-40B4-BE49-F238E27FC236}">
              <a16:creationId xmlns:a16="http://schemas.microsoft.com/office/drawing/2014/main" id="{CD4336B1-4CAE-45F2-8124-476C73FB1E0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371224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656</xdr:row>
      <xdr:rowOff>25400</xdr:rowOff>
    </xdr:from>
    <xdr:to>
      <xdr:col>11</xdr:col>
      <xdr:colOff>571500</xdr:colOff>
      <xdr:row>657</xdr:row>
      <xdr:rowOff>0</xdr:rowOff>
    </xdr:to>
    <xdr:pic>
      <xdr:nvPicPr>
        <xdr:cNvPr id="9371" name="Рисунок 9370">
          <a:extLst>
            <a:ext uri="{FF2B5EF4-FFF2-40B4-BE49-F238E27FC236}">
              <a16:creationId xmlns:a16="http://schemas.microsoft.com/office/drawing/2014/main" id="{9A6FFB07-5862-494C-95C2-F6061D12100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371795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657</xdr:row>
      <xdr:rowOff>25400</xdr:rowOff>
    </xdr:from>
    <xdr:to>
      <xdr:col>11</xdr:col>
      <xdr:colOff>571500</xdr:colOff>
      <xdr:row>658</xdr:row>
      <xdr:rowOff>0</xdr:rowOff>
    </xdr:to>
    <xdr:pic>
      <xdr:nvPicPr>
        <xdr:cNvPr id="9373" name="Рисунок 9372">
          <a:extLst>
            <a:ext uri="{FF2B5EF4-FFF2-40B4-BE49-F238E27FC236}">
              <a16:creationId xmlns:a16="http://schemas.microsoft.com/office/drawing/2014/main" id="{01B70553-DF55-4E86-938A-8825F4DCB2E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372367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658</xdr:row>
      <xdr:rowOff>25400</xdr:rowOff>
    </xdr:from>
    <xdr:to>
      <xdr:col>11</xdr:col>
      <xdr:colOff>571500</xdr:colOff>
      <xdr:row>659</xdr:row>
      <xdr:rowOff>0</xdr:rowOff>
    </xdr:to>
    <xdr:pic>
      <xdr:nvPicPr>
        <xdr:cNvPr id="9375" name="Рисунок 9374">
          <a:extLst>
            <a:ext uri="{FF2B5EF4-FFF2-40B4-BE49-F238E27FC236}">
              <a16:creationId xmlns:a16="http://schemas.microsoft.com/office/drawing/2014/main" id="{CD14382A-9E3C-45AF-8A54-B26F86BAA92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372938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659</xdr:row>
      <xdr:rowOff>25400</xdr:rowOff>
    </xdr:from>
    <xdr:to>
      <xdr:col>11</xdr:col>
      <xdr:colOff>571500</xdr:colOff>
      <xdr:row>660</xdr:row>
      <xdr:rowOff>0</xdr:rowOff>
    </xdr:to>
    <xdr:pic>
      <xdr:nvPicPr>
        <xdr:cNvPr id="9377" name="Рисунок 9376">
          <a:extLst>
            <a:ext uri="{FF2B5EF4-FFF2-40B4-BE49-F238E27FC236}">
              <a16:creationId xmlns:a16="http://schemas.microsoft.com/office/drawing/2014/main" id="{5148EAD2-1923-4692-9CAB-B29D7539AFC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373510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660</xdr:row>
      <xdr:rowOff>25400</xdr:rowOff>
    </xdr:from>
    <xdr:to>
      <xdr:col>11</xdr:col>
      <xdr:colOff>571500</xdr:colOff>
      <xdr:row>661</xdr:row>
      <xdr:rowOff>0</xdr:rowOff>
    </xdr:to>
    <xdr:pic>
      <xdr:nvPicPr>
        <xdr:cNvPr id="9379" name="Рисунок 9378">
          <a:extLst>
            <a:ext uri="{FF2B5EF4-FFF2-40B4-BE49-F238E27FC236}">
              <a16:creationId xmlns:a16="http://schemas.microsoft.com/office/drawing/2014/main" id="{DF90392D-4DC5-4C3F-A815-8ECAA79FF2B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374081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661</xdr:row>
      <xdr:rowOff>25400</xdr:rowOff>
    </xdr:from>
    <xdr:to>
      <xdr:col>11</xdr:col>
      <xdr:colOff>571500</xdr:colOff>
      <xdr:row>662</xdr:row>
      <xdr:rowOff>0</xdr:rowOff>
    </xdr:to>
    <xdr:pic>
      <xdr:nvPicPr>
        <xdr:cNvPr id="9381" name="Рисунок 9380">
          <a:extLst>
            <a:ext uri="{FF2B5EF4-FFF2-40B4-BE49-F238E27FC236}">
              <a16:creationId xmlns:a16="http://schemas.microsoft.com/office/drawing/2014/main" id="{36F80DAF-1398-4B9B-9606-07C37C1A32A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374653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662</xdr:row>
      <xdr:rowOff>25400</xdr:rowOff>
    </xdr:from>
    <xdr:to>
      <xdr:col>11</xdr:col>
      <xdr:colOff>571500</xdr:colOff>
      <xdr:row>663</xdr:row>
      <xdr:rowOff>0</xdr:rowOff>
    </xdr:to>
    <xdr:pic>
      <xdr:nvPicPr>
        <xdr:cNvPr id="9383" name="Рисунок 9382">
          <a:extLst>
            <a:ext uri="{FF2B5EF4-FFF2-40B4-BE49-F238E27FC236}">
              <a16:creationId xmlns:a16="http://schemas.microsoft.com/office/drawing/2014/main" id="{75EA78C2-BCEA-4DA8-9C8C-55AE18EC125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375224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663</xdr:row>
      <xdr:rowOff>25400</xdr:rowOff>
    </xdr:from>
    <xdr:to>
      <xdr:col>11</xdr:col>
      <xdr:colOff>571500</xdr:colOff>
      <xdr:row>664</xdr:row>
      <xdr:rowOff>0</xdr:rowOff>
    </xdr:to>
    <xdr:pic>
      <xdr:nvPicPr>
        <xdr:cNvPr id="9385" name="Рисунок 9384">
          <a:extLst>
            <a:ext uri="{FF2B5EF4-FFF2-40B4-BE49-F238E27FC236}">
              <a16:creationId xmlns:a16="http://schemas.microsoft.com/office/drawing/2014/main" id="{E04E3556-9099-43B0-9979-201B42ADC3E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375796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664</xdr:row>
      <xdr:rowOff>25400</xdr:rowOff>
    </xdr:from>
    <xdr:to>
      <xdr:col>11</xdr:col>
      <xdr:colOff>571500</xdr:colOff>
      <xdr:row>665</xdr:row>
      <xdr:rowOff>0</xdr:rowOff>
    </xdr:to>
    <xdr:pic>
      <xdr:nvPicPr>
        <xdr:cNvPr id="9387" name="Рисунок 9386">
          <a:extLst>
            <a:ext uri="{FF2B5EF4-FFF2-40B4-BE49-F238E27FC236}">
              <a16:creationId xmlns:a16="http://schemas.microsoft.com/office/drawing/2014/main" id="{0EA54B86-85A2-4E53-8683-42E90BAE0D1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376367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665</xdr:row>
      <xdr:rowOff>25400</xdr:rowOff>
    </xdr:from>
    <xdr:to>
      <xdr:col>11</xdr:col>
      <xdr:colOff>571500</xdr:colOff>
      <xdr:row>666</xdr:row>
      <xdr:rowOff>0</xdr:rowOff>
    </xdr:to>
    <xdr:pic>
      <xdr:nvPicPr>
        <xdr:cNvPr id="9389" name="Рисунок 9388">
          <a:extLst>
            <a:ext uri="{FF2B5EF4-FFF2-40B4-BE49-F238E27FC236}">
              <a16:creationId xmlns:a16="http://schemas.microsoft.com/office/drawing/2014/main" id="{2B6380B7-B30F-4E81-B706-435383A5F8A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376939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666</xdr:row>
      <xdr:rowOff>25400</xdr:rowOff>
    </xdr:from>
    <xdr:to>
      <xdr:col>11</xdr:col>
      <xdr:colOff>571500</xdr:colOff>
      <xdr:row>667</xdr:row>
      <xdr:rowOff>0</xdr:rowOff>
    </xdr:to>
    <xdr:pic>
      <xdr:nvPicPr>
        <xdr:cNvPr id="9391" name="Рисунок 9390">
          <a:extLst>
            <a:ext uri="{FF2B5EF4-FFF2-40B4-BE49-F238E27FC236}">
              <a16:creationId xmlns:a16="http://schemas.microsoft.com/office/drawing/2014/main" id="{B52F68AE-B647-4CD0-9B11-CA924FC2BA0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377510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667</xdr:row>
      <xdr:rowOff>25400</xdr:rowOff>
    </xdr:from>
    <xdr:to>
      <xdr:col>11</xdr:col>
      <xdr:colOff>571500</xdr:colOff>
      <xdr:row>668</xdr:row>
      <xdr:rowOff>0</xdr:rowOff>
    </xdr:to>
    <xdr:pic>
      <xdr:nvPicPr>
        <xdr:cNvPr id="9393" name="Рисунок 9392">
          <a:extLst>
            <a:ext uri="{FF2B5EF4-FFF2-40B4-BE49-F238E27FC236}">
              <a16:creationId xmlns:a16="http://schemas.microsoft.com/office/drawing/2014/main" id="{BA5547C0-5570-4617-BF9C-ECDEAE40226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378082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668</xdr:row>
      <xdr:rowOff>25400</xdr:rowOff>
    </xdr:from>
    <xdr:to>
      <xdr:col>11</xdr:col>
      <xdr:colOff>571500</xdr:colOff>
      <xdr:row>669</xdr:row>
      <xdr:rowOff>0</xdr:rowOff>
    </xdr:to>
    <xdr:pic>
      <xdr:nvPicPr>
        <xdr:cNvPr id="9395" name="Рисунок 9394">
          <a:extLst>
            <a:ext uri="{FF2B5EF4-FFF2-40B4-BE49-F238E27FC236}">
              <a16:creationId xmlns:a16="http://schemas.microsoft.com/office/drawing/2014/main" id="{74D8C07A-D70D-419F-A895-D558A7BCD71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3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378653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669</xdr:row>
      <xdr:rowOff>25400</xdr:rowOff>
    </xdr:from>
    <xdr:to>
      <xdr:col>11</xdr:col>
      <xdr:colOff>571500</xdr:colOff>
      <xdr:row>670</xdr:row>
      <xdr:rowOff>0</xdr:rowOff>
    </xdr:to>
    <xdr:pic>
      <xdr:nvPicPr>
        <xdr:cNvPr id="9397" name="Рисунок 9396">
          <a:extLst>
            <a:ext uri="{FF2B5EF4-FFF2-40B4-BE49-F238E27FC236}">
              <a16:creationId xmlns:a16="http://schemas.microsoft.com/office/drawing/2014/main" id="{ECAB8639-C9FA-4FA0-B909-9A60882C4E5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3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379225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670</xdr:row>
      <xdr:rowOff>25400</xdr:rowOff>
    </xdr:from>
    <xdr:to>
      <xdr:col>11</xdr:col>
      <xdr:colOff>571500</xdr:colOff>
      <xdr:row>671</xdr:row>
      <xdr:rowOff>0</xdr:rowOff>
    </xdr:to>
    <xdr:pic>
      <xdr:nvPicPr>
        <xdr:cNvPr id="9399" name="Рисунок 9398">
          <a:extLst>
            <a:ext uri="{FF2B5EF4-FFF2-40B4-BE49-F238E27FC236}">
              <a16:creationId xmlns:a16="http://schemas.microsoft.com/office/drawing/2014/main" id="{718303A6-B9AB-44CD-894F-85556E47F57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3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379796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671</xdr:row>
      <xdr:rowOff>25400</xdr:rowOff>
    </xdr:from>
    <xdr:to>
      <xdr:col>11</xdr:col>
      <xdr:colOff>571500</xdr:colOff>
      <xdr:row>672</xdr:row>
      <xdr:rowOff>0</xdr:rowOff>
    </xdr:to>
    <xdr:pic>
      <xdr:nvPicPr>
        <xdr:cNvPr id="9401" name="Рисунок 9400">
          <a:extLst>
            <a:ext uri="{FF2B5EF4-FFF2-40B4-BE49-F238E27FC236}">
              <a16:creationId xmlns:a16="http://schemas.microsoft.com/office/drawing/2014/main" id="{3A575AE7-1B05-41D9-8994-3C8362C7395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3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380368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672</xdr:row>
      <xdr:rowOff>25400</xdr:rowOff>
    </xdr:from>
    <xdr:to>
      <xdr:col>11</xdr:col>
      <xdr:colOff>571500</xdr:colOff>
      <xdr:row>673</xdr:row>
      <xdr:rowOff>0</xdr:rowOff>
    </xdr:to>
    <xdr:pic>
      <xdr:nvPicPr>
        <xdr:cNvPr id="9403" name="Рисунок 9402">
          <a:extLst>
            <a:ext uri="{FF2B5EF4-FFF2-40B4-BE49-F238E27FC236}">
              <a16:creationId xmlns:a16="http://schemas.microsoft.com/office/drawing/2014/main" id="{209580AE-1377-4E6B-B961-6887CE3958E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3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380939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673</xdr:row>
      <xdr:rowOff>25400</xdr:rowOff>
    </xdr:from>
    <xdr:to>
      <xdr:col>11</xdr:col>
      <xdr:colOff>571500</xdr:colOff>
      <xdr:row>674</xdr:row>
      <xdr:rowOff>0</xdr:rowOff>
    </xdr:to>
    <xdr:pic>
      <xdr:nvPicPr>
        <xdr:cNvPr id="9405" name="Рисунок 9404">
          <a:extLst>
            <a:ext uri="{FF2B5EF4-FFF2-40B4-BE49-F238E27FC236}">
              <a16:creationId xmlns:a16="http://schemas.microsoft.com/office/drawing/2014/main" id="{9E9D9895-8D36-40A3-BB69-4FCFAEFF7AD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3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381511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674</xdr:row>
      <xdr:rowOff>25400</xdr:rowOff>
    </xdr:from>
    <xdr:to>
      <xdr:col>11</xdr:col>
      <xdr:colOff>571500</xdr:colOff>
      <xdr:row>675</xdr:row>
      <xdr:rowOff>0</xdr:rowOff>
    </xdr:to>
    <xdr:pic>
      <xdr:nvPicPr>
        <xdr:cNvPr id="9407" name="Рисунок 9406">
          <a:extLst>
            <a:ext uri="{FF2B5EF4-FFF2-40B4-BE49-F238E27FC236}">
              <a16:creationId xmlns:a16="http://schemas.microsoft.com/office/drawing/2014/main" id="{18BF985D-3B63-4231-BC02-F8B633E5706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3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382082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675</xdr:row>
      <xdr:rowOff>25400</xdr:rowOff>
    </xdr:from>
    <xdr:to>
      <xdr:col>11</xdr:col>
      <xdr:colOff>571500</xdr:colOff>
      <xdr:row>676</xdr:row>
      <xdr:rowOff>0</xdr:rowOff>
    </xdr:to>
    <xdr:pic>
      <xdr:nvPicPr>
        <xdr:cNvPr id="9409" name="Рисунок 9408">
          <a:extLst>
            <a:ext uri="{FF2B5EF4-FFF2-40B4-BE49-F238E27FC236}">
              <a16:creationId xmlns:a16="http://schemas.microsoft.com/office/drawing/2014/main" id="{03121863-D18A-48C9-94C8-52F73420415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3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382654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676</xdr:row>
      <xdr:rowOff>25400</xdr:rowOff>
    </xdr:from>
    <xdr:to>
      <xdr:col>11</xdr:col>
      <xdr:colOff>571500</xdr:colOff>
      <xdr:row>677</xdr:row>
      <xdr:rowOff>0</xdr:rowOff>
    </xdr:to>
    <xdr:pic>
      <xdr:nvPicPr>
        <xdr:cNvPr id="9411" name="Рисунок 9410">
          <a:extLst>
            <a:ext uri="{FF2B5EF4-FFF2-40B4-BE49-F238E27FC236}">
              <a16:creationId xmlns:a16="http://schemas.microsoft.com/office/drawing/2014/main" id="{D3A4A85A-DF98-4448-B904-C9C648650AF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3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383225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677</xdr:row>
      <xdr:rowOff>25400</xdr:rowOff>
    </xdr:from>
    <xdr:to>
      <xdr:col>11</xdr:col>
      <xdr:colOff>571500</xdr:colOff>
      <xdr:row>678</xdr:row>
      <xdr:rowOff>0</xdr:rowOff>
    </xdr:to>
    <xdr:pic>
      <xdr:nvPicPr>
        <xdr:cNvPr id="9413" name="Рисунок 9412">
          <a:extLst>
            <a:ext uri="{FF2B5EF4-FFF2-40B4-BE49-F238E27FC236}">
              <a16:creationId xmlns:a16="http://schemas.microsoft.com/office/drawing/2014/main" id="{B8DA7933-1402-4E30-BD8F-8E5FD37DA89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4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383797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678</xdr:row>
      <xdr:rowOff>25400</xdr:rowOff>
    </xdr:from>
    <xdr:to>
      <xdr:col>11</xdr:col>
      <xdr:colOff>571500</xdr:colOff>
      <xdr:row>679</xdr:row>
      <xdr:rowOff>0</xdr:rowOff>
    </xdr:to>
    <xdr:pic>
      <xdr:nvPicPr>
        <xdr:cNvPr id="9415" name="Рисунок 9414">
          <a:extLst>
            <a:ext uri="{FF2B5EF4-FFF2-40B4-BE49-F238E27FC236}">
              <a16:creationId xmlns:a16="http://schemas.microsoft.com/office/drawing/2014/main" id="{C5492DC4-1E77-415A-B5E5-BA814BAD954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4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384368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679</xdr:row>
      <xdr:rowOff>25400</xdr:rowOff>
    </xdr:from>
    <xdr:to>
      <xdr:col>11</xdr:col>
      <xdr:colOff>571500</xdr:colOff>
      <xdr:row>680</xdr:row>
      <xdr:rowOff>0</xdr:rowOff>
    </xdr:to>
    <xdr:pic>
      <xdr:nvPicPr>
        <xdr:cNvPr id="9417" name="Рисунок 9416">
          <a:extLst>
            <a:ext uri="{FF2B5EF4-FFF2-40B4-BE49-F238E27FC236}">
              <a16:creationId xmlns:a16="http://schemas.microsoft.com/office/drawing/2014/main" id="{A15FEF18-88ED-4871-AF21-58418C3D066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384940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680</xdr:row>
      <xdr:rowOff>25400</xdr:rowOff>
    </xdr:from>
    <xdr:to>
      <xdr:col>11</xdr:col>
      <xdr:colOff>571500</xdr:colOff>
      <xdr:row>681</xdr:row>
      <xdr:rowOff>0</xdr:rowOff>
    </xdr:to>
    <xdr:pic>
      <xdr:nvPicPr>
        <xdr:cNvPr id="9419" name="Рисунок 9418">
          <a:extLst>
            <a:ext uri="{FF2B5EF4-FFF2-40B4-BE49-F238E27FC236}">
              <a16:creationId xmlns:a16="http://schemas.microsoft.com/office/drawing/2014/main" id="{C285A857-5B0E-4BF8-B888-DD56B504D8B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385511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681</xdr:row>
      <xdr:rowOff>25400</xdr:rowOff>
    </xdr:from>
    <xdr:to>
      <xdr:col>11</xdr:col>
      <xdr:colOff>571500</xdr:colOff>
      <xdr:row>682</xdr:row>
      <xdr:rowOff>0</xdr:rowOff>
    </xdr:to>
    <xdr:pic>
      <xdr:nvPicPr>
        <xdr:cNvPr id="9421" name="Рисунок 9420">
          <a:extLst>
            <a:ext uri="{FF2B5EF4-FFF2-40B4-BE49-F238E27FC236}">
              <a16:creationId xmlns:a16="http://schemas.microsoft.com/office/drawing/2014/main" id="{40676666-8387-4AA1-873F-8DEB5BBE9B6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386083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682</xdr:row>
      <xdr:rowOff>25400</xdr:rowOff>
    </xdr:from>
    <xdr:to>
      <xdr:col>11</xdr:col>
      <xdr:colOff>571500</xdr:colOff>
      <xdr:row>683</xdr:row>
      <xdr:rowOff>0</xdr:rowOff>
    </xdr:to>
    <xdr:pic>
      <xdr:nvPicPr>
        <xdr:cNvPr id="9423" name="Рисунок 9422">
          <a:extLst>
            <a:ext uri="{FF2B5EF4-FFF2-40B4-BE49-F238E27FC236}">
              <a16:creationId xmlns:a16="http://schemas.microsoft.com/office/drawing/2014/main" id="{7D02FD60-F815-47A2-9F38-1FB88E89DF1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4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386654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683</xdr:row>
      <xdr:rowOff>25400</xdr:rowOff>
    </xdr:from>
    <xdr:to>
      <xdr:col>11</xdr:col>
      <xdr:colOff>571500</xdr:colOff>
      <xdr:row>684</xdr:row>
      <xdr:rowOff>0</xdr:rowOff>
    </xdr:to>
    <xdr:pic>
      <xdr:nvPicPr>
        <xdr:cNvPr id="9425" name="Рисунок 9424">
          <a:extLst>
            <a:ext uri="{FF2B5EF4-FFF2-40B4-BE49-F238E27FC236}">
              <a16:creationId xmlns:a16="http://schemas.microsoft.com/office/drawing/2014/main" id="{5D987876-CA46-466D-BEA4-E643C9F3E4E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4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387226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684</xdr:row>
      <xdr:rowOff>25400</xdr:rowOff>
    </xdr:from>
    <xdr:to>
      <xdr:col>11</xdr:col>
      <xdr:colOff>571500</xdr:colOff>
      <xdr:row>685</xdr:row>
      <xdr:rowOff>0</xdr:rowOff>
    </xdr:to>
    <xdr:pic>
      <xdr:nvPicPr>
        <xdr:cNvPr id="9427" name="Рисунок 9426">
          <a:extLst>
            <a:ext uri="{FF2B5EF4-FFF2-40B4-BE49-F238E27FC236}">
              <a16:creationId xmlns:a16="http://schemas.microsoft.com/office/drawing/2014/main" id="{766CD0BE-7FDB-4AC5-AF18-E0EFE5AC465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4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387797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685</xdr:row>
      <xdr:rowOff>25400</xdr:rowOff>
    </xdr:from>
    <xdr:to>
      <xdr:col>11</xdr:col>
      <xdr:colOff>571500</xdr:colOff>
      <xdr:row>686</xdr:row>
      <xdr:rowOff>0</xdr:rowOff>
    </xdr:to>
    <xdr:pic>
      <xdr:nvPicPr>
        <xdr:cNvPr id="9429" name="Рисунок 9428">
          <a:extLst>
            <a:ext uri="{FF2B5EF4-FFF2-40B4-BE49-F238E27FC236}">
              <a16:creationId xmlns:a16="http://schemas.microsoft.com/office/drawing/2014/main" id="{FC88517D-5020-4EBA-84E6-1CE424EFD30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4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388369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686</xdr:row>
      <xdr:rowOff>25400</xdr:rowOff>
    </xdr:from>
    <xdr:to>
      <xdr:col>11</xdr:col>
      <xdr:colOff>571500</xdr:colOff>
      <xdr:row>687</xdr:row>
      <xdr:rowOff>0</xdr:rowOff>
    </xdr:to>
    <xdr:pic>
      <xdr:nvPicPr>
        <xdr:cNvPr id="9431" name="Рисунок 9430">
          <a:extLst>
            <a:ext uri="{FF2B5EF4-FFF2-40B4-BE49-F238E27FC236}">
              <a16:creationId xmlns:a16="http://schemas.microsoft.com/office/drawing/2014/main" id="{8385FB16-B3A9-4F40-8A8D-9FEC00CB043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4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388940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687</xdr:row>
      <xdr:rowOff>25400</xdr:rowOff>
    </xdr:from>
    <xdr:to>
      <xdr:col>11</xdr:col>
      <xdr:colOff>571500</xdr:colOff>
      <xdr:row>688</xdr:row>
      <xdr:rowOff>0</xdr:rowOff>
    </xdr:to>
    <xdr:pic>
      <xdr:nvPicPr>
        <xdr:cNvPr id="9433" name="Рисунок 9432">
          <a:extLst>
            <a:ext uri="{FF2B5EF4-FFF2-40B4-BE49-F238E27FC236}">
              <a16:creationId xmlns:a16="http://schemas.microsoft.com/office/drawing/2014/main" id="{36FDC1C8-B5CD-44AD-8607-D5E6FA7A3BF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5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389512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688</xdr:row>
      <xdr:rowOff>25400</xdr:rowOff>
    </xdr:from>
    <xdr:to>
      <xdr:col>11</xdr:col>
      <xdr:colOff>571500</xdr:colOff>
      <xdr:row>689</xdr:row>
      <xdr:rowOff>0</xdr:rowOff>
    </xdr:to>
    <xdr:pic>
      <xdr:nvPicPr>
        <xdr:cNvPr id="9435" name="Рисунок 9434">
          <a:extLst>
            <a:ext uri="{FF2B5EF4-FFF2-40B4-BE49-F238E27FC236}">
              <a16:creationId xmlns:a16="http://schemas.microsoft.com/office/drawing/2014/main" id="{A8DC8827-B143-4449-92DA-1F5B726236F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5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390083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689</xdr:row>
      <xdr:rowOff>25400</xdr:rowOff>
    </xdr:from>
    <xdr:to>
      <xdr:col>11</xdr:col>
      <xdr:colOff>571500</xdr:colOff>
      <xdr:row>690</xdr:row>
      <xdr:rowOff>0</xdr:rowOff>
    </xdr:to>
    <xdr:pic>
      <xdr:nvPicPr>
        <xdr:cNvPr id="9437" name="Рисунок 9436">
          <a:extLst>
            <a:ext uri="{FF2B5EF4-FFF2-40B4-BE49-F238E27FC236}">
              <a16:creationId xmlns:a16="http://schemas.microsoft.com/office/drawing/2014/main" id="{4798A1C1-3A43-4677-8639-6E4F525DE07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390655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690</xdr:row>
      <xdr:rowOff>25400</xdr:rowOff>
    </xdr:from>
    <xdr:to>
      <xdr:col>11</xdr:col>
      <xdr:colOff>571500</xdr:colOff>
      <xdr:row>691</xdr:row>
      <xdr:rowOff>0</xdr:rowOff>
    </xdr:to>
    <xdr:pic>
      <xdr:nvPicPr>
        <xdr:cNvPr id="9439" name="Рисунок 9438">
          <a:extLst>
            <a:ext uri="{FF2B5EF4-FFF2-40B4-BE49-F238E27FC236}">
              <a16:creationId xmlns:a16="http://schemas.microsoft.com/office/drawing/2014/main" id="{1CE20214-34C6-4F12-B835-884990C9367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5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391226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691</xdr:row>
      <xdr:rowOff>25400</xdr:rowOff>
    </xdr:from>
    <xdr:to>
      <xdr:col>11</xdr:col>
      <xdr:colOff>571500</xdr:colOff>
      <xdr:row>692</xdr:row>
      <xdr:rowOff>0</xdr:rowOff>
    </xdr:to>
    <xdr:pic>
      <xdr:nvPicPr>
        <xdr:cNvPr id="9441" name="Рисунок 9440">
          <a:extLst>
            <a:ext uri="{FF2B5EF4-FFF2-40B4-BE49-F238E27FC236}">
              <a16:creationId xmlns:a16="http://schemas.microsoft.com/office/drawing/2014/main" id="{6F64A464-1DB8-4E59-BAF9-6F530881ECE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5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391798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692</xdr:row>
      <xdr:rowOff>25400</xdr:rowOff>
    </xdr:from>
    <xdr:to>
      <xdr:col>11</xdr:col>
      <xdr:colOff>571500</xdr:colOff>
      <xdr:row>693</xdr:row>
      <xdr:rowOff>0</xdr:rowOff>
    </xdr:to>
    <xdr:pic>
      <xdr:nvPicPr>
        <xdr:cNvPr id="9443" name="Рисунок 9442">
          <a:extLst>
            <a:ext uri="{FF2B5EF4-FFF2-40B4-BE49-F238E27FC236}">
              <a16:creationId xmlns:a16="http://schemas.microsoft.com/office/drawing/2014/main" id="{30AA365E-4FA3-4918-966F-63FE6EFF17A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5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392369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693</xdr:row>
      <xdr:rowOff>25400</xdr:rowOff>
    </xdr:from>
    <xdr:to>
      <xdr:col>11</xdr:col>
      <xdr:colOff>571500</xdr:colOff>
      <xdr:row>694</xdr:row>
      <xdr:rowOff>0</xdr:rowOff>
    </xdr:to>
    <xdr:pic>
      <xdr:nvPicPr>
        <xdr:cNvPr id="9445" name="Рисунок 9444">
          <a:extLst>
            <a:ext uri="{FF2B5EF4-FFF2-40B4-BE49-F238E27FC236}">
              <a16:creationId xmlns:a16="http://schemas.microsoft.com/office/drawing/2014/main" id="{6B26F69C-115C-4C0C-91E6-80F7087F757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5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392941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694</xdr:row>
      <xdr:rowOff>25400</xdr:rowOff>
    </xdr:from>
    <xdr:to>
      <xdr:col>11</xdr:col>
      <xdr:colOff>571500</xdr:colOff>
      <xdr:row>695</xdr:row>
      <xdr:rowOff>0</xdr:rowOff>
    </xdr:to>
    <xdr:pic>
      <xdr:nvPicPr>
        <xdr:cNvPr id="9447" name="Рисунок 9446">
          <a:extLst>
            <a:ext uri="{FF2B5EF4-FFF2-40B4-BE49-F238E27FC236}">
              <a16:creationId xmlns:a16="http://schemas.microsoft.com/office/drawing/2014/main" id="{192C1F70-D892-4185-911B-63277AFBEDC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5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393512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695</xdr:row>
      <xdr:rowOff>25400</xdr:rowOff>
    </xdr:from>
    <xdr:to>
      <xdr:col>11</xdr:col>
      <xdr:colOff>571500</xdr:colOff>
      <xdr:row>696</xdr:row>
      <xdr:rowOff>0</xdr:rowOff>
    </xdr:to>
    <xdr:pic>
      <xdr:nvPicPr>
        <xdr:cNvPr id="9449" name="Рисунок 9448">
          <a:extLst>
            <a:ext uri="{FF2B5EF4-FFF2-40B4-BE49-F238E27FC236}">
              <a16:creationId xmlns:a16="http://schemas.microsoft.com/office/drawing/2014/main" id="{30C39C86-3F27-45EF-85B7-E63E80076F7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5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394084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696</xdr:row>
      <xdr:rowOff>25400</xdr:rowOff>
    </xdr:from>
    <xdr:to>
      <xdr:col>11</xdr:col>
      <xdr:colOff>571500</xdr:colOff>
      <xdr:row>697</xdr:row>
      <xdr:rowOff>0</xdr:rowOff>
    </xdr:to>
    <xdr:pic>
      <xdr:nvPicPr>
        <xdr:cNvPr id="9451" name="Рисунок 9450">
          <a:extLst>
            <a:ext uri="{FF2B5EF4-FFF2-40B4-BE49-F238E27FC236}">
              <a16:creationId xmlns:a16="http://schemas.microsoft.com/office/drawing/2014/main" id="{ECAED584-198A-4BF9-ACDB-5E62BAA2528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5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394655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697</xdr:row>
      <xdr:rowOff>25400</xdr:rowOff>
    </xdr:from>
    <xdr:to>
      <xdr:col>11</xdr:col>
      <xdr:colOff>571500</xdr:colOff>
      <xdr:row>698</xdr:row>
      <xdr:rowOff>0</xdr:rowOff>
    </xdr:to>
    <xdr:pic>
      <xdr:nvPicPr>
        <xdr:cNvPr id="9453" name="Рисунок 9452">
          <a:extLst>
            <a:ext uri="{FF2B5EF4-FFF2-40B4-BE49-F238E27FC236}">
              <a16:creationId xmlns:a16="http://schemas.microsoft.com/office/drawing/2014/main" id="{46948000-8A33-4C2A-8F1B-4D343853C39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6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395227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698</xdr:row>
      <xdr:rowOff>25400</xdr:rowOff>
    </xdr:from>
    <xdr:to>
      <xdr:col>11</xdr:col>
      <xdr:colOff>571500</xdr:colOff>
      <xdr:row>699</xdr:row>
      <xdr:rowOff>0</xdr:rowOff>
    </xdr:to>
    <xdr:pic>
      <xdr:nvPicPr>
        <xdr:cNvPr id="9455" name="Рисунок 9454">
          <a:extLst>
            <a:ext uri="{FF2B5EF4-FFF2-40B4-BE49-F238E27FC236}">
              <a16:creationId xmlns:a16="http://schemas.microsoft.com/office/drawing/2014/main" id="{32E580F6-87A1-4907-8E59-65159A83E5F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6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395798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699</xdr:row>
      <xdr:rowOff>25400</xdr:rowOff>
    </xdr:from>
    <xdr:to>
      <xdr:col>11</xdr:col>
      <xdr:colOff>571500</xdr:colOff>
      <xdr:row>700</xdr:row>
      <xdr:rowOff>0</xdr:rowOff>
    </xdr:to>
    <xdr:pic>
      <xdr:nvPicPr>
        <xdr:cNvPr id="9457" name="Рисунок 9456">
          <a:extLst>
            <a:ext uri="{FF2B5EF4-FFF2-40B4-BE49-F238E27FC236}">
              <a16:creationId xmlns:a16="http://schemas.microsoft.com/office/drawing/2014/main" id="{FC2769E1-7B51-4F44-BE78-B074B389EEE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6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396370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700</xdr:row>
      <xdr:rowOff>25400</xdr:rowOff>
    </xdr:from>
    <xdr:to>
      <xdr:col>11</xdr:col>
      <xdr:colOff>571500</xdr:colOff>
      <xdr:row>701</xdr:row>
      <xdr:rowOff>0</xdr:rowOff>
    </xdr:to>
    <xdr:pic>
      <xdr:nvPicPr>
        <xdr:cNvPr id="9459" name="Рисунок 9458">
          <a:extLst>
            <a:ext uri="{FF2B5EF4-FFF2-40B4-BE49-F238E27FC236}">
              <a16:creationId xmlns:a16="http://schemas.microsoft.com/office/drawing/2014/main" id="{C8EC62E6-E584-4066-AB20-D5B0367BEC8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6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396941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701</xdr:row>
      <xdr:rowOff>25400</xdr:rowOff>
    </xdr:from>
    <xdr:to>
      <xdr:col>11</xdr:col>
      <xdr:colOff>571500</xdr:colOff>
      <xdr:row>702</xdr:row>
      <xdr:rowOff>0</xdr:rowOff>
    </xdr:to>
    <xdr:pic>
      <xdr:nvPicPr>
        <xdr:cNvPr id="9461" name="Рисунок 9460">
          <a:extLst>
            <a:ext uri="{FF2B5EF4-FFF2-40B4-BE49-F238E27FC236}">
              <a16:creationId xmlns:a16="http://schemas.microsoft.com/office/drawing/2014/main" id="{61CB281C-AA27-40DC-90FB-8FA213A84F1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6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397513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702</xdr:row>
      <xdr:rowOff>25400</xdr:rowOff>
    </xdr:from>
    <xdr:to>
      <xdr:col>11</xdr:col>
      <xdr:colOff>571500</xdr:colOff>
      <xdr:row>703</xdr:row>
      <xdr:rowOff>0</xdr:rowOff>
    </xdr:to>
    <xdr:pic>
      <xdr:nvPicPr>
        <xdr:cNvPr id="9463" name="Рисунок 9462">
          <a:extLst>
            <a:ext uri="{FF2B5EF4-FFF2-40B4-BE49-F238E27FC236}">
              <a16:creationId xmlns:a16="http://schemas.microsoft.com/office/drawing/2014/main" id="{C2700580-B697-4E31-A83F-CE40435100A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6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398084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703</xdr:row>
      <xdr:rowOff>25400</xdr:rowOff>
    </xdr:from>
    <xdr:to>
      <xdr:col>11</xdr:col>
      <xdr:colOff>571500</xdr:colOff>
      <xdr:row>704</xdr:row>
      <xdr:rowOff>0</xdr:rowOff>
    </xdr:to>
    <xdr:pic>
      <xdr:nvPicPr>
        <xdr:cNvPr id="9465" name="Рисунок 9464">
          <a:extLst>
            <a:ext uri="{FF2B5EF4-FFF2-40B4-BE49-F238E27FC236}">
              <a16:creationId xmlns:a16="http://schemas.microsoft.com/office/drawing/2014/main" id="{16E3E645-788A-4887-921B-6866EEF25E0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6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398656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704</xdr:row>
      <xdr:rowOff>25400</xdr:rowOff>
    </xdr:from>
    <xdr:to>
      <xdr:col>11</xdr:col>
      <xdr:colOff>571500</xdr:colOff>
      <xdr:row>705</xdr:row>
      <xdr:rowOff>0</xdr:rowOff>
    </xdr:to>
    <xdr:pic>
      <xdr:nvPicPr>
        <xdr:cNvPr id="9467" name="Рисунок 9466">
          <a:extLst>
            <a:ext uri="{FF2B5EF4-FFF2-40B4-BE49-F238E27FC236}">
              <a16:creationId xmlns:a16="http://schemas.microsoft.com/office/drawing/2014/main" id="{96C322D7-3AB1-4445-9660-4852609A09F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6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399227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705</xdr:row>
      <xdr:rowOff>25400</xdr:rowOff>
    </xdr:from>
    <xdr:to>
      <xdr:col>11</xdr:col>
      <xdr:colOff>571500</xdr:colOff>
      <xdr:row>706</xdr:row>
      <xdr:rowOff>0</xdr:rowOff>
    </xdr:to>
    <xdr:pic>
      <xdr:nvPicPr>
        <xdr:cNvPr id="9469" name="Рисунок 9468">
          <a:extLst>
            <a:ext uri="{FF2B5EF4-FFF2-40B4-BE49-F238E27FC236}">
              <a16:creationId xmlns:a16="http://schemas.microsoft.com/office/drawing/2014/main" id="{F8890BB4-568A-4470-8784-0FFE8EA430A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6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399799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706</xdr:row>
      <xdr:rowOff>25400</xdr:rowOff>
    </xdr:from>
    <xdr:to>
      <xdr:col>11</xdr:col>
      <xdr:colOff>571500</xdr:colOff>
      <xdr:row>707</xdr:row>
      <xdr:rowOff>0</xdr:rowOff>
    </xdr:to>
    <xdr:pic>
      <xdr:nvPicPr>
        <xdr:cNvPr id="9471" name="Рисунок 9470">
          <a:extLst>
            <a:ext uri="{FF2B5EF4-FFF2-40B4-BE49-F238E27FC236}">
              <a16:creationId xmlns:a16="http://schemas.microsoft.com/office/drawing/2014/main" id="{35FA8316-49C5-4C07-871F-7F2F89B88FC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6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400370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707</xdr:row>
      <xdr:rowOff>25400</xdr:rowOff>
    </xdr:from>
    <xdr:to>
      <xdr:col>11</xdr:col>
      <xdr:colOff>571500</xdr:colOff>
      <xdr:row>708</xdr:row>
      <xdr:rowOff>0</xdr:rowOff>
    </xdr:to>
    <xdr:pic>
      <xdr:nvPicPr>
        <xdr:cNvPr id="9473" name="Рисунок 9472">
          <a:extLst>
            <a:ext uri="{FF2B5EF4-FFF2-40B4-BE49-F238E27FC236}">
              <a16:creationId xmlns:a16="http://schemas.microsoft.com/office/drawing/2014/main" id="{58438FDC-1787-478B-8BD2-60024EFAA21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7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400942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708</xdr:row>
      <xdr:rowOff>25400</xdr:rowOff>
    </xdr:from>
    <xdr:to>
      <xdr:col>11</xdr:col>
      <xdr:colOff>571500</xdr:colOff>
      <xdr:row>709</xdr:row>
      <xdr:rowOff>0</xdr:rowOff>
    </xdr:to>
    <xdr:pic>
      <xdr:nvPicPr>
        <xdr:cNvPr id="9475" name="Рисунок 9474">
          <a:extLst>
            <a:ext uri="{FF2B5EF4-FFF2-40B4-BE49-F238E27FC236}">
              <a16:creationId xmlns:a16="http://schemas.microsoft.com/office/drawing/2014/main" id="{96530410-A1DA-4CE4-8ECF-0B3114AE65C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7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401513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709</xdr:row>
      <xdr:rowOff>25400</xdr:rowOff>
    </xdr:from>
    <xdr:to>
      <xdr:col>11</xdr:col>
      <xdr:colOff>571500</xdr:colOff>
      <xdr:row>710</xdr:row>
      <xdr:rowOff>0</xdr:rowOff>
    </xdr:to>
    <xdr:pic>
      <xdr:nvPicPr>
        <xdr:cNvPr id="9477" name="Рисунок 9476">
          <a:extLst>
            <a:ext uri="{FF2B5EF4-FFF2-40B4-BE49-F238E27FC236}">
              <a16:creationId xmlns:a16="http://schemas.microsoft.com/office/drawing/2014/main" id="{0F14BB6E-2B55-46CF-99FF-5A6B0F54F0E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7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402085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710</xdr:row>
      <xdr:rowOff>25400</xdr:rowOff>
    </xdr:from>
    <xdr:to>
      <xdr:col>11</xdr:col>
      <xdr:colOff>571500</xdr:colOff>
      <xdr:row>711</xdr:row>
      <xdr:rowOff>0</xdr:rowOff>
    </xdr:to>
    <xdr:pic>
      <xdr:nvPicPr>
        <xdr:cNvPr id="9479" name="Рисунок 9478">
          <a:extLst>
            <a:ext uri="{FF2B5EF4-FFF2-40B4-BE49-F238E27FC236}">
              <a16:creationId xmlns:a16="http://schemas.microsoft.com/office/drawing/2014/main" id="{E0BDF6BD-5C63-45CC-8EDD-D03C886B3A7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7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402656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711</xdr:row>
      <xdr:rowOff>25400</xdr:rowOff>
    </xdr:from>
    <xdr:to>
      <xdr:col>11</xdr:col>
      <xdr:colOff>571500</xdr:colOff>
      <xdr:row>712</xdr:row>
      <xdr:rowOff>0</xdr:rowOff>
    </xdr:to>
    <xdr:pic>
      <xdr:nvPicPr>
        <xdr:cNvPr id="9481" name="Рисунок 9480">
          <a:extLst>
            <a:ext uri="{FF2B5EF4-FFF2-40B4-BE49-F238E27FC236}">
              <a16:creationId xmlns:a16="http://schemas.microsoft.com/office/drawing/2014/main" id="{E0447E9E-6A8E-4F9F-B4DF-220A908C70C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7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403228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712</xdr:row>
      <xdr:rowOff>25400</xdr:rowOff>
    </xdr:from>
    <xdr:to>
      <xdr:col>11</xdr:col>
      <xdr:colOff>571500</xdr:colOff>
      <xdr:row>713</xdr:row>
      <xdr:rowOff>0</xdr:rowOff>
    </xdr:to>
    <xdr:pic>
      <xdr:nvPicPr>
        <xdr:cNvPr id="9483" name="Рисунок 9482">
          <a:extLst>
            <a:ext uri="{FF2B5EF4-FFF2-40B4-BE49-F238E27FC236}">
              <a16:creationId xmlns:a16="http://schemas.microsoft.com/office/drawing/2014/main" id="{3E3A09AC-F092-48D6-BBCD-4166191E2EB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7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403799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713</xdr:row>
      <xdr:rowOff>25400</xdr:rowOff>
    </xdr:from>
    <xdr:to>
      <xdr:col>11</xdr:col>
      <xdr:colOff>571500</xdr:colOff>
      <xdr:row>714</xdr:row>
      <xdr:rowOff>0</xdr:rowOff>
    </xdr:to>
    <xdr:pic>
      <xdr:nvPicPr>
        <xdr:cNvPr id="9485" name="Рисунок 9484">
          <a:extLst>
            <a:ext uri="{FF2B5EF4-FFF2-40B4-BE49-F238E27FC236}">
              <a16:creationId xmlns:a16="http://schemas.microsoft.com/office/drawing/2014/main" id="{7884D3C0-FF76-4789-BE22-5126D1DA465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7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404371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714</xdr:row>
      <xdr:rowOff>25400</xdr:rowOff>
    </xdr:from>
    <xdr:to>
      <xdr:col>11</xdr:col>
      <xdr:colOff>571500</xdr:colOff>
      <xdr:row>715</xdr:row>
      <xdr:rowOff>0</xdr:rowOff>
    </xdr:to>
    <xdr:pic>
      <xdr:nvPicPr>
        <xdr:cNvPr id="9487" name="Рисунок 9486">
          <a:extLst>
            <a:ext uri="{FF2B5EF4-FFF2-40B4-BE49-F238E27FC236}">
              <a16:creationId xmlns:a16="http://schemas.microsoft.com/office/drawing/2014/main" id="{1A83CB02-7EDB-48EC-9D79-7A6385CEE23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7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404942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715</xdr:row>
      <xdr:rowOff>25400</xdr:rowOff>
    </xdr:from>
    <xdr:to>
      <xdr:col>11</xdr:col>
      <xdr:colOff>571500</xdr:colOff>
      <xdr:row>716</xdr:row>
      <xdr:rowOff>0</xdr:rowOff>
    </xdr:to>
    <xdr:pic>
      <xdr:nvPicPr>
        <xdr:cNvPr id="9489" name="Рисунок 9488">
          <a:extLst>
            <a:ext uri="{FF2B5EF4-FFF2-40B4-BE49-F238E27FC236}">
              <a16:creationId xmlns:a16="http://schemas.microsoft.com/office/drawing/2014/main" id="{E51DB2FC-E40C-46E5-AD8A-DEB375A1F1F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7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405514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716</xdr:row>
      <xdr:rowOff>25400</xdr:rowOff>
    </xdr:from>
    <xdr:to>
      <xdr:col>11</xdr:col>
      <xdr:colOff>571500</xdr:colOff>
      <xdr:row>717</xdr:row>
      <xdr:rowOff>0</xdr:rowOff>
    </xdr:to>
    <xdr:pic>
      <xdr:nvPicPr>
        <xdr:cNvPr id="9491" name="Рисунок 9490">
          <a:extLst>
            <a:ext uri="{FF2B5EF4-FFF2-40B4-BE49-F238E27FC236}">
              <a16:creationId xmlns:a16="http://schemas.microsoft.com/office/drawing/2014/main" id="{F787C661-979E-45B6-AF6E-21871389672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7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406085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717</xdr:row>
      <xdr:rowOff>25400</xdr:rowOff>
    </xdr:from>
    <xdr:to>
      <xdr:col>11</xdr:col>
      <xdr:colOff>571500</xdr:colOff>
      <xdr:row>718</xdr:row>
      <xdr:rowOff>0</xdr:rowOff>
    </xdr:to>
    <xdr:pic>
      <xdr:nvPicPr>
        <xdr:cNvPr id="9493" name="Рисунок 9492">
          <a:extLst>
            <a:ext uri="{FF2B5EF4-FFF2-40B4-BE49-F238E27FC236}">
              <a16:creationId xmlns:a16="http://schemas.microsoft.com/office/drawing/2014/main" id="{45D5153E-17F5-464B-9CD0-A4C53DE2A4D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8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406657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718</xdr:row>
      <xdr:rowOff>25400</xdr:rowOff>
    </xdr:from>
    <xdr:to>
      <xdr:col>11</xdr:col>
      <xdr:colOff>571500</xdr:colOff>
      <xdr:row>719</xdr:row>
      <xdr:rowOff>0</xdr:rowOff>
    </xdr:to>
    <xdr:pic>
      <xdr:nvPicPr>
        <xdr:cNvPr id="9495" name="Рисунок 9494">
          <a:extLst>
            <a:ext uri="{FF2B5EF4-FFF2-40B4-BE49-F238E27FC236}">
              <a16:creationId xmlns:a16="http://schemas.microsoft.com/office/drawing/2014/main" id="{7C1A4576-D4E6-4A2F-AB4F-5C10AC56238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8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407228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719</xdr:row>
      <xdr:rowOff>25400</xdr:rowOff>
    </xdr:from>
    <xdr:to>
      <xdr:col>11</xdr:col>
      <xdr:colOff>571500</xdr:colOff>
      <xdr:row>720</xdr:row>
      <xdr:rowOff>0</xdr:rowOff>
    </xdr:to>
    <xdr:pic>
      <xdr:nvPicPr>
        <xdr:cNvPr id="9497" name="Рисунок 9496">
          <a:extLst>
            <a:ext uri="{FF2B5EF4-FFF2-40B4-BE49-F238E27FC236}">
              <a16:creationId xmlns:a16="http://schemas.microsoft.com/office/drawing/2014/main" id="{B6999023-2B80-4DBB-9499-1B477DD41CA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8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407800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720</xdr:row>
      <xdr:rowOff>25400</xdr:rowOff>
    </xdr:from>
    <xdr:to>
      <xdr:col>11</xdr:col>
      <xdr:colOff>571500</xdr:colOff>
      <xdr:row>721</xdr:row>
      <xdr:rowOff>0</xdr:rowOff>
    </xdr:to>
    <xdr:pic>
      <xdr:nvPicPr>
        <xdr:cNvPr id="9499" name="Рисунок 9498">
          <a:extLst>
            <a:ext uri="{FF2B5EF4-FFF2-40B4-BE49-F238E27FC236}">
              <a16:creationId xmlns:a16="http://schemas.microsoft.com/office/drawing/2014/main" id="{5AAE4C55-17E3-4CC1-84A4-5EED7F54D3A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8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408371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721</xdr:row>
      <xdr:rowOff>25400</xdr:rowOff>
    </xdr:from>
    <xdr:to>
      <xdr:col>11</xdr:col>
      <xdr:colOff>571500</xdr:colOff>
      <xdr:row>722</xdr:row>
      <xdr:rowOff>0</xdr:rowOff>
    </xdr:to>
    <xdr:pic>
      <xdr:nvPicPr>
        <xdr:cNvPr id="9501" name="Рисунок 9500">
          <a:extLst>
            <a:ext uri="{FF2B5EF4-FFF2-40B4-BE49-F238E27FC236}">
              <a16:creationId xmlns:a16="http://schemas.microsoft.com/office/drawing/2014/main" id="{1A7D7104-D4E5-44B2-BBA3-238803E25A2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8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408943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722</xdr:row>
      <xdr:rowOff>25400</xdr:rowOff>
    </xdr:from>
    <xdr:to>
      <xdr:col>11</xdr:col>
      <xdr:colOff>571500</xdr:colOff>
      <xdr:row>723</xdr:row>
      <xdr:rowOff>0</xdr:rowOff>
    </xdr:to>
    <xdr:pic>
      <xdr:nvPicPr>
        <xdr:cNvPr id="9503" name="Рисунок 9502">
          <a:extLst>
            <a:ext uri="{FF2B5EF4-FFF2-40B4-BE49-F238E27FC236}">
              <a16:creationId xmlns:a16="http://schemas.microsoft.com/office/drawing/2014/main" id="{7F45AE76-4852-499F-82BF-BEC86D6F16A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8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409514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723</xdr:row>
      <xdr:rowOff>25400</xdr:rowOff>
    </xdr:from>
    <xdr:to>
      <xdr:col>11</xdr:col>
      <xdr:colOff>571500</xdr:colOff>
      <xdr:row>724</xdr:row>
      <xdr:rowOff>0</xdr:rowOff>
    </xdr:to>
    <xdr:pic>
      <xdr:nvPicPr>
        <xdr:cNvPr id="9505" name="Рисунок 9504">
          <a:extLst>
            <a:ext uri="{FF2B5EF4-FFF2-40B4-BE49-F238E27FC236}">
              <a16:creationId xmlns:a16="http://schemas.microsoft.com/office/drawing/2014/main" id="{2DFCE559-8E15-44CF-B187-08985CF4ECF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8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410086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724</xdr:row>
      <xdr:rowOff>25400</xdr:rowOff>
    </xdr:from>
    <xdr:to>
      <xdr:col>11</xdr:col>
      <xdr:colOff>571500</xdr:colOff>
      <xdr:row>725</xdr:row>
      <xdr:rowOff>0</xdr:rowOff>
    </xdr:to>
    <xdr:pic>
      <xdr:nvPicPr>
        <xdr:cNvPr id="9507" name="Рисунок 9506">
          <a:extLst>
            <a:ext uri="{FF2B5EF4-FFF2-40B4-BE49-F238E27FC236}">
              <a16:creationId xmlns:a16="http://schemas.microsoft.com/office/drawing/2014/main" id="{BEEF4FF7-50E6-43EC-AF0E-0B532587DE8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8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410657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725</xdr:row>
      <xdr:rowOff>25400</xdr:rowOff>
    </xdr:from>
    <xdr:to>
      <xdr:col>11</xdr:col>
      <xdr:colOff>571500</xdr:colOff>
      <xdr:row>726</xdr:row>
      <xdr:rowOff>0</xdr:rowOff>
    </xdr:to>
    <xdr:pic>
      <xdr:nvPicPr>
        <xdr:cNvPr id="9509" name="Рисунок 9508">
          <a:extLst>
            <a:ext uri="{FF2B5EF4-FFF2-40B4-BE49-F238E27FC236}">
              <a16:creationId xmlns:a16="http://schemas.microsoft.com/office/drawing/2014/main" id="{35495EEB-F66F-4DE9-B8B6-85B7024237B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8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411229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726</xdr:row>
      <xdr:rowOff>25400</xdr:rowOff>
    </xdr:from>
    <xdr:to>
      <xdr:col>11</xdr:col>
      <xdr:colOff>571500</xdr:colOff>
      <xdr:row>727</xdr:row>
      <xdr:rowOff>0</xdr:rowOff>
    </xdr:to>
    <xdr:pic>
      <xdr:nvPicPr>
        <xdr:cNvPr id="9511" name="Рисунок 9510">
          <a:extLst>
            <a:ext uri="{FF2B5EF4-FFF2-40B4-BE49-F238E27FC236}">
              <a16:creationId xmlns:a16="http://schemas.microsoft.com/office/drawing/2014/main" id="{2BADD624-1B43-4F3F-9626-18623395A23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8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411800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727</xdr:row>
      <xdr:rowOff>25400</xdr:rowOff>
    </xdr:from>
    <xdr:to>
      <xdr:col>11</xdr:col>
      <xdr:colOff>571500</xdr:colOff>
      <xdr:row>728</xdr:row>
      <xdr:rowOff>0</xdr:rowOff>
    </xdr:to>
    <xdr:pic>
      <xdr:nvPicPr>
        <xdr:cNvPr id="9513" name="Рисунок 9512">
          <a:extLst>
            <a:ext uri="{FF2B5EF4-FFF2-40B4-BE49-F238E27FC236}">
              <a16:creationId xmlns:a16="http://schemas.microsoft.com/office/drawing/2014/main" id="{6DCC4D15-58A9-4CCC-9BBB-7A8F50105B3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9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412372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728</xdr:row>
      <xdr:rowOff>25400</xdr:rowOff>
    </xdr:from>
    <xdr:to>
      <xdr:col>11</xdr:col>
      <xdr:colOff>571500</xdr:colOff>
      <xdr:row>729</xdr:row>
      <xdr:rowOff>0</xdr:rowOff>
    </xdr:to>
    <xdr:pic>
      <xdr:nvPicPr>
        <xdr:cNvPr id="9515" name="Рисунок 9514">
          <a:extLst>
            <a:ext uri="{FF2B5EF4-FFF2-40B4-BE49-F238E27FC236}">
              <a16:creationId xmlns:a16="http://schemas.microsoft.com/office/drawing/2014/main" id="{27B0ABE7-9E58-425A-911D-CD02B9A3F29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9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412943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729</xdr:row>
      <xdr:rowOff>25400</xdr:rowOff>
    </xdr:from>
    <xdr:to>
      <xdr:col>11</xdr:col>
      <xdr:colOff>571500</xdr:colOff>
      <xdr:row>730</xdr:row>
      <xdr:rowOff>0</xdr:rowOff>
    </xdr:to>
    <xdr:pic>
      <xdr:nvPicPr>
        <xdr:cNvPr id="9517" name="Рисунок 9516">
          <a:extLst>
            <a:ext uri="{FF2B5EF4-FFF2-40B4-BE49-F238E27FC236}">
              <a16:creationId xmlns:a16="http://schemas.microsoft.com/office/drawing/2014/main" id="{AE54035E-1318-4D68-9B9F-3D155C10464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9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413515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730</xdr:row>
      <xdr:rowOff>25400</xdr:rowOff>
    </xdr:from>
    <xdr:to>
      <xdr:col>11</xdr:col>
      <xdr:colOff>571500</xdr:colOff>
      <xdr:row>731</xdr:row>
      <xdr:rowOff>0</xdr:rowOff>
    </xdr:to>
    <xdr:pic>
      <xdr:nvPicPr>
        <xdr:cNvPr id="9519" name="Рисунок 9518">
          <a:extLst>
            <a:ext uri="{FF2B5EF4-FFF2-40B4-BE49-F238E27FC236}">
              <a16:creationId xmlns:a16="http://schemas.microsoft.com/office/drawing/2014/main" id="{25C70C43-D9E4-4F7D-84C4-DD3DDEAE5CF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9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414086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731</xdr:row>
      <xdr:rowOff>25400</xdr:rowOff>
    </xdr:from>
    <xdr:to>
      <xdr:col>11</xdr:col>
      <xdr:colOff>571500</xdr:colOff>
      <xdr:row>732</xdr:row>
      <xdr:rowOff>0</xdr:rowOff>
    </xdr:to>
    <xdr:pic>
      <xdr:nvPicPr>
        <xdr:cNvPr id="9521" name="Рисунок 9520">
          <a:extLst>
            <a:ext uri="{FF2B5EF4-FFF2-40B4-BE49-F238E27FC236}">
              <a16:creationId xmlns:a16="http://schemas.microsoft.com/office/drawing/2014/main" id="{EBA4750D-4043-42A4-980F-BD2448FC74E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9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414658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732</xdr:row>
      <xdr:rowOff>25400</xdr:rowOff>
    </xdr:from>
    <xdr:to>
      <xdr:col>11</xdr:col>
      <xdr:colOff>571500</xdr:colOff>
      <xdr:row>733</xdr:row>
      <xdr:rowOff>0</xdr:rowOff>
    </xdr:to>
    <xdr:pic>
      <xdr:nvPicPr>
        <xdr:cNvPr id="9523" name="Рисунок 9522">
          <a:extLst>
            <a:ext uri="{FF2B5EF4-FFF2-40B4-BE49-F238E27FC236}">
              <a16:creationId xmlns:a16="http://schemas.microsoft.com/office/drawing/2014/main" id="{CEE2B1F9-4CB0-4139-AA57-1AF9543811F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9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415229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733</xdr:row>
      <xdr:rowOff>25400</xdr:rowOff>
    </xdr:from>
    <xdr:to>
      <xdr:col>11</xdr:col>
      <xdr:colOff>571500</xdr:colOff>
      <xdr:row>734</xdr:row>
      <xdr:rowOff>0</xdr:rowOff>
    </xdr:to>
    <xdr:pic>
      <xdr:nvPicPr>
        <xdr:cNvPr id="9525" name="Рисунок 9524">
          <a:extLst>
            <a:ext uri="{FF2B5EF4-FFF2-40B4-BE49-F238E27FC236}">
              <a16:creationId xmlns:a16="http://schemas.microsoft.com/office/drawing/2014/main" id="{EA47A4B8-4981-43F4-B80D-832ABFE1BDC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9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415801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734</xdr:row>
      <xdr:rowOff>25400</xdr:rowOff>
    </xdr:from>
    <xdr:to>
      <xdr:col>11</xdr:col>
      <xdr:colOff>571500</xdr:colOff>
      <xdr:row>735</xdr:row>
      <xdr:rowOff>0</xdr:rowOff>
    </xdr:to>
    <xdr:pic>
      <xdr:nvPicPr>
        <xdr:cNvPr id="9527" name="Рисунок 9526">
          <a:extLst>
            <a:ext uri="{FF2B5EF4-FFF2-40B4-BE49-F238E27FC236}">
              <a16:creationId xmlns:a16="http://schemas.microsoft.com/office/drawing/2014/main" id="{3476BCA4-C442-4A29-B9ED-C8DF68DC0DB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9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416372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735</xdr:row>
      <xdr:rowOff>25400</xdr:rowOff>
    </xdr:from>
    <xdr:to>
      <xdr:col>11</xdr:col>
      <xdr:colOff>571500</xdr:colOff>
      <xdr:row>736</xdr:row>
      <xdr:rowOff>0</xdr:rowOff>
    </xdr:to>
    <xdr:pic>
      <xdr:nvPicPr>
        <xdr:cNvPr id="9529" name="Рисунок 9528">
          <a:extLst>
            <a:ext uri="{FF2B5EF4-FFF2-40B4-BE49-F238E27FC236}">
              <a16:creationId xmlns:a16="http://schemas.microsoft.com/office/drawing/2014/main" id="{D687D2C6-CBA5-4ED0-89F8-8511FDD5A4D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9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416944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736</xdr:row>
      <xdr:rowOff>25400</xdr:rowOff>
    </xdr:from>
    <xdr:to>
      <xdr:col>11</xdr:col>
      <xdr:colOff>571500</xdr:colOff>
      <xdr:row>737</xdr:row>
      <xdr:rowOff>0</xdr:rowOff>
    </xdr:to>
    <xdr:pic>
      <xdr:nvPicPr>
        <xdr:cNvPr id="9531" name="Рисунок 9530">
          <a:extLst>
            <a:ext uri="{FF2B5EF4-FFF2-40B4-BE49-F238E27FC236}">
              <a16:creationId xmlns:a16="http://schemas.microsoft.com/office/drawing/2014/main" id="{420B2624-E558-44F3-9629-736693620D1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69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417515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737</xdr:row>
      <xdr:rowOff>25400</xdr:rowOff>
    </xdr:from>
    <xdr:to>
      <xdr:col>11</xdr:col>
      <xdr:colOff>571500</xdr:colOff>
      <xdr:row>738</xdr:row>
      <xdr:rowOff>0</xdr:rowOff>
    </xdr:to>
    <xdr:pic>
      <xdr:nvPicPr>
        <xdr:cNvPr id="9533" name="Рисунок 9532">
          <a:extLst>
            <a:ext uri="{FF2B5EF4-FFF2-40B4-BE49-F238E27FC236}">
              <a16:creationId xmlns:a16="http://schemas.microsoft.com/office/drawing/2014/main" id="{33EF1FC1-AA11-4D1D-AE87-21C9AA39A6F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0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418087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738</xdr:row>
      <xdr:rowOff>25400</xdr:rowOff>
    </xdr:from>
    <xdr:to>
      <xdr:col>11</xdr:col>
      <xdr:colOff>571500</xdr:colOff>
      <xdr:row>739</xdr:row>
      <xdr:rowOff>0</xdr:rowOff>
    </xdr:to>
    <xdr:pic>
      <xdr:nvPicPr>
        <xdr:cNvPr id="9535" name="Рисунок 9534">
          <a:extLst>
            <a:ext uri="{FF2B5EF4-FFF2-40B4-BE49-F238E27FC236}">
              <a16:creationId xmlns:a16="http://schemas.microsoft.com/office/drawing/2014/main" id="{EF46E21C-F10F-43CE-9C4D-0D6E0427944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0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418658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739</xdr:row>
      <xdr:rowOff>25400</xdr:rowOff>
    </xdr:from>
    <xdr:to>
      <xdr:col>11</xdr:col>
      <xdr:colOff>571500</xdr:colOff>
      <xdr:row>740</xdr:row>
      <xdr:rowOff>0</xdr:rowOff>
    </xdr:to>
    <xdr:pic>
      <xdr:nvPicPr>
        <xdr:cNvPr id="9537" name="Рисунок 9536">
          <a:extLst>
            <a:ext uri="{FF2B5EF4-FFF2-40B4-BE49-F238E27FC236}">
              <a16:creationId xmlns:a16="http://schemas.microsoft.com/office/drawing/2014/main" id="{C1FD2A2B-7002-4B92-AC4B-9AB4B78F036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0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419230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740</xdr:row>
      <xdr:rowOff>25400</xdr:rowOff>
    </xdr:from>
    <xdr:to>
      <xdr:col>11</xdr:col>
      <xdr:colOff>571500</xdr:colOff>
      <xdr:row>741</xdr:row>
      <xdr:rowOff>0</xdr:rowOff>
    </xdr:to>
    <xdr:pic>
      <xdr:nvPicPr>
        <xdr:cNvPr id="9539" name="Рисунок 9538">
          <a:extLst>
            <a:ext uri="{FF2B5EF4-FFF2-40B4-BE49-F238E27FC236}">
              <a16:creationId xmlns:a16="http://schemas.microsoft.com/office/drawing/2014/main" id="{DFDBA206-81C1-41A0-8F5B-FD34B739092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0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419801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741</xdr:row>
      <xdr:rowOff>25400</xdr:rowOff>
    </xdr:from>
    <xdr:to>
      <xdr:col>11</xdr:col>
      <xdr:colOff>571500</xdr:colOff>
      <xdr:row>742</xdr:row>
      <xdr:rowOff>0</xdr:rowOff>
    </xdr:to>
    <xdr:pic>
      <xdr:nvPicPr>
        <xdr:cNvPr id="9541" name="Рисунок 9540">
          <a:extLst>
            <a:ext uri="{FF2B5EF4-FFF2-40B4-BE49-F238E27FC236}">
              <a16:creationId xmlns:a16="http://schemas.microsoft.com/office/drawing/2014/main" id="{218C60AC-BE64-4568-BFC9-A1B91C1815B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0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420373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742</xdr:row>
      <xdr:rowOff>25400</xdr:rowOff>
    </xdr:from>
    <xdr:to>
      <xdr:col>11</xdr:col>
      <xdr:colOff>571500</xdr:colOff>
      <xdr:row>743</xdr:row>
      <xdr:rowOff>0</xdr:rowOff>
    </xdr:to>
    <xdr:pic>
      <xdr:nvPicPr>
        <xdr:cNvPr id="9543" name="Рисунок 9542">
          <a:extLst>
            <a:ext uri="{FF2B5EF4-FFF2-40B4-BE49-F238E27FC236}">
              <a16:creationId xmlns:a16="http://schemas.microsoft.com/office/drawing/2014/main" id="{425CD58A-04C0-490E-81C2-1179B5EC927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0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420944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743</xdr:row>
      <xdr:rowOff>25400</xdr:rowOff>
    </xdr:from>
    <xdr:to>
      <xdr:col>11</xdr:col>
      <xdr:colOff>571500</xdr:colOff>
      <xdr:row>744</xdr:row>
      <xdr:rowOff>0</xdr:rowOff>
    </xdr:to>
    <xdr:pic>
      <xdr:nvPicPr>
        <xdr:cNvPr id="9545" name="Рисунок 9544">
          <a:extLst>
            <a:ext uri="{FF2B5EF4-FFF2-40B4-BE49-F238E27FC236}">
              <a16:creationId xmlns:a16="http://schemas.microsoft.com/office/drawing/2014/main" id="{21581A85-A384-4C3F-8EEA-E14680F21C8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0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421516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744</xdr:row>
      <xdr:rowOff>25400</xdr:rowOff>
    </xdr:from>
    <xdr:to>
      <xdr:col>11</xdr:col>
      <xdr:colOff>571500</xdr:colOff>
      <xdr:row>745</xdr:row>
      <xdr:rowOff>0</xdr:rowOff>
    </xdr:to>
    <xdr:pic>
      <xdr:nvPicPr>
        <xdr:cNvPr id="9547" name="Рисунок 9546">
          <a:extLst>
            <a:ext uri="{FF2B5EF4-FFF2-40B4-BE49-F238E27FC236}">
              <a16:creationId xmlns:a16="http://schemas.microsoft.com/office/drawing/2014/main" id="{5159488B-6D8C-4BF7-8343-AFAD67F2755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0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422087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745</xdr:row>
      <xdr:rowOff>25400</xdr:rowOff>
    </xdr:from>
    <xdr:to>
      <xdr:col>11</xdr:col>
      <xdr:colOff>571500</xdr:colOff>
      <xdr:row>746</xdr:row>
      <xdr:rowOff>0</xdr:rowOff>
    </xdr:to>
    <xdr:pic>
      <xdr:nvPicPr>
        <xdr:cNvPr id="9549" name="Рисунок 9548">
          <a:extLst>
            <a:ext uri="{FF2B5EF4-FFF2-40B4-BE49-F238E27FC236}">
              <a16:creationId xmlns:a16="http://schemas.microsoft.com/office/drawing/2014/main" id="{2C146A68-DDAA-4408-A981-1B985FBE081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0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422659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746</xdr:row>
      <xdr:rowOff>25400</xdr:rowOff>
    </xdr:from>
    <xdr:to>
      <xdr:col>11</xdr:col>
      <xdr:colOff>571500</xdr:colOff>
      <xdr:row>747</xdr:row>
      <xdr:rowOff>0</xdr:rowOff>
    </xdr:to>
    <xdr:pic>
      <xdr:nvPicPr>
        <xdr:cNvPr id="9551" name="Рисунок 9550">
          <a:extLst>
            <a:ext uri="{FF2B5EF4-FFF2-40B4-BE49-F238E27FC236}">
              <a16:creationId xmlns:a16="http://schemas.microsoft.com/office/drawing/2014/main" id="{8A907416-39A2-4B0D-AA10-D9ACD591ED3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0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423230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747</xdr:row>
      <xdr:rowOff>25400</xdr:rowOff>
    </xdr:from>
    <xdr:to>
      <xdr:col>11</xdr:col>
      <xdr:colOff>571500</xdr:colOff>
      <xdr:row>748</xdr:row>
      <xdr:rowOff>0</xdr:rowOff>
    </xdr:to>
    <xdr:pic>
      <xdr:nvPicPr>
        <xdr:cNvPr id="9553" name="Рисунок 9552">
          <a:extLst>
            <a:ext uri="{FF2B5EF4-FFF2-40B4-BE49-F238E27FC236}">
              <a16:creationId xmlns:a16="http://schemas.microsoft.com/office/drawing/2014/main" id="{1E307A21-F4BB-4475-9FE5-3526ED223FA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423802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748</xdr:row>
      <xdr:rowOff>25400</xdr:rowOff>
    </xdr:from>
    <xdr:to>
      <xdr:col>11</xdr:col>
      <xdr:colOff>571500</xdr:colOff>
      <xdr:row>749</xdr:row>
      <xdr:rowOff>0</xdr:rowOff>
    </xdr:to>
    <xdr:pic>
      <xdr:nvPicPr>
        <xdr:cNvPr id="9555" name="Рисунок 9554">
          <a:extLst>
            <a:ext uri="{FF2B5EF4-FFF2-40B4-BE49-F238E27FC236}">
              <a16:creationId xmlns:a16="http://schemas.microsoft.com/office/drawing/2014/main" id="{F7AA60CE-ECA4-4364-8874-13CC76CF681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424373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749</xdr:row>
      <xdr:rowOff>25400</xdr:rowOff>
    </xdr:from>
    <xdr:to>
      <xdr:col>11</xdr:col>
      <xdr:colOff>571500</xdr:colOff>
      <xdr:row>750</xdr:row>
      <xdr:rowOff>0</xdr:rowOff>
    </xdr:to>
    <xdr:pic>
      <xdr:nvPicPr>
        <xdr:cNvPr id="9557" name="Рисунок 9556">
          <a:extLst>
            <a:ext uri="{FF2B5EF4-FFF2-40B4-BE49-F238E27FC236}">
              <a16:creationId xmlns:a16="http://schemas.microsoft.com/office/drawing/2014/main" id="{D99F6581-A68A-4C4E-9B54-6A4702397E0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424945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750</xdr:row>
      <xdr:rowOff>25400</xdr:rowOff>
    </xdr:from>
    <xdr:to>
      <xdr:col>11</xdr:col>
      <xdr:colOff>571500</xdr:colOff>
      <xdr:row>751</xdr:row>
      <xdr:rowOff>0</xdr:rowOff>
    </xdr:to>
    <xdr:pic>
      <xdr:nvPicPr>
        <xdr:cNvPr id="9559" name="Рисунок 9558">
          <a:extLst>
            <a:ext uri="{FF2B5EF4-FFF2-40B4-BE49-F238E27FC236}">
              <a16:creationId xmlns:a16="http://schemas.microsoft.com/office/drawing/2014/main" id="{C9A659F1-9CF8-4CC0-B6E6-D3434F43AF6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425516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751</xdr:row>
      <xdr:rowOff>25400</xdr:rowOff>
    </xdr:from>
    <xdr:to>
      <xdr:col>11</xdr:col>
      <xdr:colOff>571500</xdr:colOff>
      <xdr:row>752</xdr:row>
      <xdr:rowOff>0</xdr:rowOff>
    </xdr:to>
    <xdr:pic>
      <xdr:nvPicPr>
        <xdr:cNvPr id="9561" name="Рисунок 9560">
          <a:extLst>
            <a:ext uri="{FF2B5EF4-FFF2-40B4-BE49-F238E27FC236}">
              <a16:creationId xmlns:a16="http://schemas.microsoft.com/office/drawing/2014/main" id="{3C2D30D3-C41D-40AD-BEDB-4E33738C311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426088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752</xdr:row>
      <xdr:rowOff>25400</xdr:rowOff>
    </xdr:from>
    <xdr:to>
      <xdr:col>11</xdr:col>
      <xdr:colOff>571500</xdr:colOff>
      <xdr:row>753</xdr:row>
      <xdr:rowOff>0</xdr:rowOff>
    </xdr:to>
    <xdr:pic>
      <xdr:nvPicPr>
        <xdr:cNvPr id="9563" name="Рисунок 9562">
          <a:extLst>
            <a:ext uri="{FF2B5EF4-FFF2-40B4-BE49-F238E27FC236}">
              <a16:creationId xmlns:a16="http://schemas.microsoft.com/office/drawing/2014/main" id="{D62CF2A3-3F98-4C20-A994-CA61BFAD355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426659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753</xdr:row>
      <xdr:rowOff>25400</xdr:rowOff>
    </xdr:from>
    <xdr:to>
      <xdr:col>11</xdr:col>
      <xdr:colOff>571500</xdr:colOff>
      <xdr:row>754</xdr:row>
      <xdr:rowOff>0</xdr:rowOff>
    </xdr:to>
    <xdr:pic>
      <xdr:nvPicPr>
        <xdr:cNvPr id="9565" name="Рисунок 9564">
          <a:extLst>
            <a:ext uri="{FF2B5EF4-FFF2-40B4-BE49-F238E27FC236}">
              <a16:creationId xmlns:a16="http://schemas.microsoft.com/office/drawing/2014/main" id="{11AD1BD7-E599-4AA2-B4DC-323447F9A26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427231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754</xdr:row>
      <xdr:rowOff>25400</xdr:rowOff>
    </xdr:from>
    <xdr:to>
      <xdr:col>11</xdr:col>
      <xdr:colOff>571500</xdr:colOff>
      <xdr:row>755</xdr:row>
      <xdr:rowOff>0</xdr:rowOff>
    </xdr:to>
    <xdr:pic>
      <xdr:nvPicPr>
        <xdr:cNvPr id="9567" name="Рисунок 9566">
          <a:extLst>
            <a:ext uri="{FF2B5EF4-FFF2-40B4-BE49-F238E27FC236}">
              <a16:creationId xmlns:a16="http://schemas.microsoft.com/office/drawing/2014/main" id="{C77D4C2F-DB08-4C42-8019-D438015C033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427802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755</xdr:row>
      <xdr:rowOff>25400</xdr:rowOff>
    </xdr:from>
    <xdr:to>
      <xdr:col>11</xdr:col>
      <xdr:colOff>571500</xdr:colOff>
      <xdr:row>756</xdr:row>
      <xdr:rowOff>0</xdr:rowOff>
    </xdr:to>
    <xdr:pic>
      <xdr:nvPicPr>
        <xdr:cNvPr id="9569" name="Рисунок 9568">
          <a:extLst>
            <a:ext uri="{FF2B5EF4-FFF2-40B4-BE49-F238E27FC236}">
              <a16:creationId xmlns:a16="http://schemas.microsoft.com/office/drawing/2014/main" id="{4811407D-63B5-46C4-AC61-018AB27A3EE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428374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756</xdr:row>
      <xdr:rowOff>25400</xdr:rowOff>
    </xdr:from>
    <xdr:to>
      <xdr:col>11</xdr:col>
      <xdr:colOff>571500</xdr:colOff>
      <xdr:row>757</xdr:row>
      <xdr:rowOff>0</xdr:rowOff>
    </xdr:to>
    <xdr:pic>
      <xdr:nvPicPr>
        <xdr:cNvPr id="9571" name="Рисунок 9570">
          <a:extLst>
            <a:ext uri="{FF2B5EF4-FFF2-40B4-BE49-F238E27FC236}">
              <a16:creationId xmlns:a16="http://schemas.microsoft.com/office/drawing/2014/main" id="{19F3C327-6889-4FA0-93AC-5EEDCBE6F18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428945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757</xdr:row>
      <xdr:rowOff>25400</xdr:rowOff>
    </xdr:from>
    <xdr:to>
      <xdr:col>11</xdr:col>
      <xdr:colOff>571500</xdr:colOff>
      <xdr:row>758</xdr:row>
      <xdr:rowOff>0</xdr:rowOff>
    </xdr:to>
    <xdr:pic>
      <xdr:nvPicPr>
        <xdr:cNvPr id="9573" name="Рисунок 9572">
          <a:extLst>
            <a:ext uri="{FF2B5EF4-FFF2-40B4-BE49-F238E27FC236}">
              <a16:creationId xmlns:a16="http://schemas.microsoft.com/office/drawing/2014/main" id="{EEE98AF1-7FE4-4E31-BD96-A932B0A2BC9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429517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758</xdr:row>
      <xdr:rowOff>25400</xdr:rowOff>
    </xdr:from>
    <xdr:to>
      <xdr:col>11</xdr:col>
      <xdr:colOff>571500</xdr:colOff>
      <xdr:row>759</xdr:row>
      <xdr:rowOff>0</xdr:rowOff>
    </xdr:to>
    <xdr:pic>
      <xdr:nvPicPr>
        <xdr:cNvPr id="9575" name="Рисунок 9574">
          <a:extLst>
            <a:ext uri="{FF2B5EF4-FFF2-40B4-BE49-F238E27FC236}">
              <a16:creationId xmlns:a16="http://schemas.microsoft.com/office/drawing/2014/main" id="{04148E3D-CAC0-4DD6-B214-E8E2F7E7C36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430088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759</xdr:row>
      <xdr:rowOff>25400</xdr:rowOff>
    </xdr:from>
    <xdr:to>
      <xdr:col>11</xdr:col>
      <xdr:colOff>571500</xdr:colOff>
      <xdr:row>760</xdr:row>
      <xdr:rowOff>0</xdr:rowOff>
    </xdr:to>
    <xdr:pic>
      <xdr:nvPicPr>
        <xdr:cNvPr id="9577" name="Рисунок 9576">
          <a:extLst>
            <a:ext uri="{FF2B5EF4-FFF2-40B4-BE49-F238E27FC236}">
              <a16:creationId xmlns:a16="http://schemas.microsoft.com/office/drawing/2014/main" id="{C7D7D4DA-3EC5-4783-A6F4-92B68889BD7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430660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760</xdr:row>
      <xdr:rowOff>25400</xdr:rowOff>
    </xdr:from>
    <xdr:to>
      <xdr:col>11</xdr:col>
      <xdr:colOff>571500</xdr:colOff>
      <xdr:row>761</xdr:row>
      <xdr:rowOff>0</xdr:rowOff>
    </xdr:to>
    <xdr:pic>
      <xdr:nvPicPr>
        <xdr:cNvPr id="9579" name="Рисунок 9578">
          <a:extLst>
            <a:ext uri="{FF2B5EF4-FFF2-40B4-BE49-F238E27FC236}">
              <a16:creationId xmlns:a16="http://schemas.microsoft.com/office/drawing/2014/main" id="{C8433BD9-BD48-413A-AB18-B312C9730F3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431231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761</xdr:row>
      <xdr:rowOff>25400</xdr:rowOff>
    </xdr:from>
    <xdr:to>
      <xdr:col>11</xdr:col>
      <xdr:colOff>571500</xdr:colOff>
      <xdr:row>762</xdr:row>
      <xdr:rowOff>0</xdr:rowOff>
    </xdr:to>
    <xdr:pic>
      <xdr:nvPicPr>
        <xdr:cNvPr id="9581" name="Рисунок 9580">
          <a:extLst>
            <a:ext uri="{FF2B5EF4-FFF2-40B4-BE49-F238E27FC236}">
              <a16:creationId xmlns:a16="http://schemas.microsoft.com/office/drawing/2014/main" id="{C2ED69D0-5D9E-4C2C-9D48-F84CB5D9CE7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431803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762</xdr:row>
      <xdr:rowOff>25400</xdr:rowOff>
    </xdr:from>
    <xdr:to>
      <xdr:col>11</xdr:col>
      <xdr:colOff>571500</xdr:colOff>
      <xdr:row>763</xdr:row>
      <xdr:rowOff>0</xdr:rowOff>
    </xdr:to>
    <xdr:pic>
      <xdr:nvPicPr>
        <xdr:cNvPr id="9583" name="Рисунок 9582">
          <a:extLst>
            <a:ext uri="{FF2B5EF4-FFF2-40B4-BE49-F238E27FC236}">
              <a16:creationId xmlns:a16="http://schemas.microsoft.com/office/drawing/2014/main" id="{4014651E-D363-4C84-BA1C-CED800DFC68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432374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763</xdr:row>
      <xdr:rowOff>25400</xdr:rowOff>
    </xdr:from>
    <xdr:to>
      <xdr:col>11</xdr:col>
      <xdr:colOff>571500</xdr:colOff>
      <xdr:row>764</xdr:row>
      <xdr:rowOff>0</xdr:rowOff>
    </xdr:to>
    <xdr:pic>
      <xdr:nvPicPr>
        <xdr:cNvPr id="9585" name="Рисунок 9584">
          <a:extLst>
            <a:ext uri="{FF2B5EF4-FFF2-40B4-BE49-F238E27FC236}">
              <a16:creationId xmlns:a16="http://schemas.microsoft.com/office/drawing/2014/main" id="{D5E407EA-5AB9-464E-98C1-2D4BD889D14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432946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764</xdr:row>
      <xdr:rowOff>25400</xdr:rowOff>
    </xdr:from>
    <xdr:to>
      <xdr:col>11</xdr:col>
      <xdr:colOff>571500</xdr:colOff>
      <xdr:row>765</xdr:row>
      <xdr:rowOff>0</xdr:rowOff>
    </xdr:to>
    <xdr:pic>
      <xdr:nvPicPr>
        <xdr:cNvPr id="9587" name="Рисунок 9586">
          <a:extLst>
            <a:ext uri="{FF2B5EF4-FFF2-40B4-BE49-F238E27FC236}">
              <a16:creationId xmlns:a16="http://schemas.microsoft.com/office/drawing/2014/main" id="{2ACF6F24-1C48-4496-91E5-26C005B9441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433517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765</xdr:row>
      <xdr:rowOff>25400</xdr:rowOff>
    </xdr:from>
    <xdr:to>
      <xdr:col>11</xdr:col>
      <xdr:colOff>571500</xdr:colOff>
      <xdr:row>766</xdr:row>
      <xdr:rowOff>0</xdr:rowOff>
    </xdr:to>
    <xdr:pic>
      <xdr:nvPicPr>
        <xdr:cNvPr id="9589" name="Рисунок 9588">
          <a:extLst>
            <a:ext uri="{FF2B5EF4-FFF2-40B4-BE49-F238E27FC236}">
              <a16:creationId xmlns:a16="http://schemas.microsoft.com/office/drawing/2014/main" id="{3C411056-4FCD-4F60-8F1A-66A8B9D2F64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434089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766</xdr:row>
      <xdr:rowOff>25400</xdr:rowOff>
    </xdr:from>
    <xdr:to>
      <xdr:col>11</xdr:col>
      <xdr:colOff>571500</xdr:colOff>
      <xdr:row>767</xdr:row>
      <xdr:rowOff>0</xdr:rowOff>
    </xdr:to>
    <xdr:pic>
      <xdr:nvPicPr>
        <xdr:cNvPr id="9591" name="Рисунок 9590">
          <a:extLst>
            <a:ext uri="{FF2B5EF4-FFF2-40B4-BE49-F238E27FC236}">
              <a16:creationId xmlns:a16="http://schemas.microsoft.com/office/drawing/2014/main" id="{5B5795B0-8B20-408B-8524-AB496F44D7C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434660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767</xdr:row>
      <xdr:rowOff>25400</xdr:rowOff>
    </xdr:from>
    <xdr:to>
      <xdr:col>11</xdr:col>
      <xdr:colOff>571500</xdr:colOff>
      <xdr:row>768</xdr:row>
      <xdr:rowOff>0</xdr:rowOff>
    </xdr:to>
    <xdr:pic>
      <xdr:nvPicPr>
        <xdr:cNvPr id="9593" name="Рисунок 9592">
          <a:extLst>
            <a:ext uri="{FF2B5EF4-FFF2-40B4-BE49-F238E27FC236}">
              <a16:creationId xmlns:a16="http://schemas.microsoft.com/office/drawing/2014/main" id="{39E53812-90CA-49D2-B83F-630760D4982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435232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768</xdr:row>
      <xdr:rowOff>25400</xdr:rowOff>
    </xdr:from>
    <xdr:to>
      <xdr:col>11</xdr:col>
      <xdr:colOff>571500</xdr:colOff>
      <xdr:row>769</xdr:row>
      <xdr:rowOff>0</xdr:rowOff>
    </xdr:to>
    <xdr:pic>
      <xdr:nvPicPr>
        <xdr:cNvPr id="9595" name="Рисунок 9594">
          <a:extLst>
            <a:ext uri="{FF2B5EF4-FFF2-40B4-BE49-F238E27FC236}">
              <a16:creationId xmlns:a16="http://schemas.microsoft.com/office/drawing/2014/main" id="{2B791544-C127-48F3-92D3-80375C27021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3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435803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769</xdr:row>
      <xdr:rowOff>25400</xdr:rowOff>
    </xdr:from>
    <xdr:to>
      <xdr:col>11</xdr:col>
      <xdr:colOff>571500</xdr:colOff>
      <xdr:row>770</xdr:row>
      <xdr:rowOff>0</xdr:rowOff>
    </xdr:to>
    <xdr:pic>
      <xdr:nvPicPr>
        <xdr:cNvPr id="9597" name="Рисунок 9596">
          <a:extLst>
            <a:ext uri="{FF2B5EF4-FFF2-40B4-BE49-F238E27FC236}">
              <a16:creationId xmlns:a16="http://schemas.microsoft.com/office/drawing/2014/main" id="{82D844A0-E6D7-450C-ACB5-16A95D73365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3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436375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770</xdr:row>
      <xdr:rowOff>25400</xdr:rowOff>
    </xdr:from>
    <xdr:to>
      <xdr:col>11</xdr:col>
      <xdr:colOff>571500</xdr:colOff>
      <xdr:row>771</xdr:row>
      <xdr:rowOff>0</xdr:rowOff>
    </xdr:to>
    <xdr:pic>
      <xdr:nvPicPr>
        <xdr:cNvPr id="9599" name="Рисунок 9598">
          <a:extLst>
            <a:ext uri="{FF2B5EF4-FFF2-40B4-BE49-F238E27FC236}">
              <a16:creationId xmlns:a16="http://schemas.microsoft.com/office/drawing/2014/main" id="{49CCBD66-3549-46A5-9FA5-7E16DB2A7F5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3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436946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771</xdr:row>
      <xdr:rowOff>25400</xdr:rowOff>
    </xdr:from>
    <xdr:to>
      <xdr:col>11</xdr:col>
      <xdr:colOff>571500</xdr:colOff>
      <xdr:row>772</xdr:row>
      <xdr:rowOff>0</xdr:rowOff>
    </xdr:to>
    <xdr:pic>
      <xdr:nvPicPr>
        <xdr:cNvPr id="9601" name="Рисунок 9600">
          <a:extLst>
            <a:ext uri="{FF2B5EF4-FFF2-40B4-BE49-F238E27FC236}">
              <a16:creationId xmlns:a16="http://schemas.microsoft.com/office/drawing/2014/main" id="{9218FF4E-33A8-42DD-9B2F-F38057968D1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3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437518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772</xdr:row>
      <xdr:rowOff>25400</xdr:rowOff>
    </xdr:from>
    <xdr:to>
      <xdr:col>11</xdr:col>
      <xdr:colOff>571500</xdr:colOff>
      <xdr:row>773</xdr:row>
      <xdr:rowOff>0</xdr:rowOff>
    </xdr:to>
    <xdr:pic>
      <xdr:nvPicPr>
        <xdr:cNvPr id="9603" name="Рисунок 9602">
          <a:extLst>
            <a:ext uri="{FF2B5EF4-FFF2-40B4-BE49-F238E27FC236}">
              <a16:creationId xmlns:a16="http://schemas.microsoft.com/office/drawing/2014/main" id="{BADB6437-74AA-4AAC-A480-919629B5B95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3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438089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773</xdr:row>
      <xdr:rowOff>25400</xdr:rowOff>
    </xdr:from>
    <xdr:to>
      <xdr:col>11</xdr:col>
      <xdr:colOff>571500</xdr:colOff>
      <xdr:row>774</xdr:row>
      <xdr:rowOff>0</xdr:rowOff>
    </xdr:to>
    <xdr:pic>
      <xdr:nvPicPr>
        <xdr:cNvPr id="9605" name="Рисунок 9604">
          <a:extLst>
            <a:ext uri="{FF2B5EF4-FFF2-40B4-BE49-F238E27FC236}">
              <a16:creationId xmlns:a16="http://schemas.microsoft.com/office/drawing/2014/main" id="{ECA7DD71-1453-4185-B7B3-64ADCC050F7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3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438661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774</xdr:row>
      <xdr:rowOff>25400</xdr:rowOff>
    </xdr:from>
    <xdr:to>
      <xdr:col>11</xdr:col>
      <xdr:colOff>571500</xdr:colOff>
      <xdr:row>775</xdr:row>
      <xdr:rowOff>0</xdr:rowOff>
    </xdr:to>
    <xdr:pic>
      <xdr:nvPicPr>
        <xdr:cNvPr id="9607" name="Рисунок 9606">
          <a:extLst>
            <a:ext uri="{FF2B5EF4-FFF2-40B4-BE49-F238E27FC236}">
              <a16:creationId xmlns:a16="http://schemas.microsoft.com/office/drawing/2014/main" id="{ED57C450-8837-4500-9C8E-B0C4B4DAD31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3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439232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775</xdr:row>
      <xdr:rowOff>25400</xdr:rowOff>
    </xdr:from>
    <xdr:to>
      <xdr:col>11</xdr:col>
      <xdr:colOff>571500</xdr:colOff>
      <xdr:row>776</xdr:row>
      <xdr:rowOff>0</xdr:rowOff>
    </xdr:to>
    <xdr:pic>
      <xdr:nvPicPr>
        <xdr:cNvPr id="9609" name="Рисунок 9608">
          <a:extLst>
            <a:ext uri="{FF2B5EF4-FFF2-40B4-BE49-F238E27FC236}">
              <a16:creationId xmlns:a16="http://schemas.microsoft.com/office/drawing/2014/main" id="{60FF05C9-B732-4B7C-80D7-6B171252745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3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439804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776</xdr:row>
      <xdr:rowOff>25400</xdr:rowOff>
    </xdr:from>
    <xdr:to>
      <xdr:col>11</xdr:col>
      <xdr:colOff>571500</xdr:colOff>
      <xdr:row>777</xdr:row>
      <xdr:rowOff>0</xdr:rowOff>
    </xdr:to>
    <xdr:pic>
      <xdr:nvPicPr>
        <xdr:cNvPr id="9611" name="Рисунок 9610">
          <a:extLst>
            <a:ext uri="{FF2B5EF4-FFF2-40B4-BE49-F238E27FC236}">
              <a16:creationId xmlns:a16="http://schemas.microsoft.com/office/drawing/2014/main" id="{960E4136-81FD-46C9-9AC7-BE965D47928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3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440375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777</xdr:row>
      <xdr:rowOff>25400</xdr:rowOff>
    </xdr:from>
    <xdr:to>
      <xdr:col>11</xdr:col>
      <xdr:colOff>571500</xdr:colOff>
      <xdr:row>778</xdr:row>
      <xdr:rowOff>0</xdr:rowOff>
    </xdr:to>
    <xdr:pic>
      <xdr:nvPicPr>
        <xdr:cNvPr id="9613" name="Рисунок 9612">
          <a:extLst>
            <a:ext uri="{FF2B5EF4-FFF2-40B4-BE49-F238E27FC236}">
              <a16:creationId xmlns:a16="http://schemas.microsoft.com/office/drawing/2014/main" id="{193806C3-A6F4-4777-97B6-7CD9654447F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4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440947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778</xdr:row>
      <xdr:rowOff>25400</xdr:rowOff>
    </xdr:from>
    <xdr:to>
      <xdr:col>11</xdr:col>
      <xdr:colOff>571500</xdr:colOff>
      <xdr:row>779</xdr:row>
      <xdr:rowOff>0</xdr:rowOff>
    </xdr:to>
    <xdr:pic>
      <xdr:nvPicPr>
        <xdr:cNvPr id="9615" name="Рисунок 9614">
          <a:extLst>
            <a:ext uri="{FF2B5EF4-FFF2-40B4-BE49-F238E27FC236}">
              <a16:creationId xmlns:a16="http://schemas.microsoft.com/office/drawing/2014/main" id="{4C9D2FC8-6EDD-4562-A7CD-376D8CD91DA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4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441518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779</xdr:row>
      <xdr:rowOff>25400</xdr:rowOff>
    </xdr:from>
    <xdr:to>
      <xdr:col>11</xdr:col>
      <xdr:colOff>571500</xdr:colOff>
      <xdr:row>780</xdr:row>
      <xdr:rowOff>0</xdr:rowOff>
    </xdr:to>
    <xdr:pic>
      <xdr:nvPicPr>
        <xdr:cNvPr id="9617" name="Рисунок 9616">
          <a:extLst>
            <a:ext uri="{FF2B5EF4-FFF2-40B4-BE49-F238E27FC236}">
              <a16:creationId xmlns:a16="http://schemas.microsoft.com/office/drawing/2014/main" id="{0BD6F92F-CC23-4FD0-A118-DB61923C17B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442090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780</xdr:row>
      <xdr:rowOff>25400</xdr:rowOff>
    </xdr:from>
    <xdr:to>
      <xdr:col>11</xdr:col>
      <xdr:colOff>571500</xdr:colOff>
      <xdr:row>781</xdr:row>
      <xdr:rowOff>0</xdr:rowOff>
    </xdr:to>
    <xdr:pic>
      <xdr:nvPicPr>
        <xdr:cNvPr id="9619" name="Рисунок 9618">
          <a:extLst>
            <a:ext uri="{FF2B5EF4-FFF2-40B4-BE49-F238E27FC236}">
              <a16:creationId xmlns:a16="http://schemas.microsoft.com/office/drawing/2014/main" id="{A6E4A78A-8068-43AF-95D2-C1960BF3978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442661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781</xdr:row>
      <xdr:rowOff>25400</xdr:rowOff>
    </xdr:from>
    <xdr:to>
      <xdr:col>11</xdr:col>
      <xdr:colOff>571500</xdr:colOff>
      <xdr:row>782</xdr:row>
      <xdr:rowOff>0</xdr:rowOff>
    </xdr:to>
    <xdr:pic>
      <xdr:nvPicPr>
        <xdr:cNvPr id="9621" name="Рисунок 9620">
          <a:extLst>
            <a:ext uri="{FF2B5EF4-FFF2-40B4-BE49-F238E27FC236}">
              <a16:creationId xmlns:a16="http://schemas.microsoft.com/office/drawing/2014/main" id="{D88EC457-9722-4005-95FC-894B0EE3BA3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443233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782</xdr:row>
      <xdr:rowOff>25400</xdr:rowOff>
    </xdr:from>
    <xdr:to>
      <xdr:col>11</xdr:col>
      <xdr:colOff>571500</xdr:colOff>
      <xdr:row>783</xdr:row>
      <xdr:rowOff>0</xdr:rowOff>
    </xdr:to>
    <xdr:pic>
      <xdr:nvPicPr>
        <xdr:cNvPr id="9623" name="Рисунок 9622">
          <a:extLst>
            <a:ext uri="{FF2B5EF4-FFF2-40B4-BE49-F238E27FC236}">
              <a16:creationId xmlns:a16="http://schemas.microsoft.com/office/drawing/2014/main" id="{CBF06663-9BBB-4708-89D2-5957EAAE629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4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443804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783</xdr:row>
      <xdr:rowOff>25400</xdr:rowOff>
    </xdr:from>
    <xdr:to>
      <xdr:col>11</xdr:col>
      <xdr:colOff>571500</xdr:colOff>
      <xdr:row>784</xdr:row>
      <xdr:rowOff>0</xdr:rowOff>
    </xdr:to>
    <xdr:pic>
      <xdr:nvPicPr>
        <xdr:cNvPr id="9625" name="Рисунок 9624">
          <a:extLst>
            <a:ext uri="{FF2B5EF4-FFF2-40B4-BE49-F238E27FC236}">
              <a16:creationId xmlns:a16="http://schemas.microsoft.com/office/drawing/2014/main" id="{43894463-7CD6-4EA9-B948-CA1055781AD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4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444376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784</xdr:row>
      <xdr:rowOff>25400</xdr:rowOff>
    </xdr:from>
    <xdr:to>
      <xdr:col>11</xdr:col>
      <xdr:colOff>571500</xdr:colOff>
      <xdr:row>785</xdr:row>
      <xdr:rowOff>0</xdr:rowOff>
    </xdr:to>
    <xdr:pic>
      <xdr:nvPicPr>
        <xdr:cNvPr id="9627" name="Рисунок 9626">
          <a:extLst>
            <a:ext uri="{FF2B5EF4-FFF2-40B4-BE49-F238E27FC236}">
              <a16:creationId xmlns:a16="http://schemas.microsoft.com/office/drawing/2014/main" id="{7CF4938B-E351-4C48-A13E-D17B8CE6109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4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444947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785</xdr:row>
      <xdr:rowOff>25400</xdr:rowOff>
    </xdr:from>
    <xdr:to>
      <xdr:col>11</xdr:col>
      <xdr:colOff>571500</xdr:colOff>
      <xdr:row>786</xdr:row>
      <xdr:rowOff>0</xdr:rowOff>
    </xdr:to>
    <xdr:pic>
      <xdr:nvPicPr>
        <xdr:cNvPr id="9629" name="Рисунок 9628">
          <a:extLst>
            <a:ext uri="{FF2B5EF4-FFF2-40B4-BE49-F238E27FC236}">
              <a16:creationId xmlns:a16="http://schemas.microsoft.com/office/drawing/2014/main" id="{C5C6F969-60C9-47A5-AA54-A02D1E01CE7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4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445519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786</xdr:row>
      <xdr:rowOff>25400</xdr:rowOff>
    </xdr:from>
    <xdr:to>
      <xdr:col>11</xdr:col>
      <xdr:colOff>571500</xdr:colOff>
      <xdr:row>787</xdr:row>
      <xdr:rowOff>0</xdr:rowOff>
    </xdr:to>
    <xdr:pic>
      <xdr:nvPicPr>
        <xdr:cNvPr id="9631" name="Рисунок 9630">
          <a:extLst>
            <a:ext uri="{FF2B5EF4-FFF2-40B4-BE49-F238E27FC236}">
              <a16:creationId xmlns:a16="http://schemas.microsoft.com/office/drawing/2014/main" id="{1DEED8B4-7EFE-4BD0-BFDB-8A397B873EA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4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446090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787</xdr:row>
      <xdr:rowOff>25400</xdr:rowOff>
    </xdr:from>
    <xdr:to>
      <xdr:col>11</xdr:col>
      <xdr:colOff>571500</xdr:colOff>
      <xdr:row>788</xdr:row>
      <xdr:rowOff>0</xdr:rowOff>
    </xdr:to>
    <xdr:pic>
      <xdr:nvPicPr>
        <xdr:cNvPr id="9633" name="Рисунок 9632">
          <a:extLst>
            <a:ext uri="{FF2B5EF4-FFF2-40B4-BE49-F238E27FC236}">
              <a16:creationId xmlns:a16="http://schemas.microsoft.com/office/drawing/2014/main" id="{35AE0316-9920-4CA1-B9F3-443C377E026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5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446662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788</xdr:row>
      <xdr:rowOff>25400</xdr:rowOff>
    </xdr:from>
    <xdr:to>
      <xdr:col>11</xdr:col>
      <xdr:colOff>571500</xdr:colOff>
      <xdr:row>789</xdr:row>
      <xdr:rowOff>0</xdr:rowOff>
    </xdr:to>
    <xdr:pic>
      <xdr:nvPicPr>
        <xdr:cNvPr id="9635" name="Рисунок 9634">
          <a:extLst>
            <a:ext uri="{FF2B5EF4-FFF2-40B4-BE49-F238E27FC236}">
              <a16:creationId xmlns:a16="http://schemas.microsoft.com/office/drawing/2014/main" id="{7DD5A650-7661-41D4-81B0-72F171A8540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5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447233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789</xdr:row>
      <xdr:rowOff>25400</xdr:rowOff>
    </xdr:from>
    <xdr:to>
      <xdr:col>11</xdr:col>
      <xdr:colOff>571500</xdr:colOff>
      <xdr:row>790</xdr:row>
      <xdr:rowOff>0</xdr:rowOff>
    </xdr:to>
    <xdr:pic>
      <xdr:nvPicPr>
        <xdr:cNvPr id="9637" name="Рисунок 9636">
          <a:extLst>
            <a:ext uri="{FF2B5EF4-FFF2-40B4-BE49-F238E27FC236}">
              <a16:creationId xmlns:a16="http://schemas.microsoft.com/office/drawing/2014/main" id="{A55EAFF2-65D7-4312-8767-03EABB9ADDE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447805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790</xdr:row>
      <xdr:rowOff>25400</xdr:rowOff>
    </xdr:from>
    <xdr:to>
      <xdr:col>11</xdr:col>
      <xdr:colOff>571500</xdr:colOff>
      <xdr:row>791</xdr:row>
      <xdr:rowOff>0</xdr:rowOff>
    </xdr:to>
    <xdr:pic>
      <xdr:nvPicPr>
        <xdr:cNvPr id="9639" name="Рисунок 9638">
          <a:extLst>
            <a:ext uri="{FF2B5EF4-FFF2-40B4-BE49-F238E27FC236}">
              <a16:creationId xmlns:a16="http://schemas.microsoft.com/office/drawing/2014/main" id="{86E65743-815E-491B-8A83-AB34DDB52F9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5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448376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791</xdr:row>
      <xdr:rowOff>25400</xdr:rowOff>
    </xdr:from>
    <xdr:to>
      <xdr:col>11</xdr:col>
      <xdr:colOff>571500</xdr:colOff>
      <xdr:row>792</xdr:row>
      <xdr:rowOff>0</xdr:rowOff>
    </xdr:to>
    <xdr:pic>
      <xdr:nvPicPr>
        <xdr:cNvPr id="9641" name="Рисунок 9640">
          <a:extLst>
            <a:ext uri="{FF2B5EF4-FFF2-40B4-BE49-F238E27FC236}">
              <a16:creationId xmlns:a16="http://schemas.microsoft.com/office/drawing/2014/main" id="{B1223750-2627-4B1B-8EEA-FFE0798FAEA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5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448948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792</xdr:row>
      <xdr:rowOff>25400</xdr:rowOff>
    </xdr:from>
    <xdr:to>
      <xdr:col>11</xdr:col>
      <xdr:colOff>571500</xdr:colOff>
      <xdr:row>793</xdr:row>
      <xdr:rowOff>0</xdr:rowOff>
    </xdr:to>
    <xdr:pic>
      <xdr:nvPicPr>
        <xdr:cNvPr id="9643" name="Рисунок 9642">
          <a:extLst>
            <a:ext uri="{FF2B5EF4-FFF2-40B4-BE49-F238E27FC236}">
              <a16:creationId xmlns:a16="http://schemas.microsoft.com/office/drawing/2014/main" id="{28D447BF-E01A-4611-8B36-4487936D90D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5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449519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793</xdr:row>
      <xdr:rowOff>25400</xdr:rowOff>
    </xdr:from>
    <xdr:to>
      <xdr:col>11</xdr:col>
      <xdr:colOff>571500</xdr:colOff>
      <xdr:row>794</xdr:row>
      <xdr:rowOff>0</xdr:rowOff>
    </xdr:to>
    <xdr:pic>
      <xdr:nvPicPr>
        <xdr:cNvPr id="9645" name="Рисунок 9644">
          <a:extLst>
            <a:ext uri="{FF2B5EF4-FFF2-40B4-BE49-F238E27FC236}">
              <a16:creationId xmlns:a16="http://schemas.microsoft.com/office/drawing/2014/main" id="{A9FB8858-8202-424A-AC8B-DF6D87F48CE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5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450091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794</xdr:row>
      <xdr:rowOff>25400</xdr:rowOff>
    </xdr:from>
    <xdr:to>
      <xdr:col>11</xdr:col>
      <xdr:colOff>571500</xdr:colOff>
      <xdr:row>795</xdr:row>
      <xdr:rowOff>0</xdr:rowOff>
    </xdr:to>
    <xdr:pic>
      <xdr:nvPicPr>
        <xdr:cNvPr id="9647" name="Рисунок 9646">
          <a:extLst>
            <a:ext uri="{FF2B5EF4-FFF2-40B4-BE49-F238E27FC236}">
              <a16:creationId xmlns:a16="http://schemas.microsoft.com/office/drawing/2014/main" id="{386D5B2C-1916-42F9-B0D8-374CF0169AF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5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450662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795</xdr:row>
      <xdr:rowOff>25400</xdr:rowOff>
    </xdr:from>
    <xdr:to>
      <xdr:col>11</xdr:col>
      <xdr:colOff>571500</xdr:colOff>
      <xdr:row>796</xdr:row>
      <xdr:rowOff>0</xdr:rowOff>
    </xdr:to>
    <xdr:pic>
      <xdr:nvPicPr>
        <xdr:cNvPr id="9649" name="Рисунок 9648">
          <a:extLst>
            <a:ext uri="{FF2B5EF4-FFF2-40B4-BE49-F238E27FC236}">
              <a16:creationId xmlns:a16="http://schemas.microsoft.com/office/drawing/2014/main" id="{DF45CEBE-7F2B-481F-9E3C-5BAA912BF05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5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451234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796</xdr:row>
      <xdr:rowOff>25400</xdr:rowOff>
    </xdr:from>
    <xdr:to>
      <xdr:col>11</xdr:col>
      <xdr:colOff>571500</xdr:colOff>
      <xdr:row>797</xdr:row>
      <xdr:rowOff>0</xdr:rowOff>
    </xdr:to>
    <xdr:pic>
      <xdr:nvPicPr>
        <xdr:cNvPr id="9651" name="Рисунок 9650">
          <a:extLst>
            <a:ext uri="{FF2B5EF4-FFF2-40B4-BE49-F238E27FC236}">
              <a16:creationId xmlns:a16="http://schemas.microsoft.com/office/drawing/2014/main" id="{41F675A5-395C-4C30-9A05-EE40DCA36CA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5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451805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797</xdr:row>
      <xdr:rowOff>25400</xdr:rowOff>
    </xdr:from>
    <xdr:to>
      <xdr:col>11</xdr:col>
      <xdr:colOff>571500</xdr:colOff>
      <xdr:row>798</xdr:row>
      <xdr:rowOff>0</xdr:rowOff>
    </xdr:to>
    <xdr:pic>
      <xdr:nvPicPr>
        <xdr:cNvPr id="9653" name="Рисунок 9652">
          <a:extLst>
            <a:ext uri="{FF2B5EF4-FFF2-40B4-BE49-F238E27FC236}">
              <a16:creationId xmlns:a16="http://schemas.microsoft.com/office/drawing/2014/main" id="{B2C0D2E3-3274-452B-AE79-514F26C7223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6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452377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798</xdr:row>
      <xdr:rowOff>25400</xdr:rowOff>
    </xdr:from>
    <xdr:to>
      <xdr:col>11</xdr:col>
      <xdr:colOff>571500</xdr:colOff>
      <xdr:row>799</xdr:row>
      <xdr:rowOff>0</xdr:rowOff>
    </xdr:to>
    <xdr:pic>
      <xdr:nvPicPr>
        <xdr:cNvPr id="9655" name="Рисунок 9654">
          <a:extLst>
            <a:ext uri="{FF2B5EF4-FFF2-40B4-BE49-F238E27FC236}">
              <a16:creationId xmlns:a16="http://schemas.microsoft.com/office/drawing/2014/main" id="{27511625-0A00-462E-9EC2-11BB4646CF4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6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452948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799</xdr:row>
      <xdr:rowOff>25400</xdr:rowOff>
    </xdr:from>
    <xdr:to>
      <xdr:col>11</xdr:col>
      <xdr:colOff>571500</xdr:colOff>
      <xdr:row>800</xdr:row>
      <xdr:rowOff>0</xdr:rowOff>
    </xdr:to>
    <xdr:pic>
      <xdr:nvPicPr>
        <xdr:cNvPr id="9657" name="Рисунок 9656">
          <a:extLst>
            <a:ext uri="{FF2B5EF4-FFF2-40B4-BE49-F238E27FC236}">
              <a16:creationId xmlns:a16="http://schemas.microsoft.com/office/drawing/2014/main" id="{219BC223-8DF3-4388-B006-1750BEFBBF3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6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453520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800</xdr:row>
      <xdr:rowOff>25400</xdr:rowOff>
    </xdr:from>
    <xdr:to>
      <xdr:col>11</xdr:col>
      <xdr:colOff>571500</xdr:colOff>
      <xdr:row>801</xdr:row>
      <xdr:rowOff>0</xdr:rowOff>
    </xdr:to>
    <xdr:pic>
      <xdr:nvPicPr>
        <xdr:cNvPr id="9659" name="Рисунок 9658">
          <a:extLst>
            <a:ext uri="{FF2B5EF4-FFF2-40B4-BE49-F238E27FC236}">
              <a16:creationId xmlns:a16="http://schemas.microsoft.com/office/drawing/2014/main" id="{2E867F52-9C13-4950-ACDF-114AB1002AB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6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454091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801</xdr:row>
      <xdr:rowOff>25400</xdr:rowOff>
    </xdr:from>
    <xdr:to>
      <xdr:col>11</xdr:col>
      <xdr:colOff>571500</xdr:colOff>
      <xdr:row>802</xdr:row>
      <xdr:rowOff>0</xdr:rowOff>
    </xdr:to>
    <xdr:pic>
      <xdr:nvPicPr>
        <xdr:cNvPr id="9661" name="Рисунок 9660">
          <a:extLst>
            <a:ext uri="{FF2B5EF4-FFF2-40B4-BE49-F238E27FC236}">
              <a16:creationId xmlns:a16="http://schemas.microsoft.com/office/drawing/2014/main" id="{E30A1729-09CE-40C7-9652-A479C7E1FB2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6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454663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802</xdr:row>
      <xdr:rowOff>25400</xdr:rowOff>
    </xdr:from>
    <xdr:to>
      <xdr:col>11</xdr:col>
      <xdr:colOff>571500</xdr:colOff>
      <xdr:row>803</xdr:row>
      <xdr:rowOff>0</xdr:rowOff>
    </xdr:to>
    <xdr:pic>
      <xdr:nvPicPr>
        <xdr:cNvPr id="9663" name="Рисунок 9662">
          <a:extLst>
            <a:ext uri="{FF2B5EF4-FFF2-40B4-BE49-F238E27FC236}">
              <a16:creationId xmlns:a16="http://schemas.microsoft.com/office/drawing/2014/main" id="{A7B6863D-D5FF-4EED-B342-7CA0ACF06D8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6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455234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803</xdr:row>
      <xdr:rowOff>25400</xdr:rowOff>
    </xdr:from>
    <xdr:to>
      <xdr:col>11</xdr:col>
      <xdr:colOff>571500</xdr:colOff>
      <xdr:row>804</xdr:row>
      <xdr:rowOff>0</xdr:rowOff>
    </xdr:to>
    <xdr:pic>
      <xdr:nvPicPr>
        <xdr:cNvPr id="9665" name="Рисунок 9664">
          <a:extLst>
            <a:ext uri="{FF2B5EF4-FFF2-40B4-BE49-F238E27FC236}">
              <a16:creationId xmlns:a16="http://schemas.microsoft.com/office/drawing/2014/main" id="{1BC702EB-D6D2-400A-8362-2E358B10BC2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6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455806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804</xdr:row>
      <xdr:rowOff>25400</xdr:rowOff>
    </xdr:from>
    <xdr:to>
      <xdr:col>11</xdr:col>
      <xdr:colOff>571500</xdr:colOff>
      <xdr:row>805</xdr:row>
      <xdr:rowOff>0</xdr:rowOff>
    </xdr:to>
    <xdr:pic>
      <xdr:nvPicPr>
        <xdr:cNvPr id="9667" name="Рисунок 9666">
          <a:extLst>
            <a:ext uri="{FF2B5EF4-FFF2-40B4-BE49-F238E27FC236}">
              <a16:creationId xmlns:a16="http://schemas.microsoft.com/office/drawing/2014/main" id="{4806C098-DE20-4E89-9CCF-18456D06B30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6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456377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805</xdr:row>
      <xdr:rowOff>25400</xdr:rowOff>
    </xdr:from>
    <xdr:to>
      <xdr:col>11</xdr:col>
      <xdr:colOff>571500</xdr:colOff>
      <xdr:row>806</xdr:row>
      <xdr:rowOff>0</xdr:rowOff>
    </xdr:to>
    <xdr:pic>
      <xdr:nvPicPr>
        <xdr:cNvPr id="9669" name="Рисунок 9668">
          <a:extLst>
            <a:ext uri="{FF2B5EF4-FFF2-40B4-BE49-F238E27FC236}">
              <a16:creationId xmlns:a16="http://schemas.microsoft.com/office/drawing/2014/main" id="{8FE5C66F-B610-4ADC-923C-CEC37E6E103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6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456949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806</xdr:row>
      <xdr:rowOff>25400</xdr:rowOff>
    </xdr:from>
    <xdr:to>
      <xdr:col>11</xdr:col>
      <xdr:colOff>571500</xdr:colOff>
      <xdr:row>807</xdr:row>
      <xdr:rowOff>0</xdr:rowOff>
    </xdr:to>
    <xdr:pic>
      <xdr:nvPicPr>
        <xdr:cNvPr id="9671" name="Рисунок 9670">
          <a:extLst>
            <a:ext uri="{FF2B5EF4-FFF2-40B4-BE49-F238E27FC236}">
              <a16:creationId xmlns:a16="http://schemas.microsoft.com/office/drawing/2014/main" id="{26DCB5C8-D70B-45A3-9B7A-4A3A775E320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6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457520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807</xdr:row>
      <xdr:rowOff>25400</xdr:rowOff>
    </xdr:from>
    <xdr:to>
      <xdr:col>11</xdr:col>
      <xdr:colOff>571500</xdr:colOff>
      <xdr:row>808</xdr:row>
      <xdr:rowOff>0</xdr:rowOff>
    </xdr:to>
    <xdr:pic>
      <xdr:nvPicPr>
        <xdr:cNvPr id="9673" name="Рисунок 9672">
          <a:extLst>
            <a:ext uri="{FF2B5EF4-FFF2-40B4-BE49-F238E27FC236}">
              <a16:creationId xmlns:a16="http://schemas.microsoft.com/office/drawing/2014/main" id="{3DA6C268-73C0-44A6-A508-09A8632B0D1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7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458092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808</xdr:row>
      <xdr:rowOff>25400</xdr:rowOff>
    </xdr:from>
    <xdr:to>
      <xdr:col>11</xdr:col>
      <xdr:colOff>571500</xdr:colOff>
      <xdr:row>809</xdr:row>
      <xdr:rowOff>0</xdr:rowOff>
    </xdr:to>
    <xdr:pic>
      <xdr:nvPicPr>
        <xdr:cNvPr id="9675" name="Рисунок 9674">
          <a:extLst>
            <a:ext uri="{FF2B5EF4-FFF2-40B4-BE49-F238E27FC236}">
              <a16:creationId xmlns:a16="http://schemas.microsoft.com/office/drawing/2014/main" id="{3872822F-D7D3-42E4-B795-AA2293A09F4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7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458663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809</xdr:row>
      <xdr:rowOff>25400</xdr:rowOff>
    </xdr:from>
    <xdr:to>
      <xdr:col>11</xdr:col>
      <xdr:colOff>571500</xdr:colOff>
      <xdr:row>810</xdr:row>
      <xdr:rowOff>0</xdr:rowOff>
    </xdr:to>
    <xdr:pic>
      <xdr:nvPicPr>
        <xdr:cNvPr id="9677" name="Рисунок 9676">
          <a:extLst>
            <a:ext uri="{FF2B5EF4-FFF2-40B4-BE49-F238E27FC236}">
              <a16:creationId xmlns:a16="http://schemas.microsoft.com/office/drawing/2014/main" id="{CCD9D82E-8E43-4839-BFDD-63EB2E7CE21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7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459235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810</xdr:row>
      <xdr:rowOff>25400</xdr:rowOff>
    </xdr:from>
    <xdr:to>
      <xdr:col>11</xdr:col>
      <xdr:colOff>571500</xdr:colOff>
      <xdr:row>811</xdr:row>
      <xdr:rowOff>0</xdr:rowOff>
    </xdr:to>
    <xdr:pic>
      <xdr:nvPicPr>
        <xdr:cNvPr id="9679" name="Рисунок 9678">
          <a:extLst>
            <a:ext uri="{FF2B5EF4-FFF2-40B4-BE49-F238E27FC236}">
              <a16:creationId xmlns:a16="http://schemas.microsoft.com/office/drawing/2014/main" id="{C2A4A070-AA13-4B3E-BEE2-F15B7299CFE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7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459806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811</xdr:row>
      <xdr:rowOff>25400</xdr:rowOff>
    </xdr:from>
    <xdr:to>
      <xdr:col>11</xdr:col>
      <xdr:colOff>571500</xdr:colOff>
      <xdr:row>812</xdr:row>
      <xdr:rowOff>0</xdr:rowOff>
    </xdr:to>
    <xdr:pic>
      <xdr:nvPicPr>
        <xdr:cNvPr id="9681" name="Рисунок 9680">
          <a:extLst>
            <a:ext uri="{FF2B5EF4-FFF2-40B4-BE49-F238E27FC236}">
              <a16:creationId xmlns:a16="http://schemas.microsoft.com/office/drawing/2014/main" id="{EF41C7F2-31CB-481D-9AC8-ED97E09F9CD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7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460378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812</xdr:row>
      <xdr:rowOff>25400</xdr:rowOff>
    </xdr:from>
    <xdr:to>
      <xdr:col>11</xdr:col>
      <xdr:colOff>571500</xdr:colOff>
      <xdr:row>813</xdr:row>
      <xdr:rowOff>0</xdr:rowOff>
    </xdr:to>
    <xdr:pic>
      <xdr:nvPicPr>
        <xdr:cNvPr id="9683" name="Рисунок 9682">
          <a:extLst>
            <a:ext uri="{FF2B5EF4-FFF2-40B4-BE49-F238E27FC236}">
              <a16:creationId xmlns:a16="http://schemas.microsoft.com/office/drawing/2014/main" id="{88DDC56A-1B1B-4F54-BC92-01A1CCBB93D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7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460949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813</xdr:row>
      <xdr:rowOff>25400</xdr:rowOff>
    </xdr:from>
    <xdr:to>
      <xdr:col>11</xdr:col>
      <xdr:colOff>571500</xdr:colOff>
      <xdr:row>814</xdr:row>
      <xdr:rowOff>0</xdr:rowOff>
    </xdr:to>
    <xdr:pic>
      <xdr:nvPicPr>
        <xdr:cNvPr id="9685" name="Рисунок 9684">
          <a:extLst>
            <a:ext uri="{FF2B5EF4-FFF2-40B4-BE49-F238E27FC236}">
              <a16:creationId xmlns:a16="http://schemas.microsoft.com/office/drawing/2014/main" id="{5CABF3C2-A3DA-4EDF-8057-AD600A1B4B0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7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461521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814</xdr:row>
      <xdr:rowOff>25400</xdr:rowOff>
    </xdr:from>
    <xdr:to>
      <xdr:col>11</xdr:col>
      <xdr:colOff>571500</xdr:colOff>
      <xdr:row>815</xdr:row>
      <xdr:rowOff>0</xdr:rowOff>
    </xdr:to>
    <xdr:pic>
      <xdr:nvPicPr>
        <xdr:cNvPr id="9687" name="Рисунок 9686">
          <a:extLst>
            <a:ext uri="{FF2B5EF4-FFF2-40B4-BE49-F238E27FC236}">
              <a16:creationId xmlns:a16="http://schemas.microsoft.com/office/drawing/2014/main" id="{DB7A156C-444C-490B-89D3-1DDECB6FD38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7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462092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815</xdr:row>
      <xdr:rowOff>25400</xdr:rowOff>
    </xdr:from>
    <xdr:to>
      <xdr:col>11</xdr:col>
      <xdr:colOff>571500</xdr:colOff>
      <xdr:row>816</xdr:row>
      <xdr:rowOff>0</xdr:rowOff>
    </xdr:to>
    <xdr:pic>
      <xdr:nvPicPr>
        <xdr:cNvPr id="9689" name="Рисунок 9688">
          <a:extLst>
            <a:ext uri="{FF2B5EF4-FFF2-40B4-BE49-F238E27FC236}">
              <a16:creationId xmlns:a16="http://schemas.microsoft.com/office/drawing/2014/main" id="{4C3D3160-3067-4CA3-8778-35F104EBB26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7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462664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816</xdr:row>
      <xdr:rowOff>25400</xdr:rowOff>
    </xdr:from>
    <xdr:to>
      <xdr:col>11</xdr:col>
      <xdr:colOff>571500</xdr:colOff>
      <xdr:row>817</xdr:row>
      <xdr:rowOff>0</xdr:rowOff>
    </xdr:to>
    <xdr:pic>
      <xdr:nvPicPr>
        <xdr:cNvPr id="9691" name="Рисунок 9690">
          <a:extLst>
            <a:ext uri="{FF2B5EF4-FFF2-40B4-BE49-F238E27FC236}">
              <a16:creationId xmlns:a16="http://schemas.microsoft.com/office/drawing/2014/main" id="{D7E6C819-9C11-4328-9B60-A627CF611AA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7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463235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817</xdr:row>
      <xdr:rowOff>25400</xdr:rowOff>
    </xdr:from>
    <xdr:to>
      <xdr:col>11</xdr:col>
      <xdr:colOff>571500</xdr:colOff>
      <xdr:row>818</xdr:row>
      <xdr:rowOff>0</xdr:rowOff>
    </xdr:to>
    <xdr:pic>
      <xdr:nvPicPr>
        <xdr:cNvPr id="9693" name="Рисунок 9692">
          <a:extLst>
            <a:ext uri="{FF2B5EF4-FFF2-40B4-BE49-F238E27FC236}">
              <a16:creationId xmlns:a16="http://schemas.microsoft.com/office/drawing/2014/main" id="{F0E96313-7F5D-4F0B-8C8A-90270E86388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8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463807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818</xdr:row>
      <xdr:rowOff>25400</xdr:rowOff>
    </xdr:from>
    <xdr:to>
      <xdr:col>11</xdr:col>
      <xdr:colOff>571500</xdr:colOff>
      <xdr:row>819</xdr:row>
      <xdr:rowOff>0</xdr:rowOff>
    </xdr:to>
    <xdr:pic>
      <xdr:nvPicPr>
        <xdr:cNvPr id="9695" name="Рисунок 9694">
          <a:extLst>
            <a:ext uri="{FF2B5EF4-FFF2-40B4-BE49-F238E27FC236}">
              <a16:creationId xmlns:a16="http://schemas.microsoft.com/office/drawing/2014/main" id="{6C787375-9006-46F5-9D82-497BBA3097C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8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464378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819</xdr:row>
      <xdr:rowOff>25400</xdr:rowOff>
    </xdr:from>
    <xdr:to>
      <xdr:col>11</xdr:col>
      <xdr:colOff>571500</xdr:colOff>
      <xdr:row>820</xdr:row>
      <xdr:rowOff>0</xdr:rowOff>
    </xdr:to>
    <xdr:pic>
      <xdr:nvPicPr>
        <xdr:cNvPr id="9697" name="Рисунок 9696">
          <a:extLst>
            <a:ext uri="{FF2B5EF4-FFF2-40B4-BE49-F238E27FC236}">
              <a16:creationId xmlns:a16="http://schemas.microsoft.com/office/drawing/2014/main" id="{F21B7F12-D48E-4B4C-9671-9989FABC5D7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8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464950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820</xdr:row>
      <xdr:rowOff>25400</xdr:rowOff>
    </xdr:from>
    <xdr:to>
      <xdr:col>11</xdr:col>
      <xdr:colOff>571500</xdr:colOff>
      <xdr:row>821</xdr:row>
      <xdr:rowOff>0</xdr:rowOff>
    </xdr:to>
    <xdr:pic>
      <xdr:nvPicPr>
        <xdr:cNvPr id="9699" name="Рисунок 9698">
          <a:extLst>
            <a:ext uri="{FF2B5EF4-FFF2-40B4-BE49-F238E27FC236}">
              <a16:creationId xmlns:a16="http://schemas.microsoft.com/office/drawing/2014/main" id="{DAB0B6D1-893A-40C1-9A33-7C68950F7DD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8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465521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821</xdr:row>
      <xdr:rowOff>25400</xdr:rowOff>
    </xdr:from>
    <xdr:to>
      <xdr:col>11</xdr:col>
      <xdr:colOff>571500</xdr:colOff>
      <xdr:row>822</xdr:row>
      <xdr:rowOff>0</xdr:rowOff>
    </xdr:to>
    <xdr:pic>
      <xdr:nvPicPr>
        <xdr:cNvPr id="9701" name="Рисунок 9700">
          <a:extLst>
            <a:ext uri="{FF2B5EF4-FFF2-40B4-BE49-F238E27FC236}">
              <a16:creationId xmlns:a16="http://schemas.microsoft.com/office/drawing/2014/main" id="{D2BCB629-BA9D-4EC5-88D5-023FAE370B0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8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466093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822</xdr:row>
      <xdr:rowOff>25400</xdr:rowOff>
    </xdr:from>
    <xdr:to>
      <xdr:col>11</xdr:col>
      <xdr:colOff>571500</xdr:colOff>
      <xdr:row>823</xdr:row>
      <xdr:rowOff>0</xdr:rowOff>
    </xdr:to>
    <xdr:pic>
      <xdr:nvPicPr>
        <xdr:cNvPr id="9703" name="Рисунок 9702">
          <a:extLst>
            <a:ext uri="{FF2B5EF4-FFF2-40B4-BE49-F238E27FC236}">
              <a16:creationId xmlns:a16="http://schemas.microsoft.com/office/drawing/2014/main" id="{9611FB57-3484-4039-8C1C-7CF10FB01CB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8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466664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823</xdr:row>
      <xdr:rowOff>25400</xdr:rowOff>
    </xdr:from>
    <xdr:to>
      <xdr:col>11</xdr:col>
      <xdr:colOff>571500</xdr:colOff>
      <xdr:row>824</xdr:row>
      <xdr:rowOff>0</xdr:rowOff>
    </xdr:to>
    <xdr:pic>
      <xdr:nvPicPr>
        <xdr:cNvPr id="9705" name="Рисунок 9704">
          <a:extLst>
            <a:ext uri="{FF2B5EF4-FFF2-40B4-BE49-F238E27FC236}">
              <a16:creationId xmlns:a16="http://schemas.microsoft.com/office/drawing/2014/main" id="{56191676-45CF-4EF1-972E-EF077546FBA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8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467236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824</xdr:row>
      <xdr:rowOff>25400</xdr:rowOff>
    </xdr:from>
    <xdr:to>
      <xdr:col>11</xdr:col>
      <xdr:colOff>571500</xdr:colOff>
      <xdr:row>825</xdr:row>
      <xdr:rowOff>0</xdr:rowOff>
    </xdr:to>
    <xdr:pic>
      <xdr:nvPicPr>
        <xdr:cNvPr id="9707" name="Рисунок 9706">
          <a:extLst>
            <a:ext uri="{FF2B5EF4-FFF2-40B4-BE49-F238E27FC236}">
              <a16:creationId xmlns:a16="http://schemas.microsoft.com/office/drawing/2014/main" id="{1FF04E44-04C6-4E76-8400-DBFDE718E3E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8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467807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825</xdr:row>
      <xdr:rowOff>25400</xdr:rowOff>
    </xdr:from>
    <xdr:to>
      <xdr:col>11</xdr:col>
      <xdr:colOff>571500</xdr:colOff>
      <xdr:row>826</xdr:row>
      <xdr:rowOff>0</xdr:rowOff>
    </xdr:to>
    <xdr:pic>
      <xdr:nvPicPr>
        <xdr:cNvPr id="9709" name="Рисунок 9708">
          <a:extLst>
            <a:ext uri="{FF2B5EF4-FFF2-40B4-BE49-F238E27FC236}">
              <a16:creationId xmlns:a16="http://schemas.microsoft.com/office/drawing/2014/main" id="{B0932B5C-4E24-415E-8148-0E7A757A589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8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468379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826</xdr:row>
      <xdr:rowOff>25400</xdr:rowOff>
    </xdr:from>
    <xdr:to>
      <xdr:col>11</xdr:col>
      <xdr:colOff>571500</xdr:colOff>
      <xdr:row>827</xdr:row>
      <xdr:rowOff>0</xdr:rowOff>
    </xdr:to>
    <xdr:pic>
      <xdr:nvPicPr>
        <xdr:cNvPr id="9711" name="Рисунок 9710">
          <a:extLst>
            <a:ext uri="{FF2B5EF4-FFF2-40B4-BE49-F238E27FC236}">
              <a16:creationId xmlns:a16="http://schemas.microsoft.com/office/drawing/2014/main" id="{D38D36F5-4DF2-445D-90A9-962C561BFF1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8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468950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827</xdr:row>
      <xdr:rowOff>25400</xdr:rowOff>
    </xdr:from>
    <xdr:to>
      <xdr:col>11</xdr:col>
      <xdr:colOff>571500</xdr:colOff>
      <xdr:row>828</xdr:row>
      <xdr:rowOff>0</xdr:rowOff>
    </xdr:to>
    <xdr:pic>
      <xdr:nvPicPr>
        <xdr:cNvPr id="9713" name="Рисунок 9712">
          <a:extLst>
            <a:ext uri="{FF2B5EF4-FFF2-40B4-BE49-F238E27FC236}">
              <a16:creationId xmlns:a16="http://schemas.microsoft.com/office/drawing/2014/main" id="{EC47AC2F-BD5D-4742-8826-5A6A7AAD4CC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9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469522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828</xdr:row>
      <xdr:rowOff>25400</xdr:rowOff>
    </xdr:from>
    <xdr:to>
      <xdr:col>11</xdr:col>
      <xdr:colOff>571500</xdr:colOff>
      <xdr:row>829</xdr:row>
      <xdr:rowOff>0</xdr:rowOff>
    </xdr:to>
    <xdr:pic>
      <xdr:nvPicPr>
        <xdr:cNvPr id="9715" name="Рисунок 9714">
          <a:extLst>
            <a:ext uri="{FF2B5EF4-FFF2-40B4-BE49-F238E27FC236}">
              <a16:creationId xmlns:a16="http://schemas.microsoft.com/office/drawing/2014/main" id="{14AFCEAA-C13D-4CB9-930B-AC9245B81C3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9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470093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829</xdr:row>
      <xdr:rowOff>25400</xdr:rowOff>
    </xdr:from>
    <xdr:to>
      <xdr:col>11</xdr:col>
      <xdr:colOff>571500</xdr:colOff>
      <xdr:row>830</xdr:row>
      <xdr:rowOff>0</xdr:rowOff>
    </xdr:to>
    <xdr:pic>
      <xdr:nvPicPr>
        <xdr:cNvPr id="9717" name="Рисунок 9716">
          <a:extLst>
            <a:ext uri="{FF2B5EF4-FFF2-40B4-BE49-F238E27FC236}">
              <a16:creationId xmlns:a16="http://schemas.microsoft.com/office/drawing/2014/main" id="{58F2A8D4-7A96-4FA4-B72A-0E1909BE31C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9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470665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830</xdr:row>
      <xdr:rowOff>25400</xdr:rowOff>
    </xdr:from>
    <xdr:to>
      <xdr:col>11</xdr:col>
      <xdr:colOff>571500</xdr:colOff>
      <xdr:row>831</xdr:row>
      <xdr:rowOff>0</xdr:rowOff>
    </xdr:to>
    <xdr:pic>
      <xdr:nvPicPr>
        <xdr:cNvPr id="9719" name="Рисунок 9718">
          <a:extLst>
            <a:ext uri="{FF2B5EF4-FFF2-40B4-BE49-F238E27FC236}">
              <a16:creationId xmlns:a16="http://schemas.microsoft.com/office/drawing/2014/main" id="{DE6D55B6-A5E8-4FB1-930E-EC9E4F28C8E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9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471236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831</xdr:row>
      <xdr:rowOff>25400</xdr:rowOff>
    </xdr:from>
    <xdr:to>
      <xdr:col>11</xdr:col>
      <xdr:colOff>571500</xdr:colOff>
      <xdr:row>832</xdr:row>
      <xdr:rowOff>0</xdr:rowOff>
    </xdr:to>
    <xdr:pic>
      <xdr:nvPicPr>
        <xdr:cNvPr id="9721" name="Рисунок 9720">
          <a:extLst>
            <a:ext uri="{FF2B5EF4-FFF2-40B4-BE49-F238E27FC236}">
              <a16:creationId xmlns:a16="http://schemas.microsoft.com/office/drawing/2014/main" id="{0BAA8844-5AA9-4653-8A93-2DA28B81B2A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9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471808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832</xdr:row>
      <xdr:rowOff>25400</xdr:rowOff>
    </xdr:from>
    <xdr:to>
      <xdr:col>11</xdr:col>
      <xdr:colOff>571500</xdr:colOff>
      <xdr:row>833</xdr:row>
      <xdr:rowOff>0</xdr:rowOff>
    </xdr:to>
    <xdr:pic>
      <xdr:nvPicPr>
        <xdr:cNvPr id="9723" name="Рисунок 9722">
          <a:extLst>
            <a:ext uri="{FF2B5EF4-FFF2-40B4-BE49-F238E27FC236}">
              <a16:creationId xmlns:a16="http://schemas.microsoft.com/office/drawing/2014/main" id="{6BA1BEAF-DE3D-494B-8442-6D476BB13AD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9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472379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833</xdr:row>
      <xdr:rowOff>25400</xdr:rowOff>
    </xdr:from>
    <xdr:to>
      <xdr:col>11</xdr:col>
      <xdr:colOff>571500</xdr:colOff>
      <xdr:row>834</xdr:row>
      <xdr:rowOff>0</xdr:rowOff>
    </xdr:to>
    <xdr:pic>
      <xdr:nvPicPr>
        <xdr:cNvPr id="9725" name="Рисунок 9724">
          <a:extLst>
            <a:ext uri="{FF2B5EF4-FFF2-40B4-BE49-F238E27FC236}">
              <a16:creationId xmlns:a16="http://schemas.microsoft.com/office/drawing/2014/main" id="{750E358E-D5F5-4980-8AF5-02C5BF6A7AC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9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472951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834</xdr:row>
      <xdr:rowOff>25400</xdr:rowOff>
    </xdr:from>
    <xdr:to>
      <xdr:col>11</xdr:col>
      <xdr:colOff>571500</xdr:colOff>
      <xdr:row>835</xdr:row>
      <xdr:rowOff>0</xdr:rowOff>
    </xdr:to>
    <xdr:pic>
      <xdr:nvPicPr>
        <xdr:cNvPr id="9727" name="Рисунок 9726">
          <a:extLst>
            <a:ext uri="{FF2B5EF4-FFF2-40B4-BE49-F238E27FC236}">
              <a16:creationId xmlns:a16="http://schemas.microsoft.com/office/drawing/2014/main" id="{0DAA43CC-E90B-4078-B139-E2E419F484F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9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473522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835</xdr:row>
      <xdr:rowOff>25400</xdr:rowOff>
    </xdr:from>
    <xdr:to>
      <xdr:col>11</xdr:col>
      <xdr:colOff>571500</xdr:colOff>
      <xdr:row>836</xdr:row>
      <xdr:rowOff>0</xdr:rowOff>
    </xdr:to>
    <xdr:pic>
      <xdr:nvPicPr>
        <xdr:cNvPr id="9729" name="Рисунок 9728">
          <a:extLst>
            <a:ext uri="{FF2B5EF4-FFF2-40B4-BE49-F238E27FC236}">
              <a16:creationId xmlns:a16="http://schemas.microsoft.com/office/drawing/2014/main" id="{2F4F84DA-741A-426D-A0BA-6767DE4C0CA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9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474094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836</xdr:row>
      <xdr:rowOff>25400</xdr:rowOff>
    </xdr:from>
    <xdr:to>
      <xdr:col>11</xdr:col>
      <xdr:colOff>571500</xdr:colOff>
      <xdr:row>837</xdr:row>
      <xdr:rowOff>0</xdr:rowOff>
    </xdr:to>
    <xdr:pic>
      <xdr:nvPicPr>
        <xdr:cNvPr id="9731" name="Рисунок 9730">
          <a:extLst>
            <a:ext uri="{FF2B5EF4-FFF2-40B4-BE49-F238E27FC236}">
              <a16:creationId xmlns:a16="http://schemas.microsoft.com/office/drawing/2014/main" id="{7D5102ED-0083-49ED-808E-8EE5D3F0C5A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79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474665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837</xdr:row>
      <xdr:rowOff>25400</xdr:rowOff>
    </xdr:from>
    <xdr:to>
      <xdr:col>11</xdr:col>
      <xdr:colOff>571500</xdr:colOff>
      <xdr:row>838</xdr:row>
      <xdr:rowOff>0</xdr:rowOff>
    </xdr:to>
    <xdr:pic>
      <xdr:nvPicPr>
        <xdr:cNvPr id="9733" name="Рисунок 9732">
          <a:extLst>
            <a:ext uri="{FF2B5EF4-FFF2-40B4-BE49-F238E27FC236}">
              <a16:creationId xmlns:a16="http://schemas.microsoft.com/office/drawing/2014/main" id="{118CF4AE-341C-499D-87A8-61F99ACAD4B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0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475237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838</xdr:row>
      <xdr:rowOff>25400</xdr:rowOff>
    </xdr:from>
    <xdr:to>
      <xdr:col>11</xdr:col>
      <xdr:colOff>571500</xdr:colOff>
      <xdr:row>839</xdr:row>
      <xdr:rowOff>0</xdr:rowOff>
    </xdr:to>
    <xdr:pic>
      <xdr:nvPicPr>
        <xdr:cNvPr id="9735" name="Рисунок 9734">
          <a:extLst>
            <a:ext uri="{FF2B5EF4-FFF2-40B4-BE49-F238E27FC236}">
              <a16:creationId xmlns:a16="http://schemas.microsoft.com/office/drawing/2014/main" id="{69291ADA-751A-4BA8-9FA1-F989F6AAA00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0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475808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839</xdr:row>
      <xdr:rowOff>25400</xdr:rowOff>
    </xdr:from>
    <xdr:to>
      <xdr:col>11</xdr:col>
      <xdr:colOff>571500</xdr:colOff>
      <xdr:row>840</xdr:row>
      <xdr:rowOff>0</xdr:rowOff>
    </xdr:to>
    <xdr:pic>
      <xdr:nvPicPr>
        <xdr:cNvPr id="9737" name="Рисунок 9736">
          <a:extLst>
            <a:ext uri="{FF2B5EF4-FFF2-40B4-BE49-F238E27FC236}">
              <a16:creationId xmlns:a16="http://schemas.microsoft.com/office/drawing/2014/main" id="{DA923F7A-D37F-44A2-ACBD-0ACE5B52313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0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476380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840</xdr:row>
      <xdr:rowOff>25400</xdr:rowOff>
    </xdr:from>
    <xdr:to>
      <xdr:col>11</xdr:col>
      <xdr:colOff>571500</xdr:colOff>
      <xdr:row>841</xdr:row>
      <xdr:rowOff>0</xdr:rowOff>
    </xdr:to>
    <xdr:pic>
      <xdr:nvPicPr>
        <xdr:cNvPr id="9739" name="Рисунок 9738">
          <a:extLst>
            <a:ext uri="{FF2B5EF4-FFF2-40B4-BE49-F238E27FC236}">
              <a16:creationId xmlns:a16="http://schemas.microsoft.com/office/drawing/2014/main" id="{B06BABA9-DA5B-4DD0-BB74-D2D76252312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0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476951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841</xdr:row>
      <xdr:rowOff>25400</xdr:rowOff>
    </xdr:from>
    <xdr:to>
      <xdr:col>11</xdr:col>
      <xdr:colOff>571500</xdr:colOff>
      <xdr:row>842</xdr:row>
      <xdr:rowOff>0</xdr:rowOff>
    </xdr:to>
    <xdr:pic>
      <xdr:nvPicPr>
        <xdr:cNvPr id="9741" name="Рисунок 9740">
          <a:extLst>
            <a:ext uri="{FF2B5EF4-FFF2-40B4-BE49-F238E27FC236}">
              <a16:creationId xmlns:a16="http://schemas.microsoft.com/office/drawing/2014/main" id="{C48D94E3-6BDC-46D9-9E20-08B0FEB418A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0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477523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842</xdr:row>
      <xdr:rowOff>25400</xdr:rowOff>
    </xdr:from>
    <xdr:to>
      <xdr:col>11</xdr:col>
      <xdr:colOff>571500</xdr:colOff>
      <xdr:row>843</xdr:row>
      <xdr:rowOff>0</xdr:rowOff>
    </xdr:to>
    <xdr:pic>
      <xdr:nvPicPr>
        <xdr:cNvPr id="9743" name="Рисунок 9742">
          <a:extLst>
            <a:ext uri="{FF2B5EF4-FFF2-40B4-BE49-F238E27FC236}">
              <a16:creationId xmlns:a16="http://schemas.microsoft.com/office/drawing/2014/main" id="{57948C87-4611-4FF8-9B83-750A2E2717C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0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478094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843</xdr:row>
      <xdr:rowOff>25400</xdr:rowOff>
    </xdr:from>
    <xdr:to>
      <xdr:col>11</xdr:col>
      <xdr:colOff>571500</xdr:colOff>
      <xdr:row>844</xdr:row>
      <xdr:rowOff>0</xdr:rowOff>
    </xdr:to>
    <xdr:pic>
      <xdr:nvPicPr>
        <xdr:cNvPr id="9745" name="Рисунок 9744">
          <a:extLst>
            <a:ext uri="{FF2B5EF4-FFF2-40B4-BE49-F238E27FC236}">
              <a16:creationId xmlns:a16="http://schemas.microsoft.com/office/drawing/2014/main" id="{1491E004-2F57-4214-81A9-E811CBA2513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0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478666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844</xdr:row>
      <xdr:rowOff>25400</xdr:rowOff>
    </xdr:from>
    <xdr:to>
      <xdr:col>11</xdr:col>
      <xdr:colOff>571500</xdr:colOff>
      <xdr:row>845</xdr:row>
      <xdr:rowOff>0</xdr:rowOff>
    </xdr:to>
    <xdr:pic>
      <xdr:nvPicPr>
        <xdr:cNvPr id="9747" name="Рисунок 9746">
          <a:extLst>
            <a:ext uri="{FF2B5EF4-FFF2-40B4-BE49-F238E27FC236}">
              <a16:creationId xmlns:a16="http://schemas.microsoft.com/office/drawing/2014/main" id="{57D3E724-C78B-4DBA-A57E-DE0966EBEFF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0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479237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845</xdr:row>
      <xdr:rowOff>25400</xdr:rowOff>
    </xdr:from>
    <xdr:to>
      <xdr:col>11</xdr:col>
      <xdr:colOff>571500</xdr:colOff>
      <xdr:row>846</xdr:row>
      <xdr:rowOff>0</xdr:rowOff>
    </xdr:to>
    <xdr:pic>
      <xdr:nvPicPr>
        <xdr:cNvPr id="9749" name="Рисунок 9748">
          <a:extLst>
            <a:ext uri="{FF2B5EF4-FFF2-40B4-BE49-F238E27FC236}">
              <a16:creationId xmlns:a16="http://schemas.microsoft.com/office/drawing/2014/main" id="{41E2A8F6-FCA8-4356-A3A2-AC7047FFB17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0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479809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846</xdr:row>
      <xdr:rowOff>25400</xdr:rowOff>
    </xdr:from>
    <xdr:to>
      <xdr:col>11</xdr:col>
      <xdr:colOff>571500</xdr:colOff>
      <xdr:row>847</xdr:row>
      <xdr:rowOff>0</xdr:rowOff>
    </xdr:to>
    <xdr:pic>
      <xdr:nvPicPr>
        <xdr:cNvPr id="9751" name="Рисунок 9750">
          <a:extLst>
            <a:ext uri="{FF2B5EF4-FFF2-40B4-BE49-F238E27FC236}">
              <a16:creationId xmlns:a16="http://schemas.microsoft.com/office/drawing/2014/main" id="{17E84F5D-F7FB-4B02-8BA3-8C3C0059AD5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0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480380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847</xdr:row>
      <xdr:rowOff>25400</xdr:rowOff>
    </xdr:from>
    <xdr:to>
      <xdr:col>11</xdr:col>
      <xdr:colOff>571500</xdr:colOff>
      <xdr:row>848</xdr:row>
      <xdr:rowOff>0</xdr:rowOff>
    </xdr:to>
    <xdr:pic>
      <xdr:nvPicPr>
        <xdr:cNvPr id="9753" name="Рисунок 9752">
          <a:extLst>
            <a:ext uri="{FF2B5EF4-FFF2-40B4-BE49-F238E27FC236}">
              <a16:creationId xmlns:a16="http://schemas.microsoft.com/office/drawing/2014/main" id="{F958185E-32E6-4EF3-994D-80EC0B442C6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480952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848</xdr:row>
      <xdr:rowOff>25400</xdr:rowOff>
    </xdr:from>
    <xdr:to>
      <xdr:col>11</xdr:col>
      <xdr:colOff>571500</xdr:colOff>
      <xdr:row>849</xdr:row>
      <xdr:rowOff>0</xdr:rowOff>
    </xdr:to>
    <xdr:pic>
      <xdr:nvPicPr>
        <xdr:cNvPr id="9755" name="Рисунок 9754">
          <a:extLst>
            <a:ext uri="{FF2B5EF4-FFF2-40B4-BE49-F238E27FC236}">
              <a16:creationId xmlns:a16="http://schemas.microsoft.com/office/drawing/2014/main" id="{0B254F9B-7745-4D59-84D0-F7D6AF8310E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481523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849</xdr:row>
      <xdr:rowOff>25400</xdr:rowOff>
    </xdr:from>
    <xdr:to>
      <xdr:col>11</xdr:col>
      <xdr:colOff>571500</xdr:colOff>
      <xdr:row>850</xdr:row>
      <xdr:rowOff>0</xdr:rowOff>
    </xdr:to>
    <xdr:pic>
      <xdr:nvPicPr>
        <xdr:cNvPr id="9757" name="Рисунок 9756">
          <a:extLst>
            <a:ext uri="{FF2B5EF4-FFF2-40B4-BE49-F238E27FC236}">
              <a16:creationId xmlns:a16="http://schemas.microsoft.com/office/drawing/2014/main" id="{274653D2-EF6A-4C92-B842-66B02894B48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482095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850</xdr:row>
      <xdr:rowOff>25400</xdr:rowOff>
    </xdr:from>
    <xdr:to>
      <xdr:col>11</xdr:col>
      <xdr:colOff>571500</xdr:colOff>
      <xdr:row>851</xdr:row>
      <xdr:rowOff>0</xdr:rowOff>
    </xdr:to>
    <xdr:pic>
      <xdr:nvPicPr>
        <xdr:cNvPr id="9759" name="Рисунок 9758">
          <a:extLst>
            <a:ext uri="{FF2B5EF4-FFF2-40B4-BE49-F238E27FC236}">
              <a16:creationId xmlns:a16="http://schemas.microsoft.com/office/drawing/2014/main" id="{23226EAA-F6C7-4AA5-8AA9-014735B8FD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482666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851</xdr:row>
      <xdr:rowOff>25400</xdr:rowOff>
    </xdr:from>
    <xdr:to>
      <xdr:col>11</xdr:col>
      <xdr:colOff>571500</xdr:colOff>
      <xdr:row>852</xdr:row>
      <xdr:rowOff>0</xdr:rowOff>
    </xdr:to>
    <xdr:pic>
      <xdr:nvPicPr>
        <xdr:cNvPr id="9761" name="Рисунок 9760">
          <a:extLst>
            <a:ext uri="{FF2B5EF4-FFF2-40B4-BE49-F238E27FC236}">
              <a16:creationId xmlns:a16="http://schemas.microsoft.com/office/drawing/2014/main" id="{173457EB-3CE8-46CC-A0A2-6F9ACCDD5E6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483238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852</xdr:row>
      <xdr:rowOff>25400</xdr:rowOff>
    </xdr:from>
    <xdr:to>
      <xdr:col>11</xdr:col>
      <xdr:colOff>571500</xdr:colOff>
      <xdr:row>853</xdr:row>
      <xdr:rowOff>0</xdr:rowOff>
    </xdr:to>
    <xdr:pic>
      <xdr:nvPicPr>
        <xdr:cNvPr id="9763" name="Рисунок 9762">
          <a:extLst>
            <a:ext uri="{FF2B5EF4-FFF2-40B4-BE49-F238E27FC236}">
              <a16:creationId xmlns:a16="http://schemas.microsoft.com/office/drawing/2014/main" id="{D3590951-F5FD-41E0-B587-918888F5C44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483809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853</xdr:row>
      <xdr:rowOff>25400</xdr:rowOff>
    </xdr:from>
    <xdr:to>
      <xdr:col>11</xdr:col>
      <xdr:colOff>571500</xdr:colOff>
      <xdr:row>854</xdr:row>
      <xdr:rowOff>0</xdr:rowOff>
    </xdr:to>
    <xdr:pic>
      <xdr:nvPicPr>
        <xdr:cNvPr id="9765" name="Рисунок 9764">
          <a:extLst>
            <a:ext uri="{FF2B5EF4-FFF2-40B4-BE49-F238E27FC236}">
              <a16:creationId xmlns:a16="http://schemas.microsoft.com/office/drawing/2014/main" id="{20F9B572-FAF2-4350-B37B-9146AC5714C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484381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854</xdr:row>
      <xdr:rowOff>25400</xdr:rowOff>
    </xdr:from>
    <xdr:to>
      <xdr:col>11</xdr:col>
      <xdr:colOff>571500</xdr:colOff>
      <xdr:row>855</xdr:row>
      <xdr:rowOff>0</xdr:rowOff>
    </xdr:to>
    <xdr:pic>
      <xdr:nvPicPr>
        <xdr:cNvPr id="9767" name="Рисунок 9766">
          <a:extLst>
            <a:ext uri="{FF2B5EF4-FFF2-40B4-BE49-F238E27FC236}">
              <a16:creationId xmlns:a16="http://schemas.microsoft.com/office/drawing/2014/main" id="{48ADF73B-BF18-461C-863A-860CCAA6506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484952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855</xdr:row>
      <xdr:rowOff>25400</xdr:rowOff>
    </xdr:from>
    <xdr:to>
      <xdr:col>11</xdr:col>
      <xdr:colOff>571500</xdr:colOff>
      <xdr:row>856</xdr:row>
      <xdr:rowOff>0</xdr:rowOff>
    </xdr:to>
    <xdr:pic>
      <xdr:nvPicPr>
        <xdr:cNvPr id="9769" name="Рисунок 9768">
          <a:extLst>
            <a:ext uri="{FF2B5EF4-FFF2-40B4-BE49-F238E27FC236}">
              <a16:creationId xmlns:a16="http://schemas.microsoft.com/office/drawing/2014/main" id="{23676057-AE49-403B-B830-C320F3791D2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485524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856</xdr:row>
      <xdr:rowOff>25400</xdr:rowOff>
    </xdr:from>
    <xdr:to>
      <xdr:col>11</xdr:col>
      <xdr:colOff>571500</xdr:colOff>
      <xdr:row>857</xdr:row>
      <xdr:rowOff>0</xdr:rowOff>
    </xdr:to>
    <xdr:pic>
      <xdr:nvPicPr>
        <xdr:cNvPr id="9771" name="Рисунок 9770">
          <a:extLst>
            <a:ext uri="{FF2B5EF4-FFF2-40B4-BE49-F238E27FC236}">
              <a16:creationId xmlns:a16="http://schemas.microsoft.com/office/drawing/2014/main" id="{D3D8EF5C-4280-4EBA-9C6D-755ADCAB1BE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486095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857</xdr:row>
      <xdr:rowOff>25400</xdr:rowOff>
    </xdr:from>
    <xdr:to>
      <xdr:col>11</xdr:col>
      <xdr:colOff>571500</xdr:colOff>
      <xdr:row>858</xdr:row>
      <xdr:rowOff>0</xdr:rowOff>
    </xdr:to>
    <xdr:pic>
      <xdr:nvPicPr>
        <xdr:cNvPr id="9773" name="Рисунок 9772">
          <a:extLst>
            <a:ext uri="{FF2B5EF4-FFF2-40B4-BE49-F238E27FC236}">
              <a16:creationId xmlns:a16="http://schemas.microsoft.com/office/drawing/2014/main" id="{85EC2E5E-ADE6-4C77-B050-1424D667611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486667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858</xdr:row>
      <xdr:rowOff>25400</xdr:rowOff>
    </xdr:from>
    <xdr:to>
      <xdr:col>11</xdr:col>
      <xdr:colOff>571500</xdr:colOff>
      <xdr:row>859</xdr:row>
      <xdr:rowOff>0</xdr:rowOff>
    </xdr:to>
    <xdr:pic>
      <xdr:nvPicPr>
        <xdr:cNvPr id="9775" name="Рисунок 9774">
          <a:extLst>
            <a:ext uri="{FF2B5EF4-FFF2-40B4-BE49-F238E27FC236}">
              <a16:creationId xmlns:a16="http://schemas.microsoft.com/office/drawing/2014/main" id="{811F1B44-E70C-413C-BEE1-A1272B6E453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487238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859</xdr:row>
      <xdr:rowOff>25400</xdr:rowOff>
    </xdr:from>
    <xdr:to>
      <xdr:col>11</xdr:col>
      <xdr:colOff>571500</xdr:colOff>
      <xdr:row>860</xdr:row>
      <xdr:rowOff>0</xdr:rowOff>
    </xdr:to>
    <xdr:pic>
      <xdr:nvPicPr>
        <xdr:cNvPr id="9777" name="Рисунок 9776">
          <a:extLst>
            <a:ext uri="{FF2B5EF4-FFF2-40B4-BE49-F238E27FC236}">
              <a16:creationId xmlns:a16="http://schemas.microsoft.com/office/drawing/2014/main" id="{FEF7F361-BA47-4793-8EEB-B6488C7455A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487810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860</xdr:row>
      <xdr:rowOff>25400</xdr:rowOff>
    </xdr:from>
    <xdr:to>
      <xdr:col>11</xdr:col>
      <xdr:colOff>571500</xdr:colOff>
      <xdr:row>861</xdr:row>
      <xdr:rowOff>0</xdr:rowOff>
    </xdr:to>
    <xdr:pic>
      <xdr:nvPicPr>
        <xdr:cNvPr id="9779" name="Рисунок 9778">
          <a:extLst>
            <a:ext uri="{FF2B5EF4-FFF2-40B4-BE49-F238E27FC236}">
              <a16:creationId xmlns:a16="http://schemas.microsoft.com/office/drawing/2014/main" id="{FD1024A3-A0B4-4631-B7DD-A4AF119DA42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488381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861</xdr:row>
      <xdr:rowOff>25400</xdr:rowOff>
    </xdr:from>
    <xdr:to>
      <xdr:col>11</xdr:col>
      <xdr:colOff>571500</xdr:colOff>
      <xdr:row>862</xdr:row>
      <xdr:rowOff>0</xdr:rowOff>
    </xdr:to>
    <xdr:pic>
      <xdr:nvPicPr>
        <xdr:cNvPr id="9781" name="Рисунок 9780">
          <a:extLst>
            <a:ext uri="{FF2B5EF4-FFF2-40B4-BE49-F238E27FC236}">
              <a16:creationId xmlns:a16="http://schemas.microsoft.com/office/drawing/2014/main" id="{DE98720C-F48A-448B-B77D-50408BE1439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488953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862</xdr:row>
      <xdr:rowOff>25400</xdr:rowOff>
    </xdr:from>
    <xdr:to>
      <xdr:col>11</xdr:col>
      <xdr:colOff>571500</xdr:colOff>
      <xdr:row>863</xdr:row>
      <xdr:rowOff>0</xdr:rowOff>
    </xdr:to>
    <xdr:pic>
      <xdr:nvPicPr>
        <xdr:cNvPr id="9783" name="Рисунок 9782">
          <a:extLst>
            <a:ext uri="{FF2B5EF4-FFF2-40B4-BE49-F238E27FC236}">
              <a16:creationId xmlns:a16="http://schemas.microsoft.com/office/drawing/2014/main" id="{3C91471B-6F8C-427F-9D61-9F42E0CA8B0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489524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863</xdr:row>
      <xdr:rowOff>25400</xdr:rowOff>
    </xdr:from>
    <xdr:to>
      <xdr:col>11</xdr:col>
      <xdr:colOff>571500</xdr:colOff>
      <xdr:row>864</xdr:row>
      <xdr:rowOff>0</xdr:rowOff>
    </xdr:to>
    <xdr:pic>
      <xdr:nvPicPr>
        <xdr:cNvPr id="9785" name="Рисунок 9784">
          <a:extLst>
            <a:ext uri="{FF2B5EF4-FFF2-40B4-BE49-F238E27FC236}">
              <a16:creationId xmlns:a16="http://schemas.microsoft.com/office/drawing/2014/main" id="{C7A9FEE2-7132-4094-9F32-2C8E1A110C7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490096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864</xdr:row>
      <xdr:rowOff>25400</xdr:rowOff>
    </xdr:from>
    <xdr:to>
      <xdr:col>11</xdr:col>
      <xdr:colOff>571500</xdr:colOff>
      <xdr:row>865</xdr:row>
      <xdr:rowOff>0</xdr:rowOff>
    </xdr:to>
    <xdr:pic>
      <xdr:nvPicPr>
        <xdr:cNvPr id="9787" name="Рисунок 9786">
          <a:extLst>
            <a:ext uri="{FF2B5EF4-FFF2-40B4-BE49-F238E27FC236}">
              <a16:creationId xmlns:a16="http://schemas.microsoft.com/office/drawing/2014/main" id="{981A5EDD-25F5-4D35-821F-AE57818F1D9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490667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865</xdr:row>
      <xdr:rowOff>25400</xdr:rowOff>
    </xdr:from>
    <xdr:to>
      <xdr:col>11</xdr:col>
      <xdr:colOff>571500</xdr:colOff>
      <xdr:row>866</xdr:row>
      <xdr:rowOff>0</xdr:rowOff>
    </xdr:to>
    <xdr:pic>
      <xdr:nvPicPr>
        <xdr:cNvPr id="9789" name="Рисунок 9788">
          <a:extLst>
            <a:ext uri="{FF2B5EF4-FFF2-40B4-BE49-F238E27FC236}">
              <a16:creationId xmlns:a16="http://schemas.microsoft.com/office/drawing/2014/main" id="{27E9C2D1-7938-4BB2-A8FE-A55F5F6560F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491239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866</xdr:row>
      <xdr:rowOff>25400</xdr:rowOff>
    </xdr:from>
    <xdr:to>
      <xdr:col>11</xdr:col>
      <xdr:colOff>571500</xdr:colOff>
      <xdr:row>867</xdr:row>
      <xdr:rowOff>0</xdr:rowOff>
    </xdr:to>
    <xdr:pic>
      <xdr:nvPicPr>
        <xdr:cNvPr id="9791" name="Рисунок 9790">
          <a:extLst>
            <a:ext uri="{FF2B5EF4-FFF2-40B4-BE49-F238E27FC236}">
              <a16:creationId xmlns:a16="http://schemas.microsoft.com/office/drawing/2014/main" id="{6EFCC1BB-8141-4B97-91C8-439259F1E58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491810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867</xdr:row>
      <xdr:rowOff>25400</xdr:rowOff>
    </xdr:from>
    <xdr:to>
      <xdr:col>11</xdr:col>
      <xdr:colOff>571500</xdr:colOff>
      <xdr:row>868</xdr:row>
      <xdr:rowOff>0</xdr:rowOff>
    </xdr:to>
    <xdr:pic>
      <xdr:nvPicPr>
        <xdr:cNvPr id="9793" name="Рисунок 9792">
          <a:extLst>
            <a:ext uri="{FF2B5EF4-FFF2-40B4-BE49-F238E27FC236}">
              <a16:creationId xmlns:a16="http://schemas.microsoft.com/office/drawing/2014/main" id="{9B0095B9-1931-4360-B975-28A29C52A46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492382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868</xdr:row>
      <xdr:rowOff>25400</xdr:rowOff>
    </xdr:from>
    <xdr:to>
      <xdr:col>11</xdr:col>
      <xdr:colOff>571500</xdr:colOff>
      <xdr:row>869</xdr:row>
      <xdr:rowOff>0</xdr:rowOff>
    </xdr:to>
    <xdr:pic>
      <xdr:nvPicPr>
        <xdr:cNvPr id="9795" name="Рисунок 9794">
          <a:extLst>
            <a:ext uri="{FF2B5EF4-FFF2-40B4-BE49-F238E27FC236}">
              <a16:creationId xmlns:a16="http://schemas.microsoft.com/office/drawing/2014/main" id="{4CAEBD3B-CC06-4CD4-A95A-6E655E68D23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3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492953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869</xdr:row>
      <xdr:rowOff>25400</xdr:rowOff>
    </xdr:from>
    <xdr:to>
      <xdr:col>11</xdr:col>
      <xdr:colOff>571500</xdr:colOff>
      <xdr:row>870</xdr:row>
      <xdr:rowOff>0</xdr:rowOff>
    </xdr:to>
    <xdr:pic>
      <xdr:nvPicPr>
        <xdr:cNvPr id="9797" name="Рисунок 9796">
          <a:extLst>
            <a:ext uri="{FF2B5EF4-FFF2-40B4-BE49-F238E27FC236}">
              <a16:creationId xmlns:a16="http://schemas.microsoft.com/office/drawing/2014/main" id="{B3D24245-599E-4354-884C-BE2DF90DA44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3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493525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870</xdr:row>
      <xdr:rowOff>25400</xdr:rowOff>
    </xdr:from>
    <xdr:to>
      <xdr:col>11</xdr:col>
      <xdr:colOff>571500</xdr:colOff>
      <xdr:row>871</xdr:row>
      <xdr:rowOff>0</xdr:rowOff>
    </xdr:to>
    <xdr:pic>
      <xdr:nvPicPr>
        <xdr:cNvPr id="9799" name="Рисунок 9798">
          <a:extLst>
            <a:ext uri="{FF2B5EF4-FFF2-40B4-BE49-F238E27FC236}">
              <a16:creationId xmlns:a16="http://schemas.microsoft.com/office/drawing/2014/main" id="{BC307723-E916-4EDB-9FB3-011B4A52165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3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494096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871</xdr:row>
      <xdr:rowOff>25400</xdr:rowOff>
    </xdr:from>
    <xdr:to>
      <xdr:col>11</xdr:col>
      <xdr:colOff>571500</xdr:colOff>
      <xdr:row>872</xdr:row>
      <xdr:rowOff>0</xdr:rowOff>
    </xdr:to>
    <xdr:pic>
      <xdr:nvPicPr>
        <xdr:cNvPr id="9801" name="Рисунок 9800">
          <a:extLst>
            <a:ext uri="{FF2B5EF4-FFF2-40B4-BE49-F238E27FC236}">
              <a16:creationId xmlns:a16="http://schemas.microsoft.com/office/drawing/2014/main" id="{9510C9C4-D338-4AAE-97A4-49BD29953E4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3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494668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872</xdr:row>
      <xdr:rowOff>25400</xdr:rowOff>
    </xdr:from>
    <xdr:to>
      <xdr:col>11</xdr:col>
      <xdr:colOff>571500</xdr:colOff>
      <xdr:row>873</xdr:row>
      <xdr:rowOff>0</xdr:rowOff>
    </xdr:to>
    <xdr:pic>
      <xdr:nvPicPr>
        <xdr:cNvPr id="9803" name="Рисунок 9802">
          <a:extLst>
            <a:ext uri="{FF2B5EF4-FFF2-40B4-BE49-F238E27FC236}">
              <a16:creationId xmlns:a16="http://schemas.microsoft.com/office/drawing/2014/main" id="{8EF786A6-2852-45BA-978B-1A8945A6E10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3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495239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873</xdr:row>
      <xdr:rowOff>25400</xdr:rowOff>
    </xdr:from>
    <xdr:to>
      <xdr:col>11</xdr:col>
      <xdr:colOff>571500</xdr:colOff>
      <xdr:row>874</xdr:row>
      <xdr:rowOff>0</xdr:rowOff>
    </xdr:to>
    <xdr:pic>
      <xdr:nvPicPr>
        <xdr:cNvPr id="9805" name="Рисунок 9804">
          <a:extLst>
            <a:ext uri="{FF2B5EF4-FFF2-40B4-BE49-F238E27FC236}">
              <a16:creationId xmlns:a16="http://schemas.microsoft.com/office/drawing/2014/main" id="{DFCF8377-C056-4FD6-A3CA-100C51826E7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3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495811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874</xdr:row>
      <xdr:rowOff>25400</xdr:rowOff>
    </xdr:from>
    <xdr:to>
      <xdr:col>11</xdr:col>
      <xdr:colOff>571500</xdr:colOff>
      <xdr:row>875</xdr:row>
      <xdr:rowOff>0</xdr:rowOff>
    </xdr:to>
    <xdr:pic>
      <xdr:nvPicPr>
        <xdr:cNvPr id="9807" name="Рисунок 9806">
          <a:extLst>
            <a:ext uri="{FF2B5EF4-FFF2-40B4-BE49-F238E27FC236}">
              <a16:creationId xmlns:a16="http://schemas.microsoft.com/office/drawing/2014/main" id="{013814A1-6197-47B7-AEB4-908668F403C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3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496382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875</xdr:row>
      <xdr:rowOff>25400</xdr:rowOff>
    </xdr:from>
    <xdr:to>
      <xdr:col>11</xdr:col>
      <xdr:colOff>571500</xdr:colOff>
      <xdr:row>876</xdr:row>
      <xdr:rowOff>0</xdr:rowOff>
    </xdr:to>
    <xdr:pic>
      <xdr:nvPicPr>
        <xdr:cNvPr id="9809" name="Рисунок 9808">
          <a:extLst>
            <a:ext uri="{FF2B5EF4-FFF2-40B4-BE49-F238E27FC236}">
              <a16:creationId xmlns:a16="http://schemas.microsoft.com/office/drawing/2014/main" id="{43369A60-D024-4CE3-B473-A0CFF7B1FF3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3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496954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876</xdr:row>
      <xdr:rowOff>25400</xdr:rowOff>
    </xdr:from>
    <xdr:to>
      <xdr:col>11</xdr:col>
      <xdr:colOff>571500</xdr:colOff>
      <xdr:row>877</xdr:row>
      <xdr:rowOff>0</xdr:rowOff>
    </xdr:to>
    <xdr:pic>
      <xdr:nvPicPr>
        <xdr:cNvPr id="9811" name="Рисунок 9810">
          <a:extLst>
            <a:ext uri="{FF2B5EF4-FFF2-40B4-BE49-F238E27FC236}">
              <a16:creationId xmlns:a16="http://schemas.microsoft.com/office/drawing/2014/main" id="{30BA7BEB-8D97-45ED-BF5D-DADA26AF78B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3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497525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877</xdr:row>
      <xdr:rowOff>25400</xdr:rowOff>
    </xdr:from>
    <xdr:to>
      <xdr:col>11</xdr:col>
      <xdr:colOff>571500</xdr:colOff>
      <xdr:row>878</xdr:row>
      <xdr:rowOff>0</xdr:rowOff>
    </xdr:to>
    <xdr:pic>
      <xdr:nvPicPr>
        <xdr:cNvPr id="9813" name="Рисунок 9812">
          <a:extLst>
            <a:ext uri="{FF2B5EF4-FFF2-40B4-BE49-F238E27FC236}">
              <a16:creationId xmlns:a16="http://schemas.microsoft.com/office/drawing/2014/main" id="{A5FC7074-2DD6-4B8B-901A-3D739B0B362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4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498097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878</xdr:row>
      <xdr:rowOff>25400</xdr:rowOff>
    </xdr:from>
    <xdr:to>
      <xdr:col>11</xdr:col>
      <xdr:colOff>571500</xdr:colOff>
      <xdr:row>879</xdr:row>
      <xdr:rowOff>0</xdr:rowOff>
    </xdr:to>
    <xdr:pic>
      <xdr:nvPicPr>
        <xdr:cNvPr id="9815" name="Рисунок 9814">
          <a:extLst>
            <a:ext uri="{FF2B5EF4-FFF2-40B4-BE49-F238E27FC236}">
              <a16:creationId xmlns:a16="http://schemas.microsoft.com/office/drawing/2014/main" id="{CACD4329-9A8E-4A8F-932C-A25319DAD4F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4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498668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879</xdr:row>
      <xdr:rowOff>25400</xdr:rowOff>
    </xdr:from>
    <xdr:to>
      <xdr:col>11</xdr:col>
      <xdr:colOff>571500</xdr:colOff>
      <xdr:row>880</xdr:row>
      <xdr:rowOff>0</xdr:rowOff>
    </xdr:to>
    <xdr:pic>
      <xdr:nvPicPr>
        <xdr:cNvPr id="9817" name="Рисунок 9816">
          <a:extLst>
            <a:ext uri="{FF2B5EF4-FFF2-40B4-BE49-F238E27FC236}">
              <a16:creationId xmlns:a16="http://schemas.microsoft.com/office/drawing/2014/main" id="{19EB920E-FB9E-4958-9F73-3330E089CE3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499240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880</xdr:row>
      <xdr:rowOff>25400</xdr:rowOff>
    </xdr:from>
    <xdr:to>
      <xdr:col>11</xdr:col>
      <xdr:colOff>571500</xdr:colOff>
      <xdr:row>881</xdr:row>
      <xdr:rowOff>0</xdr:rowOff>
    </xdr:to>
    <xdr:pic>
      <xdr:nvPicPr>
        <xdr:cNvPr id="9819" name="Рисунок 9818">
          <a:extLst>
            <a:ext uri="{FF2B5EF4-FFF2-40B4-BE49-F238E27FC236}">
              <a16:creationId xmlns:a16="http://schemas.microsoft.com/office/drawing/2014/main" id="{C3931745-233C-4577-BEA0-9BB2E179B4D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499811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881</xdr:row>
      <xdr:rowOff>25400</xdr:rowOff>
    </xdr:from>
    <xdr:to>
      <xdr:col>11</xdr:col>
      <xdr:colOff>571500</xdr:colOff>
      <xdr:row>882</xdr:row>
      <xdr:rowOff>0</xdr:rowOff>
    </xdr:to>
    <xdr:pic>
      <xdr:nvPicPr>
        <xdr:cNvPr id="9821" name="Рисунок 9820">
          <a:extLst>
            <a:ext uri="{FF2B5EF4-FFF2-40B4-BE49-F238E27FC236}">
              <a16:creationId xmlns:a16="http://schemas.microsoft.com/office/drawing/2014/main" id="{C46AD0D4-343A-4041-B4EA-4C6432C3A4B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500383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882</xdr:row>
      <xdr:rowOff>25400</xdr:rowOff>
    </xdr:from>
    <xdr:to>
      <xdr:col>11</xdr:col>
      <xdr:colOff>571500</xdr:colOff>
      <xdr:row>883</xdr:row>
      <xdr:rowOff>0</xdr:rowOff>
    </xdr:to>
    <xdr:pic>
      <xdr:nvPicPr>
        <xdr:cNvPr id="9823" name="Рисунок 9822">
          <a:extLst>
            <a:ext uri="{FF2B5EF4-FFF2-40B4-BE49-F238E27FC236}">
              <a16:creationId xmlns:a16="http://schemas.microsoft.com/office/drawing/2014/main" id="{EE769A6A-23EF-48F7-978F-4975180C225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4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500954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883</xdr:row>
      <xdr:rowOff>25400</xdr:rowOff>
    </xdr:from>
    <xdr:to>
      <xdr:col>11</xdr:col>
      <xdr:colOff>571500</xdr:colOff>
      <xdr:row>884</xdr:row>
      <xdr:rowOff>0</xdr:rowOff>
    </xdr:to>
    <xdr:pic>
      <xdr:nvPicPr>
        <xdr:cNvPr id="9825" name="Рисунок 9824">
          <a:extLst>
            <a:ext uri="{FF2B5EF4-FFF2-40B4-BE49-F238E27FC236}">
              <a16:creationId xmlns:a16="http://schemas.microsoft.com/office/drawing/2014/main" id="{DA511B00-B7E0-45DA-A9CB-70A4F56270B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4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501526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884</xdr:row>
      <xdr:rowOff>25400</xdr:rowOff>
    </xdr:from>
    <xdr:to>
      <xdr:col>11</xdr:col>
      <xdr:colOff>571500</xdr:colOff>
      <xdr:row>885</xdr:row>
      <xdr:rowOff>0</xdr:rowOff>
    </xdr:to>
    <xdr:pic>
      <xdr:nvPicPr>
        <xdr:cNvPr id="9827" name="Рисунок 9826">
          <a:extLst>
            <a:ext uri="{FF2B5EF4-FFF2-40B4-BE49-F238E27FC236}">
              <a16:creationId xmlns:a16="http://schemas.microsoft.com/office/drawing/2014/main" id="{2BAEEDF1-6829-4839-B710-F9BE4928C88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4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502097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885</xdr:row>
      <xdr:rowOff>25400</xdr:rowOff>
    </xdr:from>
    <xdr:to>
      <xdr:col>11</xdr:col>
      <xdr:colOff>571500</xdr:colOff>
      <xdr:row>886</xdr:row>
      <xdr:rowOff>0</xdr:rowOff>
    </xdr:to>
    <xdr:pic>
      <xdr:nvPicPr>
        <xdr:cNvPr id="9829" name="Рисунок 9828">
          <a:extLst>
            <a:ext uri="{FF2B5EF4-FFF2-40B4-BE49-F238E27FC236}">
              <a16:creationId xmlns:a16="http://schemas.microsoft.com/office/drawing/2014/main" id="{95137747-2465-4229-BA93-0E6E612BCEB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4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502669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886</xdr:row>
      <xdr:rowOff>25400</xdr:rowOff>
    </xdr:from>
    <xdr:to>
      <xdr:col>11</xdr:col>
      <xdr:colOff>571500</xdr:colOff>
      <xdr:row>887</xdr:row>
      <xdr:rowOff>0</xdr:rowOff>
    </xdr:to>
    <xdr:pic>
      <xdr:nvPicPr>
        <xdr:cNvPr id="9831" name="Рисунок 9830">
          <a:extLst>
            <a:ext uri="{FF2B5EF4-FFF2-40B4-BE49-F238E27FC236}">
              <a16:creationId xmlns:a16="http://schemas.microsoft.com/office/drawing/2014/main" id="{7F3B1017-6549-4B51-A84B-D33700F8820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4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503240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887</xdr:row>
      <xdr:rowOff>25400</xdr:rowOff>
    </xdr:from>
    <xdr:to>
      <xdr:col>11</xdr:col>
      <xdr:colOff>571500</xdr:colOff>
      <xdr:row>888</xdr:row>
      <xdr:rowOff>0</xdr:rowOff>
    </xdr:to>
    <xdr:pic>
      <xdr:nvPicPr>
        <xdr:cNvPr id="9833" name="Рисунок 9832">
          <a:extLst>
            <a:ext uri="{FF2B5EF4-FFF2-40B4-BE49-F238E27FC236}">
              <a16:creationId xmlns:a16="http://schemas.microsoft.com/office/drawing/2014/main" id="{63AC1B0C-5EB5-4F51-9AF0-DE83B1A085C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5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503812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888</xdr:row>
      <xdr:rowOff>25400</xdr:rowOff>
    </xdr:from>
    <xdr:to>
      <xdr:col>11</xdr:col>
      <xdr:colOff>571500</xdr:colOff>
      <xdr:row>889</xdr:row>
      <xdr:rowOff>0</xdr:rowOff>
    </xdr:to>
    <xdr:pic>
      <xdr:nvPicPr>
        <xdr:cNvPr id="9835" name="Рисунок 9834">
          <a:extLst>
            <a:ext uri="{FF2B5EF4-FFF2-40B4-BE49-F238E27FC236}">
              <a16:creationId xmlns:a16="http://schemas.microsoft.com/office/drawing/2014/main" id="{400AB264-7E79-4BD2-822B-7BBEBE27865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5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504383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889</xdr:row>
      <xdr:rowOff>25400</xdr:rowOff>
    </xdr:from>
    <xdr:to>
      <xdr:col>11</xdr:col>
      <xdr:colOff>571500</xdr:colOff>
      <xdr:row>890</xdr:row>
      <xdr:rowOff>0</xdr:rowOff>
    </xdr:to>
    <xdr:pic>
      <xdr:nvPicPr>
        <xdr:cNvPr id="9837" name="Рисунок 9836">
          <a:extLst>
            <a:ext uri="{FF2B5EF4-FFF2-40B4-BE49-F238E27FC236}">
              <a16:creationId xmlns:a16="http://schemas.microsoft.com/office/drawing/2014/main" id="{C2DADF7F-FDE9-4EEC-BF2D-A76B4BBFB51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504955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890</xdr:row>
      <xdr:rowOff>25400</xdr:rowOff>
    </xdr:from>
    <xdr:to>
      <xdr:col>11</xdr:col>
      <xdr:colOff>571500</xdr:colOff>
      <xdr:row>891</xdr:row>
      <xdr:rowOff>0</xdr:rowOff>
    </xdr:to>
    <xdr:pic>
      <xdr:nvPicPr>
        <xdr:cNvPr id="9839" name="Рисунок 9838">
          <a:extLst>
            <a:ext uri="{FF2B5EF4-FFF2-40B4-BE49-F238E27FC236}">
              <a16:creationId xmlns:a16="http://schemas.microsoft.com/office/drawing/2014/main" id="{BD805FE7-79D6-42B8-A737-C147CAD0BD5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5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505526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891</xdr:row>
      <xdr:rowOff>25400</xdr:rowOff>
    </xdr:from>
    <xdr:to>
      <xdr:col>11</xdr:col>
      <xdr:colOff>571500</xdr:colOff>
      <xdr:row>892</xdr:row>
      <xdr:rowOff>0</xdr:rowOff>
    </xdr:to>
    <xdr:pic>
      <xdr:nvPicPr>
        <xdr:cNvPr id="9841" name="Рисунок 9840">
          <a:extLst>
            <a:ext uri="{FF2B5EF4-FFF2-40B4-BE49-F238E27FC236}">
              <a16:creationId xmlns:a16="http://schemas.microsoft.com/office/drawing/2014/main" id="{304404FB-3FEC-4FB8-87D4-5329885EE9A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5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506098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892</xdr:row>
      <xdr:rowOff>25400</xdr:rowOff>
    </xdr:from>
    <xdr:to>
      <xdr:col>11</xdr:col>
      <xdr:colOff>571500</xdr:colOff>
      <xdr:row>893</xdr:row>
      <xdr:rowOff>0</xdr:rowOff>
    </xdr:to>
    <xdr:pic>
      <xdr:nvPicPr>
        <xdr:cNvPr id="9843" name="Рисунок 9842">
          <a:extLst>
            <a:ext uri="{FF2B5EF4-FFF2-40B4-BE49-F238E27FC236}">
              <a16:creationId xmlns:a16="http://schemas.microsoft.com/office/drawing/2014/main" id="{37BA234A-8E42-4342-B5D9-0B4288B8EB8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5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506669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893</xdr:row>
      <xdr:rowOff>25400</xdr:rowOff>
    </xdr:from>
    <xdr:to>
      <xdr:col>11</xdr:col>
      <xdr:colOff>571500</xdr:colOff>
      <xdr:row>894</xdr:row>
      <xdr:rowOff>0</xdr:rowOff>
    </xdr:to>
    <xdr:pic>
      <xdr:nvPicPr>
        <xdr:cNvPr id="9845" name="Рисунок 9844">
          <a:extLst>
            <a:ext uri="{FF2B5EF4-FFF2-40B4-BE49-F238E27FC236}">
              <a16:creationId xmlns:a16="http://schemas.microsoft.com/office/drawing/2014/main" id="{D26864F8-8F51-4B3D-9FFA-CBA011BFBE7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5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507241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894</xdr:row>
      <xdr:rowOff>25400</xdr:rowOff>
    </xdr:from>
    <xdr:to>
      <xdr:col>11</xdr:col>
      <xdr:colOff>571500</xdr:colOff>
      <xdr:row>895</xdr:row>
      <xdr:rowOff>0</xdr:rowOff>
    </xdr:to>
    <xdr:pic>
      <xdr:nvPicPr>
        <xdr:cNvPr id="9847" name="Рисунок 9846">
          <a:extLst>
            <a:ext uri="{FF2B5EF4-FFF2-40B4-BE49-F238E27FC236}">
              <a16:creationId xmlns:a16="http://schemas.microsoft.com/office/drawing/2014/main" id="{C942CE9A-B9AC-4F59-90B1-C69BE9C83C4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5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507812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895</xdr:row>
      <xdr:rowOff>25400</xdr:rowOff>
    </xdr:from>
    <xdr:to>
      <xdr:col>11</xdr:col>
      <xdr:colOff>571500</xdr:colOff>
      <xdr:row>896</xdr:row>
      <xdr:rowOff>0</xdr:rowOff>
    </xdr:to>
    <xdr:pic>
      <xdr:nvPicPr>
        <xdr:cNvPr id="9849" name="Рисунок 9848">
          <a:extLst>
            <a:ext uri="{FF2B5EF4-FFF2-40B4-BE49-F238E27FC236}">
              <a16:creationId xmlns:a16="http://schemas.microsoft.com/office/drawing/2014/main" id="{AFC688BA-8762-4D69-A2C7-6AABE1F5147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5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508384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896</xdr:row>
      <xdr:rowOff>25400</xdr:rowOff>
    </xdr:from>
    <xdr:to>
      <xdr:col>11</xdr:col>
      <xdr:colOff>571500</xdr:colOff>
      <xdr:row>897</xdr:row>
      <xdr:rowOff>0</xdr:rowOff>
    </xdr:to>
    <xdr:pic>
      <xdr:nvPicPr>
        <xdr:cNvPr id="9851" name="Рисунок 9850">
          <a:extLst>
            <a:ext uri="{FF2B5EF4-FFF2-40B4-BE49-F238E27FC236}">
              <a16:creationId xmlns:a16="http://schemas.microsoft.com/office/drawing/2014/main" id="{938CD3B9-EF99-40B3-A33F-5DB9ACB82C3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5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508955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897</xdr:row>
      <xdr:rowOff>25400</xdr:rowOff>
    </xdr:from>
    <xdr:to>
      <xdr:col>11</xdr:col>
      <xdr:colOff>571500</xdr:colOff>
      <xdr:row>898</xdr:row>
      <xdr:rowOff>0</xdr:rowOff>
    </xdr:to>
    <xdr:pic>
      <xdr:nvPicPr>
        <xdr:cNvPr id="9853" name="Рисунок 9852">
          <a:extLst>
            <a:ext uri="{FF2B5EF4-FFF2-40B4-BE49-F238E27FC236}">
              <a16:creationId xmlns:a16="http://schemas.microsoft.com/office/drawing/2014/main" id="{A1ED786A-39F6-4B24-9945-E73E2750A70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6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509527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898</xdr:row>
      <xdr:rowOff>25400</xdr:rowOff>
    </xdr:from>
    <xdr:to>
      <xdr:col>11</xdr:col>
      <xdr:colOff>571500</xdr:colOff>
      <xdr:row>899</xdr:row>
      <xdr:rowOff>0</xdr:rowOff>
    </xdr:to>
    <xdr:pic>
      <xdr:nvPicPr>
        <xdr:cNvPr id="9855" name="Рисунок 9854">
          <a:extLst>
            <a:ext uri="{FF2B5EF4-FFF2-40B4-BE49-F238E27FC236}">
              <a16:creationId xmlns:a16="http://schemas.microsoft.com/office/drawing/2014/main" id="{D51D0FB7-CF7C-4675-BB2F-58B31E72923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6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510098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899</xdr:row>
      <xdr:rowOff>25400</xdr:rowOff>
    </xdr:from>
    <xdr:to>
      <xdr:col>11</xdr:col>
      <xdr:colOff>571500</xdr:colOff>
      <xdr:row>900</xdr:row>
      <xdr:rowOff>0</xdr:rowOff>
    </xdr:to>
    <xdr:pic>
      <xdr:nvPicPr>
        <xdr:cNvPr id="9857" name="Рисунок 9856">
          <a:extLst>
            <a:ext uri="{FF2B5EF4-FFF2-40B4-BE49-F238E27FC236}">
              <a16:creationId xmlns:a16="http://schemas.microsoft.com/office/drawing/2014/main" id="{782F86B4-FB7C-4FE2-8587-5167E32D8FE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6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510670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900</xdr:row>
      <xdr:rowOff>25400</xdr:rowOff>
    </xdr:from>
    <xdr:to>
      <xdr:col>11</xdr:col>
      <xdr:colOff>571500</xdr:colOff>
      <xdr:row>901</xdr:row>
      <xdr:rowOff>0</xdr:rowOff>
    </xdr:to>
    <xdr:pic>
      <xdr:nvPicPr>
        <xdr:cNvPr id="9859" name="Рисунок 9858">
          <a:extLst>
            <a:ext uri="{FF2B5EF4-FFF2-40B4-BE49-F238E27FC236}">
              <a16:creationId xmlns:a16="http://schemas.microsoft.com/office/drawing/2014/main" id="{2174590E-6A6A-441F-9142-F115D14EC28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6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511241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901</xdr:row>
      <xdr:rowOff>25400</xdr:rowOff>
    </xdr:from>
    <xdr:to>
      <xdr:col>11</xdr:col>
      <xdr:colOff>571500</xdr:colOff>
      <xdr:row>902</xdr:row>
      <xdr:rowOff>0</xdr:rowOff>
    </xdr:to>
    <xdr:pic>
      <xdr:nvPicPr>
        <xdr:cNvPr id="9861" name="Рисунок 9860">
          <a:extLst>
            <a:ext uri="{FF2B5EF4-FFF2-40B4-BE49-F238E27FC236}">
              <a16:creationId xmlns:a16="http://schemas.microsoft.com/office/drawing/2014/main" id="{8AF9C612-3CCC-466A-B46B-0052B717B4F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6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511813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902</xdr:row>
      <xdr:rowOff>25400</xdr:rowOff>
    </xdr:from>
    <xdr:to>
      <xdr:col>11</xdr:col>
      <xdr:colOff>571500</xdr:colOff>
      <xdr:row>903</xdr:row>
      <xdr:rowOff>0</xdr:rowOff>
    </xdr:to>
    <xdr:pic>
      <xdr:nvPicPr>
        <xdr:cNvPr id="9863" name="Рисунок 9862">
          <a:extLst>
            <a:ext uri="{FF2B5EF4-FFF2-40B4-BE49-F238E27FC236}">
              <a16:creationId xmlns:a16="http://schemas.microsoft.com/office/drawing/2014/main" id="{4D878AB8-B7C9-41FE-AC27-05A2E04A479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6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512384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903</xdr:row>
      <xdr:rowOff>25400</xdr:rowOff>
    </xdr:from>
    <xdr:to>
      <xdr:col>11</xdr:col>
      <xdr:colOff>571500</xdr:colOff>
      <xdr:row>904</xdr:row>
      <xdr:rowOff>0</xdr:rowOff>
    </xdr:to>
    <xdr:pic>
      <xdr:nvPicPr>
        <xdr:cNvPr id="9865" name="Рисунок 9864">
          <a:extLst>
            <a:ext uri="{FF2B5EF4-FFF2-40B4-BE49-F238E27FC236}">
              <a16:creationId xmlns:a16="http://schemas.microsoft.com/office/drawing/2014/main" id="{77A36C55-2FFA-4E83-810F-418BDE190C8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6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512956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904</xdr:row>
      <xdr:rowOff>25400</xdr:rowOff>
    </xdr:from>
    <xdr:to>
      <xdr:col>11</xdr:col>
      <xdr:colOff>571500</xdr:colOff>
      <xdr:row>905</xdr:row>
      <xdr:rowOff>0</xdr:rowOff>
    </xdr:to>
    <xdr:pic>
      <xdr:nvPicPr>
        <xdr:cNvPr id="9867" name="Рисунок 9866">
          <a:extLst>
            <a:ext uri="{FF2B5EF4-FFF2-40B4-BE49-F238E27FC236}">
              <a16:creationId xmlns:a16="http://schemas.microsoft.com/office/drawing/2014/main" id="{5484FD85-A92E-472C-8557-AF8C60F019F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6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513527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905</xdr:row>
      <xdr:rowOff>25400</xdr:rowOff>
    </xdr:from>
    <xdr:to>
      <xdr:col>11</xdr:col>
      <xdr:colOff>571500</xdr:colOff>
      <xdr:row>906</xdr:row>
      <xdr:rowOff>0</xdr:rowOff>
    </xdr:to>
    <xdr:pic>
      <xdr:nvPicPr>
        <xdr:cNvPr id="9869" name="Рисунок 9868">
          <a:extLst>
            <a:ext uri="{FF2B5EF4-FFF2-40B4-BE49-F238E27FC236}">
              <a16:creationId xmlns:a16="http://schemas.microsoft.com/office/drawing/2014/main" id="{62D40778-22DA-498F-A0C9-4868DE35FE0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6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514099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906</xdr:row>
      <xdr:rowOff>25400</xdr:rowOff>
    </xdr:from>
    <xdr:to>
      <xdr:col>11</xdr:col>
      <xdr:colOff>571500</xdr:colOff>
      <xdr:row>907</xdr:row>
      <xdr:rowOff>0</xdr:rowOff>
    </xdr:to>
    <xdr:pic>
      <xdr:nvPicPr>
        <xdr:cNvPr id="9871" name="Рисунок 9870">
          <a:extLst>
            <a:ext uri="{FF2B5EF4-FFF2-40B4-BE49-F238E27FC236}">
              <a16:creationId xmlns:a16="http://schemas.microsoft.com/office/drawing/2014/main" id="{2A4361E1-FD37-466C-B1DC-01A38DC8FD7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6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514670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907</xdr:row>
      <xdr:rowOff>25400</xdr:rowOff>
    </xdr:from>
    <xdr:to>
      <xdr:col>11</xdr:col>
      <xdr:colOff>571500</xdr:colOff>
      <xdr:row>908</xdr:row>
      <xdr:rowOff>0</xdr:rowOff>
    </xdr:to>
    <xdr:pic>
      <xdr:nvPicPr>
        <xdr:cNvPr id="9873" name="Рисунок 9872">
          <a:extLst>
            <a:ext uri="{FF2B5EF4-FFF2-40B4-BE49-F238E27FC236}">
              <a16:creationId xmlns:a16="http://schemas.microsoft.com/office/drawing/2014/main" id="{96EF8A33-9E63-4E5D-8FC4-541AF924690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7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515242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908</xdr:row>
      <xdr:rowOff>25400</xdr:rowOff>
    </xdr:from>
    <xdr:to>
      <xdr:col>11</xdr:col>
      <xdr:colOff>571500</xdr:colOff>
      <xdr:row>909</xdr:row>
      <xdr:rowOff>0</xdr:rowOff>
    </xdr:to>
    <xdr:pic>
      <xdr:nvPicPr>
        <xdr:cNvPr id="9875" name="Рисунок 9874">
          <a:extLst>
            <a:ext uri="{FF2B5EF4-FFF2-40B4-BE49-F238E27FC236}">
              <a16:creationId xmlns:a16="http://schemas.microsoft.com/office/drawing/2014/main" id="{552C761A-2372-41E1-A63E-CAA93A832AF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7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515813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909</xdr:row>
      <xdr:rowOff>25400</xdr:rowOff>
    </xdr:from>
    <xdr:to>
      <xdr:col>11</xdr:col>
      <xdr:colOff>571500</xdr:colOff>
      <xdr:row>910</xdr:row>
      <xdr:rowOff>0</xdr:rowOff>
    </xdr:to>
    <xdr:pic>
      <xdr:nvPicPr>
        <xdr:cNvPr id="9877" name="Рисунок 9876">
          <a:extLst>
            <a:ext uri="{FF2B5EF4-FFF2-40B4-BE49-F238E27FC236}">
              <a16:creationId xmlns:a16="http://schemas.microsoft.com/office/drawing/2014/main" id="{3798FF41-7D5E-48F0-A570-6725A86E8E9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7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516385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910</xdr:row>
      <xdr:rowOff>25400</xdr:rowOff>
    </xdr:from>
    <xdr:to>
      <xdr:col>11</xdr:col>
      <xdr:colOff>571500</xdr:colOff>
      <xdr:row>911</xdr:row>
      <xdr:rowOff>0</xdr:rowOff>
    </xdr:to>
    <xdr:pic>
      <xdr:nvPicPr>
        <xdr:cNvPr id="9879" name="Рисунок 9878">
          <a:extLst>
            <a:ext uri="{FF2B5EF4-FFF2-40B4-BE49-F238E27FC236}">
              <a16:creationId xmlns:a16="http://schemas.microsoft.com/office/drawing/2014/main" id="{514FC741-0E1B-4DAD-B74D-2F7395ADD03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7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516956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911</xdr:row>
      <xdr:rowOff>25400</xdr:rowOff>
    </xdr:from>
    <xdr:to>
      <xdr:col>11</xdr:col>
      <xdr:colOff>571500</xdr:colOff>
      <xdr:row>912</xdr:row>
      <xdr:rowOff>0</xdr:rowOff>
    </xdr:to>
    <xdr:pic>
      <xdr:nvPicPr>
        <xdr:cNvPr id="9881" name="Рисунок 9880">
          <a:extLst>
            <a:ext uri="{FF2B5EF4-FFF2-40B4-BE49-F238E27FC236}">
              <a16:creationId xmlns:a16="http://schemas.microsoft.com/office/drawing/2014/main" id="{0E76DF29-CCBF-4051-91B1-36EFEDDDA31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7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517528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912</xdr:row>
      <xdr:rowOff>25400</xdr:rowOff>
    </xdr:from>
    <xdr:to>
      <xdr:col>11</xdr:col>
      <xdr:colOff>571500</xdr:colOff>
      <xdr:row>913</xdr:row>
      <xdr:rowOff>0</xdr:rowOff>
    </xdr:to>
    <xdr:pic>
      <xdr:nvPicPr>
        <xdr:cNvPr id="9883" name="Рисунок 9882">
          <a:extLst>
            <a:ext uri="{FF2B5EF4-FFF2-40B4-BE49-F238E27FC236}">
              <a16:creationId xmlns:a16="http://schemas.microsoft.com/office/drawing/2014/main" id="{AA231CC6-249F-44EC-879E-CDC309D04D7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7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518099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913</xdr:row>
      <xdr:rowOff>25400</xdr:rowOff>
    </xdr:from>
    <xdr:to>
      <xdr:col>11</xdr:col>
      <xdr:colOff>571500</xdr:colOff>
      <xdr:row>914</xdr:row>
      <xdr:rowOff>0</xdr:rowOff>
    </xdr:to>
    <xdr:pic>
      <xdr:nvPicPr>
        <xdr:cNvPr id="9885" name="Рисунок 9884">
          <a:extLst>
            <a:ext uri="{FF2B5EF4-FFF2-40B4-BE49-F238E27FC236}">
              <a16:creationId xmlns:a16="http://schemas.microsoft.com/office/drawing/2014/main" id="{7C791203-C4D7-4F4B-AC39-83E0708FE52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7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518671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914</xdr:row>
      <xdr:rowOff>25400</xdr:rowOff>
    </xdr:from>
    <xdr:to>
      <xdr:col>11</xdr:col>
      <xdr:colOff>571500</xdr:colOff>
      <xdr:row>915</xdr:row>
      <xdr:rowOff>0</xdr:rowOff>
    </xdr:to>
    <xdr:pic>
      <xdr:nvPicPr>
        <xdr:cNvPr id="9887" name="Рисунок 9886">
          <a:extLst>
            <a:ext uri="{FF2B5EF4-FFF2-40B4-BE49-F238E27FC236}">
              <a16:creationId xmlns:a16="http://schemas.microsoft.com/office/drawing/2014/main" id="{1D34BF61-97F3-4817-9DE3-561276188FB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7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519242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915</xdr:row>
      <xdr:rowOff>25400</xdr:rowOff>
    </xdr:from>
    <xdr:to>
      <xdr:col>11</xdr:col>
      <xdr:colOff>571500</xdr:colOff>
      <xdr:row>916</xdr:row>
      <xdr:rowOff>0</xdr:rowOff>
    </xdr:to>
    <xdr:pic>
      <xdr:nvPicPr>
        <xdr:cNvPr id="9889" name="Рисунок 9888">
          <a:extLst>
            <a:ext uri="{FF2B5EF4-FFF2-40B4-BE49-F238E27FC236}">
              <a16:creationId xmlns:a16="http://schemas.microsoft.com/office/drawing/2014/main" id="{1B9A7B28-632B-49BB-A39D-0073EC00A25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7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519814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916</xdr:row>
      <xdr:rowOff>25400</xdr:rowOff>
    </xdr:from>
    <xdr:to>
      <xdr:col>11</xdr:col>
      <xdr:colOff>571500</xdr:colOff>
      <xdr:row>917</xdr:row>
      <xdr:rowOff>0</xdr:rowOff>
    </xdr:to>
    <xdr:pic>
      <xdr:nvPicPr>
        <xdr:cNvPr id="9891" name="Рисунок 9890">
          <a:extLst>
            <a:ext uri="{FF2B5EF4-FFF2-40B4-BE49-F238E27FC236}">
              <a16:creationId xmlns:a16="http://schemas.microsoft.com/office/drawing/2014/main" id="{CA0ED38C-C8D8-4DB1-910A-714F4415F1B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7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520385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917</xdr:row>
      <xdr:rowOff>25400</xdr:rowOff>
    </xdr:from>
    <xdr:to>
      <xdr:col>11</xdr:col>
      <xdr:colOff>571500</xdr:colOff>
      <xdr:row>918</xdr:row>
      <xdr:rowOff>0</xdr:rowOff>
    </xdr:to>
    <xdr:pic>
      <xdr:nvPicPr>
        <xdr:cNvPr id="9893" name="Рисунок 9892">
          <a:extLst>
            <a:ext uri="{FF2B5EF4-FFF2-40B4-BE49-F238E27FC236}">
              <a16:creationId xmlns:a16="http://schemas.microsoft.com/office/drawing/2014/main" id="{61707CCD-EB42-4EA3-9B27-53DF5100D54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8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520957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918</xdr:row>
      <xdr:rowOff>25400</xdr:rowOff>
    </xdr:from>
    <xdr:to>
      <xdr:col>11</xdr:col>
      <xdr:colOff>571500</xdr:colOff>
      <xdr:row>919</xdr:row>
      <xdr:rowOff>0</xdr:rowOff>
    </xdr:to>
    <xdr:pic>
      <xdr:nvPicPr>
        <xdr:cNvPr id="9895" name="Рисунок 9894">
          <a:extLst>
            <a:ext uri="{FF2B5EF4-FFF2-40B4-BE49-F238E27FC236}">
              <a16:creationId xmlns:a16="http://schemas.microsoft.com/office/drawing/2014/main" id="{CFD08940-7C86-4C8C-9FAD-03E54324F69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8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521528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919</xdr:row>
      <xdr:rowOff>25400</xdr:rowOff>
    </xdr:from>
    <xdr:to>
      <xdr:col>11</xdr:col>
      <xdr:colOff>571500</xdr:colOff>
      <xdr:row>920</xdr:row>
      <xdr:rowOff>0</xdr:rowOff>
    </xdr:to>
    <xdr:pic>
      <xdr:nvPicPr>
        <xdr:cNvPr id="9897" name="Рисунок 9896">
          <a:extLst>
            <a:ext uri="{FF2B5EF4-FFF2-40B4-BE49-F238E27FC236}">
              <a16:creationId xmlns:a16="http://schemas.microsoft.com/office/drawing/2014/main" id="{9322B9FF-D2C9-4971-99A9-C4FCFC85131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8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522100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920</xdr:row>
      <xdr:rowOff>25400</xdr:rowOff>
    </xdr:from>
    <xdr:to>
      <xdr:col>11</xdr:col>
      <xdr:colOff>571500</xdr:colOff>
      <xdr:row>921</xdr:row>
      <xdr:rowOff>0</xdr:rowOff>
    </xdr:to>
    <xdr:pic>
      <xdr:nvPicPr>
        <xdr:cNvPr id="9899" name="Рисунок 9898">
          <a:extLst>
            <a:ext uri="{FF2B5EF4-FFF2-40B4-BE49-F238E27FC236}">
              <a16:creationId xmlns:a16="http://schemas.microsoft.com/office/drawing/2014/main" id="{FFB0446C-010B-4755-8780-C8FCAFF3E64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8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522671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921</xdr:row>
      <xdr:rowOff>25400</xdr:rowOff>
    </xdr:from>
    <xdr:to>
      <xdr:col>11</xdr:col>
      <xdr:colOff>571500</xdr:colOff>
      <xdr:row>922</xdr:row>
      <xdr:rowOff>0</xdr:rowOff>
    </xdr:to>
    <xdr:pic>
      <xdr:nvPicPr>
        <xdr:cNvPr id="9901" name="Рисунок 9900">
          <a:extLst>
            <a:ext uri="{FF2B5EF4-FFF2-40B4-BE49-F238E27FC236}">
              <a16:creationId xmlns:a16="http://schemas.microsoft.com/office/drawing/2014/main" id="{3DC632FE-9DD1-47D8-9F68-F5B21FDA7C3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8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523243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922</xdr:row>
      <xdr:rowOff>25400</xdr:rowOff>
    </xdr:from>
    <xdr:to>
      <xdr:col>11</xdr:col>
      <xdr:colOff>571500</xdr:colOff>
      <xdr:row>923</xdr:row>
      <xdr:rowOff>0</xdr:rowOff>
    </xdr:to>
    <xdr:pic>
      <xdr:nvPicPr>
        <xdr:cNvPr id="9903" name="Рисунок 9902">
          <a:extLst>
            <a:ext uri="{FF2B5EF4-FFF2-40B4-BE49-F238E27FC236}">
              <a16:creationId xmlns:a16="http://schemas.microsoft.com/office/drawing/2014/main" id="{359F644A-FF8C-4796-9059-F76E8B7DDC7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8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523814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923</xdr:row>
      <xdr:rowOff>25400</xdr:rowOff>
    </xdr:from>
    <xdr:to>
      <xdr:col>11</xdr:col>
      <xdr:colOff>571500</xdr:colOff>
      <xdr:row>924</xdr:row>
      <xdr:rowOff>0</xdr:rowOff>
    </xdr:to>
    <xdr:pic>
      <xdr:nvPicPr>
        <xdr:cNvPr id="9905" name="Рисунок 9904">
          <a:extLst>
            <a:ext uri="{FF2B5EF4-FFF2-40B4-BE49-F238E27FC236}">
              <a16:creationId xmlns:a16="http://schemas.microsoft.com/office/drawing/2014/main" id="{B8046AA0-9CD1-4B7F-B9AC-03D0F20CB89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8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524386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924</xdr:row>
      <xdr:rowOff>25400</xdr:rowOff>
    </xdr:from>
    <xdr:to>
      <xdr:col>11</xdr:col>
      <xdr:colOff>571500</xdr:colOff>
      <xdr:row>925</xdr:row>
      <xdr:rowOff>0</xdr:rowOff>
    </xdr:to>
    <xdr:pic>
      <xdr:nvPicPr>
        <xdr:cNvPr id="9907" name="Рисунок 9906">
          <a:extLst>
            <a:ext uri="{FF2B5EF4-FFF2-40B4-BE49-F238E27FC236}">
              <a16:creationId xmlns:a16="http://schemas.microsoft.com/office/drawing/2014/main" id="{27B706B5-D6FE-4F71-B4B5-8BEF133E24C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8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524957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925</xdr:row>
      <xdr:rowOff>25400</xdr:rowOff>
    </xdr:from>
    <xdr:to>
      <xdr:col>11</xdr:col>
      <xdr:colOff>571500</xdr:colOff>
      <xdr:row>926</xdr:row>
      <xdr:rowOff>0</xdr:rowOff>
    </xdr:to>
    <xdr:pic>
      <xdr:nvPicPr>
        <xdr:cNvPr id="9909" name="Рисунок 9908">
          <a:extLst>
            <a:ext uri="{FF2B5EF4-FFF2-40B4-BE49-F238E27FC236}">
              <a16:creationId xmlns:a16="http://schemas.microsoft.com/office/drawing/2014/main" id="{56FC8A6D-EC45-41DD-9490-71FF3351E7B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8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525529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926</xdr:row>
      <xdr:rowOff>25400</xdr:rowOff>
    </xdr:from>
    <xdr:to>
      <xdr:col>11</xdr:col>
      <xdr:colOff>571500</xdr:colOff>
      <xdr:row>927</xdr:row>
      <xdr:rowOff>0</xdr:rowOff>
    </xdr:to>
    <xdr:pic>
      <xdr:nvPicPr>
        <xdr:cNvPr id="9911" name="Рисунок 9910">
          <a:extLst>
            <a:ext uri="{FF2B5EF4-FFF2-40B4-BE49-F238E27FC236}">
              <a16:creationId xmlns:a16="http://schemas.microsoft.com/office/drawing/2014/main" id="{38A3594A-1B6D-4CB7-8293-9544E20DBAB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8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526100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927</xdr:row>
      <xdr:rowOff>25400</xdr:rowOff>
    </xdr:from>
    <xdr:to>
      <xdr:col>11</xdr:col>
      <xdr:colOff>571500</xdr:colOff>
      <xdr:row>928</xdr:row>
      <xdr:rowOff>0</xdr:rowOff>
    </xdr:to>
    <xdr:pic>
      <xdr:nvPicPr>
        <xdr:cNvPr id="9913" name="Рисунок 9912">
          <a:extLst>
            <a:ext uri="{FF2B5EF4-FFF2-40B4-BE49-F238E27FC236}">
              <a16:creationId xmlns:a16="http://schemas.microsoft.com/office/drawing/2014/main" id="{AA6C5B48-9C76-404A-A991-C7E210BAF74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9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526672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928</xdr:row>
      <xdr:rowOff>25400</xdr:rowOff>
    </xdr:from>
    <xdr:to>
      <xdr:col>11</xdr:col>
      <xdr:colOff>571500</xdr:colOff>
      <xdr:row>929</xdr:row>
      <xdr:rowOff>0</xdr:rowOff>
    </xdr:to>
    <xdr:pic>
      <xdr:nvPicPr>
        <xdr:cNvPr id="9915" name="Рисунок 9914">
          <a:extLst>
            <a:ext uri="{FF2B5EF4-FFF2-40B4-BE49-F238E27FC236}">
              <a16:creationId xmlns:a16="http://schemas.microsoft.com/office/drawing/2014/main" id="{98F2895C-6162-498F-B025-71C8F3FC6C4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9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527243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929</xdr:row>
      <xdr:rowOff>25400</xdr:rowOff>
    </xdr:from>
    <xdr:to>
      <xdr:col>11</xdr:col>
      <xdr:colOff>571500</xdr:colOff>
      <xdr:row>930</xdr:row>
      <xdr:rowOff>0</xdr:rowOff>
    </xdr:to>
    <xdr:pic>
      <xdr:nvPicPr>
        <xdr:cNvPr id="9917" name="Рисунок 9916">
          <a:extLst>
            <a:ext uri="{FF2B5EF4-FFF2-40B4-BE49-F238E27FC236}">
              <a16:creationId xmlns:a16="http://schemas.microsoft.com/office/drawing/2014/main" id="{B6B0786F-E5AC-4A3D-BDB2-C0AC494DF90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9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527815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930</xdr:row>
      <xdr:rowOff>25400</xdr:rowOff>
    </xdr:from>
    <xdr:to>
      <xdr:col>11</xdr:col>
      <xdr:colOff>571500</xdr:colOff>
      <xdr:row>931</xdr:row>
      <xdr:rowOff>0</xdr:rowOff>
    </xdr:to>
    <xdr:pic>
      <xdr:nvPicPr>
        <xdr:cNvPr id="9919" name="Рисунок 9918">
          <a:extLst>
            <a:ext uri="{FF2B5EF4-FFF2-40B4-BE49-F238E27FC236}">
              <a16:creationId xmlns:a16="http://schemas.microsoft.com/office/drawing/2014/main" id="{C3E6C08D-757D-4BEC-96C4-AF40F2CAA11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9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528386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931</xdr:row>
      <xdr:rowOff>25400</xdr:rowOff>
    </xdr:from>
    <xdr:to>
      <xdr:col>11</xdr:col>
      <xdr:colOff>571500</xdr:colOff>
      <xdr:row>932</xdr:row>
      <xdr:rowOff>0</xdr:rowOff>
    </xdr:to>
    <xdr:pic>
      <xdr:nvPicPr>
        <xdr:cNvPr id="9921" name="Рисунок 9920">
          <a:extLst>
            <a:ext uri="{FF2B5EF4-FFF2-40B4-BE49-F238E27FC236}">
              <a16:creationId xmlns:a16="http://schemas.microsoft.com/office/drawing/2014/main" id="{AD7DF7A9-E64F-4CF3-B779-A85D9095B3F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9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528958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932</xdr:row>
      <xdr:rowOff>25400</xdr:rowOff>
    </xdr:from>
    <xdr:to>
      <xdr:col>11</xdr:col>
      <xdr:colOff>571500</xdr:colOff>
      <xdr:row>933</xdr:row>
      <xdr:rowOff>0</xdr:rowOff>
    </xdr:to>
    <xdr:pic>
      <xdr:nvPicPr>
        <xdr:cNvPr id="9923" name="Рисунок 9922">
          <a:extLst>
            <a:ext uri="{FF2B5EF4-FFF2-40B4-BE49-F238E27FC236}">
              <a16:creationId xmlns:a16="http://schemas.microsoft.com/office/drawing/2014/main" id="{EC87533D-DB58-4547-ABEC-11FE8967221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9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529529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933</xdr:row>
      <xdr:rowOff>25400</xdr:rowOff>
    </xdr:from>
    <xdr:to>
      <xdr:col>11</xdr:col>
      <xdr:colOff>571500</xdr:colOff>
      <xdr:row>934</xdr:row>
      <xdr:rowOff>0</xdr:rowOff>
    </xdr:to>
    <xdr:pic>
      <xdr:nvPicPr>
        <xdr:cNvPr id="9925" name="Рисунок 9924">
          <a:extLst>
            <a:ext uri="{FF2B5EF4-FFF2-40B4-BE49-F238E27FC236}">
              <a16:creationId xmlns:a16="http://schemas.microsoft.com/office/drawing/2014/main" id="{CC6ECB67-FA8A-4796-8BDB-EA340907FDB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9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530101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934</xdr:row>
      <xdr:rowOff>25400</xdr:rowOff>
    </xdr:from>
    <xdr:to>
      <xdr:col>11</xdr:col>
      <xdr:colOff>571500</xdr:colOff>
      <xdr:row>935</xdr:row>
      <xdr:rowOff>0</xdr:rowOff>
    </xdr:to>
    <xdr:pic>
      <xdr:nvPicPr>
        <xdr:cNvPr id="9927" name="Рисунок 9926">
          <a:extLst>
            <a:ext uri="{FF2B5EF4-FFF2-40B4-BE49-F238E27FC236}">
              <a16:creationId xmlns:a16="http://schemas.microsoft.com/office/drawing/2014/main" id="{EA9D98B6-9FCB-4E1F-BAA2-9856F6B4C14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9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530672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935</xdr:row>
      <xdr:rowOff>25400</xdr:rowOff>
    </xdr:from>
    <xdr:to>
      <xdr:col>11</xdr:col>
      <xdr:colOff>571500</xdr:colOff>
      <xdr:row>936</xdr:row>
      <xdr:rowOff>0</xdr:rowOff>
    </xdr:to>
    <xdr:pic>
      <xdr:nvPicPr>
        <xdr:cNvPr id="9929" name="Рисунок 9928">
          <a:extLst>
            <a:ext uri="{FF2B5EF4-FFF2-40B4-BE49-F238E27FC236}">
              <a16:creationId xmlns:a16="http://schemas.microsoft.com/office/drawing/2014/main" id="{4B04C798-1109-4A01-8D52-0DEE73244FE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9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531244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936</xdr:row>
      <xdr:rowOff>25400</xdr:rowOff>
    </xdr:from>
    <xdr:to>
      <xdr:col>11</xdr:col>
      <xdr:colOff>571500</xdr:colOff>
      <xdr:row>937</xdr:row>
      <xdr:rowOff>0</xdr:rowOff>
    </xdr:to>
    <xdr:pic>
      <xdr:nvPicPr>
        <xdr:cNvPr id="9931" name="Рисунок 9930">
          <a:extLst>
            <a:ext uri="{FF2B5EF4-FFF2-40B4-BE49-F238E27FC236}">
              <a16:creationId xmlns:a16="http://schemas.microsoft.com/office/drawing/2014/main" id="{AD00CB89-12BD-4B3C-B2C4-EE56C4FDA91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89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531815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937</xdr:row>
      <xdr:rowOff>25400</xdr:rowOff>
    </xdr:from>
    <xdr:to>
      <xdr:col>11</xdr:col>
      <xdr:colOff>571500</xdr:colOff>
      <xdr:row>938</xdr:row>
      <xdr:rowOff>0</xdr:rowOff>
    </xdr:to>
    <xdr:pic>
      <xdr:nvPicPr>
        <xdr:cNvPr id="9933" name="Рисунок 9932">
          <a:extLst>
            <a:ext uri="{FF2B5EF4-FFF2-40B4-BE49-F238E27FC236}">
              <a16:creationId xmlns:a16="http://schemas.microsoft.com/office/drawing/2014/main" id="{857BA7E5-17D9-4E8C-B9E9-8FD7B347B96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0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532387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938</xdr:row>
      <xdr:rowOff>25400</xdr:rowOff>
    </xdr:from>
    <xdr:to>
      <xdr:col>11</xdr:col>
      <xdr:colOff>571500</xdr:colOff>
      <xdr:row>939</xdr:row>
      <xdr:rowOff>0</xdr:rowOff>
    </xdr:to>
    <xdr:pic>
      <xdr:nvPicPr>
        <xdr:cNvPr id="9935" name="Рисунок 9934">
          <a:extLst>
            <a:ext uri="{FF2B5EF4-FFF2-40B4-BE49-F238E27FC236}">
              <a16:creationId xmlns:a16="http://schemas.microsoft.com/office/drawing/2014/main" id="{D6646888-C9E9-4DBB-865A-A503D7D795F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0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532958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939</xdr:row>
      <xdr:rowOff>25400</xdr:rowOff>
    </xdr:from>
    <xdr:to>
      <xdr:col>11</xdr:col>
      <xdr:colOff>571500</xdr:colOff>
      <xdr:row>940</xdr:row>
      <xdr:rowOff>0</xdr:rowOff>
    </xdr:to>
    <xdr:pic>
      <xdr:nvPicPr>
        <xdr:cNvPr id="9937" name="Рисунок 9936">
          <a:extLst>
            <a:ext uri="{FF2B5EF4-FFF2-40B4-BE49-F238E27FC236}">
              <a16:creationId xmlns:a16="http://schemas.microsoft.com/office/drawing/2014/main" id="{D4994D2A-B1E7-47CB-AD81-96797DB4BE2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0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533530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940</xdr:row>
      <xdr:rowOff>25400</xdr:rowOff>
    </xdr:from>
    <xdr:to>
      <xdr:col>11</xdr:col>
      <xdr:colOff>571500</xdr:colOff>
      <xdr:row>941</xdr:row>
      <xdr:rowOff>0</xdr:rowOff>
    </xdr:to>
    <xdr:pic>
      <xdr:nvPicPr>
        <xdr:cNvPr id="9939" name="Рисунок 9938">
          <a:extLst>
            <a:ext uri="{FF2B5EF4-FFF2-40B4-BE49-F238E27FC236}">
              <a16:creationId xmlns:a16="http://schemas.microsoft.com/office/drawing/2014/main" id="{54C95FC7-5A8A-414D-8B82-1CCC0AAC5E8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0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534101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941</xdr:row>
      <xdr:rowOff>25400</xdr:rowOff>
    </xdr:from>
    <xdr:to>
      <xdr:col>11</xdr:col>
      <xdr:colOff>571500</xdr:colOff>
      <xdr:row>942</xdr:row>
      <xdr:rowOff>0</xdr:rowOff>
    </xdr:to>
    <xdr:pic>
      <xdr:nvPicPr>
        <xdr:cNvPr id="9941" name="Рисунок 9940">
          <a:extLst>
            <a:ext uri="{FF2B5EF4-FFF2-40B4-BE49-F238E27FC236}">
              <a16:creationId xmlns:a16="http://schemas.microsoft.com/office/drawing/2014/main" id="{E2FCFC8F-EBDA-4DA1-B680-3BE789315CC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0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534673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942</xdr:row>
      <xdr:rowOff>25400</xdr:rowOff>
    </xdr:from>
    <xdr:to>
      <xdr:col>11</xdr:col>
      <xdr:colOff>571500</xdr:colOff>
      <xdr:row>943</xdr:row>
      <xdr:rowOff>0</xdr:rowOff>
    </xdr:to>
    <xdr:pic>
      <xdr:nvPicPr>
        <xdr:cNvPr id="9943" name="Рисунок 9942">
          <a:extLst>
            <a:ext uri="{FF2B5EF4-FFF2-40B4-BE49-F238E27FC236}">
              <a16:creationId xmlns:a16="http://schemas.microsoft.com/office/drawing/2014/main" id="{F22EC109-9F86-45E1-8885-C95CD829038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0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535244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943</xdr:row>
      <xdr:rowOff>25400</xdr:rowOff>
    </xdr:from>
    <xdr:to>
      <xdr:col>11</xdr:col>
      <xdr:colOff>571500</xdr:colOff>
      <xdr:row>944</xdr:row>
      <xdr:rowOff>0</xdr:rowOff>
    </xdr:to>
    <xdr:pic>
      <xdr:nvPicPr>
        <xdr:cNvPr id="9945" name="Рисунок 9944">
          <a:extLst>
            <a:ext uri="{FF2B5EF4-FFF2-40B4-BE49-F238E27FC236}">
              <a16:creationId xmlns:a16="http://schemas.microsoft.com/office/drawing/2014/main" id="{B126065F-31FC-4CF6-AF60-18A3BF92D21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0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535816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944</xdr:row>
      <xdr:rowOff>25400</xdr:rowOff>
    </xdr:from>
    <xdr:to>
      <xdr:col>11</xdr:col>
      <xdr:colOff>571500</xdr:colOff>
      <xdr:row>945</xdr:row>
      <xdr:rowOff>0</xdr:rowOff>
    </xdr:to>
    <xdr:pic>
      <xdr:nvPicPr>
        <xdr:cNvPr id="9947" name="Рисунок 9946">
          <a:extLst>
            <a:ext uri="{FF2B5EF4-FFF2-40B4-BE49-F238E27FC236}">
              <a16:creationId xmlns:a16="http://schemas.microsoft.com/office/drawing/2014/main" id="{0C4064F9-AAD3-4AFE-B570-9CDE299A5C5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0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536387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945</xdr:row>
      <xdr:rowOff>25400</xdr:rowOff>
    </xdr:from>
    <xdr:to>
      <xdr:col>11</xdr:col>
      <xdr:colOff>571500</xdr:colOff>
      <xdr:row>946</xdr:row>
      <xdr:rowOff>0</xdr:rowOff>
    </xdr:to>
    <xdr:pic>
      <xdr:nvPicPr>
        <xdr:cNvPr id="9949" name="Рисунок 9948">
          <a:extLst>
            <a:ext uri="{FF2B5EF4-FFF2-40B4-BE49-F238E27FC236}">
              <a16:creationId xmlns:a16="http://schemas.microsoft.com/office/drawing/2014/main" id="{054C6124-A624-4C0E-986A-3FB23EA669C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0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536959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946</xdr:row>
      <xdr:rowOff>25400</xdr:rowOff>
    </xdr:from>
    <xdr:to>
      <xdr:col>11</xdr:col>
      <xdr:colOff>571500</xdr:colOff>
      <xdr:row>947</xdr:row>
      <xdr:rowOff>0</xdr:rowOff>
    </xdr:to>
    <xdr:pic>
      <xdr:nvPicPr>
        <xdr:cNvPr id="9951" name="Рисунок 9950">
          <a:extLst>
            <a:ext uri="{FF2B5EF4-FFF2-40B4-BE49-F238E27FC236}">
              <a16:creationId xmlns:a16="http://schemas.microsoft.com/office/drawing/2014/main" id="{44C3A528-F4F9-436C-B81C-E72CA1B567A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0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537530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947</xdr:row>
      <xdr:rowOff>25400</xdr:rowOff>
    </xdr:from>
    <xdr:to>
      <xdr:col>11</xdr:col>
      <xdr:colOff>571500</xdr:colOff>
      <xdr:row>948</xdr:row>
      <xdr:rowOff>0</xdr:rowOff>
    </xdr:to>
    <xdr:pic>
      <xdr:nvPicPr>
        <xdr:cNvPr id="9953" name="Рисунок 9952">
          <a:extLst>
            <a:ext uri="{FF2B5EF4-FFF2-40B4-BE49-F238E27FC236}">
              <a16:creationId xmlns:a16="http://schemas.microsoft.com/office/drawing/2014/main" id="{9FB11E04-56E8-43F6-88B8-4F7C2102B57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538102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948</xdr:row>
      <xdr:rowOff>25400</xdr:rowOff>
    </xdr:from>
    <xdr:to>
      <xdr:col>11</xdr:col>
      <xdr:colOff>571500</xdr:colOff>
      <xdr:row>949</xdr:row>
      <xdr:rowOff>0</xdr:rowOff>
    </xdr:to>
    <xdr:pic>
      <xdr:nvPicPr>
        <xdr:cNvPr id="9955" name="Рисунок 9954">
          <a:extLst>
            <a:ext uri="{FF2B5EF4-FFF2-40B4-BE49-F238E27FC236}">
              <a16:creationId xmlns:a16="http://schemas.microsoft.com/office/drawing/2014/main" id="{BA30A223-1FD4-42FB-901D-6C26D726390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538673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949</xdr:row>
      <xdr:rowOff>25400</xdr:rowOff>
    </xdr:from>
    <xdr:to>
      <xdr:col>11</xdr:col>
      <xdr:colOff>571500</xdr:colOff>
      <xdr:row>950</xdr:row>
      <xdr:rowOff>0</xdr:rowOff>
    </xdr:to>
    <xdr:pic>
      <xdr:nvPicPr>
        <xdr:cNvPr id="9957" name="Рисунок 9956">
          <a:extLst>
            <a:ext uri="{FF2B5EF4-FFF2-40B4-BE49-F238E27FC236}">
              <a16:creationId xmlns:a16="http://schemas.microsoft.com/office/drawing/2014/main" id="{891A74E5-B79F-4D15-8EA7-0BA8A8078B4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539245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950</xdr:row>
      <xdr:rowOff>25400</xdr:rowOff>
    </xdr:from>
    <xdr:to>
      <xdr:col>11</xdr:col>
      <xdr:colOff>571500</xdr:colOff>
      <xdr:row>951</xdr:row>
      <xdr:rowOff>0</xdr:rowOff>
    </xdr:to>
    <xdr:pic>
      <xdr:nvPicPr>
        <xdr:cNvPr id="9959" name="Рисунок 9958">
          <a:extLst>
            <a:ext uri="{FF2B5EF4-FFF2-40B4-BE49-F238E27FC236}">
              <a16:creationId xmlns:a16="http://schemas.microsoft.com/office/drawing/2014/main" id="{DEA3FF0E-7F9D-4A7A-842D-4D26A71D449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539816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951</xdr:row>
      <xdr:rowOff>25400</xdr:rowOff>
    </xdr:from>
    <xdr:to>
      <xdr:col>11</xdr:col>
      <xdr:colOff>855472</xdr:colOff>
      <xdr:row>952</xdr:row>
      <xdr:rowOff>0</xdr:rowOff>
    </xdr:to>
    <xdr:pic>
      <xdr:nvPicPr>
        <xdr:cNvPr id="9961" name="Рисунок 9960">
          <a:extLst>
            <a:ext uri="{FF2B5EF4-FFF2-40B4-BE49-F238E27FC236}">
              <a16:creationId xmlns:a16="http://schemas.microsoft.com/office/drawing/2014/main" id="{FE0A508A-0422-419A-B69F-DF5DDEF7461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540388175"/>
          <a:ext cx="830072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952</xdr:row>
      <xdr:rowOff>25400</xdr:rowOff>
    </xdr:from>
    <xdr:to>
      <xdr:col>11</xdr:col>
      <xdr:colOff>571500</xdr:colOff>
      <xdr:row>953</xdr:row>
      <xdr:rowOff>0</xdr:rowOff>
    </xdr:to>
    <xdr:pic>
      <xdr:nvPicPr>
        <xdr:cNvPr id="9963" name="Рисунок 9962">
          <a:extLst>
            <a:ext uri="{FF2B5EF4-FFF2-40B4-BE49-F238E27FC236}">
              <a16:creationId xmlns:a16="http://schemas.microsoft.com/office/drawing/2014/main" id="{EB864E8F-61C0-47D2-AA42-67CC99703CB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540959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953</xdr:row>
      <xdr:rowOff>25400</xdr:rowOff>
    </xdr:from>
    <xdr:to>
      <xdr:col>11</xdr:col>
      <xdr:colOff>571500</xdr:colOff>
      <xdr:row>954</xdr:row>
      <xdr:rowOff>0</xdr:rowOff>
    </xdr:to>
    <xdr:pic>
      <xdr:nvPicPr>
        <xdr:cNvPr id="9965" name="Рисунок 9964">
          <a:extLst>
            <a:ext uri="{FF2B5EF4-FFF2-40B4-BE49-F238E27FC236}">
              <a16:creationId xmlns:a16="http://schemas.microsoft.com/office/drawing/2014/main" id="{2955F005-4AD8-4114-AE70-C67DDE1CDBC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541531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954</xdr:row>
      <xdr:rowOff>25400</xdr:rowOff>
    </xdr:from>
    <xdr:to>
      <xdr:col>11</xdr:col>
      <xdr:colOff>571500</xdr:colOff>
      <xdr:row>955</xdr:row>
      <xdr:rowOff>0</xdr:rowOff>
    </xdr:to>
    <xdr:pic>
      <xdr:nvPicPr>
        <xdr:cNvPr id="9967" name="Рисунок 9966">
          <a:extLst>
            <a:ext uri="{FF2B5EF4-FFF2-40B4-BE49-F238E27FC236}">
              <a16:creationId xmlns:a16="http://schemas.microsoft.com/office/drawing/2014/main" id="{73BD4A66-9043-44CD-81BF-BBCD6DABA3C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542102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955</xdr:row>
      <xdr:rowOff>25400</xdr:rowOff>
    </xdr:from>
    <xdr:to>
      <xdr:col>11</xdr:col>
      <xdr:colOff>571500</xdr:colOff>
      <xdr:row>956</xdr:row>
      <xdr:rowOff>0</xdr:rowOff>
    </xdr:to>
    <xdr:pic>
      <xdr:nvPicPr>
        <xdr:cNvPr id="9969" name="Рисунок 9968">
          <a:extLst>
            <a:ext uri="{FF2B5EF4-FFF2-40B4-BE49-F238E27FC236}">
              <a16:creationId xmlns:a16="http://schemas.microsoft.com/office/drawing/2014/main" id="{05C22BAC-7E0C-42F3-B4BA-38EC79413F5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542674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956</xdr:row>
      <xdr:rowOff>25400</xdr:rowOff>
    </xdr:from>
    <xdr:to>
      <xdr:col>11</xdr:col>
      <xdr:colOff>571500</xdr:colOff>
      <xdr:row>957</xdr:row>
      <xdr:rowOff>0</xdr:rowOff>
    </xdr:to>
    <xdr:pic>
      <xdr:nvPicPr>
        <xdr:cNvPr id="9971" name="Рисунок 9970">
          <a:extLst>
            <a:ext uri="{FF2B5EF4-FFF2-40B4-BE49-F238E27FC236}">
              <a16:creationId xmlns:a16="http://schemas.microsoft.com/office/drawing/2014/main" id="{62522DB0-35F9-493C-A347-ED154833FAD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543245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957</xdr:row>
      <xdr:rowOff>25400</xdr:rowOff>
    </xdr:from>
    <xdr:to>
      <xdr:col>11</xdr:col>
      <xdr:colOff>571500</xdr:colOff>
      <xdr:row>958</xdr:row>
      <xdr:rowOff>0</xdr:rowOff>
    </xdr:to>
    <xdr:pic>
      <xdr:nvPicPr>
        <xdr:cNvPr id="9973" name="Рисунок 9972">
          <a:extLst>
            <a:ext uri="{FF2B5EF4-FFF2-40B4-BE49-F238E27FC236}">
              <a16:creationId xmlns:a16="http://schemas.microsoft.com/office/drawing/2014/main" id="{B8492968-6D5C-43A6-A874-2DB71687D83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543817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958</xdr:row>
      <xdr:rowOff>25400</xdr:rowOff>
    </xdr:from>
    <xdr:to>
      <xdr:col>11</xdr:col>
      <xdr:colOff>571500</xdr:colOff>
      <xdr:row>959</xdr:row>
      <xdr:rowOff>0</xdr:rowOff>
    </xdr:to>
    <xdr:pic>
      <xdr:nvPicPr>
        <xdr:cNvPr id="9975" name="Рисунок 9974">
          <a:extLst>
            <a:ext uri="{FF2B5EF4-FFF2-40B4-BE49-F238E27FC236}">
              <a16:creationId xmlns:a16="http://schemas.microsoft.com/office/drawing/2014/main" id="{FBA1E955-2B0B-41FA-8D62-BCE55692BDC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544388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959</xdr:row>
      <xdr:rowOff>25400</xdr:rowOff>
    </xdr:from>
    <xdr:to>
      <xdr:col>11</xdr:col>
      <xdr:colOff>571500</xdr:colOff>
      <xdr:row>960</xdr:row>
      <xdr:rowOff>0</xdr:rowOff>
    </xdr:to>
    <xdr:pic>
      <xdr:nvPicPr>
        <xdr:cNvPr id="9977" name="Рисунок 9976">
          <a:extLst>
            <a:ext uri="{FF2B5EF4-FFF2-40B4-BE49-F238E27FC236}">
              <a16:creationId xmlns:a16="http://schemas.microsoft.com/office/drawing/2014/main" id="{98A48E8C-F70E-43D7-BB2A-534FBA5346B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544960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960</xdr:row>
      <xdr:rowOff>25400</xdr:rowOff>
    </xdr:from>
    <xdr:to>
      <xdr:col>11</xdr:col>
      <xdr:colOff>571500</xdr:colOff>
      <xdr:row>961</xdr:row>
      <xdr:rowOff>0</xdr:rowOff>
    </xdr:to>
    <xdr:pic>
      <xdr:nvPicPr>
        <xdr:cNvPr id="9979" name="Рисунок 9978">
          <a:extLst>
            <a:ext uri="{FF2B5EF4-FFF2-40B4-BE49-F238E27FC236}">
              <a16:creationId xmlns:a16="http://schemas.microsoft.com/office/drawing/2014/main" id="{0E292A58-0E55-4F80-8BF1-4EC365881D0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545531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961</xdr:row>
      <xdr:rowOff>25400</xdr:rowOff>
    </xdr:from>
    <xdr:to>
      <xdr:col>11</xdr:col>
      <xdr:colOff>571500</xdr:colOff>
      <xdr:row>962</xdr:row>
      <xdr:rowOff>0</xdr:rowOff>
    </xdr:to>
    <xdr:pic>
      <xdr:nvPicPr>
        <xdr:cNvPr id="9981" name="Рисунок 9980">
          <a:extLst>
            <a:ext uri="{FF2B5EF4-FFF2-40B4-BE49-F238E27FC236}">
              <a16:creationId xmlns:a16="http://schemas.microsoft.com/office/drawing/2014/main" id="{C4B6030E-1B04-4C6F-8B6B-0B413F6794F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546103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962</xdr:row>
      <xdr:rowOff>25400</xdr:rowOff>
    </xdr:from>
    <xdr:to>
      <xdr:col>11</xdr:col>
      <xdr:colOff>571500</xdr:colOff>
      <xdr:row>963</xdr:row>
      <xdr:rowOff>0</xdr:rowOff>
    </xdr:to>
    <xdr:pic>
      <xdr:nvPicPr>
        <xdr:cNvPr id="9983" name="Рисунок 9982">
          <a:extLst>
            <a:ext uri="{FF2B5EF4-FFF2-40B4-BE49-F238E27FC236}">
              <a16:creationId xmlns:a16="http://schemas.microsoft.com/office/drawing/2014/main" id="{69D30C29-8F45-4E03-A2E6-964695DEC82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546674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963</xdr:row>
      <xdr:rowOff>25400</xdr:rowOff>
    </xdr:from>
    <xdr:to>
      <xdr:col>11</xdr:col>
      <xdr:colOff>571500</xdr:colOff>
      <xdr:row>964</xdr:row>
      <xdr:rowOff>0</xdr:rowOff>
    </xdr:to>
    <xdr:pic>
      <xdr:nvPicPr>
        <xdr:cNvPr id="9985" name="Рисунок 9984">
          <a:extLst>
            <a:ext uri="{FF2B5EF4-FFF2-40B4-BE49-F238E27FC236}">
              <a16:creationId xmlns:a16="http://schemas.microsoft.com/office/drawing/2014/main" id="{19CBEFB3-93F2-44F3-9EED-1AA19475C28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547246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964</xdr:row>
      <xdr:rowOff>25400</xdr:rowOff>
    </xdr:from>
    <xdr:to>
      <xdr:col>11</xdr:col>
      <xdr:colOff>571500</xdr:colOff>
      <xdr:row>965</xdr:row>
      <xdr:rowOff>0</xdr:rowOff>
    </xdr:to>
    <xdr:pic>
      <xdr:nvPicPr>
        <xdr:cNvPr id="9987" name="Рисунок 9986">
          <a:extLst>
            <a:ext uri="{FF2B5EF4-FFF2-40B4-BE49-F238E27FC236}">
              <a16:creationId xmlns:a16="http://schemas.microsoft.com/office/drawing/2014/main" id="{D47CE39F-5193-49EC-B575-3B651D537FE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547817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965</xdr:row>
      <xdr:rowOff>25400</xdr:rowOff>
    </xdr:from>
    <xdr:to>
      <xdr:col>11</xdr:col>
      <xdr:colOff>571500</xdr:colOff>
      <xdr:row>966</xdr:row>
      <xdr:rowOff>0</xdr:rowOff>
    </xdr:to>
    <xdr:pic>
      <xdr:nvPicPr>
        <xdr:cNvPr id="9989" name="Рисунок 9988">
          <a:extLst>
            <a:ext uri="{FF2B5EF4-FFF2-40B4-BE49-F238E27FC236}">
              <a16:creationId xmlns:a16="http://schemas.microsoft.com/office/drawing/2014/main" id="{74ADCFCF-EE2D-4F39-9839-ABA7AE7C11E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548389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966</xdr:row>
      <xdr:rowOff>25400</xdr:rowOff>
    </xdr:from>
    <xdr:to>
      <xdr:col>11</xdr:col>
      <xdr:colOff>571500</xdr:colOff>
      <xdr:row>967</xdr:row>
      <xdr:rowOff>0</xdr:rowOff>
    </xdr:to>
    <xdr:pic>
      <xdr:nvPicPr>
        <xdr:cNvPr id="9991" name="Рисунок 9990">
          <a:extLst>
            <a:ext uri="{FF2B5EF4-FFF2-40B4-BE49-F238E27FC236}">
              <a16:creationId xmlns:a16="http://schemas.microsoft.com/office/drawing/2014/main" id="{6C280415-7F84-494B-B221-172302F3A97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548960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967</xdr:row>
      <xdr:rowOff>25400</xdr:rowOff>
    </xdr:from>
    <xdr:to>
      <xdr:col>11</xdr:col>
      <xdr:colOff>571500</xdr:colOff>
      <xdr:row>968</xdr:row>
      <xdr:rowOff>0</xdr:rowOff>
    </xdr:to>
    <xdr:pic>
      <xdr:nvPicPr>
        <xdr:cNvPr id="9993" name="Рисунок 9992">
          <a:extLst>
            <a:ext uri="{FF2B5EF4-FFF2-40B4-BE49-F238E27FC236}">
              <a16:creationId xmlns:a16="http://schemas.microsoft.com/office/drawing/2014/main" id="{A7B5B23A-16B1-467A-9A4B-E2915EF4362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549532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968</xdr:row>
      <xdr:rowOff>25400</xdr:rowOff>
    </xdr:from>
    <xdr:to>
      <xdr:col>11</xdr:col>
      <xdr:colOff>571500</xdr:colOff>
      <xdr:row>969</xdr:row>
      <xdr:rowOff>0</xdr:rowOff>
    </xdr:to>
    <xdr:pic>
      <xdr:nvPicPr>
        <xdr:cNvPr id="9995" name="Рисунок 9994">
          <a:extLst>
            <a:ext uri="{FF2B5EF4-FFF2-40B4-BE49-F238E27FC236}">
              <a16:creationId xmlns:a16="http://schemas.microsoft.com/office/drawing/2014/main" id="{D0DBB176-F7A8-496A-B1E1-51D3B8D0D9C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3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550103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969</xdr:row>
      <xdr:rowOff>25400</xdr:rowOff>
    </xdr:from>
    <xdr:to>
      <xdr:col>11</xdr:col>
      <xdr:colOff>571500</xdr:colOff>
      <xdr:row>970</xdr:row>
      <xdr:rowOff>0</xdr:rowOff>
    </xdr:to>
    <xdr:pic>
      <xdr:nvPicPr>
        <xdr:cNvPr id="9997" name="Рисунок 9996">
          <a:extLst>
            <a:ext uri="{FF2B5EF4-FFF2-40B4-BE49-F238E27FC236}">
              <a16:creationId xmlns:a16="http://schemas.microsoft.com/office/drawing/2014/main" id="{9D898774-7DE0-46B4-A684-38593C940E3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3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550675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970</xdr:row>
      <xdr:rowOff>25400</xdr:rowOff>
    </xdr:from>
    <xdr:to>
      <xdr:col>11</xdr:col>
      <xdr:colOff>571500</xdr:colOff>
      <xdr:row>971</xdr:row>
      <xdr:rowOff>0</xdr:rowOff>
    </xdr:to>
    <xdr:pic>
      <xdr:nvPicPr>
        <xdr:cNvPr id="9999" name="Рисунок 9998">
          <a:extLst>
            <a:ext uri="{FF2B5EF4-FFF2-40B4-BE49-F238E27FC236}">
              <a16:creationId xmlns:a16="http://schemas.microsoft.com/office/drawing/2014/main" id="{AB85A413-2026-422F-9AB4-78280FB0686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3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551246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971</xdr:row>
      <xdr:rowOff>25400</xdr:rowOff>
    </xdr:from>
    <xdr:to>
      <xdr:col>11</xdr:col>
      <xdr:colOff>571500</xdr:colOff>
      <xdr:row>972</xdr:row>
      <xdr:rowOff>0</xdr:rowOff>
    </xdr:to>
    <xdr:pic>
      <xdr:nvPicPr>
        <xdr:cNvPr id="10001" name="Рисунок 10000">
          <a:extLst>
            <a:ext uri="{FF2B5EF4-FFF2-40B4-BE49-F238E27FC236}">
              <a16:creationId xmlns:a16="http://schemas.microsoft.com/office/drawing/2014/main" id="{E616F839-6E35-46CE-80D8-22077D0A2E2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3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551818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972</xdr:row>
      <xdr:rowOff>25400</xdr:rowOff>
    </xdr:from>
    <xdr:to>
      <xdr:col>11</xdr:col>
      <xdr:colOff>571500</xdr:colOff>
      <xdr:row>973</xdr:row>
      <xdr:rowOff>0</xdr:rowOff>
    </xdr:to>
    <xdr:pic>
      <xdr:nvPicPr>
        <xdr:cNvPr id="10003" name="Рисунок 10002">
          <a:extLst>
            <a:ext uri="{FF2B5EF4-FFF2-40B4-BE49-F238E27FC236}">
              <a16:creationId xmlns:a16="http://schemas.microsoft.com/office/drawing/2014/main" id="{E35C8409-F10A-4E02-BC36-E8875997502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3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552389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973</xdr:row>
      <xdr:rowOff>25400</xdr:rowOff>
    </xdr:from>
    <xdr:to>
      <xdr:col>11</xdr:col>
      <xdr:colOff>571500</xdr:colOff>
      <xdr:row>974</xdr:row>
      <xdr:rowOff>0</xdr:rowOff>
    </xdr:to>
    <xdr:pic>
      <xdr:nvPicPr>
        <xdr:cNvPr id="10005" name="Рисунок 10004">
          <a:extLst>
            <a:ext uri="{FF2B5EF4-FFF2-40B4-BE49-F238E27FC236}">
              <a16:creationId xmlns:a16="http://schemas.microsoft.com/office/drawing/2014/main" id="{69145B2B-23C8-4C8D-9FFA-5A3BF3F6899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3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552961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974</xdr:row>
      <xdr:rowOff>25400</xdr:rowOff>
    </xdr:from>
    <xdr:to>
      <xdr:col>11</xdr:col>
      <xdr:colOff>571500</xdr:colOff>
      <xdr:row>975</xdr:row>
      <xdr:rowOff>0</xdr:rowOff>
    </xdr:to>
    <xdr:pic>
      <xdr:nvPicPr>
        <xdr:cNvPr id="10007" name="Рисунок 10006">
          <a:extLst>
            <a:ext uri="{FF2B5EF4-FFF2-40B4-BE49-F238E27FC236}">
              <a16:creationId xmlns:a16="http://schemas.microsoft.com/office/drawing/2014/main" id="{C278491C-BBB8-4E76-BE8C-0ADFF6B12C8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3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553532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975</xdr:row>
      <xdr:rowOff>25400</xdr:rowOff>
    </xdr:from>
    <xdr:to>
      <xdr:col>11</xdr:col>
      <xdr:colOff>571500</xdr:colOff>
      <xdr:row>976</xdr:row>
      <xdr:rowOff>0</xdr:rowOff>
    </xdr:to>
    <xdr:pic>
      <xdr:nvPicPr>
        <xdr:cNvPr id="10009" name="Рисунок 10008">
          <a:extLst>
            <a:ext uri="{FF2B5EF4-FFF2-40B4-BE49-F238E27FC236}">
              <a16:creationId xmlns:a16="http://schemas.microsoft.com/office/drawing/2014/main" id="{2003BC87-2EEE-449C-A1FF-76E23CC928A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3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554104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976</xdr:row>
      <xdr:rowOff>25400</xdr:rowOff>
    </xdr:from>
    <xdr:to>
      <xdr:col>11</xdr:col>
      <xdr:colOff>571500</xdr:colOff>
      <xdr:row>977</xdr:row>
      <xdr:rowOff>0</xdr:rowOff>
    </xdr:to>
    <xdr:pic>
      <xdr:nvPicPr>
        <xdr:cNvPr id="10011" name="Рисунок 10010">
          <a:extLst>
            <a:ext uri="{FF2B5EF4-FFF2-40B4-BE49-F238E27FC236}">
              <a16:creationId xmlns:a16="http://schemas.microsoft.com/office/drawing/2014/main" id="{F09DFC4E-C0C9-41E9-9A54-D3A7A44D8EA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3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554675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977</xdr:row>
      <xdr:rowOff>25400</xdr:rowOff>
    </xdr:from>
    <xdr:to>
      <xdr:col>11</xdr:col>
      <xdr:colOff>571500</xdr:colOff>
      <xdr:row>978</xdr:row>
      <xdr:rowOff>0</xdr:rowOff>
    </xdr:to>
    <xdr:pic>
      <xdr:nvPicPr>
        <xdr:cNvPr id="10013" name="Рисунок 10012">
          <a:extLst>
            <a:ext uri="{FF2B5EF4-FFF2-40B4-BE49-F238E27FC236}">
              <a16:creationId xmlns:a16="http://schemas.microsoft.com/office/drawing/2014/main" id="{8346B8DF-C097-48CB-9AA2-B68B9FB5492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4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555247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978</xdr:row>
      <xdr:rowOff>25400</xdr:rowOff>
    </xdr:from>
    <xdr:to>
      <xdr:col>11</xdr:col>
      <xdr:colOff>571500</xdr:colOff>
      <xdr:row>979</xdr:row>
      <xdr:rowOff>0</xdr:rowOff>
    </xdr:to>
    <xdr:pic>
      <xdr:nvPicPr>
        <xdr:cNvPr id="10015" name="Рисунок 10014">
          <a:extLst>
            <a:ext uri="{FF2B5EF4-FFF2-40B4-BE49-F238E27FC236}">
              <a16:creationId xmlns:a16="http://schemas.microsoft.com/office/drawing/2014/main" id="{01C09D8B-0142-4BC8-A916-1FF872ECD77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4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555818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979</xdr:row>
      <xdr:rowOff>25400</xdr:rowOff>
    </xdr:from>
    <xdr:to>
      <xdr:col>11</xdr:col>
      <xdr:colOff>571500</xdr:colOff>
      <xdr:row>980</xdr:row>
      <xdr:rowOff>0</xdr:rowOff>
    </xdr:to>
    <xdr:pic>
      <xdr:nvPicPr>
        <xdr:cNvPr id="10017" name="Рисунок 10016">
          <a:extLst>
            <a:ext uri="{FF2B5EF4-FFF2-40B4-BE49-F238E27FC236}">
              <a16:creationId xmlns:a16="http://schemas.microsoft.com/office/drawing/2014/main" id="{E418647C-C66F-4335-96EC-30B56DC0E81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556390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980</xdr:row>
      <xdr:rowOff>25400</xdr:rowOff>
    </xdr:from>
    <xdr:to>
      <xdr:col>11</xdr:col>
      <xdr:colOff>571500</xdr:colOff>
      <xdr:row>981</xdr:row>
      <xdr:rowOff>0</xdr:rowOff>
    </xdr:to>
    <xdr:pic>
      <xdr:nvPicPr>
        <xdr:cNvPr id="10019" name="Рисунок 10018">
          <a:extLst>
            <a:ext uri="{FF2B5EF4-FFF2-40B4-BE49-F238E27FC236}">
              <a16:creationId xmlns:a16="http://schemas.microsoft.com/office/drawing/2014/main" id="{9F034E22-1422-44DC-99D8-2310653CCE5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556961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981</xdr:row>
      <xdr:rowOff>25400</xdr:rowOff>
    </xdr:from>
    <xdr:to>
      <xdr:col>11</xdr:col>
      <xdr:colOff>571500</xdr:colOff>
      <xdr:row>982</xdr:row>
      <xdr:rowOff>0</xdr:rowOff>
    </xdr:to>
    <xdr:pic>
      <xdr:nvPicPr>
        <xdr:cNvPr id="10021" name="Рисунок 10020">
          <a:extLst>
            <a:ext uri="{FF2B5EF4-FFF2-40B4-BE49-F238E27FC236}">
              <a16:creationId xmlns:a16="http://schemas.microsoft.com/office/drawing/2014/main" id="{FA3FA4DD-3C42-49D8-AB86-446B5D0845F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557533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982</xdr:row>
      <xdr:rowOff>25400</xdr:rowOff>
    </xdr:from>
    <xdr:to>
      <xdr:col>11</xdr:col>
      <xdr:colOff>571500</xdr:colOff>
      <xdr:row>983</xdr:row>
      <xdr:rowOff>0</xdr:rowOff>
    </xdr:to>
    <xdr:pic>
      <xdr:nvPicPr>
        <xdr:cNvPr id="10023" name="Рисунок 10022">
          <a:extLst>
            <a:ext uri="{FF2B5EF4-FFF2-40B4-BE49-F238E27FC236}">
              <a16:creationId xmlns:a16="http://schemas.microsoft.com/office/drawing/2014/main" id="{9F978D09-95B8-4BB2-84E5-029D0A6BE0B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4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558104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983</xdr:row>
      <xdr:rowOff>25400</xdr:rowOff>
    </xdr:from>
    <xdr:to>
      <xdr:col>11</xdr:col>
      <xdr:colOff>571500</xdr:colOff>
      <xdr:row>984</xdr:row>
      <xdr:rowOff>0</xdr:rowOff>
    </xdr:to>
    <xdr:pic>
      <xdr:nvPicPr>
        <xdr:cNvPr id="10025" name="Рисунок 10024">
          <a:extLst>
            <a:ext uri="{FF2B5EF4-FFF2-40B4-BE49-F238E27FC236}">
              <a16:creationId xmlns:a16="http://schemas.microsoft.com/office/drawing/2014/main" id="{AB8F5E26-7250-4C8B-8C38-1A42CFF9483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4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558676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984</xdr:row>
      <xdr:rowOff>25400</xdr:rowOff>
    </xdr:from>
    <xdr:to>
      <xdr:col>11</xdr:col>
      <xdr:colOff>571500</xdr:colOff>
      <xdr:row>985</xdr:row>
      <xdr:rowOff>0</xdr:rowOff>
    </xdr:to>
    <xdr:pic>
      <xdr:nvPicPr>
        <xdr:cNvPr id="10027" name="Рисунок 10026">
          <a:extLst>
            <a:ext uri="{FF2B5EF4-FFF2-40B4-BE49-F238E27FC236}">
              <a16:creationId xmlns:a16="http://schemas.microsoft.com/office/drawing/2014/main" id="{28008E69-EAB8-45C6-8B11-00E0CDA8A8E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4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559247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985</xdr:row>
      <xdr:rowOff>25400</xdr:rowOff>
    </xdr:from>
    <xdr:to>
      <xdr:col>11</xdr:col>
      <xdr:colOff>571500</xdr:colOff>
      <xdr:row>986</xdr:row>
      <xdr:rowOff>0</xdr:rowOff>
    </xdr:to>
    <xdr:pic>
      <xdr:nvPicPr>
        <xdr:cNvPr id="10029" name="Рисунок 10028">
          <a:extLst>
            <a:ext uri="{FF2B5EF4-FFF2-40B4-BE49-F238E27FC236}">
              <a16:creationId xmlns:a16="http://schemas.microsoft.com/office/drawing/2014/main" id="{00C925C4-62D1-458A-A45F-110EAF1FE10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4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559819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986</xdr:row>
      <xdr:rowOff>25400</xdr:rowOff>
    </xdr:from>
    <xdr:to>
      <xdr:col>11</xdr:col>
      <xdr:colOff>571500</xdr:colOff>
      <xdr:row>987</xdr:row>
      <xdr:rowOff>0</xdr:rowOff>
    </xdr:to>
    <xdr:pic>
      <xdr:nvPicPr>
        <xdr:cNvPr id="10031" name="Рисунок 10030">
          <a:extLst>
            <a:ext uri="{FF2B5EF4-FFF2-40B4-BE49-F238E27FC236}">
              <a16:creationId xmlns:a16="http://schemas.microsoft.com/office/drawing/2014/main" id="{151EF13B-96BB-4118-9F11-6EAA5E6BB0A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4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560390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987</xdr:row>
      <xdr:rowOff>25400</xdr:rowOff>
    </xdr:from>
    <xdr:to>
      <xdr:col>11</xdr:col>
      <xdr:colOff>571500</xdr:colOff>
      <xdr:row>988</xdr:row>
      <xdr:rowOff>0</xdr:rowOff>
    </xdr:to>
    <xdr:pic>
      <xdr:nvPicPr>
        <xdr:cNvPr id="10033" name="Рисунок 10032">
          <a:extLst>
            <a:ext uri="{FF2B5EF4-FFF2-40B4-BE49-F238E27FC236}">
              <a16:creationId xmlns:a16="http://schemas.microsoft.com/office/drawing/2014/main" id="{FFA9BE3C-57BF-400B-80E6-2B524398D98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5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560962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988</xdr:row>
      <xdr:rowOff>25400</xdr:rowOff>
    </xdr:from>
    <xdr:to>
      <xdr:col>11</xdr:col>
      <xdr:colOff>571500</xdr:colOff>
      <xdr:row>989</xdr:row>
      <xdr:rowOff>0</xdr:rowOff>
    </xdr:to>
    <xdr:pic>
      <xdr:nvPicPr>
        <xdr:cNvPr id="10035" name="Рисунок 10034">
          <a:extLst>
            <a:ext uri="{FF2B5EF4-FFF2-40B4-BE49-F238E27FC236}">
              <a16:creationId xmlns:a16="http://schemas.microsoft.com/office/drawing/2014/main" id="{D5528D79-1EF1-437C-B74E-8B80542515F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5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561533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989</xdr:row>
      <xdr:rowOff>25400</xdr:rowOff>
    </xdr:from>
    <xdr:to>
      <xdr:col>11</xdr:col>
      <xdr:colOff>571500</xdr:colOff>
      <xdr:row>990</xdr:row>
      <xdr:rowOff>0</xdr:rowOff>
    </xdr:to>
    <xdr:pic>
      <xdr:nvPicPr>
        <xdr:cNvPr id="10037" name="Рисунок 10036">
          <a:extLst>
            <a:ext uri="{FF2B5EF4-FFF2-40B4-BE49-F238E27FC236}">
              <a16:creationId xmlns:a16="http://schemas.microsoft.com/office/drawing/2014/main" id="{C6536DAC-D6F5-4ADF-9180-F1FD0FD07CC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562105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990</xdr:row>
      <xdr:rowOff>25400</xdr:rowOff>
    </xdr:from>
    <xdr:to>
      <xdr:col>11</xdr:col>
      <xdr:colOff>571500</xdr:colOff>
      <xdr:row>991</xdr:row>
      <xdr:rowOff>0</xdr:rowOff>
    </xdr:to>
    <xdr:pic>
      <xdr:nvPicPr>
        <xdr:cNvPr id="10039" name="Рисунок 10038">
          <a:extLst>
            <a:ext uri="{FF2B5EF4-FFF2-40B4-BE49-F238E27FC236}">
              <a16:creationId xmlns:a16="http://schemas.microsoft.com/office/drawing/2014/main" id="{5560FFB6-D75A-43D7-B64F-B24BD2F9291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5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562676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991</xdr:row>
      <xdr:rowOff>25400</xdr:rowOff>
    </xdr:from>
    <xdr:to>
      <xdr:col>11</xdr:col>
      <xdr:colOff>571500</xdr:colOff>
      <xdr:row>992</xdr:row>
      <xdr:rowOff>0</xdr:rowOff>
    </xdr:to>
    <xdr:pic>
      <xdr:nvPicPr>
        <xdr:cNvPr id="10041" name="Рисунок 10040">
          <a:extLst>
            <a:ext uri="{FF2B5EF4-FFF2-40B4-BE49-F238E27FC236}">
              <a16:creationId xmlns:a16="http://schemas.microsoft.com/office/drawing/2014/main" id="{CC5A1C85-0C56-4663-BFED-EAA3153BC86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5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563248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992</xdr:row>
      <xdr:rowOff>25400</xdr:rowOff>
    </xdr:from>
    <xdr:to>
      <xdr:col>11</xdr:col>
      <xdr:colOff>571500</xdr:colOff>
      <xdr:row>993</xdr:row>
      <xdr:rowOff>0</xdr:rowOff>
    </xdr:to>
    <xdr:pic>
      <xdr:nvPicPr>
        <xdr:cNvPr id="10043" name="Рисунок 10042">
          <a:extLst>
            <a:ext uri="{FF2B5EF4-FFF2-40B4-BE49-F238E27FC236}">
              <a16:creationId xmlns:a16="http://schemas.microsoft.com/office/drawing/2014/main" id="{C8F552C5-3A29-400B-AD53-FCBB58B9889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5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563819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993</xdr:row>
      <xdr:rowOff>25400</xdr:rowOff>
    </xdr:from>
    <xdr:to>
      <xdr:col>11</xdr:col>
      <xdr:colOff>571500</xdr:colOff>
      <xdr:row>994</xdr:row>
      <xdr:rowOff>0</xdr:rowOff>
    </xdr:to>
    <xdr:pic>
      <xdr:nvPicPr>
        <xdr:cNvPr id="10045" name="Рисунок 10044">
          <a:extLst>
            <a:ext uri="{FF2B5EF4-FFF2-40B4-BE49-F238E27FC236}">
              <a16:creationId xmlns:a16="http://schemas.microsoft.com/office/drawing/2014/main" id="{2B8DC064-28B2-4F32-8E59-525C083C580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5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564391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994</xdr:row>
      <xdr:rowOff>25400</xdr:rowOff>
    </xdr:from>
    <xdr:to>
      <xdr:col>11</xdr:col>
      <xdr:colOff>571500</xdr:colOff>
      <xdr:row>995</xdr:row>
      <xdr:rowOff>0</xdr:rowOff>
    </xdr:to>
    <xdr:pic>
      <xdr:nvPicPr>
        <xdr:cNvPr id="10047" name="Рисунок 10046">
          <a:extLst>
            <a:ext uri="{FF2B5EF4-FFF2-40B4-BE49-F238E27FC236}">
              <a16:creationId xmlns:a16="http://schemas.microsoft.com/office/drawing/2014/main" id="{CC0F435B-2469-4F1B-9EEA-7613F713F8A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5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564962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995</xdr:row>
      <xdr:rowOff>25400</xdr:rowOff>
    </xdr:from>
    <xdr:to>
      <xdr:col>11</xdr:col>
      <xdr:colOff>571500</xdr:colOff>
      <xdr:row>996</xdr:row>
      <xdr:rowOff>0</xdr:rowOff>
    </xdr:to>
    <xdr:pic>
      <xdr:nvPicPr>
        <xdr:cNvPr id="10049" name="Рисунок 10048">
          <a:extLst>
            <a:ext uri="{FF2B5EF4-FFF2-40B4-BE49-F238E27FC236}">
              <a16:creationId xmlns:a16="http://schemas.microsoft.com/office/drawing/2014/main" id="{5B621C5D-B70E-4C61-A0BD-FC6FDF102FF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5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565534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996</xdr:row>
      <xdr:rowOff>25400</xdr:rowOff>
    </xdr:from>
    <xdr:to>
      <xdr:col>11</xdr:col>
      <xdr:colOff>571500</xdr:colOff>
      <xdr:row>997</xdr:row>
      <xdr:rowOff>0</xdr:rowOff>
    </xdr:to>
    <xdr:pic>
      <xdr:nvPicPr>
        <xdr:cNvPr id="10051" name="Рисунок 10050">
          <a:extLst>
            <a:ext uri="{FF2B5EF4-FFF2-40B4-BE49-F238E27FC236}">
              <a16:creationId xmlns:a16="http://schemas.microsoft.com/office/drawing/2014/main" id="{DD6C34D5-C09B-40CD-B94F-2D4E53683E8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5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566105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997</xdr:row>
      <xdr:rowOff>25400</xdr:rowOff>
    </xdr:from>
    <xdr:to>
      <xdr:col>11</xdr:col>
      <xdr:colOff>571500</xdr:colOff>
      <xdr:row>998</xdr:row>
      <xdr:rowOff>0</xdr:rowOff>
    </xdr:to>
    <xdr:pic>
      <xdr:nvPicPr>
        <xdr:cNvPr id="10053" name="Рисунок 10052">
          <a:extLst>
            <a:ext uri="{FF2B5EF4-FFF2-40B4-BE49-F238E27FC236}">
              <a16:creationId xmlns:a16="http://schemas.microsoft.com/office/drawing/2014/main" id="{69229092-0CDC-4D72-B837-9B7E9C75D8B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6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566677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998</xdr:row>
      <xdr:rowOff>25400</xdr:rowOff>
    </xdr:from>
    <xdr:to>
      <xdr:col>11</xdr:col>
      <xdr:colOff>571500</xdr:colOff>
      <xdr:row>999</xdr:row>
      <xdr:rowOff>0</xdr:rowOff>
    </xdr:to>
    <xdr:pic>
      <xdr:nvPicPr>
        <xdr:cNvPr id="10055" name="Рисунок 10054">
          <a:extLst>
            <a:ext uri="{FF2B5EF4-FFF2-40B4-BE49-F238E27FC236}">
              <a16:creationId xmlns:a16="http://schemas.microsoft.com/office/drawing/2014/main" id="{2380566B-E59D-4134-AF94-D2267F74E02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6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567248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999</xdr:row>
      <xdr:rowOff>25400</xdr:rowOff>
    </xdr:from>
    <xdr:to>
      <xdr:col>11</xdr:col>
      <xdr:colOff>571500</xdr:colOff>
      <xdr:row>1000</xdr:row>
      <xdr:rowOff>0</xdr:rowOff>
    </xdr:to>
    <xdr:pic>
      <xdr:nvPicPr>
        <xdr:cNvPr id="10057" name="Рисунок 10056">
          <a:extLst>
            <a:ext uri="{FF2B5EF4-FFF2-40B4-BE49-F238E27FC236}">
              <a16:creationId xmlns:a16="http://schemas.microsoft.com/office/drawing/2014/main" id="{18DC9F37-1C82-4FC5-BFC7-D9321540FBF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6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567820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1000</xdr:row>
      <xdr:rowOff>25400</xdr:rowOff>
    </xdr:from>
    <xdr:to>
      <xdr:col>11</xdr:col>
      <xdr:colOff>571500</xdr:colOff>
      <xdr:row>1001</xdr:row>
      <xdr:rowOff>0</xdr:rowOff>
    </xdr:to>
    <xdr:pic>
      <xdr:nvPicPr>
        <xdr:cNvPr id="10059" name="Рисунок 10058">
          <a:extLst>
            <a:ext uri="{FF2B5EF4-FFF2-40B4-BE49-F238E27FC236}">
              <a16:creationId xmlns:a16="http://schemas.microsoft.com/office/drawing/2014/main" id="{AC32D9D6-ED15-44E4-9372-E3EA90DA532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6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568391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1001</xdr:row>
      <xdr:rowOff>25400</xdr:rowOff>
    </xdr:from>
    <xdr:to>
      <xdr:col>11</xdr:col>
      <xdr:colOff>571500</xdr:colOff>
      <xdr:row>1002</xdr:row>
      <xdr:rowOff>0</xdr:rowOff>
    </xdr:to>
    <xdr:pic>
      <xdr:nvPicPr>
        <xdr:cNvPr id="10061" name="Рисунок 10060">
          <a:extLst>
            <a:ext uri="{FF2B5EF4-FFF2-40B4-BE49-F238E27FC236}">
              <a16:creationId xmlns:a16="http://schemas.microsoft.com/office/drawing/2014/main" id="{5CF28D93-6CDE-482D-9012-813DA79469A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6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568963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1002</xdr:row>
      <xdr:rowOff>25400</xdr:rowOff>
    </xdr:from>
    <xdr:to>
      <xdr:col>11</xdr:col>
      <xdr:colOff>571500</xdr:colOff>
      <xdr:row>1003</xdr:row>
      <xdr:rowOff>0</xdr:rowOff>
    </xdr:to>
    <xdr:pic>
      <xdr:nvPicPr>
        <xdr:cNvPr id="10063" name="Рисунок 10062">
          <a:extLst>
            <a:ext uri="{FF2B5EF4-FFF2-40B4-BE49-F238E27FC236}">
              <a16:creationId xmlns:a16="http://schemas.microsoft.com/office/drawing/2014/main" id="{6A658746-E590-476D-8EB4-690661C2FC1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6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569534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1003</xdr:row>
      <xdr:rowOff>25400</xdr:rowOff>
    </xdr:from>
    <xdr:to>
      <xdr:col>11</xdr:col>
      <xdr:colOff>571500</xdr:colOff>
      <xdr:row>1004</xdr:row>
      <xdr:rowOff>0</xdr:rowOff>
    </xdr:to>
    <xdr:pic>
      <xdr:nvPicPr>
        <xdr:cNvPr id="10065" name="Рисунок 10064">
          <a:extLst>
            <a:ext uri="{FF2B5EF4-FFF2-40B4-BE49-F238E27FC236}">
              <a16:creationId xmlns:a16="http://schemas.microsoft.com/office/drawing/2014/main" id="{BBB917AB-6CE6-4BCB-B272-FD7945257E8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6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570106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1004</xdr:row>
      <xdr:rowOff>25400</xdr:rowOff>
    </xdr:from>
    <xdr:to>
      <xdr:col>11</xdr:col>
      <xdr:colOff>571500</xdr:colOff>
      <xdr:row>1005</xdr:row>
      <xdr:rowOff>0</xdr:rowOff>
    </xdr:to>
    <xdr:pic>
      <xdr:nvPicPr>
        <xdr:cNvPr id="10067" name="Рисунок 10066">
          <a:extLst>
            <a:ext uri="{FF2B5EF4-FFF2-40B4-BE49-F238E27FC236}">
              <a16:creationId xmlns:a16="http://schemas.microsoft.com/office/drawing/2014/main" id="{B8A546DF-138F-49B2-834E-32B9A9BE27C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6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570677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1005</xdr:row>
      <xdr:rowOff>25400</xdr:rowOff>
    </xdr:from>
    <xdr:to>
      <xdr:col>11</xdr:col>
      <xdr:colOff>571500</xdr:colOff>
      <xdr:row>1006</xdr:row>
      <xdr:rowOff>0</xdr:rowOff>
    </xdr:to>
    <xdr:pic>
      <xdr:nvPicPr>
        <xdr:cNvPr id="10069" name="Рисунок 10068">
          <a:extLst>
            <a:ext uri="{FF2B5EF4-FFF2-40B4-BE49-F238E27FC236}">
              <a16:creationId xmlns:a16="http://schemas.microsoft.com/office/drawing/2014/main" id="{79FA8D78-B374-48CE-BFFF-05C7FF2BC18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6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571249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1006</xdr:row>
      <xdr:rowOff>25400</xdr:rowOff>
    </xdr:from>
    <xdr:to>
      <xdr:col>11</xdr:col>
      <xdr:colOff>571500</xdr:colOff>
      <xdr:row>1007</xdr:row>
      <xdr:rowOff>0</xdr:rowOff>
    </xdr:to>
    <xdr:pic>
      <xdr:nvPicPr>
        <xdr:cNvPr id="10071" name="Рисунок 10070">
          <a:extLst>
            <a:ext uri="{FF2B5EF4-FFF2-40B4-BE49-F238E27FC236}">
              <a16:creationId xmlns:a16="http://schemas.microsoft.com/office/drawing/2014/main" id="{4A00025F-88C4-4A14-9152-35023794C5C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6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571820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1007</xdr:row>
      <xdr:rowOff>25400</xdr:rowOff>
    </xdr:from>
    <xdr:to>
      <xdr:col>11</xdr:col>
      <xdr:colOff>571500</xdr:colOff>
      <xdr:row>1008</xdr:row>
      <xdr:rowOff>0</xdr:rowOff>
    </xdr:to>
    <xdr:pic>
      <xdr:nvPicPr>
        <xdr:cNvPr id="10073" name="Рисунок 10072">
          <a:extLst>
            <a:ext uri="{FF2B5EF4-FFF2-40B4-BE49-F238E27FC236}">
              <a16:creationId xmlns:a16="http://schemas.microsoft.com/office/drawing/2014/main" id="{2640673A-B307-4427-8871-9E2EA7CE5D8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7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572392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1008</xdr:row>
      <xdr:rowOff>25400</xdr:rowOff>
    </xdr:from>
    <xdr:to>
      <xdr:col>11</xdr:col>
      <xdr:colOff>571500</xdr:colOff>
      <xdr:row>1009</xdr:row>
      <xdr:rowOff>0</xdr:rowOff>
    </xdr:to>
    <xdr:pic>
      <xdr:nvPicPr>
        <xdr:cNvPr id="10075" name="Рисунок 10074">
          <a:extLst>
            <a:ext uri="{FF2B5EF4-FFF2-40B4-BE49-F238E27FC236}">
              <a16:creationId xmlns:a16="http://schemas.microsoft.com/office/drawing/2014/main" id="{DD420BD9-0F63-4BB1-ACF2-FA33C9487F4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7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572963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1009</xdr:row>
      <xdr:rowOff>25400</xdr:rowOff>
    </xdr:from>
    <xdr:to>
      <xdr:col>11</xdr:col>
      <xdr:colOff>571500</xdr:colOff>
      <xdr:row>1010</xdr:row>
      <xdr:rowOff>0</xdr:rowOff>
    </xdr:to>
    <xdr:pic>
      <xdr:nvPicPr>
        <xdr:cNvPr id="10077" name="Рисунок 10076">
          <a:extLst>
            <a:ext uri="{FF2B5EF4-FFF2-40B4-BE49-F238E27FC236}">
              <a16:creationId xmlns:a16="http://schemas.microsoft.com/office/drawing/2014/main" id="{5C51DBE5-5618-41F6-8BFF-35978B07273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7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573535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1010</xdr:row>
      <xdr:rowOff>25400</xdr:rowOff>
    </xdr:from>
    <xdr:to>
      <xdr:col>11</xdr:col>
      <xdr:colOff>571500</xdr:colOff>
      <xdr:row>1011</xdr:row>
      <xdr:rowOff>0</xdr:rowOff>
    </xdr:to>
    <xdr:pic>
      <xdr:nvPicPr>
        <xdr:cNvPr id="10079" name="Рисунок 10078">
          <a:extLst>
            <a:ext uri="{FF2B5EF4-FFF2-40B4-BE49-F238E27FC236}">
              <a16:creationId xmlns:a16="http://schemas.microsoft.com/office/drawing/2014/main" id="{FCF81B1E-B4A4-4ADB-A049-3D4228618DE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7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574106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1011</xdr:row>
      <xdr:rowOff>25400</xdr:rowOff>
    </xdr:from>
    <xdr:to>
      <xdr:col>11</xdr:col>
      <xdr:colOff>571500</xdr:colOff>
      <xdr:row>1012</xdr:row>
      <xdr:rowOff>0</xdr:rowOff>
    </xdr:to>
    <xdr:pic>
      <xdr:nvPicPr>
        <xdr:cNvPr id="10081" name="Рисунок 10080">
          <a:extLst>
            <a:ext uri="{FF2B5EF4-FFF2-40B4-BE49-F238E27FC236}">
              <a16:creationId xmlns:a16="http://schemas.microsoft.com/office/drawing/2014/main" id="{3510FB48-7BA8-4342-A195-73B3D8C1150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7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574678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1012</xdr:row>
      <xdr:rowOff>25400</xdr:rowOff>
    </xdr:from>
    <xdr:to>
      <xdr:col>11</xdr:col>
      <xdr:colOff>571500</xdr:colOff>
      <xdr:row>1013</xdr:row>
      <xdr:rowOff>0</xdr:rowOff>
    </xdr:to>
    <xdr:pic>
      <xdr:nvPicPr>
        <xdr:cNvPr id="10083" name="Рисунок 10082">
          <a:extLst>
            <a:ext uri="{FF2B5EF4-FFF2-40B4-BE49-F238E27FC236}">
              <a16:creationId xmlns:a16="http://schemas.microsoft.com/office/drawing/2014/main" id="{0444508B-B35E-41FE-B559-D3AB98B4301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7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575249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1013</xdr:row>
      <xdr:rowOff>25400</xdr:rowOff>
    </xdr:from>
    <xdr:to>
      <xdr:col>11</xdr:col>
      <xdr:colOff>571500</xdr:colOff>
      <xdr:row>1014</xdr:row>
      <xdr:rowOff>0</xdr:rowOff>
    </xdr:to>
    <xdr:pic>
      <xdr:nvPicPr>
        <xdr:cNvPr id="10085" name="Рисунок 10084">
          <a:extLst>
            <a:ext uri="{FF2B5EF4-FFF2-40B4-BE49-F238E27FC236}">
              <a16:creationId xmlns:a16="http://schemas.microsoft.com/office/drawing/2014/main" id="{5ADDA5D0-3CD1-4A07-BE13-63367B8E453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7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575821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1014</xdr:row>
      <xdr:rowOff>25400</xdr:rowOff>
    </xdr:from>
    <xdr:to>
      <xdr:col>11</xdr:col>
      <xdr:colOff>571500</xdr:colOff>
      <xdr:row>1015</xdr:row>
      <xdr:rowOff>0</xdr:rowOff>
    </xdr:to>
    <xdr:pic>
      <xdr:nvPicPr>
        <xdr:cNvPr id="10087" name="Рисунок 10086">
          <a:extLst>
            <a:ext uri="{FF2B5EF4-FFF2-40B4-BE49-F238E27FC236}">
              <a16:creationId xmlns:a16="http://schemas.microsoft.com/office/drawing/2014/main" id="{FAB49E99-BBF4-4847-BFA7-DDDC1D25AAF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7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576392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1015</xdr:row>
      <xdr:rowOff>25400</xdr:rowOff>
    </xdr:from>
    <xdr:to>
      <xdr:col>11</xdr:col>
      <xdr:colOff>571500</xdr:colOff>
      <xdr:row>1016</xdr:row>
      <xdr:rowOff>0</xdr:rowOff>
    </xdr:to>
    <xdr:pic>
      <xdr:nvPicPr>
        <xdr:cNvPr id="10089" name="Рисунок 10088">
          <a:extLst>
            <a:ext uri="{FF2B5EF4-FFF2-40B4-BE49-F238E27FC236}">
              <a16:creationId xmlns:a16="http://schemas.microsoft.com/office/drawing/2014/main" id="{A80E4048-16E0-4A89-A0D5-973BDA0B7E2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7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576964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1016</xdr:row>
      <xdr:rowOff>25400</xdr:rowOff>
    </xdr:from>
    <xdr:to>
      <xdr:col>11</xdr:col>
      <xdr:colOff>571500</xdr:colOff>
      <xdr:row>1017</xdr:row>
      <xdr:rowOff>0</xdr:rowOff>
    </xdr:to>
    <xdr:pic>
      <xdr:nvPicPr>
        <xdr:cNvPr id="10091" name="Рисунок 10090">
          <a:extLst>
            <a:ext uri="{FF2B5EF4-FFF2-40B4-BE49-F238E27FC236}">
              <a16:creationId xmlns:a16="http://schemas.microsoft.com/office/drawing/2014/main" id="{6798B0D7-5404-47E2-A9EF-54D183F64E0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7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577535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1017</xdr:row>
      <xdr:rowOff>25400</xdr:rowOff>
    </xdr:from>
    <xdr:to>
      <xdr:col>11</xdr:col>
      <xdr:colOff>571500</xdr:colOff>
      <xdr:row>1018</xdr:row>
      <xdr:rowOff>0</xdr:rowOff>
    </xdr:to>
    <xdr:pic>
      <xdr:nvPicPr>
        <xdr:cNvPr id="10093" name="Рисунок 10092">
          <a:extLst>
            <a:ext uri="{FF2B5EF4-FFF2-40B4-BE49-F238E27FC236}">
              <a16:creationId xmlns:a16="http://schemas.microsoft.com/office/drawing/2014/main" id="{330B69B8-A716-4277-9FBA-0F9AF98C056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8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578107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1018</xdr:row>
      <xdr:rowOff>25400</xdr:rowOff>
    </xdr:from>
    <xdr:to>
      <xdr:col>11</xdr:col>
      <xdr:colOff>571500</xdr:colOff>
      <xdr:row>1019</xdr:row>
      <xdr:rowOff>0</xdr:rowOff>
    </xdr:to>
    <xdr:pic>
      <xdr:nvPicPr>
        <xdr:cNvPr id="10095" name="Рисунок 10094">
          <a:extLst>
            <a:ext uri="{FF2B5EF4-FFF2-40B4-BE49-F238E27FC236}">
              <a16:creationId xmlns:a16="http://schemas.microsoft.com/office/drawing/2014/main" id="{EB143364-31F8-4BB1-8B00-84935E34BAF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8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578678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1019</xdr:row>
      <xdr:rowOff>25400</xdr:rowOff>
    </xdr:from>
    <xdr:to>
      <xdr:col>11</xdr:col>
      <xdr:colOff>571500</xdr:colOff>
      <xdr:row>1020</xdr:row>
      <xdr:rowOff>0</xdr:rowOff>
    </xdr:to>
    <xdr:pic>
      <xdr:nvPicPr>
        <xdr:cNvPr id="10097" name="Рисунок 10096">
          <a:extLst>
            <a:ext uri="{FF2B5EF4-FFF2-40B4-BE49-F238E27FC236}">
              <a16:creationId xmlns:a16="http://schemas.microsoft.com/office/drawing/2014/main" id="{87E5D5E2-439C-4AD5-A12C-82CCCCE617D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8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579250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1020</xdr:row>
      <xdr:rowOff>25400</xdr:rowOff>
    </xdr:from>
    <xdr:to>
      <xdr:col>11</xdr:col>
      <xdr:colOff>571500</xdr:colOff>
      <xdr:row>1021</xdr:row>
      <xdr:rowOff>0</xdr:rowOff>
    </xdr:to>
    <xdr:pic>
      <xdr:nvPicPr>
        <xdr:cNvPr id="10099" name="Рисунок 10098">
          <a:extLst>
            <a:ext uri="{FF2B5EF4-FFF2-40B4-BE49-F238E27FC236}">
              <a16:creationId xmlns:a16="http://schemas.microsoft.com/office/drawing/2014/main" id="{1D9F36A2-A9D3-42B4-9C58-D8D5272998E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8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579821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1021</xdr:row>
      <xdr:rowOff>25400</xdr:rowOff>
    </xdr:from>
    <xdr:to>
      <xdr:col>11</xdr:col>
      <xdr:colOff>571500</xdr:colOff>
      <xdr:row>1022</xdr:row>
      <xdr:rowOff>0</xdr:rowOff>
    </xdr:to>
    <xdr:pic>
      <xdr:nvPicPr>
        <xdr:cNvPr id="10101" name="Рисунок 10100">
          <a:extLst>
            <a:ext uri="{FF2B5EF4-FFF2-40B4-BE49-F238E27FC236}">
              <a16:creationId xmlns:a16="http://schemas.microsoft.com/office/drawing/2014/main" id="{249EDAD4-6215-4EAC-A928-B54D1619FCD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8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580393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1022</xdr:row>
      <xdr:rowOff>25400</xdr:rowOff>
    </xdr:from>
    <xdr:to>
      <xdr:col>11</xdr:col>
      <xdr:colOff>571500</xdr:colOff>
      <xdr:row>1023</xdr:row>
      <xdr:rowOff>0</xdr:rowOff>
    </xdr:to>
    <xdr:pic>
      <xdr:nvPicPr>
        <xdr:cNvPr id="10103" name="Рисунок 10102">
          <a:extLst>
            <a:ext uri="{FF2B5EF4-FFF2-40B4-BE49-F238E27FC236}">
              <a16:creationId xmlns:a16="http://schemas.microsoft.com/office/drawing/2014/main" id="{04853798-8A4E-497A-8C87-BBAC4303ACF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8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580964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1023</xdr:row>
      <xdr:rowOff>25400</xdr:rowOff>
    </xdr:from>
    <xdr:to>
      <xdr:col>11</xdr:col>
      <xdr:colOff>571500</xdr:colOff>
      <xdr:row>1024</xdr:row>
      <xdr:rowOff>0</xdr:rowOff>
    </xdr:to>
    <xdr:pic>
      <xdr:nvPicPr>
        <xdr:cNvPr id="10105" name="Рисунок 10104">
          <a:extLst>
            <a:ext uri="{FF2B5EF4-FFF2-40B4-BE49-F238E27FC236}">
              <a16:creationId xmlns:a16="http://schemas.microsoft.com/office/drawing/2014/main" id="{3522ABD9-96F5-425D-97F5-BDEEE2B8051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8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581536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1024</xdr:row>
      <xdr:rowOff>25400</xdr:rowOff>
    </xdr:from>
    <xdr:to>
      <xdr:col>11</xdr:col>
      <xdr:colOff>571500</xdr:colOff>
      <xdr:row>1025</xdr:row>
      <xdr:rowOff>0</xdr:rowOff>
    </xdr:to>
    <xdr:pic>
      <xdr:nvPicPr>
        <xdr:cNvPr id="10107" name="Рисунок 10106">
          <a:extLst>
            <a:ext uri="{FF2B5EF4-FFF2-40B4-BE49-F238E27FC236}">
              <a16:creationId xmlns:a16="http://schemas.microsoft.com/office/drawing/2014/main" id="{06BF3ACC-8767-4D8F-A61B-05355068E22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8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582107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1025</xdr:row>
      <xdr:rowOff>25400</xdr:rowOff>
    </xdr:from>
    <xdr:to>
      <xdr:col>11</xdr:col>
      <xdr:colOff>571500</xdr:colOff>
      <xdr:row>1026</xdr:row>
      <xdr:rowOff>0</xdr:rowOff>
    </xdr:to>
    <xdr:pic>
      <xdr:nvPicPr>
        <xdr:cNvPr id="10109" name="Рисунок 10108">
          <a:extLst>
            <a:ext uri="{FF2B5EF4-FFF2-40B4-BE49-F238E27FC236}">
              <a16:creationId xmlns:a16="http://schemas.microsoft.com/office/drawing/2014/main" id="{B5EA7CEC-FE26-4999-B7C3-5A896E36492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8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582679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1026</xdr:row>
      <xdr:rowOff>25400</xdr:rowOff>
    </xdr:from>
    <xdr:to>
      <xdr:col>11</xdr:col>
      <xdr:colOff>571500</xdr:colOff>
      <xdr:row>1027</xdr:row>
      <xdr:rowOff>0</xdr:rowOff>
    </xdr:to>
    <xdr:pic>
      <xdr:nvPicPr>
        <xdr:cNvPr id="10111" name="Рисунок 10110">
          <a:extLst>
            <a:ext uri="{FF2B5EF4-FFF2-40B4-BE49-F238E27FC236}">
              <a16:creationId xmlns:a16="http://schemas.microsoft.com/office/drawing/2014/main" id="{371B1DE7-F8D5-433F-865F-DCAB15D1B74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8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583250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1027</xdr:row>
      <xdr:rowOff>25400</xdr:rowOff>
    </xdr:from>
    <xdr:to>
      <xdr:col>11</xdr:col>
      <xdr:colOff>571500</xdr:colOff>
      <xdr:row>1028</xdr:row>
      <xdr:rowOff>0</xdr:rowOff>
    </xdr:to>
    <xdr:pic>
      <xdr:nvPicPr>
        <xdr:cNvPr id="10113" name="Рисунок 10112">
          <a:extLst>
            <a:ext uri="{FF2B5EF4-FFF2-40B4-BE49-F238E27FC236}">
              <a16:creationId xmlns:a16="http://schemas.microsoft.com/office/drawing/2014/main" id="{A2860DB8-6985-4BFC-ADD6-2F5C66A5075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9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583822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1028</xdr:row>
      <xdr:rowOff>25400</xdr:rowOff>
    </xdr:from>
    <xdr:to>
      <xdr:col>11</xdr:col>
      <xdr:colOff>571500</xdr:colOff>
      <xdr:row>1029</xdr:row>
      <xdr:rowOff>0</xdr:rowOff>
    </xdr:to>
    <xdr:pic>
      <xdr:nvPicPr>
        <xdr:cNvPr id="10115" name="Рисунок 10114">
          <a:extLst>
            <a:ext uri="{FF2B5EF4-FFF2-40B4-BE49-F238E27FC236}">
              <a16:creationId xmlns:a16="http://schemas.microsoft.com/office/drawing/2014/main" id="{D340A454-9B1B-49F1-9AC7-3C5E9273C8E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9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584393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1029</xdr:row>
      <xdr:rowOff>25400</xdr:rowOff>
    </xdr:from>
    <xdr:to>
      <xdr:col>11</xdr:col>
      <xdr:colOff>571500</xdr:colOff>
      <xdr:row>1030</xdr:row>
      <xdr:rowOff>0</xdr:rowOff>
    </xdr:to>
    <xdr:pic>
      <xdr:nvPicPr>
        <xdr:cNvPr id="10117" name="Рисунок 10116">
          <a:extLst>
            <a:ext uri="{FF2B5EF4-FFF2-40B4-BE49-F238E27FC236}">
              <a16:creationId xmlns:a16="http://schemas.microsoft.com/office/drawing/2014/main" id="{A1C57F5E-6D4F-4B97-AA5B-418AE5D8AE7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9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584965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1030</xdr:row>
      <xdr:rowOff>25400</xdr:rowOff>
    </xdr:from>
    <xdr:to>
      <xdr:col>11</xdr:col>
      <xdr:colOff>571500</xdr:colOff>
      <xdr:row>1031</xdr:row>
      <xdr:rowOff>0</xdr:rowOff>
    </xdr:to>
    <xdr:pic>
      <xdr:nvPicPr>
        <xdr:cNvPr id="10119" name="Рисунок 10118">
          <a:extLst>
            <a:ext uri="{FF2B5EF4-FFF2-40B4-BE49-F238E27FC236}">
              <a16:creationId xmlns:a16="http://schemas.microsoft.com/office/drawing/2014/main" id="{3B51D637-3F1C-45AD-BA6F-F4D4AF76B2D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9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585536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1031</xdr:row>
      <xdr:rowOff>25400</xdr:rowOff>
    </xdr:from>
    <xdr:to>
      <xdr:col>11</xdr:col>
      <xdr:colOff>571500</xdr:colOff>
      <xdr:row>1032</xdr:row>
      <xdr:rowOff>0</xdr:rowOff>
    </xdr:to>
    <xdr:pic>
      <xdr:nvPicPr>
        <xdr:cNvPr id="10121" name="Рисунок 10120">
          <a:extLst>
            <a:ext uri="{FF2B5EF4-FFF2-40B4-BE49-F238E27FC236}">
              <a16:creationId xmlns:a16="http://schemas.microsoft.com/office/drawing/2014/main" id="{CE3F912A-C8AE-4515-90A6-D03938B005F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9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586108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1032</xdr:row>
      <xdr:rowOff>25400</xdr:rowOff>
    </xdr:from>
    <xdr:to>
      <xdr:col>11</xdr:col>
      <xdr:colOff>571500</xdr:colOff>
      <xdr:row>1033</xdr:row>
      <xdr:rowOff>0</xdr:rowOff>
    </xdr:to>
    <xdr:pic>
      <xdr:nvPicPr>
        <xdr:cNvPr id="10123" name="Рисунок 10122">
          <a:extLst>
            <a:ext uri="{FF2B5EF4-FFF2-40B4-BE49-F238E27FC236}">
              <a16:creationId xmlns:a16="http://schemas.microsoft.com/office/drawing/2014/main" id="{EC2A6514-3190-4677-88D0-79C071157AD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9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586679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1033</xdr:row>
      <xdr:rowOff>25400</xdr:rowOff>
    </xdr:from>
    <xdr:to>
      <xdr:col>11</xdr:col>
      <xdr:colOff>571500</xdr:colOff>
      <xdr:row>1034</xdr:row>
      <xdr:rowOff>0</xdr:rowOff>
    </xdr:to>
    <xdr:pic>
      <xdr:nvPicPr>
        <xdr:cNvPr id="10125" name="Рисунок 10124">
          <a:extLst>
            <a:ext uri="{FF2B5EF4-FFF2-40B4-BE49-F238E27FC236}">
              <a16:creationId xmlns:a16="http://schemas.microsoft.com/office/drawing/2014/main" id="{FCC3544A-94E2-41F5-867D-7C85C9156BF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9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587251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1034</xdr:row>
      <xdr:rowOff>25400</xdr:rowOff>
    </xdr:from>
    <xdr:to>
      <xdr:col>11</xdr:col>
      <xdr:colOff>571500</xdr:colOff>
      <xdr:row>1035</xdr:row>
      <xdr:rowOff>0</xdr:rowOff>
    </xdr:to>
    <xdr:pic>
      <xdr:nvPicPr>
        <xdr:cNvPr id="10127" name="Рисунок 10126">
          <a:extLst>
            <a:ext uri="{FF2B5EF4-FFF2-40B4-BE49-F238E27FC236}">
              <a16:creationId xmlns:a16="http://schemas.microsoft.com/office/drawing/2014/main" id="{3DC4847D-8301-4364-9948-F5388554C44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9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587822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1035</xdr:row>
      <xdr:rowOff>25400</xdr:rowOff>
    </xdr:from>
    <xdr:to>
      <xdr:col>11</xdr:col>
      <xdr:colOff>571500</xdr:colOff>
      <xdr:row>1036</xdr:row>
      <xdr:rowOff>0</xdr:rowOff>
    </xdr:to>
    <xdr:pic>
      <xdr:nvPicPr>
        <xdr:cNvPr id="10129" name="Рисунок 10128">
          <a:extLst>
            <a:ext uri="{FF2B5EF4-FFF2-40B4-BE49-F238E27FC236}">
              <a16:creationId xmlns:a16="http://schemas.microsoft.com/office/drawing/2014/main" id="{1073C66D-7031-476A-B239-14F979A6B45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9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588394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1036</xdr:row>
      <xdr:rowOff>25400</xdr:rowOff>
    </xdr:from>
    <xdr:to>
      <xdr:col>11</xdr:col>
      <xdr:colOff>571500</xdr:colOff>
      <xdr:row>1037</xdr:row>
      <xdr:rowOff>0</xdr:rowOff>
    </xdr:to>
    <xdr:pic>
      <xdr:nvPicPr>
        <xdr:cNvPr id="10131" name="Рисунок 10130">
          <a:extLst>
            <a:ext uri="{FF2B5EF4-FFF2-40B4-BE49-F238E27FC236}">
              <a16:creationId xmlns:a16="http://schemas.microsoft.com/office/drawing/2014/main" id="{FBB9D818-520C-455F-B332-8B900BB9930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99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588965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1037</xdr:row>
      <xdr:rowOff>25400</xdr:rowOff>
    </xdr:from>
    <xdr:to>
      <xdr:col>11</xdr:col>
      <xdr:colOff>571500</xdr:colOff>
      <xdr:row>1038</xdr:row>
      <xdr:rowOff>0</xdr:rowOff>
    </xdr:to>
    <xdr:pic>
      <xdr:nvPicPr>
        <xdr:cNvPr id="10133" name="Рисунок 10132">
          <a:extLst>
            <a:ext uri="{FF2B5EF4-FFF2-40B4-BE49-F238E27FC236}">
              <a16:creationId xmlns:a16="http://schemas.microsoft.com/office/drawing/2014/main" id="{5FB75B00-1D77-4576-9088-E9240230DCD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0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589537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1038</xdr:row>
      <xdr:rowOff>25400</xdr:rowOff>
    </xdr:from>
    <xdr:to>
      <xdr:col>11</xdr:col>
      <xdr:colOff>571500</xdr:colOff>
      <xdr:row>1039</xdr:row>
      <xdr:rowOff>0</xdr:rowOff>
    </xdr:to>
    <xdr:pic>
      <xdr:nvPicPr>
        <xdr:cNvPr id="10135" name="Рисунок 10134">
          <a:extLst>
            <a:ext uri="{FF2B5EF4-FFF2-40B4-BE49-F238E27FC236}">
              <a16:creationId xmlns:a16="http://schemas.microsoft.com/office/drawing/2014/main" id="{F3F4F076-2133-4C76-B69D-C480533B3A4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0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590108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1039</xdr:row>
      <xdr:rowOff>25400</xdr:rowOff>
    </xdr:from>
    <xdr:to>
      <xdr:col>11</xdr:col>
      <xdr:colOff>571500</xdr:colOff>
      <xdr:row>1040</xdr:row>
      <xdr:rowOff>0</xdr:rowOff>
    </xdr:to>
    <xdr:pic>
      <xdr:nvPicPr>
        <xdr:cNvPr id="10137" name="Рисунок 10136">
          <a:extLst>
            <a:ext uri="{FF2B5EF4-FFF2-40B4-BE49-F238E27FC236}">
              <a16:creationId xmlns:a16="http://schemas.microsoft.com/office/drawing/2014/main" id="{B935CD00-1D95-49BF-AC34-20387A0F9A2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0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590680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1040</xdr:row>
      <xdr:rowOff>25400</xdr:rowOff>
    </xdr:from>
    <xdr:to>
      <xdr:col>11</xdr:col>
      <xdr:colOff>571500</xdr:colOff>
      <xdr:row>1041</xdr:row>
      <xdr:rowOff>0</xdr:rowOff>
    </xdr:to>
    <xdr:pic>
      <xdr:nvPicPr>
        <xdr:cNvPr id="10139" name="Рисунок 10138">
          <a:extLst>
            <a:ext uri="{FF2B5EF4-FFF2-40B4-BE49-F238E27FC236}">
              <a16:creationId xmlns:a16="http://schemas.microsoft.com/office/drawing/2014/main" id="{1C722D74-4993-41E8-B985-18DA2D46558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0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591251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1041</xdr:row>
      <xdr:rowOff>25400</xdr:rowOff>
    </xdr:from>
    <xdr:to>
      <xdr:col>11</xdr:col>
      <xdr:colOff>571500</xdr:colOff>
      <xdr:row>1042</xdr:row>
      <xdr:rowOff>0</xdr:rowOff>
    </xdr:to>
    <xdr:pic>
      <xdr:nvPicPr>
        <xdr:cNvPr id="10141" name="Рисунок 10140">
          <a:extLst>
            <a:ext uri="{FF2B5EF4-FFF2-40B4-BE49-F238E27FC236}">
              <a16:creationId xmlns:a16="http://schemas.microsoft.com/office/drawing/2014/main" id="{98AB0B70-47D9-4C08-B4DC-878003DFB7A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0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591823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1042</xdr:row>
      <xdr:rowOff>25400</xdr:rowOff>
    </xdr:from>
    <xdr:to>
      <xdr:col>11</xdr:col>
      <xdr:colOff>571500</xdr:colOff>
      <xdr:row>1043</xdr:row>
      <xdr:rowOff>0</xdr:rowOff>
    </xdr:to>
    <xdr:pic>
      <xdr:nvPicPr>
        <xdr:cNvPr id="10143" name="Рисунок 10142">
          <a:extLst>
            <a:ext uri="{FF2B5EF4-FFF2-40B4-BE49-F238E27FC236}">
              <a16:creationId xmlns:a16="http://schemas.microsoft.com/office/drawing/2014/main" id="{61ED37C4-B664-4BBE-810E-6799659C7CB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0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592394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1043</xdr:row>
      <xdr:rowOff>25400</xdr:rowOff>
    </xdr:from>
    <xdr:to>
      <xdr:col>11</xdr:col>
      <xdr:colOff>571500</xdr:colOff>
      <xdr:row>1044</xdr:row>
      <xdr:rowOff>0</xdr:rowOff>
    </xdr:to>
    <xdr:pic>
      <xdr:nvPicPr>
        <xdr:cNvPr id="10145" name="Рисунок 10144">
          <a:extLst>
            <a:ext uri="{FF2B5EF4-FFF2-40B4-BE49-F238E27FC236}">
              <a16:creationId xmlns:a16="http://schemas.microsoft.com/office/drawing/2014/main" id="{0270EFC1-2314-405C-8CE0-8565BE7C166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0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592966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1044</xdr:row>
      <xdr:rowOff>25400</xdr:rowOff>
    </xdr:from>
    <xdr:to>
      <xdr:col>11</xdr:col>
      <xdr:colOff>571500</xdr:colOff>
      <xdr:row>1045</xdr:row>
      <xdr:rowOff>0</xdr:rowOff>
    </xdr:to>
    <xdr:pic>
      <xdr:nvPicPr>
        <xdr:cNvPr id="10147" name="Рисунок 10146">
          <a:extLst>
            <a:ext uri="{FF2B5EF4-FFF2-40B4-BE49-F238E27FC236}">
              <a16:creationId xmlns:a16="http://schemas.microsoft.com/office/drawing/2014/main" id="{5FF18978-6663-4BE9-9D1A-B5195C9DF99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0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593537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1045</xdr:row>
      <xdr:rowOff>25400</xdr:rowOff>
    </xdr:from>
    <xdr:to>
      <xdr:col>11</xdr:col>
      <xdr:colOff>571500</xdr:colOff>
      <xdr:row>1046</xdr:row>
      <xdr:rowOff>0</xdr:rowOff>
    </xdr:to>
    <xdr:pic>
      <xdr:nvPicPr>
        <xdr:cNvPr id="10149" name="Рисунок 10148">
          <a:extLst>
            <a:ext uri="{FF2B5EF4-FFF2-40B4-BE49-F238E27FC236}">
              <a16:creationId xmlns:a16="http://schemas.microsoft.com/office/drawing/2014/main" id="{86E45DAB-AC44-42E2-9A8E-DA205D788D0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0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594109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1046</xdr:row>
      <xdr:rowOff>25400</xdr:rowOff>
    </xdr:from>
    <xdr:to>
      <xdr:col>11</xdr:col>
      <xdr:colOff>571500</xdr:colOff>
      <xdr:row>1047</xdr:row>
      <xdr:rowOff>0</xdr:rowOff>
    </xdr:to>
    <xdr:pic>
      <xdr:nvPicPr>
        <xdr:cNvPr id="10151" name="Рисунок 10150">
          <a:extLst>
            <a:ext uri="{FF2B5EF4-FFF2-40B4-BE49-F238E27FC236}">
              <a16:creationId xmlns:a16="http://schemas.microsoft.com/office/drawing/2014/main" id="{9C902946-0E8C-4B57-B87D-7BF8076F217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0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594680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1047</xdr:row>
      <xdr:rowOff>25400</xdr:rowOff>
    </xdr:from>
    <xdr:to>
      <xdr:col>11</xdr:col>
      <xdr:colOff>571500</xdr:colOff>
      <xdr:row>1048</xdr:row>
      <xdr:rowOff>0</xdr:rowOff>
    </xdr:to>
    <xdr:pic>
      <xdr:nvPicPr>
        <xdr:cNvPr id="10153" name="Рисунок 10152">
          <a:extLst>
            <a:ext uri="{FF2B5EF4-FFF2-40B4-BE49-F238E27FC236}">
              <a16:creationId xmlns:a16="http://schemas.microsoft.com/office/drawing/2014/main" id="{8F7896D9-193C-4A15-BA84-9B0CC478D96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595252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1048</xdr:row>
      <xdr:rowOff>25400</xdr:rowOff>
    </xdr:from>
    <xdr:to>
      <xdr:col>11</xdr:col>
      <xdr:colOff>571500</xdr:colOff>
      <xdr:row>1049</xdr:row>
      <xdr:rowOff>0</xdr:rowOff>
    </xdr:to>
    <xdr:pic>
      <xdr:nvPicPr>
        <xdr:cNvPr id="10155" name="Рисунок 10154">
          <a:extLst>
            <a:ext uri="{FF2B5EF4-FFF2-40B4-BE49-F238E27FC236}">
              <a16:creationId xmlns:a16="http://schemas.microsoft.com/office/drawing/2014/main" id="{C3038720-E855-424C-A181-70FECF8C8AB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595823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1049</xdr:row>
      <xdr:rowOff>25400</xdr:rowOff>
    </xdr:from>
    <xdr:to>
      <xdr:col>11</xdr:col>
      <xdr:colOff>571500</xdr:colOff>
      <xdr:row>1050</xdr:row>
      <xdr:rowOff>0</xdr:rowOff>
    </xdr:to>
    <xdr:pic>
      <xdr:nvPicPr>
        <xdr:cNvPr id="10157" name="Рисунок 10156">
          <a:extLst>
            <a:ext uri="{FF2B5EF4-FFF2-40B4-BE49-F238E27FC236}">
              <a16:creationId xmlns:a16="http://schemas.microsoft.com/office/drawing/2014/main" id="{379B48D3-EAE7-4831-8221-A49BCE00FA3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596395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1050</xdr:row>
      <xdr:rowOff>25400</xdr:rowOff>
    </xdr:from>
    <xdr:to>
      <xdr:col>11</xdr:col>
      <xdr:colOff>571500</xdr:colOff>
      <xdr:row>1051</xdr:row>
      <xdr:rowOff>0</xdr:rowOff>
    </xdr:to>
    <xdr:pic>
      <xdr:nvPicPr>
        <xdr:cNvPr id="10159" name="Рисунок 10158">
          <a:extLst>
            <a:ext uri="{FF2B5EF4-FFF2-40B4-BE49-F238E27FC236}">
              <a16:creationId xmlns:a16="http://schemas.microsoft.com/office/drawing/2014/main" id="{D97DC8CA-C99E-4E0C-8954-AD3BC8A6ACD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596966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1051</xdr:row>
      <xdr:rowOff>25400</xdr:rowOff>
    </xdr:from>
    <xdr:to>
      <xdr:col>11</xdr:col>
      <xdr:colOff>571500</xdr:colOff>
      <xdr:row>1052</xdr:row>
      <xdr:rowOff>0</xdr:rowOff>
    </xdr:to>
    <xdr:pic>
      <xdr:nvPicPr>
        <xdr:cNvPr id="10161" name="Рисунок 10160">
          <a:extLst>
            <a:ext uri="{FF2B5EF4-FFF2-40B4-BE49-F238E27FC236}">
              <a16:creationId xmlns:a16="http://schemas.microsoft.com/office/drawing/2014/main" id="{E471AB0A-6747-4620-BD45-47534DCCC69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597538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1052</xdr:row>
      <xdr:rowOff>25400</xdr:rowOff>
    </xdr:from>
    <xdr:to>
      <xdr:col>11</xdr:col>
      <xdr:colOff>571500</xdr:colOff>
      <xdr:row>1053</xdr:row>
      <xdr:rowOff>0</xdr:rowOff>
    </xdr:to>
    <xdr:pic>
      <xdr:nvPicPr>
        <xdr:cNvPr id="10163" name="Рисунок 10162">
          <a:extLst>
            <a:ext uri="{FF2B5EF4-FFF2-40B4-BE49-F238E27FC236}">
              <a16:creationId xmlns:a16="http://schemas.microsoft.com/office/drawing/2014/main" id="{B43659C8-B1C9-4A2B-AAAA-72B9AEC8EC1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598109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1053</xdr:row>
      <xdr:rowOff>25400</xdr:rowOff>
    </xdr:from>
    <xdr:to>
      <xdr:col>11</xdr:col>
      <xdr:colOff>571500</xdr:colOff>
      <xdr:row>1054</xdr:row>
      <xdr:rowOff>0</xdr:rowOff>
    </xdr:to>
    <xdr:pic>
      <xdr:nvPicPr>
        <xdr:cNvPr id="10165" name="Рисунок 10164">
          <a:extLst>
            <a:ext uri="{FF2B5EF4-FFF2-40B4-BE49-F238E27FC236}">
              <a16:creationId xmlns:a16="http://schemas.microsoft.com/office/drawing/2014/main" id="{A5430F7E-FA59-44AD-82AE-A2112D298B3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598681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1054</xdr:row>
      <xdr:rowOff>25400</xdr:rowOff>
    </xdr:from>
    <xdr:to>
      <xdr:col>11</xdr:col>
      <xdr:colOff>571500</xdr:colOff>
      <xdr:row>1055</xdr:row>
      <xdr:rowOff>0</xdr:rowOff>
    </xdr:to>
    <xdr:pic>
      <xdr:nvPicPr>
        <xdr:cNvPr id="10167" name="Рисунок 10166">
          <a:extLst>
            <a:ext uri="{FF2B5EF4-FFF2-40B4-BE49-F238E27FC236}">
              <a16:creationId xmlns:a16="http://schemas.microsoft.com/office/drawing/2014/main" id="{BFDBA32C-A723-4A61-8FFD-D9D3FCEDA6F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599252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1055</xdr:row>
      <xdr:rowOff>25400</xdr:rowOff>
    </xdr:from>
    <xdr:to>
      <xdr:col>11</xdr:col>
      <xdr:colOff>571500</xdr:colOff>
      <xdr:row>1056</xdr:row>
      <xdr:rowOff>0</xdr:rowOff>
    </xdr:to>
    <xdr:pic>
      <xdr:nvPicPr>
        <xdr:cNvPr id="10169" name="Рисунок 10168">
          <a:extLst>
            <a:ext uri="{FF2B5EF4-FFF2-40B4-BE49-F238E27FC236}">
              <a16:creationId xmlns:a16="http://schemas.microsoft.com/office/drawing/2014/main" id="{A3EDD3DC-D463-4C20-A910-1DD81DABF63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599824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1056</xdr:row>
      <xdr:rowOff>25400</xdr:rowOff>
    </xdr:from>
    <xdr:to>
      <xdr:col>11</xdr:col>
      <xdr:colOff>571500</xdr:colOff>
      <xdr:row>1057</xdr:row>
      <xdr:rowOff>0</xdr:rowOff>
    </xdr:to>
    <xdr:pic>
      <xdr:nvPicPr>
        <xdr:cNvPr id="10171" name="Рисунок 10170">
          <a:extLst>
            <a:ext uri="{FF2B5EF4-FFF2-40B4-BE49-F238E27FC236}">
              <a16:creationId xmlns:a16="http://schemas.microsoft.com/office/drawing/2014/main" id="{249F5229-285D-4024-81CD-69C28A13A23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600395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1057</xdr:row>
      <xdr:rowOff>25400</xdr:rowOff>
    </xdr:from>
    <xdr:to>
      <xdr:col>11</xdr:col>
      <xdr:colOff>571500</xdr:colOff>
      <xdr:row>1058</xdr:row>
      <xdr:rowOff>0</xdr:rowOff>
    </xdr:to>
    <xdr:pic>
      <xdr:nvPicPr>
        <xdr:cNvPr id="10173" name="Рисунок 10172">
          <a:extLst>
            <a:ext uri="{FF2B5EF4-FFF2-40B4-BE49-F238E27FC236}">
              <a16:creationId xmlns:a16="http://schemas.microsoft.com/office/drawing/2014/main" id="{18140BEE-A930-42A9-B0FD-1618C1A683E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600967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1058</xdr:row>
      <xdr:rowOff>25400</xdr:rowOff>
    </xdr:from>
    <xdr:to>
      <xdr:col>11</xdr:col>
      <xdr:colOff>571500</xdr:colOff>
      <xdr:row>1059</xdr:row>
      <xdr:rowOff>0</xdr:rowOff>
    </xdr:to>
    <xdr:pic>
      <xdr:nvPicPr>
        <xdr:cNvPr id="10175" name="Рисунок 10174">
          <a:extLst>
            <a:ext uri="{FF2B5EF4-FFF2-40B4-BE49-F238E27FC236}">
              <a16:creationId xmlns:a16="http://schemas.microsoft.com/office/drawing/2014/main" id="{E5F71539-DA10-4B13-B944-03AE9EE9C59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601538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1059</xdr:row>
      <xdr:rowOff>25400</xdr:rowOff>
    </xdr:from>
    <xdr:to>
      <xdr:col>11</xdr:col>
      <xdr:colOff>571500</xdr:colOff>
      <xdr:row>1060</xdr:row>
      <xdr:rowOff>0</xdr:rowOff>
    </xdr:to>
    <xdr:pic>
      <xdr:nvPicPr>
        <xdr:cNvPr id="10177" name="Рисунок 10176">
          <a:extLst>
            <a:ext uri="{FF2B5EF4-FFF2-40B4-BE49-F238E27FC236}">
              <a16:creationId xmlns:a16="http://schemas.microsoft.com/office/drawing/2014/main" id="{3DD8EFAA-CDB6-47CC-91D1-B0C1F8560A2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602110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1060</xdr:row>
      <xdr:rowOff>25400</xdr:rowOff>
    </xdr:from>
    <xdr:to>
      <xdr:col>11</xdr:col>
      <xdr:colOff>571500</xdr:colOff>
      <xdr:row>1061</xdr:row>
      <xdr:rowOff>0</xdr:rowOff>
    </xdr:to>
    <xdr:pic>
      <xdr:nvPicPr>
        <xdr:cNvPr id="10179" name="Рисунок 10178">
          <a:extLst>
            <a:ext uri="{FF2B5EF4-FFF2-40B4-BE49-F238E27FC236}">
              <a16:creationId xmlns:a16="http://schemas.microsoft.com/office/drawing/2014/main" id="{A11DA87D-A40C-42D5-848A-26FD9C5623C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602681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1061</xdr:row>
      <xdr:rowOff>25400</xdr:rowOff>
    </xdr:from>
    <xdr:to>
      <xdr:col>11</xdr:col>
      <xdr:colOff>571500</xdr:colOff>
      <xdr:row>1062</xdr:row>
      <xdr:rowOff>0</xdr:rowOff>
    </xdr:to>
    <xdr:pic>
      <xdr:nvPicPr>
        <xdr:cNvPr id="10181" name="Рисунок 10180">
          <a:extLst>
            <a:ext uri="{FF2B5EF4-FFF2-40B4-BE49-F238E27FC236}">
              <a16:creationId xmlns:a16="http://schemas.microsoft.com/office/drawing/2014/main" id="{11ADA4FE-F0B7-447A-AD1E-C910BA9D7B3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603253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1062</xdr:row>
      <xdr:rowOff>25400</xdr:rowOff>
    </xdr:from>
    <xdr:to>
      <xdr:col>11</xdr:col>
      <xdr:colOff>571500</xdr:colOff>
      <xdr:row>1063</xdr:row>
      <xdr:rowOff>0</xdr:rowOff>
    </xdr:to>
    <xdr:pic>
      <xdr:nvPicPr>
        <xdr:cNvPr id="10183" name="Рисунок 10182">
          <a:extLst>
            <a:ext uri="{FF2B5EF4-FFF2-40B4-BE49-F238E27FC236}">
              <a16:creationId xmlns:a16="http://schemas.microsoft.com/office/drawing/2014/main" id="{70A27BB2-64B0-43DF-B310-0EE3F4E4484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603824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1063</xdr:row>
      <xdr:rowOff>25400</xdr:rowOff>
    </xdr:from>
    <xdr:to>
      <xdr:col>11</xdr:col>
      <xdr:colOff>571500</xdr:colOff>
      <xdr:row>1064</xdr:row>
      <xdr:rowOff>0</xdr:rowOff>
    </xdr:to>
    <xdr:pic>
      <xdr:nvPicPr>
        <xdr:cNvPr id="10185" name="Рисунок 10184">
          <a:extLst>
            <a:ext uri="{FF2B5EF4-FFF2-40B4-BE49-F238E27FC236}">
              <a16:creationId xmlns:a16="http://schemas.microsoft.com/office/drawing/2014/main" id="{78B9E9CE-13FA-4A12-85DC-C0664D2C1D4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604396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1064</xdr:row>
      <xdr:rowOff>25400</xdr:rowOff>
    </xdr:from>
    <xdr:to>
      <xdr:col>11</xdr:col>
      <xdr:colOff>571500</xdr:colOff>
      <xdr:row>1065</xdr:row>
      <xdr:rowOff>0</xdr:rowOff>
    </xdr:to>
    <xdr:pic>
      <xdr:nvPicPr>
        <xdr:cNvPr id="10187" name="Рисунок 10186">
          <a:extLst>
            <a:ext uri="{FF2B5EF4-FFF2-40B4-BE49-F238E27FC236}">
              <a16:creationId xmlns:a16="http://schemas.microsoft.com/office/drawing/2014/main" id="{71251606-12A7-4F5C-A16C-6810C327FF9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604967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1065</xdr:row>
      <xdr:rowOff>25400</xdr:rowOff>
    </xdr:from>
    <xdr:to>
      <xdr:col>11</xdr:col>
      <xdr:colOff>571500</xdr:colOff>
      <xdr:row>1066</xdr:row>
      <xdr:rowOff>0</xdr:rowOff>
    </xdr:to>
    <xdr:pic>
      <xdr:nvPicPr>
        <xdr:cNvPr id="10189" name="Рисунок 10188">
          <a:extLst>
            <a:ext uri="{FF2B5EF4-FFF2-40B4-BE49-F238E27FC236}">
              <a16:creationId xmlns:a16="http://schemas.microsoft.com/office/drawing/2014/main" id="{93BB9B38-DAE9-468D-BEDE-ED4124911F5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605539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1066</xdr:row>
      <xdr:rowOff>25400</xdr:rowOff>
    </xdr:from>
    <xdr:to>
      <xdr:col>11</xdr:col>
      <xdr:colOff>571500</xdr:colOff>
      <xdr:row>1067</xdr:row>
      <xdr:rowOff>0</xdr:rowOff>
    </xdr:to>
    <xdr:pic>
      <xdr:nvPicPr>
        <xdr:cNvPr id="10191" name="Рисунок 10190">
          <a:extLst>
            <a:ext uri="{FF2B5EF4-FFF2-40B4-BE49-F238E27FC236}">
              <a16:creationId xmlns:a16="http://schemas.microsoft.com/office/drawing/2014/main" id="{E0FFE6C8-4763-4B0C-8762-D4761EED011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606110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1067</xdr:row>
      <xdr:rowOff>25400</xdr:rowOff>
    </xdr:from>
    <xdr:to>
      <xdr:col>11</xdr:col>
      <xdr:colOff>571500</xdr:colOff>
      <xdr:row>1068</xdr:row>
      <xdr:rowOff>0</xdr:rowOff>
    </xdr:to>
    <xdr:pic>
      <xdr:nvPicPr>
        <xdr:cNvPr id="10193" name="Рисунок 10192">
          <a:extLst>
            <a:ext uri="{FF2B5EF4-FFF2-40B4-BE49-F238E27FC236}">
              <a16:creationId xmlns:a16="http://schemas.microsoft.com/office/drawing/2014/main" id="{9D766784-39D6-4511-900D-E7936DE76AF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606682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1068</xdr:row>
      <xdr:rowOff>25400</xdr:rowOff>
    </xdr:from>
    <xdr:to>
      <xdr:col>11</xdr:col>
      <xdr:colOff>571500</xdr:colOff>
      <xdr:row>1069</xdr:row>
      <xdr:rowOff>0</xdr:rowOff>
    </xdr:to>
    <xdr:pic>
      <xdr:nvPicPr>
        <xdr:cNvPr id="10195" name="Рисунок 10194">
          <a:extLst>
            <a:ext uri="{FF2B5EF4-FFF2-40B4-BE49-F238E27FC236}">
              <a16:creationId xmlns:a16="http://schemas.microsoft.com/office/drawing/2014/main" id="{2CA9FB1D-ED7C-4518-AF7E-DC74E7244AB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3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607253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1069</xdr:row>
      <xdr:rowOff>25400</xdr:rowOff>
    </xdr:from>
    <xdr:to>
      <xdr:col>11</xdr:col>
      <xdr:colOff>571500</xdr:colOff>
      <xdr:row>1070</xdr:row>
      <xdr:rowOff>0</xdr:rowOff>
    </xdr:to>
    <xdr:pic>
      <xdr:nvPicPr>
        <xdr:cNvPr id="10197" name="Рисунок 10196">
          <a:extLst>
            <a:ext uri="{FF2B5EF4-FFF2-40B4-BE49-F238E27FC236}">
              <a16:creationId xmlns:a16="http://schemas.microsoft.com/office/drawing/2014/main" id="{3DB6DD89-1172-4A8D-8FB1-118B1B167D2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3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607825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1070</xdr:row>
      <xdr:rowOff>25400</xdr:rowOff>
    </xdr:from>
    <xdr:to>
      <xdr:col>11</xdr:col>
      <xdr:colOff>571500</xdr:colOff>
      <xdr:row>1071</xdr:row>
      <xdr:rowOff>0</xdr:rowOff>
    </xdr:to>
    <xdr:pic>
      <xdr:nvPicPr>
        <xdr:cNvPr id="10199" name="Рисунок 10198">
          <a:extLst>
            <a:ext uri="{FF2B5EF4-FFF2-40B4-BE49-F238E27FC236}">
              <a16:creationId xmlns:a16="http://schemas.microsoft.com/office/drawing/2014/main" id="{AE288977-8CBB-4B4D-8EB5-41239290AFA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3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608396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1071</xdr:row>
      <xdr:rowOff>25400</xdr:rowOff>
    </xdr:from>
    <xdr:to>
      <xdr:col>11</xdr:col>
      <xdr:colOff>571500</xdr:colOff>
      <xdr:row>1072</xdr:row>
      <xdr:rowOff>0</xdr:rowOff>
    </xdr:to>
    <xdr:pic>
      <xdr:nvPicPr>
        <xdr:cNvPr id="10201" name="Рисунок 10200">
          <a:extLst>
            <a:ext uri="{FF2B5EF4-FFF2-40B4-BE49-F238E27FC236}">
              <a16:creationId xmlns:a16="http://schemas.microsoft.com/office/drawing/2014/main" id="{812E1CD6-7763-4107-A9C7-28F80288177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3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608968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1072</xdr:row>
      <xdr:rowOff>25400</xdr:rowOff>
    </xdr:from>
    <xdr:to>
      <xdr:col>11</xdr:col>
      <xdr:colOff>571500</xdr:colOff>
      <xdr:row>1073</xdr:row>
      <xdr:rowOff>0</xdr:rowOff>
    </xdr:to>
    <xdr:pic>
      <xdr:nvPicPr>
        <xdr:cNvPr id="10203" name="Рисунок 10202">
          <a:extLst>
            <a:ext uri="{FF2B5EF4-FFF2-40B4-BE49-F238E27FC236}">
              <a16:creationId xmlns:a16="http://schemas.microsoft.com/office/drawing/2014/main" id="{9E9F910F-50A6-4179-811C-E2C2C589924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3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609539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1073</xdr:row>
      <xdr:rowOff>25400</xdr:rowOff>
    </xdr:from>
    <xdr:to>
      <xdr:col>11</xdr:col>
      <xdr:colOff>571500</xdr:colOff>
      <xdr:row>1074</xdr:row>
      <xdr:rowOff>0</xdr:rowOff>
    </xdr:to>
    <xdr:pic>
      <xdr:nvPicPr>
        <xdr:cNvPr id="10205" name="Рисунок 10204">
          <a:extLst>
            <a:ext uri="{FF2B5EF4-FFF2-40B4-BE49-F238E27FC236}">
              <a16:creationId xmlns:a16="http://schemas.microsoft.com/office/drawing/2014/main" id="{0CB5A883-C038-4E4D-9D0B-71E114BEDCE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3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610111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1074</xdr:row>
      <xdr:rowOff>25400</xdr:rowOff>
    </xdr:from>
    <xdr:to>
      <xdr:col>11</xdr:col>
      <xdr:colOff>571500</xdr:colOff>
      <xdr:row>1075</xdr:row>
      <xdr:rowOff>0</xdr:rowOff>
    </xdr:to>
    <xdr:pic>
      <xdr:nvPicPr>
        <xdr:cNvPr id="10207" name="Рисунок 10206">
          <a:extLst>
            <a:ext uri="{FF2B5EF4-FFF2-40B4-BE49-F238E27FC236}">
              <a16:creationId xmlns:a16="http://schemas.microsoft.com/office/drawing/2014/main" id="{0896138C-191A-4CCD-80CE-87D81F1F779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3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610682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1075</xdr:row>
      <xdr:rowOff>25400</xdr:rowOff>
    </xdr:from>
    <xdr:to>
      <xdr:col>11</xdr:col>
      <xdr:colOff>571500</xdr:colOff>
      <xdr:row>1076</xdr:row>
      <xdr:rowOff>0</xdr:rowOff>
    </xdr:to>
    <xdr:pic>
      <xdr:nvPicPr>
        <xdr:cNvPr id="10209" name="Рисунок 10208">
          <a:extLst>
            <a:ext uri="{FF2B5EF4-FFF2-40B4-BE49-F238E27FC236}">
              <a16:creationId xmlns:a16="http://schemas.microsoft.com/office/drawing/2014/main" id="{A59D9207-E9FA-4BA6-AE24-C111EF7B58C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3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611254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1076</xdr:row>
      <xdr:rowOff>25400</xdr:rowOff>
    </xdr:from>
    <xdr:to>
      <xdr:col>11</xdr:col>
      <xdr:colOff>571500</xdr:colOff>
      <xdr:row>1077</xdr:row>
      <xdr:rowOff>0</xdr:rowOff>
    </xdr:to>
    <xdr:pic>
      <xdr:nvPicPr>
        <xdr:cNvPr id="10211" name="Рисунок 10210">
          <a:extLst>
            <a:ext uri="{FF2B5EF4-FFF2-40B4-BE49-F238E27FC236}">
              <a16:creationId xmlns:a16="http://schemas.microsoft.com/office/drawing/2014/main" id="{8FAC062A-3E48-4E1B-AAE5-D77B761357B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3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611825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1077</xdr:row>
      <xdr:rowOff>25400</xdr:rowOff>
    </xdr:from>
    <xdr:to>
      <xdr:col>11</xdr:col>
      <xdr:colOff>571500</xdr:colOff>
      <xdr:row>1078</xdr:row>
      <xdr:rowOff>0</xdr:rowOff>
    </xdr:to>
    <xdr:pic>
      <xdr:nvPicPr>
        <xdr:cNvPr id="10213" name="Рисунок 10212">
          <a:extLst>
            <a:ext uri="{FF2B5EF4-FFF2-40B4-BE49-F238E27FC236}">
              <a16:creationId xmlns:a16="http://schemas.microsoft.com/office/drawing/2014/main" id="{8A16D90C-E301-4F76-87D8-5441CDAB261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4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612397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1078</xdr:row>
      <xdr:rowOff>25400</xdr:rowOff>
    </xdr:from>
    <xdr:to>
      <xdr:col>11</xdr:col>
      <xdr:colOff>571500</xdr:colOff>
      <xdr:row>1079</xdr:row>
      <xdr:rowOff>0</xdr:rowOff>
    </xdr:to>
    <xdr:pic>
      <xdr:nvPicPr>
        <xdr:cNvPr id="10215" name="Рисунок 10214">
          <a:extLst>
            <a:ext uri="{FF2B5EF4-FFF2-40B4-BE49-F238E27FC236}">
              <a16:creationId xmlns:a16="http://schemas.microsoft.com/office/drawing/2014/main" id="{E65EB26F-9ACF-4B1B-82D1-A75012ED6DE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4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612968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1079</xdr:row>
      <xdr:rowOff>25400</xdr:rowOff>
    </xdr:from>
    <xdr:to>
      <xdr:col>11</xdr:col>
      <xdr:colOff>571500</xdr:colOff>
      <xdr:row>1080</xdr:row>
      <xdr:rowOff>0</xdr:rowOff>
    </xdr:to>
    <xdr:pic>
      <xdr:nvPicPr>
        <xdr:cNvPr id="10217" name="Рисунок 10216">
          <a:extLst>
            <a:ext uri="{FF2B5EF4-FFF2-40B4-BE49-F238E27FC236}">
              <a16:creationId xmlns:a16="http://schemas.microsoft.com/office/drawing/2014/main" id="{56F013DF-8C7F-4998-AE4E-9AC0653BE95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613540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1080</xdr:row>
      <xdr:rowOff>25400</xdr:rowOff>
    </xdr:from>
    <xdr:to>
      <xdr:col>11</xdr:col>
      <xdr:colOff>571500</xdr:colOff>
      <xdr:row>1081</xdr:row>
      <xdr:rowOff>0</xdr:rowOff>
    </xdr:to>
    <xdr:pic>
      <xdr:nvPicPr>
        <xdr:cNvPr id="10219" name="Рисунок 10218">
          <a:extLst>
            <a:ext uri="{FF2B5EF4-FFF2-40B4-BE49-F238E27FC236}">
              <a16:creationId xmlns:a16="http://schemas.microsoft.com/office/drawing/2014/main" id="{FF98DC68-3658-41ED-A7CD-8BC89F8ED02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614111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1081</xdr:row>
      <xdr:rowOff>25400</xdr:rowOff>
    </xdr:from>
    <xdr:to>
      <xdr:col>11</xdr:col>
      <xdr:colOff>571500</xdr:colOff>
      <xdr:row>1082</xdr:row>
      <xdr:rowOff>0</xdr:rowOff>
    </xdr:to>
    <xdr:pic>
      <xdr:nvPicPr>
        <xdr:cNvPr id="10221" name="Рисунок 10220">
          <a:extLst>
            <a:ext uri="{FF2B5EF4-FFF2-40B4-BE49-F238E27FC236}">
              <a16:creationId xmlns:a16="http://schemas.microsoft.com/office/drawing/2014/main" id="{6D39CD0D-1B2C-4063-8170-9EEE5C16E9A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614683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1082</xdr:row>
      <xdr:rowOff>25400</xdr:rowOff>
    </xdr:from>
    <xdr:to>
      <xdr:col>11</xdr:col>
      <xdr:colOff>571500</xdr:colOff>
      <xdr:row>1083</xdr:row>
      <xdr:rowOff>0</xdr:rowOff>
    </xdr:to>
    <xdr:pic>
      <xdr:nvPicPr>
        <xdr:cNvPr id="10223" name="Рисунок 10222">
          <a:extLst>
            <a:ext uri="{FF2B5EF4-FFF2-40B4-BE49-F238E27FC236}">
              <a16:creationId xmlns:a16="http://schemas.microsoft.com/office/drawing/2014/main" id="{76709C5B-616D-42E8-A1ED-2EB24C95DE4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4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615254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1083</xdr:row>
      <xdr:rowOff>25400</xdr:rowOff>
    </xdr:from>
    <xdr:to>
      <xdr:col>11</xdr:col>
      <xdr:colOff>571500</xdr:colOff>
      <xdr:row>1084</xdr:row>
      <xdr:rowOff>0</xdr:rowOff>
    </xdr:to>
    <xdr:pic>
      <xdr:nvPicPr>
        <xdr:cNvPr id="10225" name="Рисунок 10224">
          <a:extLst>
            <a:ext uri="{FF2B5EF4-FFF2-40B4-BE49-F238E27FC236}">
              <a16:creationId xmlns:a16="http://schemas.microsoft.com/office/drawing/2014/main" id="{F76C7035-A56B-46BB-BDE9-84377B77BAF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4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615826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1084</xdr:row>
      <xdr:rowOff>25400</xdr:rowOff>
    </xdr:from>
    <xdr:to>
      <xdr:col>11</xdr:col>
      <xdr:colOff>571500</xdr:colOff>
      <xdr:row>1085</xdr:row>
      <xdr:rowOff>0</xdr:rowOff>
    </xdr:to>
    <xdr:pic>
      <xdr:nvPicPr>
        <xdr:cNvPr id="10227" name="Рисунок 10226">
          <a:extLst>
            <a:ext uri="{FF2B5EF4-FFF2-40B4-BE49-F238E27FC236}">
              <a16:creationId xmlns:a16="http://schemas.microsoft.com/office/drawing/2014/main" id="{16C3B4F0-14DD-487F-820A-15519DB9473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4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616397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1085</xdr:row>
      <xdr:rowOff>25400</xdr:rowOff>
    </xdr:from>
    <xdr:to>
      <xdr:col>11</xdr:col>
      <xdr:colOff>571500</xdr:colOff>
      <xdr:row>1086</xdr:row>
      <xdr:rowOff>0</xdr:rowOff>
    </xdr:to>
    <xdr:pic>
      <xdr:nvPicPr>
        <xdr:cNvPr id="10229" name="Рисунок 10228">
          <a:extLst>
            <a:ext uri="{FF2B5EF4-FFF2-40B4-BE49-F238E27FC236}">
              <a16:creationId xmlns:a16="http://schemas.microsoft.com/office/drawing/2014/main" id="{2205E954-A6F4-4C9F-BC4F-C999BC90E0A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4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616969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1086</xdr:row>
      <xdr:rowOff>25400</xdr:rowOff>
    </xdr:from>
    <xdr:to>
      <xdr:col>11</xdr:col>
      <xdr:colOff>571500</xdr:colOff>
      <xdr:row>1087</xdr:row>
      <xdr:rowOff>0</xdr:rowOff>
    </xdr:to>
    <xdr:pic>
      <xdr:nvPicPr>
        <xdr:cNvPr id="10231" name="Рисунок 10230">
          <a:extLst>
            <a:ext uri="{FF2B5EF4-FFF2-40B4-BE49-F238E27FC236}">
              <a16:creationId xmlns:a16="http://schemas.microsoft.com/office/drawing/2014/main" id="{729ACA9D-27EC-45EF-B0BC-DD7D1FAF970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4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617540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1087</xdr:row>
      <xdr:rowOff>25400</xdr:rowOff>
    </xdr:from>
    <xdr:to>
      <xdr:col>11</xdr:col>
      <xdr:colOff>839089</xdr:colOff>
      <xdr:row>1088</xdr:row>
      <xdr:rowOff>0</xdr:rowOff>
    </xdr:to>
    <xdr:pic>
      <xdr:nvPicPr>
        <xdr:cNvPr id="10233" name="Рисунок 10232">
          <a:extLst>
            <a:ext uri="{FF2B5EF4-FFF2-40B4-BE49-F238E27FC236}">
              <a16:creationId xmlns:a16="http://schemas.microsoft.com/office/drawing/2014/main" id="{6F2036E2-C012-4E4B-9370-B461DD7F644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5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618112175"/>
          <a:ext cx="813689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1088</xdr:row>
      <xdr:rowOff>25400</xdr:rowOff>
    </xdr:from>
    <xdr:to>
      <xdr:col>11</xdr:col>
      <xdr:colOff>571500</xdr:colOff>
      <xdr:row>1089</xdr:row>
      <xdr:rowOff>0</xdr:rowOff>
    </xdr:to>
    <xdr:pic>
      <xdr:nvPicPr>
        <xdr:cNvPr id="10235" name="Рисунок 10234">
          <a:extLst>
            <a:ext uri="{FF2B5EF4-FFF2-40B4-BE49-F238E27FC236}">
              <a16:creationId xmlns:a16="http://schemas.microsoft.com/office/drawing/2014/main" id="{7B208800-E101-41B8-BCEF-4272ED32BDF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5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618683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1089</xdr:row>
      <xdr:rowOff>25400</xdr:rowOff>
    </xdr:from>
    <xdr:to>
      <xdr:col>11</xdr:col>
      <xdr:colOff>571500</xdr:colOff>
      <xdr:row>1090</xdr:row>
      <xdr:rowOff>0</xdr:rowOff>
    </xdr:to>
    <xdr:pic>
      <xdr:nvPicPr>
        <xdr:cNvPr id="10237" name="Рисунок 10236">
          <a:extLst>
            <a:ext uri="{FF2B5EF4-FFF2-40B4-BE49-F238E27FC236}">
              <a16:creationId xmlns:a16="http://schemas.microsoft.com/office/drawing/2014/main" id="{DA5A702C-40EB-4AE7-80D4-48D71905016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619255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1090</xdr:row>
      <xdr:rowOff>25400</xdr:rowOff>
    </xdr:from>
    <xdr:to>
      <xdr:col>11</xdr:col>
      <xdr:colOff>571500</xdr:colOff>
      <xdr:row>1091</xdr:row>
      <xdr:rowOff>0</xdr:rowOff>
    </xdr:to>
    <xdr:pic>
      <xdr:nvPicPr>
        <xdr:cNvPr id="10239" name="Рисунок 10238">
          <a:extLst>
            <a:ext uri="{FF2B5EF4-FFF2-40B4-BE49-F238E27FC236}">
              <a16:creationId xmlns:a16="http://schemas.microsoft.com/office/drawing/2014/main" id="{A92C1BDD-103F-4998-AA9A-211E1826C6B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5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619826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1091</xdr:row>
      <xdr:rowOff>25400</xdr:rowOff>
    </xdr:from>
    <xdr:to>
      <xdr:col>11</xdr:col>
      <xdr:colOff>571500</xdr:colOff>
      <xdr:row>1092</xdr:row>
      <xdr:rowOff>0</xdr:rowOff>
    </xdr:to>
    <xdr:pic>
      <xdr:nvPicPr>
        <xdr:cNvPr id="10241" name="Рисунок 10240">
          <a:extLst>
            <a:ext uri="{FF2B5EF4-FFF2-40B4-BE49-F238E27FC236}">
              <a16:creationId xmlns:a16="http://schemas.microsoft.com/office/drawing/2014/main" id="{2FDB516F-21F7-426B-9EC0-C595AF8EA43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5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620398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1092</xdr:row>
      <xdr:rowOff>25400</xdr:rowOff>
    </xdr:from>
    <xdr:to>
      <xdr:col>11</xdr:col>
      <xdr:colOff>571500</xdr:colOff>
      <xdr:row>1093</xdr:row>
      <xdr:rowOff>0</xdr:rowOff>
    </xdr:to>
    <xdr:pic>
      <xdr:nvPicPr>
        <xdr:cNvPr id="10243" name="Рисунок 10242">
          <a:extLst>
            <a:ext uri="{FF2B5EF4-FFF2-40B4-BE49-F238E27FC236}">
              <a16:creationId xmlns:a16="http://schemas.microsoft.com/office/drawing/2014/main" id="{3F48163D-B422-49EB-A3FD-07AD271CC5F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5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620969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1093</xdr:row>
      <xdr:rowOff>25400</xdr:rowOff>
    </xdr:from>
    <xdr:to>
      <xdr:col>11</xdr:col>
      <xdr:colOff>571500</xdr:colOff>
      <xdr:row>1094</xdr:row>
      <xdr:rowOff>0</xdr:rowOff>
    </xdr:to>
    <xdr:pic>
      <xdr:nvPicPr>
        <xdr:cNvPr id="10245" name="Рисунок 10244">
          <a:extLst>
            <a:ext uri="{FF2B5EF4-FFF2-40B4-BE49-F238E27FC236}">
              <a16:creationId xmlns:a16="http://schemas.microsoft.com/office/drawing/2014/main" id="{E51F393B-2B8F-4CA4-872A-7E806E417A2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5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621541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1094</xdr:row>
      <xdr:rowOff>25400</xdr:rowOff>
    </xdr:from>
    <xdr:to>
      <xdr:col>11</xdr:col>
      <xdr:colOff>571500</xdr:colOff>
      <xdr:row>1095</xdr:row>
      <xdr:rowOff>0</xdr:rowOff>
    </xdr:to>
    <xdr:pic>
      <xdr:nvPicPr>
        <xdr:cNvPr id="10247" name="Рисунок 10246">
          <a:extLst>
            <a:ext uri="{FF2B5EF4-FFF2-40B4-BE49-F238E27FC236}">
              <a16:creationId xmlns:a16="http://schemas.microsoft.com/office/drawing/2014/main" id="{94765EE3-BBB5-4BF8-AB04-FFC2F690029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5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622112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1095</xdr:row>
      <xdr:rowOff>25400</xdr:rowOff>
    </xdr:from>
    <xdr:to>
      <xdr:col>11</xdr:col>
      <xdr:colOff>571500</xdr:colOff>
      <xdr:row>1096</xdr:row>
      <xdr:rowOff>0</xdr:rowOff>
    </xdr:to>
    <xdr:pic>
      <xdr:nvPicPr>
        <xdr:cNvPr id="10249" name="Рисунок 10248">
          <a:extLst>
            <a:ext uri="{FF2B5EF4-FFF2-40B4-BE49-F238E27FC236}">
              <a16:creationId xmlns:a16="http://schemas.microsoft.com/office/drawing/2014/main" id="{6359BDFE-FAE8-476C-AEBF-AE7688D33FD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5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622684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1096</xdr:row>
      <xdr:rowOff>25400</xdr:rowOff>
    </xdr:from>
    <xdr:to>
      <xdr:col>11</xdr:col>
      <xdr:colOff>571500</xdr:colOff>
      <xdr:row>1097</xdr:row>
      <xdr:rowOff>0</xdr:rowOff>
    </xdr:to>
    <xdr:pic>
      <xdr:nvPicPr>
        <xdr:cNvPr id="10251" name="Рисунок 10250">
          <a:extLst>
            <a:ext uri="{FF2B5EF4-FFF2-40B4-BE49-F238E27FC236}">
              <a16:creationId xmlns:a16="http://schemas.microsoft.com/office/drawing/2014/main" id="{0D31DDFD-4066-4D36-9F36-98D2C58CC25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5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623255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1097</xdr:row>
      <xdr:rowOff>25400</xdr:rowOff>
    </xdr:from>
    <xdr:to>
      <xdr:col>11</xdr:col>
      <xdr:colOff>571500</xdr:colOff>
      <xdr:row>1098</xdr:row>
      <xdr:rowOff>0</xdr:rowOff>
    </xdr:to>
    <xdr:pic>
      <xdr:nvPicPr>
        <xdr:cNvPr id="10253" name="Рисунок 10252">
          <a:extLst>
            <a:ext uri="{FF2B5EF4-FFF2-40B4-BE49-F238E27FC236}">
              <a16:creationId xmlns:a16="http://schemas.microsoft.com/office/drawing/2014/main" id="{1E24F447-F14E-4434-8CF1-FD22D728C9D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6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623827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1098</xdr:row>
      <xdr:rowOff>25400</xdr:rowOff>
    </xdr:from>
    <xdr:to>
      <xdr:col>11</xdr:col>
      <xdr:colOff>571500</xdr:colOff>
      <xdr:row>1099</xdr:row>
      <xdr:rowOff>0</xdr:rowOff>
    </xdr:to>
    <xdr:pic>
      <xdr:nvPicPr>
        <xdr:cNvPr id="10255" name="Рисунок 10254">
          <a:extLst>
            <a:ext uri="{FF2B5EF4-FFF2-40B4-BE49-F238E27FC236}">
              <a16:creationId xmlns:a16="http://schemas.microsoft.com/office/drawing/2014/main" id="{6369AA6C-A016-4747-A798-24D6B0128BC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6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624398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1099</xdr:row>
      <xdr:rowOff>25400</xdr:rowOff>
    </xdr:from>
    <xdr:to>
      <xdr:col>11</xdr:col>
      <xdr:colOff>571500</xdr:colOff>
      <xdr:row>1100</xdr:row>
      <xdr:rowOff>0</xdr:rowOff>
    </xdr:to>
    <xdr:pic>
      <xdr:nvPicPr>
        <xdr:cNvPr id="10257" name="Рисунок 10256">
          <a:extLst>
            <a:ext uri="{FF2B5EF4-FFF2-40B4-BE49-F238E27FC236}">
              <a16:creationId xmlns:a16="http://schemas.microsoft.com/office/drawing/2014/main" id="{CB8D5FFA-AB5D-4D1C-BA9A-BB1307005C5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6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624970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1100</xdr:row>
      <xdr:rowOff>25400</xdr:rowOff>
    </xdr:from>
    <xdr:to>
      <xdr:col>11</xdr:col>
      <xdr:colOff>571500</xdr:colOff>
      <xdr:row>1101</xdr:row>
      <xdr:rowOff>0</xdr:rowOff>
    </xdr:to>
    <xdr:pic>
      <xdr:nvPicPr>
        <xdr:cNvPr id="10259" name="Рисунок 10258">
          <a:extLst>
            <a:ext uri="{FF2B5EF4-FFF2-40B4-BE49-F238E27FC236}">
              <a16:creationId xmlns:a16="http://schemas.microsoft.com/office/drawing/2014/main" id="{77E68042-2B51-47E2-BB33-113621B7286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6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625541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1101</xdr:row>
      <xdr:rowOff>25400</xdr:rowOff>
    </xdr:from>
    <xdr:to>
      <xdr:col>11</xdr:col>
      <xdr:colOff>571500</xdr:colOff>
      <xdr:row>1102</xdr:row>
      <xdr:rowOff>0</xdr:rowOff>
    </xdr:to>
    <xdr:pic>
      <xdr:nvPicPr>
        <xdr:cNvPr id="10261" name="Рисунок 10260">
          <a:extLst>
            <a:ext uri="{FF2B5EF4-FFF2-40B4-BE49-F238E27FC236}">
              <a16:creationId xmlns:a16="http://schemas.microsoft.com/office/drawing/2014/main" id="{6D4CCD41-4729-4A7C-9773-E7FBA13491B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6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626113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1102</xdr:row>
      <xdr:rowOff>25400</xdr:rowOff>
    </xdr:from>
    <xdr:to>
      <xdr:col>11</xdr:col>
      <xdr:colOff>571500</xdr:colOff>
      <xdr:row>1103</xdr:row>
      <xdr:rowOff>0</xdr:rowOff>
    </xdr:to>
    <xdr:pic>
      <xdr:nvPicPr>
        <xdr:cNvPr id="10263" name="Рисунок 10262">
          <a:extLst>
            <a:ext uri="{FF2B5EF4-FFF2-40B4-BE49-F238E27FC236}">
              <a16:creationId xmlns:a16="http://schemas.microsoft.com/office/drawing/2014/main" id="{251A1D22-0C5A-4C5D-86A4-174F0FAF5BD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6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626684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1103</xdr:row>
      <xdr:rowOff>25400</xdr:rowOff>
    </xdr:from>
    <xdr:to>
      <xdr:col>11</xdr:col>
      <xdr:colOff>571500</xdr:colOff>
      <xdr:row>1104</xdr:row>
      <xdr:rowOff>0</xdr:rowOff>
    </xdr:to>
    <xdr:pic>
      <xdr:nvPicPr>
        <xdr:cNvPr id="10265" name="Рисунок 10264">
          <a:extLst>
            <a:ext uri="{FF2B5EF4-FFF2-40B4-BE49-F238E27FC236}">
              <a16:creationId xmlns:a16="http://schemas.microsoft.com/office/drawing/2014/main" id="{2A28A4E3-B6D7-4746-839A-258C61C32E6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6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627256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1104</xdr:row>
      <xdr:rowOff>25400</xdr:rowOff>
    </xdr:from>
    <xdr:to>
      <xdr:col>11</xdr:col>
      <xdr:colOff>571500</xdr:colOff>
      <xdr:row>1105</xdr:row>
      <xdr:rowOff>0</xdr:rowOff>
    </xdr:to>
    <xdr:pic>
      <xdr:nvPicPr>
        <xdr:cNvPr id="10267" name="Рисунок 10266">
          <a:extLst>
            <a:ext uri="{FF2B5EF4-FFF2-40B4-BE49-F238E27FC236}">
              <a16:creationId xmlns:a16="http://schemas.microsoft.com/office/drawing/2014/main" id="{2874EA0C-F015-4A50-9E96-121523F616A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6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627827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1105</xdr:row>
      <xdr:rowOff>25400</xdr:rowOff>
    </xdr:from>
    <xdr:to>
      <xdr:col>11</xdr:col>
      <xdr:colOff>571500</xdr:colOff>
      <xdr:row>1106</xdr:row>
      <xdr:rowOff>0</xdr:rowOff>
    </xdr:to>
    <xdr:pic>
      <xdr:nvPicPr>
        <xdr:cNvPr id="10269" name="Рисунок 10268">
          <a:extLst>
            <a:ext uri="{FF2B5EF4-FFF2-40B4-BE49-F238E27FC236}">
              <a16:creationId xmlns:a16="http://schemas.microsoft.com/office/drawing/2014/main" id="{10A3E0F3-57A4-43CA-B80A-BE1E2E305F2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6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628399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1106</xdr:row>
      <xdr:rowOff>25400</xdr:rowOff>
    </xdr:from>
    <xdr:to>
      <xdr:col>11</xdr:col>
      <xdr:colOff>571500</xdr:colOff>
      <xdr:row>1107</xdr:row>
      <xdr:rowOff>0</xdr:rowOff>
    </xdr:to>
    <xdr:pic>
      <xdr:nvPicPr>
        <xdr:cNvPr id="10271" name="Рисунок 10270">
          <a:extLst>
            <a:ext uri="{FF2B5EF4-FFF2-40B4-BE49-F238E27FC236}">
              <a16:creationId xmlns:a16="http://schemas.microsoft.com/office/drawing/2014/main" id="{20F1D868-B5B9-4D23-BC6C-4FD0AB0B5FC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6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628970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1107</xdr:row>
      <xdr:rowOff>25400</xdr:rowOff>
    </xdr:from>
    <xdr:to>
      <xdr:col>11</xdr:col>
      <xdr:colOff>571500</xdr:colOff>
      <xdr:row>1108</xdr:row>
      <xdr:rowOff>0</xdr:rowOff>
    </xdr:to>
    <xdr:pic>
      <xdr:nvPicPr>
        <xdr:cNvPr id="10273" name="Рисунок 10272">
          <a:extLst>
            <a:ext uri="{FF2B5EF4-FFF2-40B4-BE49-F238E27FC236}">
              <a16:creationId xmlns:a16="http://schemas.microsoft.com/office/drawing/2014/main" id="{63A84976-223F-496A-AB90-F53CFB9C784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7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629542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1108</xdr:row>
      <xdr:rowOff>25400</xdr:rowOff>
    </xdr:from>
    <xdr:to>
      <xdr:col>11</xdr:col>
      <xdr:colOff>571500</xdr:colOff>
      <xdr:row>1109</xdr:row>
      <xdr:rowOff>0</xdr:rowOff>
    </xdr:to>
    <xdr:pic>
      <xdr:nvPicPr>
        <xdr:cNvPr id="10275" name="Рисунок 10274">
          <a:extLst>
            <a:ext uri="{FF2B5EF4-FFF2-40B4-BE49-F238E27FC236}">
              <a16:creationId xmlns:a16="http://schemas.microsoft.com/office/drawing/2014/main" id="{EAD14C2C-5555-48E8-B922-BAB08197759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7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630113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1109</xdr:row>
      <xdr:rowOff>25400</xdr:rowOff>
    </xdr:from>
    <xdr:to>
      <xdr:col>11</xdr:col>
      <xdr:colOff>571500</xdr:colOff>
      <xdr:row>1110</xdr:row>
      <xdr:rowOff>0</xdr:rowOff>
    </xdr:to>
    <xdr:pic>
      <xdr:nvPicPr>
        <xdr:cNvPr id="10277" name="Рисунок 10276">
          <a:extLst>
            <a:ext uri="{FF2B5EF4-FFF2-40B4-BE49-F238E27FC236}">
              <a16:creationId xmlns:a16="http://schemas.microsoft.com/office/drawing/2014/main" id="{CF580F1A-4E63-4CD5-898E-E4775FDC800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7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630685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1110</xdr:row>
      <xdr:rowOff>25400</xdr:rowOff>
    </xdr:from>
    <xdr:to>
      <xdr:col>11</xdr:col>
      <xdr:colOff>571500</xdr:colOff>
      <xdr:row>1111</xdr:row>
      <xdr:rowOff>0</xdr:rowOff>
    </xdr:to>
    <xdr:pic>
      <xdr:nvPicPr>
        <xdr:cNvPr id="10279" name="Рисунок 10278">
          <a:extLst>
            <a:ext uri="{FF2B5EF4-FFF2-40B4-BE49-F238E27FC236}">
              <a16:creationId xmlns:a16="http://schemas.microsoft.com/office/drawing/2014/main" id="{B36E8957-FFB2-4B09-8A7D-F80F5515763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7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631256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1111</xdr:row>
      <xdr:rowOff>25400</xdr:rowOff>
    </xdr:from>
    <xdr:to>
      <xdr:col>11</xdr:col>
      <xdr:colOff>571500</xdr:colOff>
      <xdr:row>1112</xdr:row>
      <xdr:rowOff>0</xdr:rowOff>
    </xdr:to>
    <xdr:pic>
      <xdr:nvPicPr>
        <xdr:cNvPr id="10281" name="Рисунок 10280">
          <a:extLst>
            <a:ext uri="{FF2B5EF4-FFF2-40B4-BE49-F238E27FC236}">
              <a16:creationId xmlns:a16="http://schemas.microsoft.com/office/drawing/2014/main" id="{A0417041-55AD-4133-BCA5-3E23CA0B902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7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631828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1112</xdr:row>
      <xdr:rowOff>25400</xdr:rowOff>
    </xdr:from>
    <xdr:to>
      <xdr:col>11</xdr:col>
      <xdr:colOff>571500</xdr:colOff>
      <xdr:row>1113</xdr:row>
      <xdr:rowOff>0</xdr:rowOff>
    </xdr:to>
    <xdr:pic>
      <xdr:nvPicPr>
        <xdr:cNvPr id="10283" name="Рисунок 10282">
          <a:extLst>
            <a:ext uri="{FF2B5EF4-FFF2-40B4-BE49-F238E27FC236}">
              <a16:creationId xmlns:a16="http://schemas.microsoft.com/office/drawing/2014/main" id="{A11CD68B-DBC9-477D-81A1-813C1DD052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7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632399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1113</xdr:row>
      <xdr:rowOff>25400</xdr:rowOff>
    </xdr:from>
    <xdr:to>
      <xdr:col>11</xdr:col>
      <xdr:colOff>571500</xdr:colOff>
      <xdr:row>1114</xdr:row>
      <xdr:rowOff>0</xdr:rowOff>
    </xdr:to>
    <xdr:pic>
      <xdr:nvPicPr>
        <xdr:cNvPr id="10285" name="Рисунок 10284">
          <a:extLst>
            <a:ext uri="{FF2B5EF4-FFF2-40B4-BE49-F238E27FC236}">
              <a16:creationId xmlns:a16="http://schemas.microsoft.com/office/drawing/2014/main" id="{938DDC7D-7C13-4302-9421-77D0DF32229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7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632971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1114</xdr:row>
      <xdr:rowOff>25400</xdr:rowOff>
    </xdr:from>
    <xdr:to>
      <xdr:col>11</xdr:col>
      <xdr:colOff>571500</xdr:colOff>
      <xdr:row>1115</xdr:row>
      <xdr:rowOff>0</xdr:rowOff>
    </xdr:to>
    <xdr:pic>
      <xdr:nvPicPr>
        <xdr:cNvPr id="10287" name="Рисунок 10286">
          <a:extLst>
            <a:ext uri="{FF2B5EF4-FFF2-40B4-BE49-F238E27FC236}">
              <a16:creationId xmlns:a16="http://schemas.microsoft.com/office/drawing/2014/main" id="{7CA72D52-290E-4DB7-A4B3-E36FD40ECCE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7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633542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1115</xdr:row>
      <xdr:rowOff>25400</xdr:rowOff>
    </xdr:from>
    <xdr:to>
      <xdr:col>11</xdr:col>
      <xdr:colOff>571500</xdr:colOff>
      <xdr:row>1116</xdr:row>
      <xdr:rowOff>0</xdr:rowOff>
    </xdr:to>
    <xdr:pic>
      <xdr:nvPicPr>
        <xdr:cNvPr id="10289" name="Рисунок 10288">
          <a:extLst>
            <a:ext uri="{FF2B5EF4-FFF2-40B4-BE49-F238E27FC236}">
              <a16:creationId xmlns:a16="http://schemas.microsoft.com/office/drawing/2014/main" id="{3A3CFECA-877B-4D5B-AA8D-8B17292E83A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7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634114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1116</xdr:row>
      <xdr:rowOff>25400</xdr:rowOff>
    </xdr:from>
    <xdr:to>
      <xdr:col>11</xdr:col>
      <xdr:colOff>571500</xdr:colOff>
      <xdr:row>1117</xdr:row>
      <xdr:rowOff>0</xdr:rowOff>
    </xdr:to>
    <xdr:pic>
      <xdr:nvPicPr>
        <xdr:cNvPr id="10291" name="Рисунок 10290">
          <a:extLst>
            <a:ext uri="{FF2B5EF4-FFF2-40B4-BE49-F238E27FC236}">
              <a16:creationId xmlns:a16="http://schemas.microsoft.com/office/drawing/2014/main" id="{E4D530A3-77FE-47AC-B999-1B104CD9DAF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7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634685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1117</xdr:row>
      <xdr:rowOff>25400</xdr:rowOff>
    </xdr:from>
    <xdr:to>
      <xdr:col>11</xdr:col>
      <xdr:colOff>571500</xdr:colOff>
      <xdr:row>1118</xdr:row>
      <xdr:rowOff>0</xdr:rowOff>
    </xdr:to>
    <xdr:pic>
      <xdr:nvPicPr>
        <xdr:cNvPr id="10293" name="Рисунок 10292">
          <a:extLst>
            <a:ext uri="{FF2B5EF4-FFF2-40B4-BE49-F238E27FC236}">
              <a16:creationId xmlns:a16="http://schemas.microsoft.com/office/drawing/2014/main" id="{F8A10A1A-84B4-4637-A6B6-FA02EE96BD8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8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635257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1118</xdr:row>
      <xdr:rowOff>25400</xdr:rowOff>
    </xdr:from>
    <xdr:to>
      <xdr:col>11</xdr:col>
      <xdr:colOff>571500</xdr:colOff>
      <xdr:row>1119</xdr:row>
      <xdr:rowOff>0</xdr:rowOff>
    </xdr:to>
    <xdr:pic>
      <xdr:nvPicPr>
        <xdr:cNvPr id="10295" name="Рисунок 10294">
          <a:extLst>
            <a:ext uri="{FF2B5EF4-FFF2-40B4-BE49-F238E27FC236}">
              <a16:creationId xmlns:a16="http://schemas.microsoft.com/office/drawing/2014/main" id="{64A5580A-CE8A-4851-9D16-0725916B1BF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8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635828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1119</xdr:row>
      <xdr:rowOff>25400</xdr:rowOff>
    </xdr:from>
    <xdr:to>
      <xdr:col>11</xdr:col>
      <xdr:colOff>571500</xdr:colOff>
      <xdr:row>1120</xdr:row>
      <xdr:rowOff>0</xdr:rowOff>
    </xdr:to>
    <xdr:pic>
      <xdr:nvPicPr>
        <xdr:cNvPr id="10297" name="Рисунок 10296">
          <a:extLst>
            <a:ext uri="{FF2B5EF4-FFF2-40B4-BE49-F238E27FC236}">
              <a16:creationId xmlns:a16="http://schemas.microsoft.com/office/drawing/2014/main" id="{6B375C77-BD38-4CA1-81D4-450AE7F3AD4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8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636400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1120</xdr:row>
      <xdr:rowOff>25400</xdr:rowOff>
    </xdr:from>
    <xdr:to>
      <xdr:col>11</xdr:col>
      <xdr:colOff>571500</xdr:colOff>
      <xdr:row>1121</xdr:row>
      <xdr:rowOff>0</xdr:rowOff>
    </xdr:to>
    <xdr:pic>
      <xdr:nvPicPr>
        <xdr:cNvPr id="10299" name="Рисунок 10298">
          <a:extLst>
            <a:ext uri="{FF2B5EF4-FFF2-40B4-BE49-F238E27FC236}">
              <a16:creationId xmlns:a16="http://schemas.microsoft.com/office/drawing/2014/main" id="{54BBBBBF-1295-4232-A18E-FE3666E974D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8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636971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1121</xdr:row>
      <xdr:rowOff>25400</xdr:rowOff>
    </xdr:from>
    <xdr:to>
      <xdr:col>11</xdr:col>
      <xdr:colOff>571500</xdr:colOff>
      <xdr:row>1122</xdr:row>
      <xdr:rowOff>0</xdr:rowOff>
    </xdr:to>
    <xdr:pic>
      <xdr:nvPicPr>
        <xdr:cNvPr id="10301" name="Рисунок 10300">
          <a:extLst>
            <a:ext uri="{FF2B5EF4-FFF2-40B4-BE49-F238E27FC236}">
              <a16:creationId xmlns:a16="http://schemas.microsoft.com/office/drawing/2014/main" id="{52116AD9-DB36-4CDE-BC08-EDDCB622D6F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8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637543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1122</xdr:row>
      <xdr:rowOff>25400</xdr:rowOff>
    </xdr:from>
    <xdr:to>
      <xdr:col>11</xdr:col>
      <xdr:colOff>571500</xdr:colOff>
      <xdr:row>1123</xdr:row>
      <xdr:rowOff>0</xdr:rowOff>
    </xdr:to>
    <xdr:pic>
      <xdr:nvPicPr>
        <xdr:cNvPr id="10303" name="Рисунок 10302">
          <a:extLst>
            <a:ext uri="{FF2B5EF4-FFF2-40B4-BE49-F238E27FC236}">
              <a16:creationId xmlns:a16="http://schemas.microsoft.com/office/drawing/2014/main" id="{3DE70991-2AD4-40A1-AE66-1AEA2CD8AA6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8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638114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1123</xdr:row>
      <xdr:rowOff>25400</xdr:rowOff>
    </xdr:from>
    <xdr:to>
      <xdr:col>11</xdr:col>
      <xdr:colOff>571500</xdr:colOff>
      <xdr:row>1124</xdr:row>
      <xdr:rowOff>0</xdr:rowOff>
    </xdr:to>
    <xdr:pic>
      <xdr:nvPicPr>
        <xdr:cNvPr id="10305" name="Рисунок 10304">
          <a:extLst>
            <a:ext uri="{FF2B5EF4-FFF2-40B4-BE49-F238E27FC236}">
              <a16:creationId xmlns:a16="http://schemas.microsoft.com/office/drawing/2014/main" id="{E0E8D27D-A623-4A68-A8CB-5F10244B4FD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8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638686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1124</xdr:row>
      <xdr:rowOff>25400</xdr:rowOff>
    </xdr:from>
    <xdr:to>
      <xdr:col>11</xdr:col>
      <xdr:colOff>571500</xdr:colOff>
      <xdr:row>1125</xdr:row>
      <xdr:rowOff>0</xdr:rowOff>
    </xdr:to>
    <xdr:pic>
      <xdr:nvPicPr>
        <xdr:cNvPr id="10307" name="Рисунок 10306">
          <a:extLst>
            <a:ext uri="{FF2B5EF4-FFF2-40B4-BE49-F238E27FC236}">
              <a16:creationId xmlns:a16="http://schemas.microsoft.com/office/drawing/2014/main" id="{E2EEEF78-C97F-4866-9E09-253DDC4383C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8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639257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1125</xdr:row>
      <xdr:rowOff>25400</xdr:rowOff>
    </xdr:from>
    <xdr:to>
      <xdr:col>11</xdr:col>
      <xdr:colOff>571500</xdr:colOff>
      <xdr:row>1126</xdr:row>
      <xdr:rowOff>0</xdr:rowOff>
    </xdr:to>
    <xdr:pic>
      <xdr:nvPicPr>
        <xdr:cNvPr id="10309" name="Рисунок 10308">
          <a:extLst>
            <a:ext uri="{FF2B5EF4-FFF2-40B4-BE49-F238E27FC236}">
              <a16:creationId xmlns:a16="http://schemas.microsoft.com/office/drawing/2014/main" id="{66E39572-61E8-4FA0-92F5-2C32E63D05E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8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639829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1126</xdr:row>
      <xdr:rowOff>25400</xdr:rowOff>
    </xdr:from>
    <xdr:to>
      <xdr:col>11</xdr:col>
      <xdr:colOff>571500</xdr:colOff>
      <xdr:row>1127</xdr:row>
      <xdr:rowOff>0</xdr:rowOff>
    </xdr:to>
    <xdr:pic>
      <xdr:nvPicPr>
        <xdr:cNvPr id="10311" name="Рисунок 10310">
          <a:extLst>
            <a:ext uri="{FF2B5EF4-FFF2-40B4-BE49-F238E27FC236}">
              <a16:creationId xmlns:a16="http://schemas.microsoft.com/office/drawing/2014/main" id="{957F26A0-CC89-4703-B9C0-7D37DB5D3F8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8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640400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1127</xdr:row>
      <xdr:rowOff>25400</xdr:rowOff>
    </xdr:from>
    <xdr:to>
      <xdr:col>11</xdr:col>
      <xdr:colOff>571500</xdr:colOff>
      <xdr:row>1128</xdr:row>
      <xdr:rowOff>0</xdr:rowOff>
    </xdr:to>
    <xdr:pic>
      <xdr:nvPicPr>
        <xdr:cNvPr id="10313" name="Рисунок 10312">
          <a:extLst>
            <a:ext uri="{FF2B5EF4-FFF2-40B4-BE49-F238E27FC236}">
              <a16:creationId xmlns:a16="http://schemas.microsoft.com/office/drawing/2014/main" id="{0C002D41-EC56-47A1-BAB4-865C7489478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9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640972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1128</xdr:row>
      <xdr:rowOff>25400</xdr:rowOff>
    </xdr:from>
    <xdr:to>
      <xdr:col>11</xdr:col>
      <xdr:colOff>571500</xdr:colOff>
      <xdr:row>1129</xdr:row>
      <xdr:rowOff>0</xdr:rowOff>
    </xdr:to>
    <xdr:pic>
      <xdr:nvPicPr>
        <xdr:cNvPr id="10315" name="Рисунок 10314">
          <a:extLst>
            <a:ext uri="{FF2B5EF4-FFF2-40B4-BE49-F238E27FC236}">
              <a16:creationId xmlns:a16="http://schemas.microsoft.com/office/drawing/2014/main" id="{617D533B-4F6D-4E03-BD09-A79329DDBDF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9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641543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1129</xdr:row>
      <xdr:rowOff>25400</xdr:rowOff>
    </xdr:from>
    <xdr:to>
      <xdr:col>11</xdr:col>
      <xdr:colOff>571500</xdr:colOff>
      <xdr:row>1130</xdr:row>
      <xdr:rowOff>0</xdr:rowOff>
    </xdr:to>
    <xdr:pic>
      <xdr:nvPicPr>
        <xdr:cNvPr id="10317" name="Рисунок 10316">
          <a:extLst>
            <a:ext uri="{FF2B5EF4-FFF2-40B4-BE49-F238E27FC236}">
              <a16:creationId xmlns:a16="http://schemas.microsoft.com/office/drawing/2014/main" id="{9E394077-1830-49CF-B349-76FE69A7418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9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642115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1130</xdr:row>
      <xdr:rowOff>25400</xdr:rowOff>
    </xdr:from>
    <xdr:to>
      <xdr:col>11</xdr:col>
      <xdr:colOff>571500</xdr:colOff>
      <xdr:row>1131</xdr:row>
      <xdr:rowOff>0</xdr:rowOff>
    </xdr:to>
    <xdr:pic>
      <xdr:nvPicPr>
        <xdr:cNvPr id="10319" name="Рисунок 10318">
          <a:extLst>
            <a:ext uri="{FF2B5EF4-FFF2-40B4-BE49-F238E27FC236}">
              <a16:creationId xmlns:a16="http://schemas.microsoft.com/office/drawing/2014/main" id="{54B51837-6E2A-4E6A-B3E2-B4DDD977666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9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642686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1131</xdr:row>
      <xdr:rowOff>25400</xdr:rowOff>
    </xdr:from>
    <xdr:to>
      <xdr:col>11</xdr:col>
      <xdr:colOff>571500</xdr:colOff>
      <xdr:row>1132</xdr:row>
      <xdr:rowOff>0</xdr:rowOff>
    </xdr:to>
    <xdr:pic>
      <xdr:nvPicPr>
        <xdr:cNvPr id="10321" name="Рисунок 10320">
          <a:extLst>
            <a:ext uri="{FF2B5EF4-FFF2-40B4-BE49-F238E27FC236}">
              <a16:creationId xmlns:a16="http://schemas.microsoft.com/office/drawing/2014/main" id="{B26D8BED-1A9C-4BDE-9473-54B554E313C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9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643258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1132</xdr:row>
      <xdr:rowOff>25400</xdr:rowOff>
    </xdr:from>
    <xdr:to>
      <xdr:col>11</xdr:col>
      <xdr:colOff>571500</xdr:colOff>
      <xdr:row>1133</xdr:row>
      <xdr:rowOff>0</xdr:rowOff>
    </xdr:to>
    <xdr:pic>
      <xdr:nvPicPr>
        <xdr:cNvPr id="10323" name="Рисунок 10322">
          <a:extLst>
            <a:ext uri="{FF2B5EF4-FFF2-40B4-BE49-F238E27FC236}">
              <a16:creationId xmlns:a16="http://schemas.microsoft.com/office/drawing/2014/main" id="{127F9555-3FBE-4D79-8E42-EAA8F864962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9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643829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1133</xdr:row>
      <xdr:rowOff>25400</xdr:rowOff>
    </xdr:from>
    <xdr:to>
      <xdr:col>11</xdr:col>
      <xdr:colOff>571500</xdr:colOff>
      <xdr:row>1134</xdr:row>
      <xdr:rowOff>0</xdr:rowOff>
    </xdr:to>
    <xdr:pic>
      <xdr:nvPicPr>
        <xdr:cNvPr id="10325" name="Рисунок 10324">
          <a:extLst>
            <a:ext uri="{FF2B5EF4-FFF2-40B4-BE49-F238E27FC236}">
              <a16:creationId xmlns:a16="http://schemas.microsoft.com/office/drawing/2014/main" id="{0E2F411E-72AB-40F2-8C14-AA0E19DD13C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9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644401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1134</xdr:row>
      <xdr:rowOff>25400</xdr:rowOff>
    </xdr:from>
    <xdr:to>
      <xdr:col>11</xdr:col>
      <xdr:colOff>571500</xdr:colOff>
      <xdr:row>1135</xdr:row>
      <xdr:rowOff>0</xdr:rowOff>
    </xdr:to>
    <xdr:pic>
      <xdr:nvPicPr>
        <xdr:cNvPr id="10327" name="Рисунок 10326">
          <a:extLst>
            <a:ext uri="{FF2B5EF4-FFF2-40B4-BE49-F238E27FC236}">
              <a16:creationId xmlns:a16="http://schemas.microsoft.com/office/drawing/2014/main" id="{79F4C350-9B7E-4F4E-A8D3-D1DEA4071F3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9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644972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1135</xdr:row>
      <xdr:rowOff>25400</xdr:rowOff>
    </xdr:from>
    <xdr:to>
      <xdr:col>11</xdr:col>
      <xdr:colOff>571500</xdr:colOff>
      <xdr:row>1136</xdr:row>
      <xdr:rowOff>0</xdr:rowOff>
    </xdr:to>
    <xdr:pic>
      <xdr:nvPicPr>
        <xdr:cNvPr id="10329" name="Рисунок 10328">
          <a:extLst>
            <a:ext uri="{FF2B5EF4-FFF2-40B4-BE49-F238E27FC236}">
              <a16:creationId xmlns:a16="http://schemas.microsoft.com/office/drawing/2014/main" id="{CD562575-2741-4824-BA70-CB8705E80CE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9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645544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1136</xdr:row>
      <xdr:rowOff>25400</xdr:rowOff>
    </xdr:from>
    <xdr:to>
      <xdr:col>11</xdr:col>
      <xdr:colOff>571500</xdr:colOff>
      <xdr:row>1137</xdr:row>
      <xdr:rowOff>0</xdr:rowOff>
    </xdr:to>
    <xdr:pic>
      <xdr:nvPicPr>
        <xdr:cNvPr id="10331" name="Рисунок 10330">
          <a:extLst>
            <a:ext uri="{FF2B5EF4-FFF2-40B4-BE49-F238E27FC236}">
              <a16:creationId xmlns:a16="http://schemas.microsoft.com/office/drawing/2014/main" id="{FF65876C-FD5C-4D14-B2D8-E7237AB69F2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09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646115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1137</xdr:row>
      <xdr:rowOff>25400</xdr:rowOff>
    </xdr:from>
    <xdr:to>
      <xdr:col>11</xdr:col>
      <xdr:colOff>571500</xdr:colOff>
      <xdr:row>1138</xdr:row>
      <xdr:rowOff>0</xdr:rowOff>
    </xdr:to>
    <xdr:pic>
      <xdr:nvPicPr>
        <xdr:cNvPr id="10333" name="Рисунок 10332">
          <a:extLst>
            <a:ext uri="{FF2B5EF4-FFF2-40B4-BE49-F238E27FC236}">
              <a16:creationId xmlns:a16="http://schemas.microsoft.com/office/drawing/2014/main" id="{D5034D48-6631-46E1-A578-B514A07BF1C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0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646687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1138</xdr:row>
      <xdr:rowOff>25400</xdr:rowOff>
    </xdr:from>
    <xdr:to>
      <xdr:col>11</xdr:col>
      <xdr:colOff>571500</xdr:colOff>
      <xdr:row>1139</xdr:row>
      <xdr:rowOff>0</xdr:rowOff>
    </xdr:to>
    <xdr:pic>
      <xdr:nvPicPr>
        <xdr:cNvPr id="10335" name="Рисунок 10334">
          <a:extLst>
            <a:ext uri="{FF2B5EF4-FFF2-40B4-BE49-F238E27FC236}">
              <a16:creationId xmlns:a16="http://schemas.microsoft.com/office/drawing/2014/main" id="{A0325F92-63CD-4079-9D47-657CCB0A1D5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0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647258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1139</xdr:row>
      <xdr:rowOff>25400</xdr:rowOff>
    </xdr:from>
    <xdr:to>
      <xdr:col>11</xdr:col>
      <xdr:colOff>571500</xdr:colOff>
      <xdr:row>1140</xdr:row>
      <xdr:rowOff>0</xdr:rowOff>
    </xdr:to>
    <xdr:pic>
      <xdr:nvPicPr>
        <xdr:cNvPr id="10337" name="Рисунок 10336">
          <a:extLst>
            <a:ext uri="{FF2B5EF4-FFF2-40B4-BE49-F238E27FC236}">
              <a16:creationId xmlns:a16="http://schemas.microsoft.com/office/drawing/2014/main" id="{CAC86525-32AB-4BF7-B8C5-7E7499BE873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0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647830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1140</xdr:row>
      <xdr:rowOff>25400</xdr:rowOff>
    </xdr:from>
    <xdr:to>
      <xdr:col>11</xdr:col>
      <xdr:colOff>571500</xdr:colOff>
      <xdr:row>1141</xdr:row>
      <xdr:rowOff>0</xdr:rowOff>
    </xdr:to>
    <xdr:pic>
      <xdr:nvPicPr>
        <xdr:cNvPr id="10339" name="Рисунок 10338">
          <a:extLst>
            <a:ext uri="{FF2B5EF4-FFF2-40B4-BE49-F238E27FC236}">
              <a16:creationId xmlns:a16="http://schemas.microsoft.com/office/drawing/2014/main" id="{E4E7B9D2-8D5C-46F9-8507-4DFA6911F27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0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648401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1141</xdr:row>
      <xdr:rowOff>25400</xdr:rowOff>
    </xdr:from>
    <xdr:to>
      <xdr:col>11</xdr:col>
      <xdr:colOff>571500</xdr:colOff>
      <xdr:row>1142</xdr:row>
      <xdr:rowOff>0</xdr:rowOff>
    </xdr:to>
    <xdr:pic>
      <xdr:nvPicPr>
        <xdr:cNvPr id="10341" name="Рисунок 10340">
          <a:extLst>
            <a:ext uri="{FF2B5EF4-FFF2-40B4-BE49-F238E27FC236}">
              <a16:creationId xmlns:a16="http://schemas.microsoft.com/office/drawing/2014/main" id="{07EDCFA4-EB14-4960-8490-8F94462E892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0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648973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1142</xdr:row>
      <xdr:rowOff>25400</xdr:rowOff>
    </xdr:from>
    <xdr:to>
      <xdr:col>11</xdr:col>
      <xdr:colOff>571500</xdr:colOff>
      <xdr:row>1143</xdr:row>
      <xdr:rowOff>0</xdr:rowOff>
    </xdr:to>
    <xdr:pic>
      <xdr:nvPicPr>
        <xdr:cNvPr id="10343" name="Рисунок 10342">
          <a:extLst>
            <a:ext uri="{FF2B5EF4-FFF2-40B4-BE49-F238E27FC236}">
              <a16:creationId xmlns:a16="http://schemas.microsoft.com/office/drawing/2014/main" id="{C88D6B2A-981D-45E0-B14F-35424B592BB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0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649544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1143</xdr:row>
      <xdr:rowOff>25400</xdr:rowOff>
    </xdr:from>
    <xdr:to>
      <xdr:col>11</xdr:col>
      <xdr:colOff>571500</xdr:colOff>
      <xdr:row>1144</xdr:row>
      <xdr:rowOff>0</xdr:rowOff>
    </xdr:to>
    <xdr:pic>
      <xdr:nvPicPr>
        <xdr:cNvPr id="10345" name="Рисунок 10344">
          <a:extLst>
            <a:ext uri="{FF2B5EF4-FFF2-40B4-BE49-F238E27FC236}">
              <a16:creationId xmlns:a16="http://schemas.microsoft.com/office/drawing/2014/main" id="{59514F5B-9B2E-4210-A4A0-5B4C331B5DA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0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650116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1144</xdr:row>
      <xdr:rowOff>25400</xdr:rowOff>
    </xdr:from>
    <xdr:to>
      <xdr:col>11</xdr:col>
      <xdr:colOff>571500</xdr:colOff>
      <xdr:row>1145</xdr:row>
      <xdr:rowOff>0</xdr:rowOff>
    </xdr:to>
    <xdr:pic>
      <xdr:nvPicPr>
        <xdr:cNvPr id="10347" name="Рисунок 10346">
          <a:extLst>
            <a:ext uri="{FF2B5EF4-FFF2-40B4-BE49-F238E27FC236}">
              <a16:creationId xmlns:a16="http://schemas.microsoft.com/office/drawing/2014/main" id="{321F5C01-71C0-43F8-9B0A-D9F46C390A5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0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650687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1145</xdr:row>
      <xdr:rowOff>25400</xdr:rowOff>
    </xdr:from>
    <xdr:to>
      <xdr:col>11</xdr:col>
      <xdr:colOff>571500</xdr:colOff>
      <xdr:row>1146</xdr:row>
      <xdr:rowOff>0</xdr:rowOff>
    </xdr:to>
    <xdr:pic>
      <xdr:nvPicPr>
        <xdr:cNvPr id="10349" name="Рисунок 10348">
          <a:extLst>
            <a:ext uri="{FF2B5EF4-FFF2-40B4-BE49-F238E27FC236}">
              <a16:creationId xmlns:a16="http://schemas.microsoft.com/office/drawing/2014/main" id="{34BC01F6-7E58-44B7-8E34-D7FBEFC2BEA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0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651259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1146</xdr:row>
      <xdr:rowOff>25400</xdr:rowOff>
    </xdr:from>
    <xdr:to>
      <xdr:col>11</xdr:col>
      <xdr:colOff>571500</xdr:colOff>
      <xdr:row>1147</xdr:row>
      <xdr:rowOff>0</xdr:rowOff>
    </xdr:to>
    <xdr:pic>
      <xdr:nvPicPr>
        <xdr:cNvPr id="10351" name="Рисунок 10350">
          <a:extLst>
            <a:ext uri="{FF2B5EF4-FFF2-40B4-BE49-F238E27FC236}">
              <a16:creationId xmlns:a16="http://schemas.microsoft.com/office/drawing/2014/main" id="{47DA059F-4364-498D-90CF-B0E1E22EE41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0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651830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1147</xdr:row>
      <xdr:rowOff>25400</xdr:rowOff>
    </xdr:from>
    <xdr:to>
      <xdr:col>11</xdr:col>
      <xdr:colOff>571500</xdr:colOff>
      <xdr:row>1148</xdr:row>
      <xdr:rowOff>0</xdr:rowOff>
    </xdr:to>
    <xdr:pic>
      <xdr:nvPicPr>
        <xdr:cNvPr id="10353" name="Рисунок 10352">
          <a:extLst>
            <a:ext uri="{FF2B5EF4-FFF2-40B4-BE49-F238E27FC236}">
              <a16:creationId xmlns:a16="http://schemas.microsoft.com/office/drawing/2014/main" id="{EFCE2F18-71B1-4159-801F-740275A0EAE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652402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1148</xdr:row>
      <xdr:rowOff>25400</xdr:rowOff>
    </xdr:from>
    <xdr:to>
      <xdr:col>11</xdr:col>
      <xdr:colOff>571500</xdr:colOff>
      <xdr:row>1149</xdr:row>
      <xdr:rowOff>0</xdr:rowOff>
    </xdr:to>
    <xdr:pic>
      <xdr:nvPicPr>
        <xdr:cNvPr id="10355" name="Рисунок 10354">
          <a:extLst>
            <a:ext uri="{FF2B5EF4-FFF2-40B4-BE49-F238E27FC236}">
              <a16:creationId xmlns:a16="http://schemas.microsoft.com/office/drawing/2014/main" id="{C8893883-FFC4-4446-82EF-34702C9658D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652973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1149</xdr:row>
      <xdr:rowOff>25400</xdr:rowOff>
    </xdr:from>
    <xdr:to>
      <xdr:col>11</xdr:col>
      <xdr:colOff>571500</xdr:colOff>
      <xdr:row>1150</xdr:row>
      <xdr:rowOff>0</xdr:rowOff>
    </xdr:to>
    <xdr:pic>
      <xdr:nvPicPr>
        <xdr:cNvPr id="10357" name="Рисунок 10356">
          <a:extLst>
            <a:ext uri="{FF2B5EF4-FFF2-40B4-BE49-F238E27FC236}">
              <a16:creationId xmlns:a16="http://schemas.microsoft.com/office/drawing/2014/main" id="{3FA222C6-1643-4A56-B7EA-DA672E71A75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653545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1150</xdr:row>
      <xdr:rowOff>25400</xdr:rowOff>
    </xdr:from>
    <xdr:to>
      <xdr:col>11</xdr:col>
      <xdr:colOff>571500</xdr:colOff>
      <xdr:row>1151</xdr:row>
      <xdr:rowOff>0</xdr:rowOff>
    </xdr:to>
    <xdr:pic>
      <xdr:nvPicPr>
        <xdr:cNvPr id="10359" name="Рисунок 10358">
          <a:extLst>
            <a:ext uri="{FF2B5EF4-FFF2-40B4-BE49-F238E27FC236}">
              <a16:creationId xmlns:a16="http://schemas.microsoft.com/office/drawing/2014/main" id="{A331FE08-2BC4-4CAF-83F0-C42364D5C67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654116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1151</xdr:row>
      <xdr:rowOff>25400</xdr:rowOff>
    </xdr:from>
    <xdr:to>
      <xdr:col>11</xdr:col>
      <xdr:colOff>571500</xdr:colOff>
      <xdr:row>1152</xdr:row>
      <xdr:rowOff>0</xdr:rowOff>
    </xdr:to>
    <xdr:pic>
      <xdr:nvPicPr>
        <xdr:cNvPr id="10361" name="Рисунок 10360">
          <a:extLst>
            <a:ext uri="{FF2B5EF4-FFF2-40B4-BE49-F238E27FC236}">
              <a16:creationId xmlns:a16="http://schemas.microsoft.com/office/drawing/2014/main" id="{6AF78936-4884-47CB-B6A5-443A93F37F2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654688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1152</xdr:row>
      <xdr:rowOff>25400</xdr:rowOff>
    </xdr:from>
    <xdr:to>
      <xdr:col>11</xdr:col>
      <xdr:colOff>571500</xdr:colOff>
      <xdr:row>1153</xdr:row>
      <xdr:rowOff>0</xdr:rowOff>
    </xdr:to>
    <xdr:pic>
      <xdr:nvPicPr>
        <xdr:cNvPr id="10363" name="Рисунок 10362">
          <a:extLst>
            <a:ext uri="{FF2B5EF4-FFF2-40B4-BE49-F238E27FC236}">
              <a16:creationId xmlns:a16="http://schemas.microsoft.com/office/drawing/2014/main" id="{86716309-650B-4585-85EC-25EEB4FC55F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655259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1153</xdr:row>
      <xdr:rowOff>25400</xdr:rowOff>
    </xdr:from>
    <xdr:to>
      <xdr:col>11</xdr:col>
      <xdr:colOff>571500</xdr:colOff>
      <xdr:row>1154</xdr:row>
      <xdr:rowOff>0</xdr:rowOff>
    </xdr:to>
    <xdr:pic>
      <xdr:nvPicPr>
        <xdr:cNvPr id="10365" name="Рисунок 10364">
          <a:extLst>
            <a:ext uri="{FF2B5EF4-FFF2-40B4-BE49-F238E27FC236}">
              <a16:creationId xmlns:a16="http://schemas.microsoft.com/office/drawing/2014/main" id="{1FDBD4BF-DE5D-452C-A8B7-E5CB67FEF09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655831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1154</xdr:row>
      <xdr:rowOff>25400</xdr:rowOff>
    </xdr:from>
    <xdr:to>
      <xdr:col>11</xdr:col>
      <xdr:colOff>571500</xdr:colOff>
      <xdr:row>1155</xdr:row>
      <xdr:rowOff>0</xdr:rowOff>
    </xdr:to>
    <xdr:pic>
      <xdr:nvPicPr>
        <xdr:cNvPr id="10367" name="Рисунок 10366">
          <a:extLst>
            <a:ext uri="{FF2B5EF4-FFF2-40B4-BE49-F238E27FC236}">
              <a16:creationId xmlns:a16="http://schemas.microsoft.com/office/drawing/2014/main" id="{6E3C4F18-B285-4535-AC91-2C3A73228F7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656402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1155</xdr:row>
      <xdr:rowOff>25400</xdr:rowOff>
    </xdr:from>
    <xdr:to>
      <xdr:col>11</xdr:col>
      <xdr:colOff>571500</xdr:colOff>
      <xdr:row>1156</xdr:row>
      <xdr:rowOff>0</xdr:rowOff>
    </xdr:to>
    <xdr:pic>
      <xdr:nvPicPr>
        <xdr:cNvPr id="10369" name="Рисунок 10368">
          <a:extLst>
            <a:ext uri="{FF2B5EF4-FFF2-40B4-BE49-F238E27FC236}">
              <a16:creationId xmlns:a16="http://schemas.microsoft.com/office/drawing/2014/main" id="{C80CDB94-E274-4067-A877-1D0DC2BC070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656974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1156</xdr:row>
      <xdr:rowOff>25400</xdr:rowOff>
    </xdr:from>
    <xdr:to>
      <xdr:col>11</xdr:col>
      <xdr:colOff>571500</xdr:colOff>
      <xdr:row>1157</xdr:row>
      <xdr:rowOff>0</xdr:rowOff>
    </xdr:to>
    <xdr:pic>
      <xdr:nvPicPr>
        <xdr:cNvPr id="10371" name="Рисунок 10370">
          <a:extLst>
            <a:ext uri="{FF2B5EF4-FFF2-40B4-BE49-F238E27FC236}">
              <a16:creationId xmlns:a16="http://schemas.microsoft.com/office/drawing/2014/main" id="{E08A561D-DE87-48E1-9DC2-900DC0CB1FA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657545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1157</xdr:row>
      <xdr:rowOff>25400</xdr:rowOff>
    </xdr:from>
    <xdr:to>
      <xdr:col>11</xdr:col>
      <xdr:colOff>571500</xdr:colOff>
      <xdr:row>1158</xdr:row>
      <xdr:rowOff>0</xdr:rowOff>
    </xdr:to>
    <xdr:pic>
      <xdr:nvPicPr>
        <xdr:cNvPr id="10373" name="Рисунок 10372">
          <a:extLst>
            <a:ext uri="{FF2B5EF4-FFF2-40B4-BE49-F238E27FC236}">
              <a16:creationId xmlns:a16="http://schemas.microsoft.com/office/drawing/2014/main" id="{69BEDC0D-8625-4AE0-89E8-4EC9CF6E97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658117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1158</xdr:row>
      <xdr:rowOff>25400</xdr:rowOff>
    </xdr:from>
    <xdr:to>
      <xdr:col>11</xdr:col>
      <xdr:colOff>571500</xdr:colOff>
      <xdr:row>1159</xdr:row>
      <xdr:rowOff>0</xdr:rowOff>
    </xdr:to>
    <xdr:pic>
      <xdr:nvPicPr>
        <xdr:cNvPr id="10375" name="Рисунок 10374">
          <a:extLst>
            <a:ext uri="{FF2B5EF4-FFF2-40B4-BE49-F238E27FC236}">
              <a16:creationId xmlns:a16="http://schemas.microsoft.com/office/drawing/2014/main" id="{7E6EC929-A6AC-4E78-A997-12EF8AE878C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658688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1159</xdr:row>
      <xdr:rowOff>25400</xdr:rowOff>
    </xdr:from>
    <xdr:to>
      <xdr:col>11</xdr:col>
      <xdr:colOff>571500</xdr:colOff>
      <xdr:row>1160</xdr:row>
      <xdr:rowOff>0</xdr:rowOff>
    </xdr:to>
    <xdr:pic>
      <xdr:nvPicPr>
        <xdr:cNvPr id="10377" name="Рисунок 10376">
          <a:extLst>
            <a:ext uri="{FF2B5EF4-FFF2-40B4-BE49-F238E27FC236}">
              <a16:creationId xmlns:a16="http://schemas.microsoft.com/office/drawing/2014/main" id="{A151524B-1A61-434E-8191-E7927359BAE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659260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1160</xdr:row>
      <xdr:rowOff>25400</xdr:rowOff>
    </xdr:from>
    <xdr:to>
      <xdr:col>11</xdr:col>
      <xdr:colOff>571500</xdr:colOff>
      <xdr:row>1161</xdr:row>
      <xdr:rowOff>0</xdr:rowOff>
    </xdr:to>
    <xdr:pic>
      <xdr:nvPicPr>
        <xdr:cNvPr id="10379" name="Рисунок 10378">
          <a:extLst>
            <a:ext uri="{FF2B5EF4-FFF2-40B4-BE49-F238E27FC236}">
              <a16:creationId xmlns:a16="http://schemas.microsoft.com/office/drawing/2014/main" id="{468F6687-94B0-4141-97D9-95209C559A1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659831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1161</xdr:row>
      <xdr:rowOff>25400</xdr:rowOff>
    </xdr:from>
    <xdr:to>
      <xdr:col>11</xdr:col>
      <xdr:colOff>571500</xdr:colOff>
      <xdr:row>1162</xdr:row>
      <xdr:rowOff>0</xdr:rowOff>
    </xdr:to>
    <xdr:pic>
      <xdr:nvPicPr>
        <xdr:cNvPr id="10381" name="Рисунок 10380">
          <a:extLst>
            <a:ext uri="{FF2B5EF4-FFF2-40B4-BE49-F238E27FC236}">
              <a16:creationId xmlns:a16="http://schemas.microsoft.com/office/drawing/2014/main" id="{36397CE1-8639-4CAF-9C47-4D795550CC7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660403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1162</xdr:row>
      <xdr:rowOff>25400</xdr:rowOff>
    </xdr:from>
    <xdr:to>
      <xdr:col>11</xdr:col>
      <xdr:colOff>571500</xdr:colOff>
      <xdr:row>1163</xdr:row>
      <xdr:rowOff>0</xdr:rowOff>
    </xdr:to>
    <xdr:pic>
      <xdr:nvPicPr>
        <xdr:cNvPr id="10383" name="Рисунок 10382">
          <a:extLst>
            <a:ext uri="{FF2B5EF4-FFF2-40B4-BE49-F238E27FC236}">
              <a16:creationId xmlns:a16="http://schemas.microsoft.com/office/drawing/2014/main" id="{0DC3DE11-B095-47B5-9635-BF10289DF32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660974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1163</xdr:row>
      <xdr:rowOff>25400</xdr:rowOff>
    </xdr:from>
    <xdr:to>
      <xdr:col>11</xdr:col>
      <xdr:colOff>571500</xdr:colOff>
      <xdr:row>1164</xdr:row>
      <xdr:rowOff>0</xdr:rowOff>
    </xdr:to>
    <xdr:pic>
      <xdr:nvPicPr>
        <xdr:cNvPr id="10385" name="Рисунок 10384">
          <a:extLst>
            <a:ext uri="{FF2B5EF4-FFF2-40B4-BE49-F238E27FC236}">
              <a16:creationId xmlns:a16="http://schemas.microsoft.com/office/drawing/2014/main" id="{DAC9C5CF-B1B2-4734-8FF1-90CB7967307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661546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1164</xdr:row>
      <xdr:rowOff>25400</xdr:rowOff>
    </xdr:from>
    <xdr:to>
      <xdr:col>11</xdr:col>
      <xdr:colOff>571500</xdr:colOff>
      <xdr:row>1165</xdr:row>
      <xdr:rowOff>0</xdr:rowOff>
    </xdr:to>
    <xdr:pic>
      <xdr:nvPicPr>
        <xdr:cNvPr id="10387" name="Рисунок 10386">
          <a:extLst>
            <a:ext uri="{FF2B5EF4-FFF2-40B4-BE49-F238E27FC236}">
              <a16:creationId xmlns:a16="http://schemas.microsoft.com/office/drawing/2014/main" id="{A53D0556-9143-457A-996F-C0CC6CBB7A6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662117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1165</xdr:row>
      <xdr:rowOff>25400</xdr:rowOff>
    </xdr:from>
    <xdr:to>
      <xdr:col>11</xdr:col>
      <xdr:colOff>571500</xdr:colOff>
      <xdr:row>1166</xdr:row>
      <xdr:rowOff>0</xdr:rowOff>
    </xdr:to>
    <xdr:pic>
      <xdr:nvPicPr>
        <xdr:cNvPr id="10389" name="Рисунок 10388">
          <a:extLst>
            <a:ext uri="{FF2B5EF4-FFF2-40B4-BE49-F238E27FC236}">
              <a16:creationId xmlns:a16="http://schemas.microsoft.com/office/drawing/2014/main" id="{649C8F0B-5917-4E21-9B34-D92896E26D5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662689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1166</xdr:row>
      <xdr:rowOff>25400</xdr:rowOff>
    </xdr:from>
    <xdr:to>
      <xdr:col>11</xdr:col>
      <xdr:colOff>571500</xdr:colOff>
      <xdr:row>1167</xdr:row>
      <xdr:rowOff>0</xdr:rowOff>
    </xdr:to>
    <xdr:pic>
      <xdr:nvPicPr>
        <xdr:cNvPr id="10391" name="Рисунок 10390">
          <a:extLst>
            <a:ext uri="{FF2B5EF4-FFF2-40B4-BE49-F238E27FC236}">
              <a16:creationId xmlns:a16="http://schemas.microsoft.com/office/drawing/2014/main" id="{492A525E-D51D-491F-B626-AE07559D08E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663260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1167</xdr:row>
      <xdr:rowOff>25400</xdr:rowOff>
    </xdr:from>
    <xdr:to>
      <xdr:col>11</xdr:col>
      <xdr:colOff>571500</xdr:colOff>
      <xdr:row>1168</xdr:row>
      <xdr:rowOff>0</xdr:rowOff>
    </xdr:to>
    <xdr:pic>
      <xdr:nvPicPr>
        <xdr:cNvPr id="10393" name="Рисунок 10392">
          <a:extLst>
            <a:ext uri="{FF2B5EF4-FFF2-40B4-BE49-F238E27FC236}">
              <a16:creationId xmlns:a16="http://schemas.microsoft.com/office/drawing/2014/main" id="{373BB362-CC94-49F3-8FD4-66C473870D5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663832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1168</xdr:row>
      <xdr:rowOff>25400</xdr:rowOff>
    </xdr:from>
    <xdr:to>
      <xdr:col>11</xdr:col>
      <xdr:colOff>571500</xdr:colOff>
      <xdr:row>1169</xdr:row>
      <xdr:rowOff>0</xdr:rowOff>
    </xdr:to>
    <xdr:pic>
      <xdr:nvPicPr>
        <xdr:cNvPr id="10395" name="Рисунок 10394">
          <a:extLst>
            <a:ext uri="{FF2B5EF4-FFF2-40B4-BE49-F238E27FC236}">
              <a16:creationId xmlns:a16="http://schemas.microsoft.com/office/drawing/2014/main" id="{B40DCC1B-ACF9-4E63-B65B-E6F960CB044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3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664403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1169</xdr:row>
      <xdr:rowOff>25400</xdr:rowOff>
    </xdr:from>
    <xdr:to>
      <xdr:col>11</xdr:col>
      <xdr:colOff>571500</xdr:colOff>
      <xdr:row>1170</xdr:row>
      <xdr:rowOff>0</xdr:rowOff>
    </xdr:to>
    <xdr:pic>
      <xdr:nvPicPr>
        <xdr:cNvPr id="10397" name="Рисунок 10396">
          <a:extLst>
            <a:ext uri="{FF2B5EF4-FFF2-40B4-BE49-F238E27FC236}">
              <a16:creationId xmlns:a16="http://schemas.microsoft.com/office/drawing/2014/main" id="{863BB178-C2FF-40E4-B39D-4847FA4652E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3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664975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1170</xdr:row>
      <xdr:rowOff>25400</xdr:rowOff>
    </xdr:from>
    <xdr:to>
      <xdr:col>11</xdr:col>
      <xdr:colOff>571500</xdr:colOff>
      <xdr:row>1171</xdr:row>
      <xdr:rowOff>0</xdr:rowOff>
    </xdr:to>
    <xdr:pic>
      <xdr:nvPicPr>
        <xdr:cNvPr id="10399" name="Рисунок 10398">
          <a:extLst>
            <a:ext uri="{FF2B5EF4-FFF2-40B4-BE49-F238E27FC236}">
              <a16:creationId xmlns:a16="http://schemas.microsoft.com/office/drawing/2014/main" id="{89BFFD24-4C91-4808-B396-A116C2BD39A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3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665546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1171</xdr:row>
      <xdr:rowOff>25400</xdr:rowOff>
    </xdr:from>
    <xdr:to>
      <xdr:col>11</xdr:col>
      <xdr:colOff>571500</xdr:colOff>
      <xdr:row>1172</xdr:row>
      <xdr:rowOff>0</xdr:rowOff>
    </xdr:to>
    <xdr:pic>
      <xdr:nvPicPr>
        <xdr:cNvPr id="10401" name="Рисунок 10400">
          <a:extLst>
            <a:ext uri="{FF2B5EF4-FFF2-40B4-BE49-F238E27FC236}">
              <a16:creationId xmlns:a16="http://schemas.microsoft.com/office/drawing/2014/main" id="{8D2B78CC-D336-46A4-AA87-5E9D544EE41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3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666118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1172</xdr:row>
      <xdr:rowOff>25400</xdr:rowOff>
    </xdr:from>
    <xdr:to>
      <xdr:col>11</xdr:col>
      <xdr:colOff>571500</xdr:colOff>
      <xdr:row>1173</xdr:row>
      <xdr:rowOff>0</xdr:rowOff>
    </xdr:to>
    <xdr:pic>
      <xdr:nvPicPr>
        <xdr:cNvPr id="10403" name="Рисунок 10402">
          <a:extLst>
            <a:ext uri="{FF2B5EF4-FFF2-40B4-BE49-F238E27FC236}">
              <a16:creationId xmlns:a16="http://schemas.microsoft.com/office/drawing/2014/main" id="{46A30E68-2A7C-444C-9FFB-61B4AEE1929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3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666689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1173</xdr:row>
      <xdr:rowOff>25400</xdr:rowOff>
    </xdr:from>
    <xdr:to>
      <xdr:col>11</xdr:col>
      <xdr:colOff>571500</xdr:colOff>
      <xdr:row>1174</xdr:row>
      <xdr:rowOff>0</xdr:rowOff>
    </xdr:to>
    <xdr:pic>
      <xdr:nvPicPr>
        <xdr:cNvPr id="10405" name="Рисунок 10404">
          <a:extLst>
            <a:ext uri="{FF2B5EF4-FFF2-40B4-BE49-F238E27FC236}">
              <a16:creationId xmlns:a16="http://schemas.microsoft.com/office/drawing/2014/main" id="{4E49F709-2A3E-44F0-8143-46A9C4D661C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3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667261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1174</xdr:row>
      <xdr:rowOff>25400</xdr:rowOff>
    </xdr:from>
    <xdr:to>
      <xdr:col>11</xdr:col>
      <xdr:colOff>571500</xdr:colOff>
      <xdr:row>1175</xdr:row>
      <xdr:rowOff>0</xdr:rowOff>
    </xdr:to>
    <xdr:pic>
      <xdr:nvPicPr>
        <xdr:cNvPr id="10407" name="Рисунок 10406">
          <a:extLst>
            <a:ext uri="{FF2B5EF4-FFF2-40B4-BE49-F238E27FC236}">
              <a16:creationId xmlns:a16="http://schemas.microsoft.com/office/drawing/2014/main" id="{4B4F0774-7B51-40B4-BE07-D1579679CFB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3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667832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1175</xdr:row>
      <xdr:rowOff>25400</xdr:rowOff>
    </xdr:from>
    <xdr:to>
      <xdr:col>11</xdr:col>
      <xdr:colOff>571500</xdr:colOff>
      <xdr:row>1176</xdr:row>
      <xdr:rowOff>0</xdr:rowOff>
    </xdr:to>
    <xdr:pic>
      <xdr:nvPicPr>
        <xdr:cNvPr id="10409" name="Рисунок 10408">
          <a:extLst>
            <a:ext uri="{FF2B5EF4-FFF2-40B4-BE49-F238E27FC236}">
              <a16:creationId xmlns:a16="http://schemas.microsoft.com/office/drawing/2014/main" id="{0409BA8C-54A3-43A3-9386-CF4A9DC6666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3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668404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1176</xdr:row>
      <xdr:rowOff>25400</xdr:rowOff>
    </xdr:from>
    <xdr:to>
      <xdr:col>11</xdr:col>
      <xdr:colOff>571500</xdr:colOff>
      <xdr:row>1177</xdr:row>
      <xdr:rowOff>0</xdr:rowOff>
    </xdr:to>
    <xdr:pic>
      <xdr:nvPicPr>
        <xdr:cNvPr id="10411" name="Рисунок 10410">
          <a:extLst>
            <a:ext uri="{FF2B5EF4-FFF2-40B4-BE49-F238E27FC236}">
              <a16:creationId xmlns:a16="http://schemas.microsoft.com/office/drawing/2014/main" id="{5878E860-0E32-4589-8ED7-2427943E65D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3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668975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1177</xdr:row>
      <xdr:rowOff>25400</xdr:rowOff>
    </xdr:from>
    <xdr:to>
      <xdr:col>11</xdr:col>
      <xdr:colOff>571500</xdr:colOff>
      <xdr:row>1178</xdr:row>
      <xdr:rowOff>0</xdr:rowOff>
    </xdr:to>
    <xdr:pic>
      <xdr:nvPicPr>
        <xdr:cNvPr id="10413" name="Рисунок 10412">
          <a:extLst>
            <a:ext uri="{FF2B5EF4-FFF2-40B4-BE49-F238E27FC236}">
              <a16:creationId xmlns:a16="http://schemas.microsoft.com/office/drawing/2014/main" id="{C9BD5025-CE1E-4A98-BC7D-759A9E711F7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4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669547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1178</xdr:row>
      <xdr:rowOff>25400</xdr:rowOff>
    </xdr:from>
    <xdr:to>
      <xdr:col>11</xdr:col>
      <xdr:colOff>571500</xdr:colOff>
      <xdr:row>1179</xdr:row>
      <xdr:rowOff>0</xdr:rowOff>
    </xdr:to>
    <xdr:pic>
      <xdr:nvPicPr>
        <xdr:cNvPr id="10415" name="Рисунок 10414">
          <a:extLst>
            <a:ext uri="{FF2B5EF4-FFF2-40B4-BE49-F238E27FC236}">
              <a16:creationId xmlns:a16="http://schemas.microsoft.com/office/drawing/2014/main" id="{9215D2DF-11E4-4D2A-92D9-852DBFF9193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4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670118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1179</xdr:row>
      <xdr:rowOff>25400</xdr:rowOff>
    </xdr:from>
    <xdr:to>
      <xdr:col>11</xdr:col>
      <xdr:colOff>571500</xdr:colOff>
      <xdr:row>1180</xdr:row>
      <xdr:rowOff>0</xdr:rowOff>
    </xdr:to>
    <xdr:pic>
      <xdr:nvPicPr>
        <xdr:cNvPr id="10417" name="Рисунок 10416">
          <a:extLst>
            <a:ext uri="{FF2B5EF4-FFF2-40B4-BE49-F238E27FC236}">
              <a16:creationId xmlns:a16="http://schemas.microsoft.com/office/drawing/2014/main" id="{FF83631D-5779-4190-B944-3ED93B5CC5C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670690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1180</xdr:row>
      <xdr:rowOff>25400</xdr:rowOff>
    </xdr:from>
    <xdr:to>
      <xdr:col>11</xdr:col>
      <xdr:colOff>571500</xdr:colOff>
      <xdr:row>1181</xdr:row>
      <xdr:rowOff>0</xdr:rowOff>
    </xdr:to>
    <xdr:pic>
      <xdr:nvPicPr>
        <xdr:cNvPr id="10419" name="Рисунок 10418">
          <a:extLst>
            <a:ext uri="{FF2B5EF4-FFF2-40B4-BE49-F238E27FC236}">
              <a16:creationId xmlns:a16="http://schemas.microsoft.com/office/drawing/2014/main" id="{88D1CBBA-BB68-4CBD-8AE4-20084E25544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671261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1181</xdr:row>
      <xdr:rowOff>25400</xdr:rowOff>
    </xdr:from>
    <xdr:to>
      <xdr:col>11</xdr:col>
      <xdr:colOff>571500</xdr:colOff>
      <xdr:row>1182</xdr:row>
      <xdr:rowOff>0</xdr:rowOff>
    </xdr:to>
    <xdr:pic>
      <xdr:nvPicPr>
        <xdr:cNvPr id="10421" name="Рисунок 10420">
          <a:extLst>
            <a:ext uri="{FF2B5EF4-FFF2-40B4-BE49-F238E27FC236}">
              <a16:creationId xmlns:a16="http://schemas.microsoft.com/office/drawing/2014/main" id="{B6B28D2C-F646-4963-A32F-7512C7EA65A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671833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1182</xdr:row>
      <xdr:rowOff>25400</xdr:rowOff>
    </xdr:from>
    <xdr:to>
      <xdr:col>11</xdr:col>
      <xdr:colOff>571500</xdr:colOff>
      <xdr:row>1183</xdr:row>
      <xdr:rowOff>0</xdr:rowOff>
    </xdr:to>
    <xdr:pic>
      <xdr:nvPicPr>
        <xdr:cNvPr id="10423" name="Рисунок 10422">
          <a:extLst>
            <a:ext uri="{FF2B5EF4-FFF2-40B4-BE49-F238E27FC236}">
              <a16:creationId xmlns:a16="http://schemas.microsoft.com/office/drawing/2014/main" id="{FB4C98FE-F91A-4F58-A1D3-3BFFCFF55C7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4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672404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1183</xdr:row>
      <xdr:rowOff>25400</xdr:rowOff>
    </xdr:from>
    <xdr:to>
      <xdr:col>11</xdr:col>
      <xdr:colOff>571500</xdr:colOff>
      <xdr:row>1184</xdr:row>
      <xdr:rowOff>0</xdr:rowOff>
    </xdr:to>
    <xdr:pic>
      <xdr:nvPicPr>
        <xdr:cNvPr id="10425" name="Рисунок 10424">
          <a:extLst>
            <a:ext uri="{FF2B5EF4-FFF2-40B4-BE49-F238E27FC236}">
              <a16:creationId xmlns:a16="http://schemas.microsoft.com/office/drawing/2014/main" id="{ECB4A447-BD87-4986-AC19-C18564F01BD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4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672976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1184</xdr:row>
      <xdr:rowOff>25400</xdr:rowOff>
    </xdr:from>
    <xdr:to>
      <xdr:col>11</xdr:col>
      <xdr:colOff>571500</xdr:colOff>
      <xdr:row>1185</xdr:row>
      <xdr:rowOff>0</xdr:rowOff>
    </xdr:to>
    <xdr:pic>
      <xdr:nvPicPr>
        <xdr:cNvPr id="10427" name="Рисунок 10426">
          <a:extLst>
            <a:ext uri="{FF2B5EF4-FFF2-40B4-BE49-F238E27FC236}">
              <a16:creationId xmlns:a16="http://schemas.microsoft.com/office/drawing/2014/main" id="{9176673B-2B34-4D28-B987-B7AD1FE904A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4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673547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1185</xdr:row>
      <xdr:rowOff>25400</xdr:rowOff>
    </xdr:from>
    <xdr:to>
      <xdr:col>11</xdr:col>
      <xdr:colOff>571500</xdr:colOff>
      <xdr:row>1186</xdr:row>
      <xdr:rowOff>0</xdr:rowOff>
    </xdr:to>
    <xdr:pic>
      <xdr:nvPicPr>
        <xdr:cNvPr id="10429" name="Рисунок 10428">
          <a:extLst>
            <a:ext uri="{FF2B5EF4-FFF2-40B4-BE49-F238E27FC236}">
              <a16:creationId xmlns:a16="http://schemas.microsoft.com/office/drawing/2014/main" id="{255975B9-3117-4A5E-81D5-B797A65E580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4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674119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1186</xdr:row>
      <xdr:rowOff>25400</xdr:rowOff>
    </xdr:from>
    <xdr:to>
      <xdr:col>11</xdr:col>
      <xdr:colOff>571500</xdr:colOff>
      <xdr:row>1187</xdr:row>
      <xdr:rowOff>0</xdr:rowOff>
    </xdr:to>
    <xdr:pic>
      <xdr:nvPicPr>
        <xdr:cNvPr id="10431" name="Рисунок 10430">
          <a:extLst>
            <a:ext uri="{FF2B5EF4-FFF2-40B4-BE49-F238E27FC236}">
              <a16:creationId xmlns:a16="http://schemas.microsoft.com/office/drawing/2014/main" id="{F542D0F6-9759-4151-861A-10BA607EB48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4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674690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1187</xdr:row>
      <xdr:rowOff>25400</xdr:rowOff>
    </xdr:from>
    <xdr:to>
      <xdr:col>11</xdr:col>
      <xdr:colOff>571500</xdr:colOff>
      <xdr:row>1188</xdr:row>
      <xdr:rowOff>0</xdr:rowOff>
    </xdr:to>
    <xdr:pic>
      <xdr:nvPicPr>
        <xdr:cNvPr id="10433" name="Рисунок 10432">
          <a:extLst>
            <a:ext uri="{FF2B5EF4-FFF2-40B4-BE49-F238E27FC236}">
              <a16:creationId xmlns:a16="http://schemas.microsoft.com/office/drawing/2014/main" id="{3845E7E8-91CD-4756-A22E-1DBC4793D9E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5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675262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1188</xdr:row>
      <xdr:rowOff>25400</xdr:rowOff>
    </xdr:from>
    <xdr:to>
      <xdr:col>11</xdr:col>
      <xdr:colOff>571500</xdr:colOff>
      <xdr:row>1189</xdr:row>
      <xdr:rowOff>0</xdr:rowOff>
    </xdr:to>
    <xdr:pic>
      <xdr:nvPicPr>
        <xdr:cNvPr id="10435" name="Рисунок 10434">
          <a:extLst>
            <a:ext uri="{FF2B5EF4-FFF2-40B4-BE49-F238E27FC236}">
              <a16:creationId xmlns:a16="http://schemas.microsoft.com/office/drawing/2014/main" id="{3F68BD25-1C8F-46E0-B319-2753EE50EAF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5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675833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1189</xdr:row>
      <xdr:rowOff>25400</xdr:rowOff>
    </xdr:from>
    <xdr:to>
      <xdr:col>11</xdr:col>
      <xdr:colOff>571500</xdr:colOff>
      <xdr:row>1190</xdr:row>
      <xdr:rowOff>0</xdr:rowOff>
    </xdr:to>
    <xdr:pic>
      <xdr:nvPicPr>
        <xdr:cNvPr id="10437" name="Рисунок 10436">
          <a:extLst>
            <a:ext uri="{FF2B5EF4-FFF2-40B4-BE49-F238E27FC236}">
              <a16:creationId xmlns:a16="http://schemas.microsoft.com/office/drawing/2014/main" id="{EB85F45A-9283-43E4-B012-9D15228A9A9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676405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1190</xdr:row>
      <xdr:rowOff>25400</xdr:rowOff>
    </xdr:from>
    <xdr:to>
      <xdr:col>11</xdr:col>
      <xdr:colOff>571500</xdr:colOff>
      <xdr:row>1191</xdr:row>
      <xdr:rowOff>0</xdr:rowOff>
    </xdr:to>
    <xdr:pic>
      <xdr:nvPicPr>
        <xdr:cNvPr id="10439" name="Рисунок 10438">
          <a:extLst>
            <a:ext uri="{FF2B5EF4-FFF2-40B4-BE49-F238E27FC236}">
              <a16:creationId xmlns:a16="http://schemas.microsoft.com/office/drawing/2014/main" id="{C4E09111-B2E3-46E8-BF1A-1FCBFE7EF08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5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676976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1191</xdr:row>
      <xdr:rowOff>25400</xdr:rowOff>
    </xdr:from>
    <xdr:to>
      <xdr:col>11</xdr:col>
      <xdr:colOff>571500</xdr:colOff>
      <xdr:row>1192</xdr:row>
      <xdr:rowOff>0</xdr:rowOff>
    </xdr:to>
    <xdr:pic>
      <xdr:nvPicPr>
        <xdr:cNvPr id="10441" name="Рисунок 10440">
          <a:extLst>
            <a:ext uri="{FF2B5EF4-FFF2-40B4-BE49-F238E27FC236}">
              <a16:creationId xmlns:a16="http://schemas.microsoft.com/office/drawing/2014/main" id="{07E97904-64EB-45CE-B02A-A93D0938DA6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5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677548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1192</xdr:row>
      <xdr:rowOff>25400</xdr:rowOff>
    </xdr:from>
    <xdr:to>
      <xdr:col>11</xdr:col>
      <xdr:colOff>571500</xdr:colOff>
      <xdr:row>1193</xdr:row>
      <xdr:rowOff>0</xdr:rowOff>
    </xdr:to>
    <xdr:pic>
      <xdr:nvPicPr>
        <xdr:cNvPr id="10443" name="Рисунок 10442">
          <a:extLst>
            <a:ext uri="{FF2B5EF4-FFF2-40B4-BE49-F238E27FC236}">
              <a16:creationId xmlns:a16="http://schemas.microsoft.com/office/drawing/2014/main" id="{96D6BC3E-F02B-4F5F-AF28-8C3A9D76DFE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5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678119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1193</xdr:row>
      <xdr:rowOff>25400</xdr:rowOff>
    </xdr:from>
    <xdr:to>
      <xdr:col>11</xdr:col>
      <xdr:colOff>571500</xdr:colOff>
      <xdr:row>1194</xdr:row>
      <xdr:rowOff>0</xdr:rowOff>
    </xdr:to>
    <xdr:pic>
      <xdr:nvPicPr>
        <xdr:cNvPr id="10445" name="Рисунок 10444">
          <a:extLst>
            <a:ext uri="{FF2B5EF4-FFF2-40B4-BE49-F238E27FC236}">
              <a16:creationId xmlns:a16="http://schemas.microsoft.com/office/drawing/2014/main" id="{34C1CD1E-4AC9-4798-BC11-569AACFE9ED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5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678691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1194</xdr:row>
      <xdr:rowOff>25400</xdr:rowOff>
    </xdr:from>
    <xdr:to>
      <xdr:col>11</xdr:col>
      <xdr:colOff>571500</xdr:colOff>
      <xdr:row>1195</xdr:row>
      <xdr:rowOff>0</xdr:rowOff>
    </xdr:to>
    <xdr:pic>
      <xdr:nvPicPr>
        <xdr:cNvPr id="10447" name="Рисунок 10446">
          <a:extLst>
            <a:ext uri="{FF2B5EF4-FFF2-40B4-BE49-F238E27FC236}">
              <a16:creationId xmlns:a16="http://schemas.microsoft.com/office/drawing/2014/main" id="{EFB59A42-5278-4F30-8735-7D94263BD6A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5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679262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1195</xdr:row>
      <xdr:rowOff>25400</xdr:rowOff>
    </xdr:from>
    <xdr:to>
      <xdr:col>11</xdr:col>
      <xdr:colOff>571500</xdr:colOff>
      <xdr:row>1196</xdr:row>
      <xdr:rowOff>0</xdr:rowOff>
    </xdr:to>
    <xdr:pic>
      <xdr:nvPicPr>
        <xdr:cNvPr id="10449" name="Рисунок 10448">
          <a:extLst>
            <a:ext uri="{FF2B5EF4-FFF2-40B4-BE49-F238E27FC236}">
              <a16:creationId xmlns:a16="http://schemas.microsoft.com/office/drawing/2014/main" id="{739DC99A-B4B7-4C97-981A-54B0E4198D9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5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679834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1196</xdr:row>
      <xdr:rowOff>25400</xdr:rowOff>
    </xdr:from>
    <xdr:to>
      <xdr:col>11</xdr:col>
      <xdr:colOff>571500</xdr:colOff>
      <xdr:row>1197</xdr:row>
      <xdr:rowOff>0</xdr:rowOff>
    </xdr:to>
    <xdr:pic>
      <xdr:nvPicPr>
        <xdr:cNvPr id="10451" name="Рисунок 10450">
          <a:extLst>
            <a:ext uri="{FF2B5EF4-FFF2-40B4-BE49-F238E27FC236}">
              <a16:creationId xmlns:a16="http://schemas.microsoft.com/office/drawing/2014/main" id="{A66CEDDB-301E-4994-9C00-45DC1478E91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5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680405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1197</xdr:row>
      <xdr:rowOff>25400</xdr:rowOff>
    </xdr:from>
    <xdr:to>
      <xdr:col>11</xdr:col>
      <xdr:colOff>571500</xdr:colOff>
      <xdr:row>1198</xdr:row>
      <xdr:rowOff>0</xdr:rowOff>
    </xdr:to>
    <xdr:pic>
      <xdr:nvPicPr>
        <xdr:cNvPr id="10453" name="Рисунок 10452">
          <a:extLst>
            <a:ext uri="{FF2B5EF4-FFF2-40B4-BE49-F238E27FC236}">
              <a16:creationId xmlns:a16="http://schemas.microsoft.com/office/drawing/2014/main" id="{95C4E388-1748-48B8-B5B5-A7355739BA5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6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680977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1198</xdr:row>
      <xdr:rowOff>25400</xdr:rowOff>
    </xdr:from>
    <xdr:to>
      <xdr:col>11</xdr:col>
      <xdr:colOff>571500</xdr:colOff>
      <xdr:row>1199</xdr:row>
      <xdr:rowOff>0</xdr:rowOff>
    </xdr:to>
    <xdr:pic>
      <xdr:nvPicPr>
        <xdr:cNvPr id="10455" name="Рисунок 10454">
          <a:extLst>
            <a:ext uri="{FF2B5EF4-FFF2-40B4-BE49-F238E27FC236}">
              <a16:creationId xmlns:a16="http://schemas.microsoft.com/office/drawing/2014/main" id="{523D22C3-659F-45C0-A665-5A7BA7CA48E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6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681548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1199</xdr:row>
      <xdr:rowOff>25400</xdr:rowOff>
    </xdr:from>
    <xdr:to>
      <xdr:col>11</xdr:col>
      <xdr:colOff>571500</xdr:colOff>
      <xdr:row>1200</xdr:row>
      <xdr:rowOff>0</xdr:rowOff>
    </xdr:to>
    <xdr:pic>
      <xdr:nvPicPr>
        <xdr:cNvPr id="10457" name="Рисунок 10456">
          <a:extLst>
            <a:ext uri="{FF2B5EF4-FFF2-40B4-BE49-F238E27FC236}">
              <a16:creationId xmlns:a16="http://schemas.microsoft.com/office/drawing/2014/main" id="{9DA9ECDA-9E98-4759-9881-A37C1CE4D39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6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682120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1200</xdr:row>
      <xdr:rowOff>25400</xdr:rowOff>
    </xdr:from>
    <xdr:to>
      <xdr:col>11</xdr:col>
      <xdr:colOff>571500</xdr:colOff>
      <xdr:row>1201</xdr:row>
      <xdr:rowOff>0</xdr:rowOff>
    </xdr:to>
    <xdr:pic>
      <xdr:nvPicPr>
        <xdr:cNvPr id="10459" name="Рисунок 10458">
          <a:extLst>
            <a:ext uri="{FF2B5EF4-FFF2-40B4-BE49-F238E27FC236}">
              <a16:creationId xmlns:a16="http://schemas.microsoft.com/office/drawing/2014/main" id="{C36D5308-5116-422D-B0FA-33C04769661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6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682691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1201</xdr:row>
      <xdr:rowOff>25400</xdr:rowOff>
    </xdr:from>
    <xdr:to>
      <xdr:col>11</xdr:col>
      <xdr:colOff>571500</xdr:colOff>
      <xdr:row>1202</xdr:row>
      <xdr:rowOff>0</xdr:rowOff>
    </xdr:to>
    <xdr:pic>
      <xdr:nvPicPr>
        <xdr:cNvPr id="10461" name="Рисунок 10460">
          <a:extLst>
            <a:ext uri="{FF2B5EF4-FFF2-40B4-BE49-F238E27FC236}">
              <a16:creationId xmlns:a16="http://schemas.microsoft.com/office/drawing/2014/main" id="{8119FF81-45BD-4C47-97D0-42B0AEBFED2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6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683263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1202</xdr:row>
      <xdr:rowOff>25400</xdr:rowOff>
    </xdr:from>
    <xdr:to>
      <xdr:col>11</xdr:col>
      <xdr:colOff>571500</xdr:colOff>
      <xdr:row>1203</xdr:row>
      <xdr:rowOff>0</xdr:rowOff>
    </xdr:to>
    <xdr:pic>
      <xdr:nvPicPr>
        <xdr:cNvPr id="10463" name="Рисунок 10462">
          <a:extLst>
            <a:ext uri="{FF2B5EF4-FFF2-40B4-BE49-F238E27FC236}">
              <a16:creationId xmlns:a16="http://schemas.microsoft.com/office/drawing/2014/main" id="{BAF9D706-6A59-4B64-AED7-16A32FC0E4B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6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683834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1203</xdr:row>
      <xdr:rowOff>25400</xdr:rowOff>
    </xdr:from>
    <xdr:to>
      <xdr:col>11</xdr:col>
      <xdr:colOff>571500</xdr:colOff>
      <xdr:row>1204</xdr:row>
      <xdr:rowOff>0</xdr:rowOff>
    </xdr:to>
    <xdr:pic>
      <xdr:nvPicPr>
        <xdr:cNvPr id="10465" name="Рисунок 10464">
          <a:extLst>
            <a:ext uri="{FF2B5EF4-FFF2-40B4-BE49-F238E27FC236}">
              <a16:creationId xmlns:a16="http://schemas.microsoft.com/office/drawing/2014/main" id="{186E17B9-B43D-4552-917A-46DD5D970C5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6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684406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1204</xdr:row>
      <xdr:rowOff>25400</xdr:rowOff>
    </xdr:from>
    <xdr:to>
      <xdr:col>11</xdr:col>
      <xdr:colOff>571500</xdr:colOff>
      <xdr:row>1205</xdr:row>
      <xdr:rowOff>0</xdr:rowOff>
    </xdr:to>
    <xdr:pic>
      <xdr:nvPicPr>
        <xdr:cNvPr id="10467" name="Рисунок 10466">
          <a:extLst>
            <a:ext uri="{FF2B5EF4-FFF2-40B4-BE49-F238E27FC236}">
              <a16:creationId xmlns:a16="http://schemas.microsoft.com/office/drawing/2014/main" id="{776708C0-9A81-4E9D-8A2E-34AB493AFB5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6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684977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1205</xdr:row>
      <xdr:rowOff>25400</xdr:rowOff>
    </xdr:from>
    <xdr:to>
      <xdr:col>11</xdr:col>
      <xdr:colOff>571500</xdr:colOff>
      <xdr:row>1206</xdr:row>
      <xdr:rowOff>0</xdr:rowOff>
    </xdr:to>
    <xdr:pic>
      <xdr:nvPicPr>
        <xdr:cNvPr id="10469" name="Рисунок 10468">
          <a:extLst>
            <a:ext uri="{FF2B5EF4-FFF2-40B4-BE49-F238E27FC236}">
              <a16:creationId xmlns:a16="http://schemas.microsoft.com/office/drawing/2014/main" id="{7BCE248B-1E82-48C3-B18F-A7A3F29D066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6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685549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1206</xdr:row>
      <xdr:rowOff>25400</xdr:rowOff>
    </xdr:from>
    <xdr:to>
      <xdr:col>11</xdr:col>
      <xdr:colOff>571500</xdr:colOff>
      <xdr:row>1207</xdr:row>
      <xdr:rowOff>0</xdr:rowOff>
    </xdr:to>
    <xdr:pic>
      <xdr:nvPicPr>
        <xdr:cNvPr id="10471" name="Рисунок 10470">
          <a:extLst>
            <a:ext uri="{FF2B5EF4-FFF2-40B4-BE49-F238E27FC236}">
              <a16:creationId xmlns:a16="http://schemas.microsoft.com/office/drawing/2014/main" id="{9B84C127-0BE0-4CFA-AF89-A3D81E0926F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6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686120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1207</xdr:row>
      <xdr:rowOff>25400</xdr:rowOff>
    </xdr:from>
    <xdr:to>
      <xdr:col>11</xdr:col>
      <xdr:colOff>571500</xdr:colOff>
      <xdr:row>1208</xdr:row>
      <xdr:rowOff>0</xdr:rowOff>
    </xdr:to>
    <xdr:pic>
      <xdr:nvPicPr>
        <xdr:cNvPr id="10473" name="Рисунок 10472">
          <a:extLst>
            <a:ext uri="{FF2B5EF4-FFF2-40B4-BE49-F238E27FC236}">
              <a16:creationId xmlns:a16="http://schemas.microsoft.com/office/drawing/2014/main" id="{BB036070-E74A-4B82-A718-61B54DDCA71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7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686692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1208</xdr:row>
      <xdr:rowOff>25400</xdr:rowOff>
    </xdr:from>
    <xdr:to>
      <xdr:col>11</xdr:col>
      <xdr:colOff>571500</xdr:colOff>
      <xdr:row>1209</xdr:row>
      <xdr:rowOff>0</xdr:rowOff>
    </xdr:to>
    <xdr:pic>
      <xdr:nvPicPr>
        <xdr:cNvPr id="10475" name="Рисунок 10474">
          <a:extLst>
            <a:ext uri="{FF2B5EF4-FFF2-40B4-BE49-F238E27FC236}">
              <a16:creationId xmlns:a16="http://schemas.microsoft.com/office/drawing/2014/main" id="{DCDA6A6B-4FEB-4168-B754-0E9219FCF4D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7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687263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1209</xdr:row>
      <xdr:rowOff>25400</xdr:rowOff>
    </xdr:from>
    <xdr:to>
      <xdr:col>11</xdr:col>
      <xdr:colOff>571500</xdr:colOff>
      <xdr:row>1210</xdr:row>
      <xdr:rowOff>0</xdr:rowOff>
    </xdr:to>
    <xdr:pic>
      <xdr:nvPicPr>
        <xdr:cNvPr id="10477" name="Рисунок 10476">
          <a:extLst>
            <a:ext uri="{FF2B5EF4-FFF2-40B4-BE49-F238E27FC236}">
              <a16:creationId xmlns:a16="http://schemas.microsoft.com/office/drawing/2014/main" id="{02C7869E-B3B8-4B57-8B66-4854253C141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7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687835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1210</xdr:row>
      <xdr:rowOff>25400</xdr:rowOff>
    </xdr:from>
    <xdr:to>
      <xdr:col>11</xdr:col>
      <xdr:colOff>571500</xdr:colOff>
      <xdr:row>1211</xdr:row>
      <xdr:rowOff>0</xdr:rowOff>
    </xdr:to>
    <xdr:pic>
      <xdr:nvPicPr>
        <xdr:cNvPr id="10479" name="Рисунок 10478">
          <a:extLst>
            <a:ext uri="{FF2B5EF4-FFF2-40B4-BE49-F238E27FC236}">
              <a16:creationId xmlns:a16="http://schemas.microsoft.com/office/drawing/2014/main" id="{DC63F84A-1474-47EB-B0F2-6A70172A749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7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688406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1211</xdr:row>
      <xdr:rowOff>25400</xdr:rowOff>
    </xdr:from>
    <xdr:to>
      <xdr:col>11</xdr:col>
      <xdr:colOff>571500</xdr:colOff>
      <xdr:row>1212</xdr:row>
      <xdr:rowOff>0</xdr:rowOff>
    </xdr:to>
    <xdr:pic>
      <xdr:nvPicPr>
        <xdr:cNvPr id="10481" name="Рисунок 10480">
          <a:extLst>
            <a:ext uri="{FF2B5EF4-FFF2-40B4-BE49-F238E27FC236}">
              <a16:creationId xmlns:a16="http://schemas.microsoft.com/office/drawing/2014/main" id="{4034B6FE-13C4-4465-B4F2-E034DA996EA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7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688978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1212</xdr:row>
      <xdr:rowOff>25400</xdr:rowOff>
    </xdr:from>
    <xdr:to>
      <xdr:col>11</xdr:col>
      <xdr:colOff>571500</xdr:colOff>
      <xdr:row>1213</xdr:row>
      <xdr:rowOff>0</xdr:rowOff>
    </xdr:to>
    <xdr:pic>
      <xdr:nvPicPr>
        <xdr:cNvPr id="10483" name="Рисунок 10482">
          <a:extLst>
            <a:ext uri="{FF2B5EF4-FFF2-40B4-BE49-F238E27FC236}">
              <a16:creationId xmlns:a16="http://schemas.microsoft.com/office/drawing/2014/main" id="{C0E0639C-5CBF-4EE0-8196-AC42ED95B0D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7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689549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1213</xdr:row>
      <xdr:rowOff>25400</xdr:rowOff>
    </xdr:from>
    <xdr:to>
      <xdr:col>11</xdr:col>
      <xdr:colOff>571500</xdr:colOff>
      <xdr:row>1214</xdr:row>
      <xdr:rowOff>0</xdr:rowOff>
    </xdr:to>
    <xdr:pic>
      <xdr:nvPicPr>
        <xdr:cNvPr id="10485" name="Рисунок 10484">
          <a:extLst>
            <a:ext uri="{FF2B5EF4-FFF2-40B4-BE49-F238E27FC236}">
              <a16:creationId xmlns:a16="http://schemas.microsoft.com/office/drawing/2014/main" id="{B4150D56-E8D4-4EFD-9737-1918F0A5CAE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7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690121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1214</xdr:row>
      <xdr:rowOff>25400</xdr:rowOff>
    </xdr:from>
    <xdr:to>
      <xdr:col>11</xdr:col>
      <xdr:colOff>571500</xdr:colOff>
      <xdr:row>1215</xdr:row>
      <xdr:rowOff>0</xdr:rowOff>
    </xdr:to>
    <xdr:pic>
      <xdr:nvPicPr>
        <xdr:cNvPr id="10487" name="Рисунок 10486">
          <a:extLst>
            <a:ext uri="{FF2B5EF4-FFF2-40B4-BE49-F238E27FC236}">
              <a16:creationId xmlns:a16="http://schemas.microsoft.com/office/drawing/2014/main" id="{CA7E41B8-ECF4-4407-BB51-C0A28CA2D5B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7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690692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1215</xdr:row>
      <xdr:rowOff>25400</xdr:rowOff>
    </xdr:from>
    <xdr:to>
      <xdr:col>11</xdr:col>
      <xdr:colOff>571500</xdr:colOff>
      <xdr:row>1216</xdr:row>
      <xdr:rowOff>0</xdr:rowOff>
    </xdr:to>
    <xdr:pic>
      <xdr:nvPicPr>
        <xdr:cNvPr id="10489" name="Рисунок 10488">
          <a:extLst>
            <a:ext uri="{FF2B5EF4-FFF2-40B4-BE49-F238E27FC236}">
              <a16:creationId xmlns:a16="http://schemas.microsoft.com/office/drawing/2014/main" id="{7CFD49FD-06D1-4D6B-ACCE-6B97A074525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7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691264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1216</xdr:row>
      <xdr:rowOff>25400</xdr:rowOff>
    </xdr:from>
    <xdr:to>
      <xdr:col>11</xdr:col>
      <xdr:colOff>571500</xdr:colOff>
      <xdr:row>1217</xdr:row>
      <xdr:rowOff>0</xdr:rowOff>
    </xdr:to>
    <xdr:pic>
      <xdr:nvPicPr>
        <xdr:cNvPr id="10491" name="Рисунок 10490">
          <a:extLst>
            <a:ext uri="{FF2B5EF4-FFF2-40B4-BE49-F238E27FC236}">
              <a16:creationId xmlns:a16="http://schemas.microsoft.com/office/drawing/2014/main" id="{3D9839CD-35D1-4782-982D-9B73D0AB85F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7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691835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1217</xdr:row>
      <xdr:rowOff>25400</xdr:rowOff>
    </xdr:from>
    <xdr:to>
      <xdr:col>11</xdr:col>
      <xdr:colOff>571500</xdr:colOff>
      <xdr:row>1218</xdr:row>
      <xdr:rowOff>0</xdr:rowOff>
    </xdr:to>
    <xdr:pic>
      <xdr:nvPicPr>
        <xdr:cNvPr id="10493" name="Рисунок 10492">
          <a:extLst>
            <a:ext uri="{FF2B5EF4-FFF2-40B4-BE49-F238E27FC236}">
              <a16:creationId xmlns:a16="http://schemas.microsoft.com/office/drawing/2014/main" id="{D382317F-FFE1-4F45-873B-0F14DD4B901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8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692407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1218</xdr:row>
      <xdr:rowOff>25400</xdr:rowOff>
    </xdr:from>
    <xdr:to>
      <xdr:col>11</xdr:col>
      <xdr:colOff>571500</xdr:colOff>
      <xdr:row>1219</xdr:row>
      <xdr:rowOff>0</xdr:rowOff>
    </xdr:to>
    <xdr:pic>
      <xdr:nvPicPr>
        <xdr:cNvPr id="10495" name="Рисунок 10494">
          <a:extLst>
            <a:ext uri="{FF2B5EF4-FFF2-40B4-BE49-F238E27FC236}">
              <a16:creationId xmlns:a16="http://schemas.microsoft.com/office/drawing/2014/main" id="{EBDF168D-B1D8-40DE-B5CD-A2F1BBCC98A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8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692978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1219</xdr:row>
      <xdr:rowOff>25400</xdr:rowOff>
    </xdr:from>
    <xdr:to>
      <xdr:col>11</xdr:col>
      <xdr:colOff>571500</xdr:colOff>
      <xdr:row>1220</xdr:row>
      <xdr:rowOff>0</xdr:rowOff>
    </xdr:to>
    <xdr:pic>
      <xdr:nvPicPr>
        <xdr:cNvPr id="10497" name="Рисунок 10496">
          <a:extLst>
            <a:ext uri="{FF2B5EF4-FFF2-40B4-BE49-F238E27FC236}">
              <a16:creationId xmlns:a16="http://schemas.microsoft.com/office/drawing/2014/main" id="{4327E3D1-EE3D-4B72-A076-B744AC1FB9A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8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693550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1220</xdr:row>
      <xdr:rowOff>25400</xdr:rowOff>
    </xdr:from>
    <xdr:to>
      <xdr:col>11</xdr:col>
      <xdr:colOff>571500</xdr:colOff>
      <xdr:row>1221</xdr:row>
      <xdr:rowOff>0</xdr:rowOff>
    </xdr:to>
    <xdr:pic>
      <xdr:nvPicPr>
        <xdr:cNvPr id="10499" name="Рисунок 10498">
          <a:extLst>
            <a:ext uri="{FF2B5EF4-FFF2-40B4-BE49-F238E27FC236}">
              <a16:creationId xmlns:a16="http://schemas.microsoft.com/office/drawing/2014/main" id="{D3446B61-68ED-4ECB-92F8-7E42695D264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8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694121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1221</xdr:row>
      <xdr:rowOff>25400</xdr:rowOff>
    </xdr:from>
    <xdr:to>
      <xdr:col>11</xdr:col>
      <xdr:colOff>571500</xdr:colOff>
      <xdr:row>1222</xdr:row>
      <xdr:rowOff>0</xdr:rowOff>
    </xdr:to>
    <xdr:pic>
      <xdr:nvPicPr>
        <xdr:cNvPr id="10501" name="Рисунок 10500">
          <a:extLst>
            <a:ext uri="{FF2B5EF4-FFF2-40B4-BE49-F238E27FC236}">
              <a16:creationId xmlns:a16="http://schemas.microsoft.com/office/drawing/2014/main" id="{6CAED8C1-B8DD-4353-9845-F04E96B0D96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8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694693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1222</xdr:row>
      <xdr:rowOff>25400</xdr:rowOff>
    </xdr:from>
    <xdr:to>
      <xdr:col>11</xdr:col>
      <xdr:colOff>571500</xdr:colOff>
      <xdr:row>1223</xdr:row>
      <xdr:rowOff>0</xdr:rowOff>
    </xdr:to>
    <xdr:pic>
      <xdr:nvPicPr>
        <xdr:cNvPr id="10503" name="Рисунок 10502">
          <a:extLst>
            <a:ext uri="{FF2B5EF4-FFF2-40B4-BE49-F238E27FC236}">
              <a16:creationId xmlns:a16="http://schemas.microsoft.com/office/drawing/2014/main" id="{20E611F7-E1BD-49A6-9019-2D026588A25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8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695264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1223</xdr:row>
      <xdr:rowOff>25400</xdr:rowOff>
    </xdr:from>
    <xdr:to>
      <xdr:col>11</xdr:col>
      <xdr:colOff>571500</xdr:colOff>
      <xdr:row>1224</xdr:row>
      <xdr:rowOff>0</xdr:rowOff>
    </xdr:to>
    <xdr:pic>
      <xdr:nvPicPr>
        <xdr:cNvPr id="10505" name="Рисунок 10504">
          <a:extLst>
            <a:ext uri="{FF2B5EF4-FFF2-40B4-BE49-F238E27FC236}">
              <a16:creationId xmlns:a16="http://schemas.microsoft.com/office/drawing/2014/main" id="{E9202CC1-556D-4B05-8400-72A78824EDD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8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695836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1224</xdr:row>
      <xdr:rowOff>25400</xdr:rowOff>
    </xdr:from>
    <xdr:to>
      <xdr:col>11</xdr:col>
      <xdr:colOff>571500</xdr:colOff>
      <xdr:row>1225</xdr:row>
      <xdr:rowOff>0</xdr:rowOff>
    </xdr:to>
    <xdr:pic>
      <xdr:nvPicPr>
        <xdr:cNvPr id="10507" name="Рисунок 10506">
          <a:extLst>
            <a:ext uri="{FF2B5EF4-FFF2-40B4-BE49-F238E27FC236}">
              <a16:creationId xmlns:a16="http://schemas.microsoft.com/office/drawing/2014/main" id="{A31FE613-010D-4343-9612-9827C9BE951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8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696407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1225</xdr:row>
      <xdr:rowOff>25400</xdr:rowOff>
    </xdr:from>
    <xdr:to>
      <xdr:col>11</xdr:col>
      <xdr:colOff>571500</xdr:colOff>
      <xdr:row>1226</xdr:row>
      <xdr:rowOff>0</xdr:rowOff>
    </xdr:to>
    <xdr:pic>
      <xdr:nvPicPr>
        <xdr:cNvPr id="10509" name="Рисунок 10508">
          <a:extLst>
            <a:ext uri="{FF2B5EF4-FFF2-40B4-BE49-F238E27FC236}">
              <a16:creationId xmlns:a16="http://schemas.microsoft.com/office/drawing/2014/main" id="{39F0B2F4-B753-4CCE-AE78-960ACC85342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8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696979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1226</xdr:row>
      <xdr:rowOff>25400</xdr:rowOff>
    </xdr:from>
    <xdr:to>
      <xdr:col>11</xdr:col>
      <xdr:colOff>571500</xdr:colOff>
      <xdr:row>1227</xdr:row>
      <xdr:rowOff>0</xdr:rowOff>
    </xdr:to>
    <xdr:pic>
      <xdr:nvPicPr>
        <xdr:cNvPr id="10511" name="Рисунок 10510">
          <a:extLst>
            <a:ext uri="{FF2B5EF4-FFF2-40B4-BE49-F238E27FC236}">
              <a16:creationId xmlns:a16="http://schemas.microsoft.com/office/drawing/2014/main" id="{040BC811-1B85-473A-983F-692359774EA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8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697550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1227</xdr:row>
      <xdr:rowOff>25400</xdr:rowOff>
    </xdr:from>
    <xdr:to>
      <xdr:col>11</xdr:col>
      <xdr:colOff>571500</xdr:colOff>
      <xdr:row>1228</xdr:row>
      <xdr:rowOff>0</xdr:rowOff>
    </xdr:to>
    <xdr:pic>
      <xdr:nvPicPr>
        <xdr:cNvPr id="10513" name="Рисунок 10512">
          <a:extLst>
            <a:ext uri="{FF2B5EF4-FFF2-40B4-BE49-F238E27FC236}">
              <a16:creationId xmlns:a16="http://schemas.microsoft.com/office/drawing/2014/main" id="{6695F1FA-4BDE-430C-9978-0C22AD1231C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9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698122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1228</xdr:row>
      <xdr:rowOff>25400</xdr:rowOff>
    </xdr:from>
    <xdr:to>
      <xdr:col>11</xdr:col>
      <xdr:colOff>571500</xdr:colOff>
      <xdr:row>1229</xdr:row>
      <xdr:rowOff>0</xdr:rowOff>
    </xdr:to>
    <xdr:pic>
      <xdr:nvPicPr>
        <xdr:cNvPr id="10515" name="Рисунок 10514">
          <a:extLst>
            <a:ext uri="{FF2B5EF4-FFF2-40B4-BE49-F238E27FC236}">
              <a16:creationId xmlns:a16="http://schemas.microsoft.com/office/drawing/2014/main" id="{99FED6E6-018B-4EF8-9152-E8F13EE4E82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9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698693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1229</xdr:row>
      <xdr:rowOff>25400</xdr:rowOff>
    </xdr:from>
    <xdr:to>
      <xdr:col>11</xdr:col>
      <xdr:colOff>571500</xdr:colOff>
      <xdr:row>1230</xdr:row>
      <xdr:rowOff>0</xdr:rowOff>
    </xdr:to>
    <xdr:pic>
      <xdr:nvPicPr>
        <xdr:cNvPr id="10517" name="Рисунок 10516">
          <a:extLst>
            <a:ext uri="{FF2B5EF4-FFF2-40B4-BE49-F238E27FC236}">
              <a16:creationId xmlns:a16="http://schemas.microsoft.com/office/drawing/2014/main" id="{4C67980E-9862-4EF7-88BD-C3C81AC11A1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9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699265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1230</xdr:row>
      <xdr:rowOff>25400</xdr:rowOff>
    </xdr:from>
    <xdr:to>
      <xdr:col>11</xdr:col>
      <xdr:colOff>571500</xdr:colOff>
      <xdr:row>1231</xdr:row>
      <xdr:rowOff>0</xdr:rowOff>
    </xdr:to>
    <xdr:pic>
      <xdr:nvPicPr>
        <xdr:cNvPr id="10519" name="Рисунок 10518">
          <a:extLst>
            <a:ext uri="{FF2B5EF4-FFF2-40B4-BE49-F238E27FC236}">
              <a16:creationId xmlns:a16="http://schemas.microsoft.com/office/drawing/2014/main" id="{EA035288-0909-47C4-81C3-3E464AC9F60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9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699836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1231</xdr:row>
      <xdr:rowOff>25400</xdr:rowOff>
    </xdr:from>
    <xdr:to>
      <xdr:col>11</xdr:col>
      <xdr:colOff>571500</xdr:colOff>
      <xdr:row>1232</xdr:row>
      <xdr:rowOff>0</xdr:rowOff>
    </xdr:to>
    <xdr:pic>
      <xdr:nvPicPr>
        <xdr:cNvPr id="10521" name="Рисунок 10520">
          <a:extLst>
            <a:ext uri="{FF2B5EF4-FFF2-40B4-BE49-F238E27FC236}">
              <a16:creationId xmlns:a16="http://schemas.microsoft.com/office/drawing/2014/main" id="{BB48717F-01C1-4837-BD2E-B8033AD2BCB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9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700408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1232</xdr:row>
      <xdr:rowOff>25400</xdr:rowOff>
    </xdr:from>
    <xdr:to>
      <xdr:col>11</xdr:col>
      <xdr:colOff>571500</xdr:colOff>
      <xdr:row>1233</xdr:row>
      <xdr:rowOff>0</xdr:rowOff>
    </xdr:to>
    <xdr:pic>
      <xdr:nvPicPr>
        <xdr:cNvPr id="10523" name="Рисунок 10522">
          <a:extLst>
            <a:ext uri="{FF2B5EF4-FFF2-40B4-BE49-F238E27FC236}">
              <a16:creationId xmlns:a16="http://schemas.microsoft.com/office/drawing/2014/main" id="{4C1383BB-AF16-4851-A3BE-F1385DDB8A8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9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700979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1233</xdr:row>
      <xdr:rowOff>25400</xdr:rowOff>
    </xdr:from>
    <xdr:to>
      <xdr:col>11</xdr:col>
      <xdr:colOff>571500</xdr:colOff>
      <xdr:row>1234</xdr:row>
      <xdr:rowOff>0</xdr:rowOff>
    </xdr:to>
    <xdr:pic>
      <xdr:nvPicPr>
        <xdr:cNvPr id="10525" name="Рисунок 10524">
          <a:extLst>
            <a:ext uri="{FF2B5EF4-FFF2-40B4-BE49-F238E27FC236}">
              <a16:creationId xmlns:a16="http://schemas.microsoft.com/office/drawing/2014/main" id="{70FCF0AF-430B-42A0-B797-2E05543C1EF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9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701551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1234</xdr:row>
      <xdr:rowOff>25400</xdr:rowOff>
    </xdr:from>
    <xdr:to>
      <xdr:col>11</xdr:col>
      <xdr:colOff>571500</xdr:colOff>
      <xdr:row>1235</xdr:row>
      <xdr:rowOff>0</xdr:rowOff>
    </xdr:to>
    <xdr:pic>
      <xdr:nvPicPr>
        <xdr:cNvPr id="10527" name="Рисунок 10526">
          <a:extLst>
            <a:ext uri="{FF2B5EF4-FFF2-40B4-BE49-F238E27FC236}">
              <a16:creationId xmlns:a16="http://schemas.microsoft.com/office/drawing/2014/main" id="{A4B5A5E5-FA9C-4946-8C25-9802619BF82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9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702122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1235</xdr:row>
      <xdr:rowOff>25400</xdr:rowOff>
    </xdr:from>
    <xdr:to>
      <xdr:col>11</xdr:col>
      <xdr:colOff>571500</xdr:colOff>
      <xdr:row>1236</xdr:row>
      <xdr:rowOff>0</xdr:rowOff>
    </xdr:to>
    <xdr:pic>
      <xdr:nvPicPr>
        <xdr:cNvPr id="10529" name="Рисунок 10528">
          <a:extLst>
            <a:ext uri="{FF2B5EF4-FFF2-40B4-BE49-F238E27FC236}">
              <a16:creationId xmlns:a16="http://schemas.microsoft.com/office/drawing/2014/main" id="{DFAA6989-45B5-48CB-85C0-3F8BBB452BC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9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702694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1236</xdr:row>
      <xdr:rowOff>25400</xdr:rowOff>
    </xdr:from>
    <xdr:to>
      <xdr:col>11</xdr:col>
      <xdr:colOff>571500</xdr:colOff>
      <xdr:row>1237</xdr:row>
      <xdr:rowOff>0</xdr:rowOff>
    </xdr:to>
    <xdr:pic>
      <xdr:nvPicPr>
        <xdr:cNvPr id="10531" name="Рисунок 10530">
          <a:extLst>
            <a:ext uri="{FF2B5EF4-FFF2-40B4-BE49-F238E27FC236}">
              <a16:creationId xmlns:a16="http://schemas.microsoft.com/office/drawing/2014/main" id="{F8C8FB54-EFF8-41C1-B8DF-3E02FB1005E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19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703265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1237</xdr:row>
      <xdr:rowOff>25400</xdr:rowOff>
    </xdr:from>
    <xdr:to>
      <xdr:col>11</xdr:col>
      <xdr:colOff>571500</xdr:colOff>
      <xdr:row>1238</xdr:row>
      <xdr:rowOff>0</xdr:rowOff>
    </xdr:to>
    <xdr:pic>
      <xdr:nvPicPr>
        <xdr:cNvPr id="10533" name="Рисунок 10532">
          <a:extLst>
            <a:ext uri="{FF2B5EF4-FFF2-40B4-BE49-F238E27FC236}">
              <a16:creationId xmlns:a16="http://schemas.microsoft.com/office/drawing/2014/main" id="{A175F707-B92C-4226-A446-2D123680EA0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0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703837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1238</xdr:row>
      <xdr:rowOff>25400</xdr:rowOff>
    </xdr:from>
    <xdr:to>
      <xdr:col>11</xdr:col>
      <xdr:colOff>571500</xdr:colOff>
      <xdr:row>1239</xdr:row>
      <xdr:rowOff>0</xdr:rowOff>
    </xdr:to>
    <xdr:pic>
      <xdr:nvPicPr>
        <xdr:cNvPr id="10535" name="Рисунок 10534">
          <a:extLst>
            <a:ext uri="{FF2B5EF4-FFF2-40B4-BE49-F238E27FC236}">
              <a16:creationId xmlns:a16="http://schemas.microsoft.com/office/drawing/2014/main" id="{B1F6306F-01D7-4272-A790-9C1B6925453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0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704408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1239</xdr:row>
      <xdr:rowOff>25400</xdr:rowOff>
    </xdr:from>
    <xdr:to>
      <xdr:col>11</xdr:col>
      <xdr:colOff>571500</xdr:colOff>
      <xdr:row>1240</xdr:row>
      <xdr:rowOff>0</xdr:rowOff>
    </xdr:to>
    <xdr:pic>
      <xdr:nvPicPr>
        <xdr:cNvPr id="10537" name="Рисунок 10536">
          <a:extLst>
            <a:ext uri="{FF2B5EF4-FFF2-40B4-BE49-F238E27FC236}">
              <a16:creationId xmlns:a16="http://schemas.microsoft.com/office/drawing/2014/main" id="{191C6890-31E0-480C-A9F3-60999BABBE9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0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704980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1240</xdr:row>
      <xdr:rowOff>25400</xdr:rowOff>
    </xdr:from>
    <xdr:to>
      <xdr:col>11</xdr:col>
      <xdr:colOff>571500</xdr:colOff>
      <xdr:row>1241</xdr:row>
      <xdr:rowOff>0</xdr:rowOff>
    </xdr:to>
    <xdr:pic>
      <xdr:nvPicPr>
        <xdr:cNvPr id="10539" name="Рисунок 10538">
          <a:extLst>
            <a:ext uri="{FF2B5EF4-FFF2-40B4-BE49-F238E27FC236}">
              <a16:creationId xmlns:a16="http://schemas.microsoft.com/office/drawing/2014/main" id="{41608951-A3F3-4300-9D6B-12FE82956B7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0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705551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1241</xdr:row>
      <xdr:rowOff>25400</xdr:rowOff>
    </xdr:from>
    <xdr:to>
      <xdr:col>11</xdr:col>
      <xdr:colOff>571500</xdr:colOff>
      <xdr:row>1242</xdr:row>
      <xdr:rowOff>0</xdr:rowOff>
    </xdr:to>
    <xdr:pic>
      <xdr:nvPicPr>
        <xdr:cNvPr id="10541" name="Рисунок 10540">
          <a:extLst>
            <a:ext uri="{FF2B5EF4-FFF2-40B4-BE49-F238E27FC236}">
              <a16:creationId xmlns:a16="http://schemas.microsoft.com/office/drawing/2014/main" id="{16BA3C8B-B55C-4970-989A-EB1B66C4A13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0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706123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1242</xdr:row>
      <xdr:rowOff>25400</xdr:rowOff>
    </xdr:from>
    <xdr:to>
      <xdr:col>11</xdr:col>
      <xdr:colOff>571500</xdr:colOff>
      <xdr:row>1243</xdr:row>
      <xdr:rowOff>0</xdr:rowOff>
    </xdr:to>
    <xdr:pic>
      <xdr:nvPicPr>
        <xdr:cNvPr id="10543" name="Рисунок 10542">
          <a:extLst>
            <a:ext uri="{FF2B5EF4-FFF2-40B4-BE49-F238E27FC236}">
              <a16:creationId xmlns:a16="http://schemas.microsoft.com/office/drawing/2014/main" id="{C71B4E0F-D45A-47D0-96F5-E1318DC7D5F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0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706694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1243</xdr:row>
      <xdr:rowOff>25400</xdr:rowOff>
    </xdr:from>
    <xdr:to>
      <xdr:col>11</xdr:col>
      <xdr:colOff>571500</xdr:colOff>
      <xdr:row>1244</xdr:row>
      <xdr:rowOff>0</xdr:rowOff>
    </xdr:to>
    <xdr:pic>
      <xdr:nvPicPr>
        <xdr:cNvPr id="10545" name="Рисунок 10544">
          <a:extLst>
            <a:ext uri="{FF2B5EF4-FFF2-40B4-BE49-F238E27FC236}">
              <a16:creationId xmlns:a16="http://schemas.microsoft.com/office/drawing/2014/main" id="{B3C87D92-B741-4295-A03E-A0D8E66FE15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0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707266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1244</xdr:row>
      <xdr:rowOff>25400</xdr:rowOff>
    </xdr:from>
    <xdr:to>
      <xdr:col>11</xdr:col>
      <xdr:colOff>571500</xdr:colOff>
      <xdr:row>1245</xdr:row>
      <xdr:rowOff>0</xdr:rowOff>
    </xdr:to>
    <xdr:pic>
      <xdr:nvPicPr>
        <xdr:cNvPr id="10547" name="Рисунок 10546">
          <a:extLst>
            <a:ext uri="{FF2B5EF4-FFF2-40B4-BE49-F238E27FC236}">
              <a16:creationId xmlns:a16="http://schemas.microsoft.com/office/drawing/2014/main" id="{CE0E8E7C-9788-4D1B-9377-39CE3DE3A25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0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707837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1245</xdr:row>
      <xdr:rowOff>25400</xdr:rowOff>
    </xdr:from>
    <xdr:to>
      <xdr:col>11</xdr:col>
      <xdr:colOff>571500</xdr:colOff>
      <xdr:row>1246</xdr:row>
      <xdr:rowOff>0</xdr:rowOff>
    </xdr:to>
    <xdr:pic>
      <xdr:nvPicPr>
        <xdr:cNvPr id="10549" name="Рисунок 10548">
          <a:extLst>
            <a:ext uri="{FF2B5EF4-FFF2-40B4-BE49-F238E27FC236}">
              <a16:creationId xmlns:a16="http://schemas.microsoft.com/office/drawing/2014/main" id="{9DF922C5-DB01-4223-9475-C3BE41491E7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0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708409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1246</xdr:row>
      <xdr:rowOff>25400</xdr:rowOff>
    </xdr:from>
    <xdr:to>
      <xdr:col>11</xdr:col>
      <xdr:colOff>571500</xdr:colOff>
      <xdr:row>1247</xdr:row>
      <xdr:rowOff>0</xdr:rowOff>
    </xdr:to>
    <xdr:pic>
      <xdr:nvPicPr>
        <xdr:cNvPr id="10551" name="Рисунок 10550">
          <a:extLst>
            <a:ext uri="{FF2B5EF4-FFF2-40B4-BE49-F238E27FC236}">
              <a16:creationId xmlns:a16="http://schemas.microsoft.com/office/drawing/2014/main" id="{188C2D53-F485-452B-9B5B-0F74A25690C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0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708980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1247</xdr:row>
      <xdr:rowOff>25400</xdr:rowOff>
    </xdr:from>
    <xdr:to>
      <xdr:col>11</xdr:col>
      <xdr:colOff>571500</xdr:colOff>
      <xdr:row>1248</xdr:row>
      <xdr:rowOff>0</xdr:rowOff>
    </xdr:to>
    <xdr:pic>
      <xdr:nvPicPr>
        <xdr:cNvPr id="10553" name="Рисунок 10552">
          <a:extLst>
            <a:ext uri="{FF2B5EF4-FFF2-40B4-BE49-F238E27FC236}">
              <a16:creationId xmlns:a16="http://schemas.microsoft.com/office/drawing/2014/main" id="{7A48B59F-A50E-4B00-9A02-784411B5483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709552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1248</xdr:row>
      <xdr:rowOff>25400</xdr:rowOff>
    </xdr:from>
    <xdr:to>
      <xdr:col>11</xdr:col>
      <xdr:colOff>571500</xdr:colOff>
      <xdr:row>1249</xdr:row>
      <xdr:rowOff>0</xdr:rowOff>
    </xdr:to>
    <xdr:pic>
      <xdr:nvPicPr>
        <xdr:cNvPr id="10555" name="Рисунок 10554">
          <a:extLst>
            <a:ext uri="{FF2B5EF4-FFF2-40B4-BE49-F238E27FC236}">
              <a16:creationId xmlns:a16="http://schemas.microsoft.com/office/drawing/2014/main" id="{E608B632-F444-4540-9B5D-A8D7C711CC4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710123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1249</xdr:row>
      <xdr:rowOff>25400</xdr:rowOff>
    </xdr:from>
    <xdr:to>
      <xdr:col>11</xdr:col>
      <xdr:colOff>571500</xdr:colOff>
      <xdr:row>1250</xdr:row>
      <xdr:rowOff>0</xdr:rowOff>
    </xdr:to>
    <xdr:pic>
      <xdr:nvPicPr>
        <xdr:cNvPr id="10557" name="Рисунок 10556">
          <a:extLst>
            <a:ext uri="{FF2B5EF4-FFF2-40B4-BE49-F238E27FC236}">
              <a16:creationId xmlns:a16="http://schemas.microsoft.com/office/drawing/2014/main" id="{AC598028-B585-49C4-9556-E94401F77D2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710695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1250</xdr:row>
      <xdr:rowOff>25400</xdr:rowOff>
    </xdr:from>
    <xdr:to>
      <xdr:col>11</xdr:col>
      <xdr:colOff>571500</xdr:colOff>
      <xdr:row>1251</xdr:row>
      <xdr:rowOff>0</xdr:rowOff>
    </xdr:to>
    <xdr:pic>
      <xdr:nvPicPr>
        <xdr:cNvPr id="10559" name="Рисунок 10558">
          <a:extLst>
            <a:ext uri="{FF2B5EF4-FFF2-40B4-BE49-F238E27FC236}">
              <a16:creationId xmlns:a16="http://schemas.microsoft.com/office/drawing/2014/main" id="{7891324A-9CAB-465D-B877-C8F700993D4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711266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1251</xdr:row>
      <xdr:rowOff>25400</xdr:rowOff>
    </xdr:from>
    <xdr:to>
      <xdr:col>11</xdr:col>
      <xdr:colOff>571500</xdr:colOff>
      <xdr:row>1252</xdr:row>
      <xdr:rowOff>0</xdr:rowOff>
    </xdr:to>
    <xdr:pic>
      <xdr:nvPicPr>
        <xdr:cNvPr id="10561" name="Рисунок 10560">
          <a:extLst>
            <a:ext uri="{FF2B5EF4-FFF2-40B4-BE49-F238E27FC236}">
              <a16:creationId xmlns:a16="http://schemas.microsoft.com/office/drawing/2014/main" id="{B24271EF-B4D8-4C66-A2D8-EB30FB0A61A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711838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1252</xdr:row>
      <xdr:rowOff>25400</xdr:rowOff>
    </xdr:from>
    <xdr:to>
      <xdr:col>11</xdr:col>
      <xdr:colOff>571500</xdr:colOff>
      <xdr:row>1253</xdr:row>
      <xdr:rowOff>0</xdr:rowOff>
    </xdr:to>
    <xdr:pic>
      <xdr:nvPicPr>
        <xdr:cNvPr id="10563" name="Рисунок 10562">
          <a:extLst>
            <a:ext uri="{FF2B5EF4-FFF2-40B4-BE49-F238E27FC236}">
              <a16:creationId xmlns:a16="http://schemas.microsoft.com/office/drawing/2014/main" id="{14D68FF5-61DE-4C39-BA36-281120685E0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712409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1253</xdr:row>
      <xdr:rowOff>25400</xdr:rowOff>
    </xdr:from>
    <xdr:to>
      <xdr:col>11</xdr:col>
      <xdr:colOff>571500</xdr:colOff>
      <xdr:row>1254</xdr:row>
      <xdr:rowOff>0</xdr:rowOff>
    </xdr:to>
    <xdr:pic>
      <xdr:nvPicPr>
        <xdr:cNvPr id="10565" name="Рисунок 10564">
          <a:extLst>
            <a:ext uri="{FF2B5EF4-FFF2-40B4-BE49-F238E27FC236}">
              <a16:creationId xmlns:a16="http://schemas.microsoft.com/office/drawing/2014/main" id="{FB18911B-3C8F-4BC8-AED0-0591FE9C9D2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712981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1254</xdr:row>
      <xdr:rowOff>25400</xdr:rowOff>
    </xdr:from>
    <xdr:to>
      <xdr:col>11</xdr:col>
      <xdr:colOff>571500</xdr:colOff>
      <xdr:row>1255</xdr:row>
      <xdr:rowOff>0</xdr:rowOff>
    </xdr:to>
    <xdr:pic>
      <xdr:nvPicPr>
        <xdr:cNvPr id="10567" name="Рисунок 10566">
          <a:extLst>
            <a:ext uri="{FF2B5EF4-FFF2-40B4-BE49-F238E27FC236}">
              <a16:creationId xmlns:a16="http://schemas.microsoft.com/office/drawing/2014/main" id="{19487EA0-7C8F-47A5-A555-0F79DA8E516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713552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1255</xdr:row>
      <xdr:rowOff>25400</xdr:rowOff>
    </xdr:from>
    <xdr:to>
      <xdr:col>11</xdr:col>
      <xdr:colOff>571500</xdr:colOff>
      <xdr:row>1256</xdr:row>
      <xdr:rowOff>0</xdr:rowOff>
    </xdr:to>
    <xdr:pic>
      <xdr:nvPicPr>
        <xdr:cNvPr id="10569" name="Рисунок 10568">
          <a:extLst>
            <a:ext uri="{FF2B5EF4-FFF2-40B4-BE49-F238E27FC236}">
              <a16:creationId xmlns:a16="http://schemas.microsoft.com/office/drawing/2014/main" id="{8187EAA5-687A-47A1-8C66-99A47F1FE18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714124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1256</xdr:row>
      <xdr:rowOff>25400</xdr:rowOff>
    </xdr:from>
    <xdr:to>
      <xdr:col>11</xdr:col>
      <xdr:colOff>571500</xdr:colOff>
      <xdr:row>1257</xdr:row>
      <xdr:rowOff>0</xdr:rowOff>
    </xdr:to>
    <xdr:pic>
      <xdr:nvPicPr>
        <xdr:cNvPr id="10571" name="Рисунок 10570">
          <a:extLst>
            <a:ext uri="{FF2B5EF4-FFF2-40B4-BE49-F238E27FC236}">
              <a16:creationId xmlns:a16="http://schemas.microsoft.com/office/drawing/2014/main" id="{8E92B426-824D-47AA-9CB2-293E4FFBF6F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714695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1257</xdr:row>
      <xdr:rowOff>25400</xdr:rowOff>
    </xdr:from>
    <xdr:to>
      <xdr:col>11</xdr:col>
      <xdr:colOff>571500</xdr:colOff>
      <xdr:row>1258</xdr:row>
      <xdr:rowOff>0</xdr:rowOff>
    </xdr:to>
    <xdr:pic>
      <xdr:nvPicPr>
        <xdr:cNvPr id="10573" name="Рисунок 10572">
          <a:extLst>
            <a:ext uri="{FF2B5EF4-FFF2-40B4-BE49-F238E27FC236}">
              <a16:creationId xmlns:a16="http://schemas.microsoft.com/office/drawing/2014/main" id="{F823C57E-F70A-4DA4-BF7D-39B9BC31A2B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715267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1258</xdr:row>
      <xdr:rowOff>25400</xdr:rowOff>
    </xdr:from>
    <xdr:to>
      <xdr:col>11</xdr:col>
      <xdr:colOff>571500</xdr:colOff>
      <xdr:row>1259</xdr:row>
      <xdr:rowOff>0</xdr:rowOff>
    </xdr:to>
    <xdr:pic>
      <xdr:nvPicPr>
        <xdr:cNvPr id="10575" name="Рисунок 10574">
          <a:extLst>
            <a:ext uri="{FF2B5EF4-FFF2-40B4-BE49-F238E27FC236}">
              <a16:creationId xmlns:a16="http://schemas.microsoft.com/office/drawing/2014/main" id="{49147AE2-9469-42D0-BAE8-3B80B3311A7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715838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1259</xdr:row>
      <xdr:rowOff>25400</xdr:rowOff>
    </xdr:from>
    <xdr:to>
      <xdr:col>11</xdr:col>
      <xdr:colOff>571500</xdr:colOff>
      <xdr:row>1260</xdr:row>
      <xdr:rowOff>0</xdr:rowOff>
    </xdr:to>
    <xdr:pic>
      <xdr:nvPicPr>
        <xdr:cNvPr id="10577" name="Рисунок 10576">
          <a:extLst>
            <a:ext uri="{FF2B5EF4-FFF2-40B4-BE49-F238E27FC236}">
              <a16:creationId xmlns:a16="http://schemas.microsoft.com/office/drawing/2014/main" id="{6F79A7C6-F3C7-4F3F-A77F-2CF25B00FB3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716410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1260</xdr:row>
      <xdr:rowOff>25400</xdr:rowOff>
    </xdr:from>
    <xdr:to>
      <xdr:col>11</xdr:col>
      <xdr:colOff>571500</xdr:colOff>
      <xdr:row>1261</xdr:row>
      <xdr:rowOff>0</xdr:rowOff>
    </xdr:to>
    <xdr:pic>
      <xdr:nvPicPr>
        <xdr:cNvPr id="10579" name="Рисунок 10578">
          <a:extLst>
            <a:ext uri="{FF2B5EF4-FFF2-40B4-BE49-F238E27FC236}">
              <a16:creationId xmlns:a16="http://schemas.microsoft.com/office/drawing/2014/main" id="{F7C667DB-6305-4D48-8B00-7CCEE46B154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716981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1261</xdr:row>
      <xdr:rowOff>25400</xdr:rowOff>
    </xdr:from>
    <xdr:to>
      <xdr:col>11</xdr:col>
      <xdr:colOff>571500</xdr:colOff>
      <xdr:row>1262</xdr:row>
      <xdr:rowOff>0</xdr:rowOff>
    </xdr:to>
    <xdr:pic>
      <xdr:nvPicPr>
        <xdr:cNvPr id="10581" name="Рисунок 10580">
          <a:extLst>
            <a:ext uri="{FF2B5EF4-FFF2-40B4-BE49-F238E27FC236}">
              <a16:creationId xmlns:a16="http://schemas.microsoft.com/office/drawing/2014/main" id="{C1AA184C-AD64-47E7-90D8-28E495C18A2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717553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1262</xdr:row>
      <xdr:rowOff>25400</xdr:rowOff>
    </xdr:from>
    <xdr:to>
      <xdr:col>11</xdr:col>
      <xdr:colOff>571500</xdr:colOff>
      <xdr:row>1263</xdr:row>
      <xdr:rowOff>0</xdr:rowOff>
    </xdr:to>
    <xdr:pic>
      <xdr:nvPicPr>
        <xdr:cNvPr id="10583" name="Рисунок 10582">
          <a:extLst>
            <a:ext uri="{FF2B5EF4-FFF2-40B4-BE49-F238E27FC236}">
              <a16:creationId xmlns:a16="http://schemas.microsoft.com/office/drawing/2014/main" id="{D14A6A09-8459-471A-A414-DE831E4A755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718124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1263</xdr:row>
      <xdr:rowOff>25400</xdr:rowOff>
    </xdr:from>
    <xdr:to>
      <xdr:col>11</xdr:col>
      <xdr:colOff>571500</xdr:colOff>
      <xdr:row>1264</xdr:row>
      <xdr:rowOff>0</xdr:rowOff>
    </xdr:to>
    <xdr:pic>
      <xdr:nvPicPr>
        <xdr:cNvPr id="10585" name="Рисунок 10584">
          <a:extLst>
            <a:ext uri="{FF2B5EF4-FFF2-40B4-BE49-F238E27FC236}">
              <a16:creationId xmlns:a16="http://schemas.microsoft.com/office/drawing/2014/main" id="{6259CD90-FA70-4C10-9D6F-C51031EB0D5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718696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1264</xdr:row>
      <xdr:rowOff>25400</xdr:rowOff>
    </xdr:from>
    <xdr:to>
      <xdr:col>11</xdr:col>
      <xdr:colOff>571500</xdr:colOff>
      <xdr:row>1265</xdr:row>
      <xdr:rowOff>0</xdr:rowOff>
    </xdr:to>
    <xdr:pic>
      <xdr:nvPicPr>
        <xdr:cNvPr id="10587" name="Рисунок 10586">
          <a:extLst>
            <a:ext uri="{FF2B5EF4-FFF2-40B4-BE49-F238E27FC236}">
              <a16:creationId xmlns:a16="http://schemas.microsoft.com/office/drawing/2014/main" id="{0FB5A0AB-B0BF-47BB-AF79-7EB95E9F5AE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719267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1265</xdr:row>
      <xdr:rowOff>25400</xdr:rowOff>
    </xdr:from>
    <xdr:to>
      <xdr:col>11</xdr:col>
      <xdr:colOff>571500</xdr:colOff>
      <xdr:row>1266</xdr:row>
      <xdr:rowOff>0</xdr:rowOff>
    </xdr:to>
    <xdr:pic>
      <xdr:nvPicPr>
        <xdr:cNvPr id="10589" name="Рисунок 10588">
          <a:extLst>
            <a:ext uri="{FF2B5EF4-FFF2-40B4-BE49-F238E27FC236}">
              <a16:creationId xmlns:a16="http://schemas.microsoft.com/office/drawing/2014/main" id="{E59CC609-55DF-41D5-8961-38878793B21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719839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1266</xdr:row>
      <xdr:rowOff>25400</xdr:rowOff>
    </xdr:from>
    <xdr:to>
      <xdr:col>11</xdr:col>
      <xdr:colOff>571500</xdr:colOff>
      <xdr:row>1267</xdr:row>
      <xdr:rowOff>0</xdr:rowOff>
    </xdr:to>
    <xdr:pic>
      <xdr:nvPicPr>
        <xdr:cNvPr id="10591" name="Рисунок 10590">
          <a:extLst>
            <a:ext uri="{FF2B5EF4-FFF2-40B4-BE49-F238E27FC236}">
              <a16:creationId xmlns:a16="http://schemas.microsoft.com/office/drawing/2014/main" id="{FC405AA4-7770-4726-BA97-B86FFFFAAFF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720410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1267</xdr:row>
      <xdr:rowOff>25400</xdr:rowOff>
    </xdr:from>
    <xdr:to>
      <xdr:col>11</xdr:col>
      <xdr:colOff>571500</xdr:colOff>
      <xdr:row>1268</xdr:row>
      <xdr:rowOff>0</xdr:rowOff>
    </xdr:to>
    <xdr:pic>
      <xdr:nvPicPr>
        <xdr:cNvPr id="10593" name="Рисунок 10592">
          <a:extLst>
            <a:ext uri="{FF2B5EF4-FFF2-40B4-BE49-F238E27FC236}">
              <a16:creationId xmlns:a16="http://schemas.microsoft.com/office/drawing/2014/main" id="{E83C28AC-D1E3-4B63-A445-C79EDCA1010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720982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1268</xdr:row>
      <xdr:rowOff>25400</xdr:rowOff>
    </xdr:from>
    <xdr:to>
      <xdr:col>11</xdr:col>
      <xdr:colOff>571500</xdr:colOff>
      <xdr:row>1269</xdr:row>
      <xdr:rowOff>0</xdr:rowOff>
    </xdr:to>
    <xdr:pic>
      <xdr:nvPicPr>
        <xdr:cNvPr id="10595" name="Рисунок 10594">
          <a:extLst>
            <a:ext uri="{FF2B5EF4-FFF2-40B4-BE49-F238E27FC236}">
              <a16:creationId xmlns:a16="http://schemas.microsoft.com/office/drawing/2014/main" id="{A56949E4-5F9D-4912-B1B5-C1699ACE5BD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3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721553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1269</xdr:row>
      <xdr:rowOff>25400</xdr:rowOff>
    </xdr:from>
    <xdr:to>
      <xdr:col>11</xdr:col>
      <xdr:colOff>571500</xdr:colOff>
      <xdr:row>1270</xdr:row>
      <xdr:rowOff>0</xdr:rowOff>
    </xdr:to>
    <xdr:pic>
      <xdr:nvPicPr>
        <xdr:cNvPr id="10597" name="Рисунок 10596">
          <a:extLst>
            <a:ext uri="{FF2B5EF4-FFF2-40B4-BE49-F238E27FC236}">
              <a16:creationId xmlns:a16="http://schemas.microsoft.com/office/drawing/2014/main" id="{7E99B621-5EC1-4F4B-88BB-A2418660524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3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722125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1270</xdr:row>
      <xdr:rowOff>25400</xdr:rowOff>
    </xdr:from>
    <xdr:to>
      <xdr:col>11</xdr:col>
      <xdr:colOff>571500</xdr:colOff>
      <xdr:row>1271</xdr:row>
      <xdr:rowOff>0</xdr:rowOff>
    </xdr:to>
    <xdr:pic>
      <xdr:nvPicPr>
        <xdr:cNvPr id="10599" name="Рисунок 10598">
          <a:extLst>
            <a:ext uri="{FF2B5EF4-FFF2-40B4-BE49-F238E27FC236}">
              <a16:creationId xmlns:a16="http://schemas.microsoft.com/office/drawing/2014/main" id="{DC0CE6BB-C3EB-4443-9241-665DEA84E78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3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722696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1271</xdr:row>
      <xdr:rowOff>25400</xdr:rowOff>
    </xdr:from>
    <xdr:to>
      <xdr:col>11</xdr:col>
      <xdr:colOff>571500</xdr:colOff>
      <xdr:row>1272</xdr:row>
      <xdr:rowOff>0</xdr:rowOff>
    </xdr:to>
    <xdr:pic>
      <xdr:nvPicPr>
        <xdr:cNvPr id="10601" name="Рисунок 10600">
          <a:extLst>
            <a:ext uri="{FF2B5EF4-FFF2-40B4-BE49-F238E27FC236}">
              <a16:creationId xmlns:a16="http://schemas.microsoft.com/office/drawing/2014/main" id="{93B754D4-EECA-4CBD-9564-825E6CB3229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3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723268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1272</xdr:row>
      <xdr:rowOff>25400</xdr:rowOff>
    </xdr:from>
    <xdr:to>
      <xdr:col>11</xdr:col>
      <xdr:colOff>571500</xdr:colOff>
      <xdr:row>1273</xdr:row>
      <xdr:rowOff>0</xdr:rowOff>
    </xdr:to>
    <xdr:pic>
      <xdr:nvPicPr>
        <xdr:cNvPr id="10603" name="Рисунок 10602">
          <a:extLst>
            <a:ext uri="{FF2B5EF4-FFF2-40B4-BE49-F238E27FC236}">
              <a16:creationId xmlns:a16="http://schemas.microsoft.com/office/drawing/2014/main" id="{9015562C-A7CA-46B7-ACFB-D53205030F7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3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723839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1273</xdr:row>
      <xdr:rowOff>25400</xdr:rowOff>
    </xdr:from>
    <xdr:to>
      <xdr:col>11</xdr:col>
      <xdr:colOff>571500</xdr:colOff>
      <xdr:row>1274</xdr:row>
      <xdr:rowOff>0</xdr:rowOff>
    </xdr:to>
    <xdr:pic>
      <xdr:nvPicPr>
        <xdr:cNvPr id="10605" name="Рисунок 10604">
          <a:extLst>
            <a:ext uri="{FF2B5EF4-FFF2-40B4-BE49-F238E27FC236}">
              <a16:creationId xmlns:a16="http://schemas.microsoft.com/office/drawing/2014/main" id="{8C2301D4-242D-419A-9F5B-E3985B44AEE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3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724411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1274</xdr:row>
      <xdr:rowOff>25400</xdr:rowOff>
    </xdr:from>
    <xdr:to>
      <xdr:col>11</xdr:col>
      <xdr:colOff>571500</xdr:colOff>
      <xdr:row>1275</xdr:row>
      <xdr:rowOff>0</xdr:rowOff>
    </xdr:to>
    <xdr:pic>
      <xdr:nvPicPr>
        <xdr:cNvPr id="10607" name="Рисунок 10606">
          <a:extLst>
            <a:ext uri="{FF2B5EF4-FFF2-40B4-BE49-F238E27FC236}">
              <a16:creationId xmlns:a16="http://schemas.microsoft.com/office/drawing/2014/main" id="{3F489C2D-9892-4ABD-8260-20832FE97A2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3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724982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1275</xdr:row>
      <xdr:rowOff>25400</xdr:rowOff>
    </xdr:from>
    <xdr:to>
      <xdr:col>11</xdr:col>
      <xdr:colOff>571500</xdr:colOff>
      <xdr:row>1276</xdr:row>
      <xdr:rowOff>0</xdr:rowOff>
    </xdr:to>
    <xdr:pic>
      <xdr:nvPicPr>
        <xdr:cNvPr id="10609" name="Рисунок 10608">
          <a:extLst>
            <a:ext uri="{FF2B5EF4-FFF2-40B4-BE49-F238E27FC236}">
              <a16:creationId xmlns:a16="http://schemas.microsoft.com/office/drawing/2014/main" id="{78D8DEE7-5D1E-4033-9BC4-FC680A3BDD0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3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725554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1276</xdr:row>
      <xdr:rowOff>25400</xdr:rowOff>
    </xdr:from>
    <xdr:to>
      <xdr:col>11</xdr:col>
      <xdr:colOff>571500</xdr:colOff>
      <xdr:row>1277</xdr:row>
      <xdr:rowOff>0</xdr:rowOff>
    </xdr:to>
    <xdr:pic>
      <xdr:nvPicPr>
        <xdr:cNvPr id="10611" name="Рисунок 10610">
          <a:extLst>
            <a:ext uri="{FF2B5EF4-FFF2-40B4-BE49-F238E27FC236}">
              <a16:creationId xmlns:a16="http://schemas.microsoft.com/office/drawing/2014/main" id="{04CB1644-26B4-4D39-A303-D0ED6143349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3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726125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1277</xdr:row>
      <xdr:rowOff>25400</xdr:rowOff>
    </xdr:from>
    <xdr:to>
      <xdr:col>11</xdr:col>
      <xdr:colOff>571500</xdr:colOff>
      <xdr:row>1278</xdr:row>
      <xdr:rowOff>0</xdr:rowOff>
    </xdr:to>
    <xdr:pic>
      <xdr:nvPicPr>
        <xdr:cNvPr id="10613" name="Рисунок 10612">
          <a:extLst>
            <a:ext uri="{FF2B5EF4-FFF2-40B4-BE49-F238E27FC236}">
              <a16:creationId xmlns:a16="http://schemas.microsoft.com/office/drawing/2014/main" id="{63845876-C6EF-4E00-BF7D-331646867C5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4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726697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1278</xdr:row>
      <xdr:rowOff>25400</xdr:rowOff>
    </xdr:from>
    <xdr:to>
      <xdr:col>11</xdr:col>
      <xdr:colOff>571500</xdr:colOff>
      <xdr:row>1279</xdr:row>
      <xdr:rowOff>0</xdr:rowOff>
    </xdr:to>
    <xdr:pic>
      <xdr:nvPicPr>
        <xdr:cNvPr id="10615" name="Рисунок 10614">
          <a:extLst>
            <a:ext uri="{FF2B5EF4-FFF2-40B4-BE49-F238E27FC236}">
              <a16:creationId xmlns:a16="http://schemas.microsoft.com/office/drawing/2014/main" id="{CAFD53CC-ECAA-4D1E-A493-C1B0F2B0D4F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4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727268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1279</xdr:row>
      <xdr:rowOff>25400</xdr:rowOff>
    </xdr:from>
    <xdr:to>
      <xdr:col>11</xdr:col>
      <xdr:colOff>571500</xdr:colOff>
      <xdr:row>1280</xdr:row>
      <xdr:rowOff>0</xdr:rowOff>
    </xdr:to>
    <xdr:pic>
      <xdr:nvPicPr>
        <xdr:cNvPr id="10617" name="Рисунок 10616">
          <a:extLst>
            <a:ext uri="{FF2B5EF4-FFF2-40B4-BE49-F238E27FC236}">
              <a16:creationId xmlns:a16="http://schemas.microsoft.com/office/drawing/2014/main" id="{9411AD80-7F53-4E66-80F5-F33297C3481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727840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1280</xdr:row>
      <xdr:rowOff>25400</xdr:rowOff>
    </xdr:from>
    <xdr:to>
      <xdr:col>11</xdr:col>
      <xdr:colOff>571500</xdr:colOff>
      <xdr:row>1281</xdr:row>
      <xdr:rowOff>0</xdr:rowOff>
    </xdr:to>
    <xdr:pic>
      <xdr:nvPicPr>
        <xdr:cNvPr id="10619" name="Рисунок 10618">
          <a:extLst>
            <a:ext uri="{FF2B5EF4-FFF2-40B4-BE49-F238E27FC236}">
              <a16:creationId xmlns:a16="http://schemas.microsoft.com/office/drawing/2014/main" id="{7576F6DA-6FCF-4744-9D25-3157846858A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728411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1281</xdr:row>
      <xdr:rowOff>25400</xdr:rowOff>
    </xdr:from>
    <xdr:to>
      <xdr:col>11</xdr:col>
      <xdr:colOff>571500</xdr:colOff>
      <xdr:row>1282</xdr:row>
      <xdr:rowOff>0</xdr:rowOff>
    </xdr:to>
    <xdr:pic>
      <xdr:nvPicPr>
        <xdr:cNvPr id="10621" name="Рисунок 10620">
          <a:extLst>
            <a:ext uri="{FF2B5EF4-FFF2-40B4-BE49-F238E27FC236}">
              <a16:creationId xmlns:a16="http://schemas.microsoft.com/office/drawing/2014/main" id="{9D102A14-8D55-4E7E-A741-BA5D67613E6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728983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1282</xdr:row>
      <xdr:rowOff>25400</xdr:rowOff>
    </xdr:from>
    <xdr:to>
      <xdr:col>11</xdr:col>
      <xdr:colOff>571500</xdr:colOff>
      <xdr:row>1283</xdr:row>
      <xdr:rowOff>0</xdr:rowOff>
    </xdr:to>
    <xdr:pic>
      <xdr:nvPicPr>
        <xdr:cNvPr id="10623" name="Рисунок 10622">
          <a:extLst>
            <a:ext uri="{FF2B5EF4-FFF2-40B4-BE49-F238E27FC236}">
              <a16:creationId xmlns:a16="http://schemas.microsoft.com/office/drawing/2014/main" id="{6A6975EA-C53F-4891-99D1-8C765BB8B8B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4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729554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1283</xdr:row>
      <xdr:rowOff>25400</xdr:rowOff>
    </xdr:from>
    <xdr:to>
      <xdr:col>11</xdr:col>
      <xdr:colOff>571500</xdr:colOff>
      <xdr:row>1284</xdr:row>
      <xdr:rowOff>0</xdr:rowOff>
    </xdr:to>
    <xdr:pic>
      <xdr:nvPicPr>
        <xdr:cNvPr id="10625" name="Рисунок 10624">
          <a:extLst>
            <a:ext uri="{FF2B5EF4-FFF2-40B4-BE49-F238E27FC236}">
              <a16:creationId xmlns:a16="http://schemas.microsoft.com/office/drawing/2014/main" id="{57274FA5-1D94-4371-B3D7-5EC0B5EF90C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4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730126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1284</xdr:row>
      <xdr:rowOff>25400</xdr:rowOff>
    </xdr:from>
    <xdr:to>
      <xdr:col>11</xdr:col>
      <xdr:colOff>571500</xdr:colOff>
      <xdr:row>1285</xdr:row>
      <xdr:rowOff>0</xdr:rowOff>
    </xdr:to>
    <xdr:pic>
      <xdr:nvPicPr>
        <xdr:cNvPr id="10627" name="Рисунок 10626">
          <a:extLst>
            <a:ext uri="{FF2B5EF4-FFF2-40B4-BE49-F238E27FC236}">
              <a16:creationId xmlns:a16="http://schemas.microsoft.com/office/drawing/2014/main" id="{09FB37C9-A473-4BB4-8220-16FEC055C59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4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730697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1285</xdr:row>
      <xdr:rowOff>25400</xdr:rowOff>
    </xdr:from>
    <xdr:to>
      <xdr:col>11</xdr:col>
      <xdr:colOff>571500</xdr:colOff>
      <xdr:row>1286</xdr:row>
      <xdr:rowOff>0</xdr:rowOff>
    </xdr:to>
    <xdr:pic>
      <xdr:nvPicPr>
        <xdr:cNvPr id="10629" name="Рисунок 10628">
          <a:extLst>
            <a:ext uri="{FF2B5EF4-FFF2-40B4-BE49-F238E27FC236}">
              <a16:creationId xmlns:a16="http://schemas.microsoft.com/office/drawing/2014/main" id="{A5DE1009-395B-40CB-88E9-AEF8405A2F5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4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731269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1286</xdr:row>
      <xdr:rowOff>25400</xdr:rowOff>
    </xdr:from>
    <xdr:to>
      <xdr:col>11</xdr:col>
      <xdr:colOff>571500</xdr:colOff>
      <xdr:row>1287</xdr:row>
      <xdr:rowOff>0</xdr:rowOff>
    </xdr:to>
    <xdr:pic>
      <xdr:nvPicPr>
        <xdr:cNvPr id="10631" name="Рисунок 10630">
          <a:extLst>
            <a:ext uri="{FF2B5EF4-FFF2-40B4-BE49-F238E27FC236}">
              <a16:creationId xmlns:a16="http://schemas.microsoft.com/office/drawing/2014/main" id="{290923BA-63D8-412C-80E9-876C9A6993D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4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731840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1287</xdr:row>
      <xdr:rowOff>25400</xdr:rowOff>
    </xdr:from>
    <xdr:to>
      <xdr:col>11</xdr:col>
      <xdr:colOff>571500</xdr:colOff>
      <xdr:row>1288</xdr:row>
      <xdr:rowOff>0</xdr:rowOff>
    </xdr:to>
    <xdr:pic>
      <xdr:nvPicPr>
        <xdr:cNvPr id="10633" name="Рисунок 10632">
          <a:extLst>
            <a:ext uri="{FF2B5EF4-FFF2-40B4-BE49-F238E27FC236}">
              <a16:creationId xmlns:a16="http://schemas.microsoft.com/office/drawing/2014/main" id="{953C18C7-07CF-4B76-BE6A-A4EB87CD184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5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732412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1288</xdr:row>
      <xdr:rowOff>25400</xdr:rowOff>
    </xdr:from>
    <xdr:to>
      <xdr:col>11</xdr:col>
      <xdr:colOff>571500</xdr:colOff>
      <xdr:row>1289</xdr:row>
      <xdr:rowOff>0</xdr:rowOff>
    </xdr:to>
    <xdr:pic>
      <xdr:nvPicPr>
        <xdr:cNvPr id="10635" name="Рисунок 10634">
          <a:extLst>
            <a:ext uri="{FF2B5EF4-FFF2-40B4-BE49-F238E27FC236}">
              <a16:creationId xmlns:a16="http://schemas.microsoft.com/office/drawing/2014/main" id="{C5910BAC-191C-4214-9BB8-49DD248461F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5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732983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1289</xdr:row>
      <xdr:rowOff>25400</xdr:rowOff>
    </xdr:from>
    <xdr:to>
      <xdr:col>11</xdr:col>
      <xdr:colOff>571500</xdr:colOff>
      <xdr:row>1290</xdr:row>
      <xdr:rowOff>0</xdr:rowOff>
    </xdr:to>
    <xdr:pic>
      <xdr:nvPicPr>
        <xdr:cNvPr id="10637" name="Рисунок 10636">
          <a:extLst>
            <a:ext uri="{FF2B5EF4-FFF2-40B4-BE49-F238E27FC236}">
              <a16:creationId xmlns:a16="http://schemas.microsoft.com/office/drawing/2014/main" id="{D512005D-CBE4-42FF-879D-8E7B34EBE66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733555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1290</xdr:row>
      <xdr:rowOff>25400</xdr:rowOff>
    </xdr:from>
    <xdr:to>
      <xdr:col>11</xdr:col>
      <xdr:colOff>571500</xdr:colOff>
      <xdr:row>1291</xdr:row>
      <xdr:rowOff>0</xdr:rowOff>
    </xdr:to>
    <xdr:pic>
      <xdr:nvPicPr>
        <xdr:cNvPr id="10639" name="Рисунок 10638">
          <a:extLst>
            <a:ext uri="{FF2B5EF4-FFF2-40B4-BE49-F238E27FC236}">
              <a16:creationId xmlns:a16="http://schemas.microsoft.com/office/drawing/2014/main" id="{7FDB4F46-ED70-41F3-9779-7C42B96CAFC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5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734126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1291</xdr:row>
      <xdr:rowOff>25400</xdr:rowOff>
    </xdr:from>
    <xdr:to>
      <xdr:col>11</xdr:col>
      <xdr:colOff>571500</xdr:colOff>
      <xdr:row>1292</xdr:row>
      <xdr:rowOff>0</xdr:rowOff>
    </xdr:to>
    <xdr:pic>
      <xdr:nvPicPr>
        <xdr:cNvPr id="10641" name="Рисунок 10640">
          <a:extLst>
            <a:ext uri="{FF2B5EF4-FFF2-40B4-BE49-F238E27FC236}">
              <a16:creationId xmlns:a16="http://schemas.microsoft.com/office/drawing/2014/main" id="{C90751D5-BEC2-4726-8D12-F5149822E57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5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734698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1292</xdr:row>
      <xdr:rowOff>25400</xdr:rowOff>
    </xdr:from>
    <xdr:to>
      <xdr:col>11</xdr:col>
      <xdr:colOff>571500</xdr:colOff>
      <xdr:row>1293</xdr:row>
      <xdr:rowOff>0</xdr:rowOff>
    </xdr:to>
    <xdr:pic>
      <xdr:nvPicPr>
        <xdr:cNvPr id="10643" name="Рисунок 10642">
          <a:extLst>
            <a:ext uri="{FF2B5EF4-FFF2-40B4-BE49-F238E27FC236}">
              <a16:creationId xmlns:a16="http://schemas.microsoft.com/office/drawing/2014/main" id="{B8A8DC2F-86BD-4896-8576-3D60FFA0DB3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5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735269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1293</xdr:row>
      <xdr:rowOff>25400</xdr:rowOff>
    </xdr:from>
    <xdr:to>
      <xdr:col>11</xdr:col>
      <xdr:colOff>571500</xdr:colOff>
      <xdr:row>1294</xdr:row>
      <xdr:rowOff>0</xdr:rowOff>
    </xdr:to>
    <xdr:pic>
      <xdr:nvPicPr>
        <xdr:cNvPr id="10645" name="Рисунок 10644">
          <a:extLst>
            <a:ext uri="{FF2B5EF4-FFF2-40B4-BE49-F238E27FC236}">
              <a16:creationId xmlns:a16="http://schemas.microsoft.com/office/drawing/2014/main" id="{EA7A4326-B024-44A8-84B2-C13C811D765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5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735841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1294</xdr:row>
      <xdr:rowOff>25400</xdr:rowOff>
    </xdr:from>
    <xdr:to>
      <xdr:col>11</xdr:col>
      <xdr:colOff>571500</xdr:colOff>
      <xdr:row>1295</xdr:row>
      <xdr:rowOff>0</xdr:rowOff>
    </xdr:to>
    <xdr:pic>
      <xdr:nvPicPr>
        <xdr:cNvPr id="10647" name="Рисунок 10646">
          <a:extLst>
            <a:ext uri="{FF2B5EF4-FFF2-40B4-BE49-F238E27FC236}">
              <a16:creationId xmlns:a16="http://schemas.microsoft.com/office/drawing/2014/main" id="{A969E71A-E4F8-4220-AB0B-C17B13FD81C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5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736412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1295</xdr:row>
      <xdr:rowOff>25400</xdr:rowOff>
    </xdr:from>
    <xdr:to>
      <xdr:col>11</xdr:col>
      <xdr:colOff>571500</xdr:colOff>
      <xdr:row>1296</xdr:row>
      <xdr:rowOff>0</xdr:rowOff>
    </xdr:to>
    <xdr:pic>
      <xdr:nvPicPr>
        <xdr:cNvPr id="10649" name="Рисунок 10648">
          <a:extLst>
            <a:ext uri="{FF2B5EF4-FFF2-40B4-BE49-F238E27FC236}">
              <a16:creationId xmlns:a16="http://schemas.microsoft.com/office/drawing/2014/main" id="{8C0EF031-C0AA-4383-A3E2-386F808389F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5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736984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1296</xdr:row>
      <xdr:rowOff>25400</xdr:rowOff>
    </xdr:from>
    <xdr:to>
      <xdr:col>11</xdr:col>
      <xdr:colOff>571500</xdr:colOff>
      <xdr:row>1297</xdr:row>
      <xdr:rowOff>0</xdr:rowOff>
    </xdr:to>
    <xdr:pic>
      <xdr:nvPicPr>
        <xdr:cNvPr id="10651" name="Рисунок 10650">
          <a:extLst>
            <a:ext uri="{FF2B5EF4-FFF2-40B4-BE49-F238E27FC236}">
              <a16:creationId xmlns:a16="http://schemas.microsoft.com/office/drawing/2014/main" id="{03A86A6C-AB7F-471B-A480-17998D32403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5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737555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1297</xdr:row>
      <xdr:rowOff>25400</xdr:rowOff>
    </xdr:from>
    <xdr:to>
      <xdr:col>11</xdr:col>
      <xdr:colOff>571500</xdr:colOff>
      <xdr:row>1298</xdr:row>
      <xdr:rowOff>0</xdr:rowOff>
    </xdr:to>
    <xdr:pic>
      <xdr:nvPicPr>
        <xdr:cNvPr id="10653" name="Рисунок 10652">
          <a:extLst>
            <a:ext uri="{FF2B5EF4-FFF2-40B4-BE49-F238E27FC236}">
              <a16:creationId xmlns:a16="http://schemas.microsoft.com/office/drawing/2014/main" id="{34487907-DE6F-4835-88CA-7F6488BF1EC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6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738127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1298</xdr:row>
      <xdr:rowOff>25400</xdr:rowOff>
    </xdr:from>
    <xdr:to>
      <xdr:col>11</xdr:col>
      <xdr:colOff>571500</xdr:colOff>
      <xdr:row>1299</xdr:row>
      <xdr:rowOff>0</xdr:rowOff>
    </xdr:to>
    <xdr:pic>
      <xdr:nvPicPr>
        <xdr:cNvPr id="10655" name="Рисунок 10654">
          <a:extLst>
            <a:ext uri="{FF2B5EF4-FFF2-40B4-BE49-F238E27FC236}">
              <a16:creationId xmlns:a16="http://schemas.microsoft.com/office/drawing/2014/main" id="{490E3F9C-AAFD-4B60-B766-D9ABF66D635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6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738698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1299</xdr:row>
      <xdr:rowOff>25400</xdr:rowOff>
    </xdr:from>
    <xdr:to>
      <xdr:col>11</xdr:col>
      <xdr:colOff>571500</xdr:colOff>
      <xdr:row>1300</xdr:row>
      <xdr:rowOff>0</xdr:rowOff>
    </xdr:to>
    <xdr:pic>
      <xdr:nvPicPr>
        <xdr:cNvPr id="10657" name="Рисунок 10656">
          <a:extLst>
            <a:ext uri="{FF2B5EF4-FFF2-40B4-BE49-F238E27FC236}">
              <a16:creationId xmlns:a16="http://schemas.microsoft.com/office/drawing/2014/main" id="{62158C59-0FAD-4BA0-A0D5-76AF07CAB29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6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739270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1300</xdr:row>
      <xdr:rowOff>25400</xdr:rowOff>
    </xdr:from>
    <xdr:to>
      <xdr:col>11</xdr:col>
      <xdr:colOff>571500</xdr:colOff>
      <xdr:row>1301</xdr:row>
      <xdr:rowOff>0</xdr:rowOff>
    </xdr:to>
    <xdr:pic>
      <xdr:nvPicPr>
        <xdr:cNvPr id="10659" name="Рисунок 10658">
          <a:extLst>
            <a:ext uri="{FF2B5EF4-FFF2-40B4-BE49-F238E27FC236}">
              <a16:creationId xmlns:a16="http://schemas.microsoft.com/office/drawing/2014/main" id="{8299BFD2-CEE5-4A6E-A201-E5974EF4EA3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6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739841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1301</xdr:row>
      <xdr:rowOff>25400</xdr:rowOff>
    </xdr:from>
    <xdr:to>
      <xdr:col>11</xdr:col>
      <xdr:colOff>571500</xdr:colOff>
      <xdr:row>1302</xdr:row>
      <xdr:rowOff>0</xdr:rowOff>
    </xdr:to>
    <xdr:pic>
      <xdr:nvPicPr>
        <xdr:cNvPr id="10661" name="Рисунок 10660">
          <a:extLst>
            <a:ext uri="{FF2B5EF4-FFF2-40B4-BE49-F238E27FC236}">
              <a16:creationId xmlns:a16="http://schemas.microsoft.com/office/drawing/2014/main" id="{ABB67A61-6FA6-49EC-9F7A-AA2BBE2E99C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6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740413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1302</xdr:row>
      <xdr:rowOff>25400</xdr:rowOff>
    </xdr:from>
    <xdr:to>
      <xdr:col>11</xdr:col>
      <xdr:colOff>571500</xdr:colOff>
      <xdr:row>1303</xdr:row>
      <xdr:rowOff>0</xdr:rowOff>
    </xdr:to>
    <xdr:pic>
      <xdr:nvPicPr>
        <xdr:cNvPr id="10663" name="Рисунок 10662">
          <a:extLst>
            <a:ext uri="{FF2B5EF4-FFF2-40B4-BE49-F238E27FC236}">
              <a16:creationId xmlns:a16="http://schemas.microsoft.com/office/drawing/2014/main" id="{C0A6DC79-A43D-4198-9A36-4A21E0AFD9D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6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740984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1303</xdr:row>
      <xdr:rowOff>25400</xdr:rowOff>
    </xdr:from>
    <xdr:to>
      <xdr:col>11</xdr:col>
      <xdr:colOff>571500</xdr:colOff>
      <xdr:row>1304</xdr:row>
      <xdr:rowOff>0</xdr:rowOff>
    </xdr:to>
    <xdr:pic>
      <xdr:nvPicPr>
        <xdr:cNvPr id="10665" name="Рисунок 10664">
          <a:extLst>
            <a:ext uri="{FF2B5EF4-FFF2-40B4-BE49-F238E27FC236}">
              <a16:creationId xmlns:a16="http://schemas.microsoft.com/office/drawing/2014/main" id="{42BD3FD6-9223-4F7B-809F-7B848208C31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6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741556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1304</xdr:row>
      <xdr:rowOff>25400</xdr:rowOff>
    </xdr:from>
    <xdr:to>
      <xdr:col>11</xdr:col>
      <xdr:colOff>571500</xdr:colOff>
      <xdr:row>1305</xdr:row>
      <xdr:rowOff>0</xdr:rowOff>
    </xdr:to>
    <xdr:pic>
      <xdr:nvPicPr>
        <xdr:cNvPr id="10667" name="Рисунок 10666">
          <a:extLst>
            <a:ext uri="{FF2B5EF4-FFF2-40B4-BE49-F238E27FC236}">
              <a16:creationId xmlns:a16="http://schemas.microsoft.com/office/drawing/2014/main" id="{9F314198-D25C-4C70-8D94-F03DB795563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6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742127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1305</xdr:row>
      <xdr:rowOff>25400</xdr:rowOff>
    </xdr:from>
    <xdr:to>
      <xdr:col>11</xdr:col>
      <xdr:colOff>571500</xdr:colOff>
      <xdr:row>1306</xdr:row>
      <xdr:rowOff>0</xdr:rowOff>
    </xdr:to>
    <xdr:pic>
      <xdr:nvPicPr>
        <xdr:cNvPr id="10669" name="Рисунок 10668">
          <a:extLst>
            <a:ext uri="{FF2B5EF4-FFF2-40B4-BE49-F238E27FC236}">
              <a16:creationId xmlns:a16="http://schemas.microsoft.com/office/drawing/2014/main" id="{90534EB4-7891-4851-9E30-558788B1F4F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6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742699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1306</xdr:row>
      <xdr:rowOff>25400</xdr:rowOff>
    </xdr:from>
    <xdr:to>
      <xdr:col>11</xdr:col>
      <xdr:colOff>571500</xdr:colOff>
      <xdr:row>1307</xdr:row>
      <xdr:rowOff>0</xdr:rowOff>
    </xdr:to>
    <xdr:pic>
      <xdr:nvPicPr>
        <xdr:cNvPr id="10671" name="Рисунок 10670">
          <a:extLst>
            <a:ext uri="{FF2B5EF4-FFF2-40B4-BE49-F238E27FC236}">
              <a16:creationId xmlns:a16="http://schemas.microsoft.com/office/drawing/2014/main" id="{3489A463-074B-4798-81F0-8DA65760A34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6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743270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1307</xdr:row>
      <xdr:rowOff>25400</xdr:rowOff>
    </xdr:from>
    <xdr:to>
      <xdr:col>11</xdr:col>
      <xdr:colOff>571500</xdr:colOff>
      <xdr:row>1308</xdr:row>
      <xdr:rowOff>0</xdr:rowOff>
    </xdr:to>
    <xdr:pic>
      <xdr:nvPicPr>
        <xdr:cNvPr id="10673" name="Рисунок 10672">
          <a:extLst>
            <a:ext uri="{FF2B5EF4-FFF2-40B4-BE49-F238E27FC236}">
              <a16:creationId xmlns:a16="http://schemas.microsoft.com/office/drawing/2014/main" id="{AA9EA942-8211-4BDF-B2ED-3074A292E8B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7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743842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1308</xdr:row>
      <xdr:rowOff>25400</xdr:rowOff>
    </xdr:from>
    <xdr:to>
      <xdr:col>11</xdr:col>
      <xdr:colOff>571500</xdr:colOff>
      <xdr:row>1309</xdr:row>
      <xdr:rowOff>0</xdr:rowOff>
    </xdr:to>
    <xdr:pic>
      <xdr:nvPicPr>
        <xdr:cNvPr id="10675" name="Рисунок 10674">
          <a:extLst>
            <a:ext uri="{FF2B5EF4-FFF2-40B4-BE49-F238E27FC236}">
              <a16:creationId xmlns:a16="http://schemas.microsoft.com/office/drawing/2014/main" id="{B27BD563-C5F0-4CAA-88EB-78785A83F10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7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744413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1309</xdr:row>
      <xdr:rowOff>25400</xdr:rowOff>
    </xdr:from>
    <xdr:to>
      <xdr:col>11</xdr:col>
      <xdr:colOff>571500</xdr:colOff>
      <xdr:row>1310</xdr:row>
      <xdr:rowOff>0</xdr:rowOff>
    </xdr:to>
    <xdr:pic>
      <xdr:nvPicPr>
        <xdr:cNvPr id="10677" name="Рисунок 10676">
          <a:extLst>
            <a:ext uri="{FF2B5EF4-FFF2-40B4-BE49-F238E27FC236}">
              <a16:creationId xmlns:a16="http://schemas.microsoft.com/office/drawing/2014/main" id="{D84D4CFC-3FC3-4889-A107-2CB76D73385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7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744985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1310</xdr:row>
      <xdr:rowOff>25400</xdr:rowOff>
    </xdr:from>
    <xdr:to>
      <xdr:col>11</xdr:col>
      <xdr:colOff>571500</xdr:colOff>
      <xdr:row>1311</xdr:row>
      <xdr:rowOff>0</xdr:rowOff>
    </xdr:to>
    <xdr:pic>
      <xdr:nvPicPr>
        <xdr:cNvPr id="10679" name="Рисунок 10678">
          <a:extLst>
            <a:ext uri="{FF2B5EF4-FFF2-40B4-BE49-F238E27FC236}">
              <a16:creationId xmlns:a16="http://schemas.microsoft.com/office/drawing/2014/main" id="{53E37117-0461-4D0E-9EF4-9252DBDF017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7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745556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1311</xdr:row>
      <xdr:rowOff>25400</xdr:rowOff>
    </xdr:from>
    <xdr:to>
      <xdr:col>11</xdr:col>
      <xdr:colOff>571500</xdr:colOff>
      <xdr:row>1312</xdr:row>
      <xdr:rowOff>0</xdr:rowOff>
    </xdr:to>
    <xdr:pic>
      <xdr:nvPicPr>
        <xdr:cNvPr id="10681" name="Рисунок 10680">
          <a:extLst>
            <a:ext uri="{FF2B5EF4-FFF2-40B4-BE49-F238E27FC236}">
              <a16:creationId xmlns:a16="http://schemas.microsoft.com/office/drawing/2014/main" id="{2D1296B1-5618-48E2-85A6-854551D1172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7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746128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1312</xdr:row>
      <xdr:rowOff>25400</xdr:rowOff>
    </xdr:from>
    <xdr:to>
      <xdr:col>11</xdr:col>
      <xdr:colOff>571500</xdr:colOff>
      <xdr:row>1313</xdr:row>
      <xdr:rowOff>0</xdr:rowOff>
    </xdr:to>
    <xdr:pic>
      <xdr:nvPicPr>
        <xdr:cNvPr id="10683" name="Рисунок 10682">
          <a:extLst>
            <a:ext uri="{FF2B5EF4-FFF2-40B4-BE49-F238E27FC236}">
              <a16:creationId xmlns:a16="http://schemas.microsoft.com/office/drawing/2014/main" id="{FB6CCDFA-1746-4C6F-8FEF-67DE41D66CF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7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746699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1313</xdr:row>
      <xdr:rowOff>25400</xdr:rowOff>
    </xdr:from>
    <xdr:to>
      <xdr:col>11</xdr:col>
      <xdr:colOff>571500</xdr:colOff>
      <xdr:row>1314</xdr:row>
      <xdr:rowOff>0</xdr:rowOff>
    </xdr:to>
    <xdr:pic>
      <xdr:nvPicPr>
        <xdr:cNvPr id="10685" name="Рисунок 10684">
          <a:extLst>
            <a:ext uri="{FF2B5EF4-FFF2-40B4-BE49-F238E27FC236}">
              <a16:creationId xmlns:a16="http://schemas.microsoft.com/office/drawing/2014/main" id="{BD3104AB-49BC-4E09-B755-FBB93E22EEE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7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747271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1314</xdr:row>
      <xdr:rowOff>25400</xdr:rowOff>
    </xdr:from>
    <xdr:to>
      <xdr:col>11</xdr:col>
      <xdr:colOff>571500</xdr:colOff>
      <xdr:row>1315</xdr:row>
      <xdr:rowOff>0</xdr:rowOff>
    </xdr:to>
    <xdr:pic>
      <xdr:nvPicPr>
        <xdr:cNvPr id="10687" name="Рисунок 10686">
          <a:extLst>
            <a:ext uri="{FF2B5EF4-FFF2-40B4-BE49-F238E27FC236}">
              <a16:creationId xmlns:a16="http://schemas.microsoft.com/office/drawing/2014/main" id="{1C6FCC9F-FFAE-4C68-8BF1-3BA39604914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7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747842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1315</xdr:row>
      <xdr:rowOff>25400</xdr:rowOff>
    </xdr:from>
    <xdr:to>
      <xdr:col>11</xdr:col>
      <xdr:colOff>571500</xdr:colOff>
      <xdr:row>1316</xdr:row>
      <xdr:rowOff>0</xdr:rowOff>
    </xdr:to>
    <xdr:pic>
      <xdr:nvPicPr>
        <xdr:cNvPr id="10689" name="Рисунок 10688">
          <a:extLst>
            <a:ext uri="{FF2B5EF4-FFF2-40B4-BE49-F238E27FC236}">
              <a16:creationId xmlns:a16="http://schemas.microsoft.com/office/drawing/2014/main" id="{FE517748-F1C5-4D2C-9970-948A5E8E36C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7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748414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1316</xdr:row>
      <xdr:rowOff>25400</xdr:rowOff>
    </xdr:from>
    <xdr:to>
      <xdr:col>11</xdr:col>
      <xdr:colOff>571500</xdr:colOff>
      <xdr:row>1317</xdr:row>
      <xdr:rowOff>0</xdr:rowOff>
    </xdr:to>
    <xdr:pic>
      <xdr:nvPicPr>
        <xdr:cNvPr id="10691" name="Рисунок 10690">
          <a:extLst>
            <a:ext uri="{FF2B5EF4-FFF2-40B4-BE49-F238E27FC236}">
              <a16:creationId xmlns:a16="http://schemas.microsoft.com/office/drawing/2014/main" id="{D7EDF44E-D121-4D4F-957D-99ADFD9DFEA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7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748985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1317</xdr:row>
      <xdr:rowOff>25400</xdr:rowOff>
    </xdr:from>
    <xdr:to>
      <xdr:col>11</xdr:col>
      <xdr:colOff>571500</xdr:colOff>
      <xdr:row>1318</xdr:row>
      <xdr:rowOff>0</xdr:rowOff>
    </xdr:to>
    <xdr:pic>
      <xdr:nvPicPr>
        <xdr:cNvPr id="10693" name="Рисунок 10692">
          <a:extLst>
            <a:ext uri="{FF2B5EF4-FFF2-40B4-BE49-F238E27FC236}">
              <a16:creationId xmlns:a16="http://schemas.microsoft.com/office/drawing/2014/main" id="{D7E3B973-BC1C-4FA1-B923-BD5693F8174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8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749557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1318</xdr:row>
      <xdr:rowOff>25400</xdr:rowOff>
    </xdr:from>
    <xdr:to>
      <xdr:col>11</xdr:col>
      <xdr:colOff>571500</xdr:colOff>
      <xdr:row>1319</xdr:row>
      <xdr:rowOff>0</xdr:rowOff>
    </xdr:to>
    <xdr:pic>
      <xdr:nvPicPr>
        <xdr:cNvPr id="10695" name="Рисунок 10694">
          <a:extLst>
            <a:ext uri="{FF2B5EF4-FFF2-40B4-BE49-F238E27FC236}">
              <a16:creationId xmlns:a16="http://schemas.microsoft.com/office/drawing/2014/main" id="{297FB2A8-1CC7-4D1F-89EF-324D34C5A35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8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750128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1319</xdr:row>
      <xdr:rowOff>25400</xdr:rowOff>
    </xdr:from>
    <xdr:to>
      <xdr:col>11</xdr:col>
      <xdr:colOff>571500</xdr:colOff>
      <xdr:row>1320</xdr:row>
      <xdr:rowOff>0</xdr:rowOff>
    </xdr:to>
    <xdr:pic>
      <xdr:nvPicPr>
        <xdr:cNvPr id="10697" name="Рисунок 10696">
          <a:extLst>
            <a:ext uri="{FF2B5EF4-FFF2-40B4-BE49-F238E27FC236}">
              <a16:creationId xmlns:a16="http://schemas.microsoft.com/office/drawing/2014/main" id="{174442B9-FA85-461C-B5CC-31FB3388562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8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750700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1320</xdr:row>
      <xdr:rowOff>25400</xdr:rowOff>
    </xdr:from>
    <xdr:to>
      <xdr:col>11</xdr:col>
      <xdr:colOff>571500</xdr:colOff>
      <xdr:row>1321</xdr:row>
      <xdr:rowOff>0</xdr:rowOff>
    </xdr:to>
    <xdr:pic>
      <xdr:nvPicPr>
        <xdr:cNvPr id="10699" name="Рисунок 10698">
          <a:extLst>
            <a:ext uri="{FF2B5EF4-FFF2-40B4-BE49-F238E27FC236}">
              <a16:creationId xmlns:a16="http://schemas.microsoft.com/office/drawing/2014/main" id="{7C97C9FA-220D-4C1E-A3D5-9B00F7727AF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8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751271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1321</xdr:row>
      <xdr:rowOff>25400</xdr:rowOff>
    </xdr:from>
    <xdr:to>
      <xdr:col>11</xdr:col>
      <xdr:colOff>571500</xdr:colOff>
      <xdr:row>1322</xdr:row>
      <xdr:rowOff>0</xdr:rowOff>
    </xdr:to>
    <xdr:pic>
      <xdr:nvPicPr>
        <xdr:cNvPr id="10701" name="Рисунок 10700">
          <a:extLst>
            <a:ext uri="{FF2B5EF4-FFF2-40B4-BE49-F238E27FC236}">
              <a16:creationId xmlns:a16="http://schemas.microsoft.com/office/drawing/2014/main" id="{64B5B27B-3A7F-4F1C-84EB-2563046919F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8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751843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1322</xdr:row>
      <xdr:rowOff>25400</xdr:rowOff>
    </xdr:from>
    <xdr:to>
      <xdr:col>11</xdr:col>
      <xdr:colOff>571500</xdr:colOff>
      <xdr:row>1323</xdr:row>
      <xdr:rowOff>0</xdr:rowOff>
    </xdr:to>
    <xdr:pic>
      <xdr:nvPicPr>
        <xdr:cNvPr id="10703" name="Рисунок 10702">
          <a:extLst>
            <a:ext uri="{FF2B5EF4-FFF2-40B4-BE49-F238E27FC236}">
              <a16:creationId xmlns:a16="http://schemas.microsoft.com/office/drawing/2014/main" id="{9C3F7118-AED5-4D4F-B6F9-2B70E77F7EA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8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752414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1323</xdr:row>
      <xdr:rowOff>25400</xdr:rowOff>
    </xdr:from>
    <xdr:to>
      <xdr:col>11</xdr:col>
      <xdr:colOff>571500</xdr:colOff>
      <xdr:row>1324</xdr:row>
      <xdr:rowOff>0</xdr:rowOff>
    </xdr:to>
    <xdr:pic>
      <xdr:nvPicPr>
        <xdr:cNvPr id="10705" name="Рисунок 10704">
          <a:extLst>
            <a:ext uri="{FF2B5EF4-FFF2-40B4-BE49-F238E27FC236}">
              <a16:creationId xmlns:a16="http://schemas.microsoft.com/office/drawing/2014/main" id="{A4F3124E-66E2-4632-AC75-F9BEFB11896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8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752986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1324</xdr:row>
      <xdr:rowOff>25400</xdr:rowOff>
    </xdr:from>
    <xdr:to>
      <xdr:col>11</xdr:col>
      <xdr:colOff>571500</xdr:colOff>
      <xdr:row>1325</xdr:row>
      <xdr:rowOff>0</xdr:rowOff>
    </xdr:to>
    <xdr:pic>
      <xdr:nvPicPr>
        <xdr:cNvPr id="10707" name="Рисунок 10706">
          <a:extLst>
            <a:ext uri="{FF2B5EF4-FFF2-40B4-BE49-F238E27FC236}">
              <a16:creationId xmlns:a16="http://schemas.microsoft.com/office/drawing/2014/main" id="{B0AFB3D4-6DA3-4FE3-9AC0-DAB4CBB0332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8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753557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1325</xdr:row>
      <xdr:rowOff>25400</xdr:rowOff>
    </xdr:from>
    <xdr:to>
      <xdr:col>11</xdr:col>
      <xdr:colOff>571500</xdr:colOff>
      <xdr:row>1326</xdr:row>
      <xdr:rowOff>0</xdr:rowOff>
    </xdr:to>
    <xdr:pic>
      <xdr:nvPicPr>
        <xdr:cNvPr id="10709" name="Рисунок 10708">
          <a:extLst>
            <a:ext uri="{FF2B5EF4-FFF2-40B4-BE49-F238E27FC236}">
              <a16:creationId xmlns:a16="http://schemas.microsoft.com/office/drawing/2014/main" id="{B82C4F63-A287-4080-AB79-EBCABCCB532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8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754129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1326</xdr:row>
      <xdr:rowOff>25400</xdr:rowOff>
    </xdr:from>
    <xdr:to>
      <xdr:col>11</xdr:col>
      <xdr:colOff>571500</xdr:colOff>
      <xdr:row>1327</xdr:row>
      <xdr:rowOff>0</xdr:rowOff>
    </xdr:to>
    <xdr:pic>
      <xdr:nvPicPr>
        <xdr:cNvPr id="10711" name="Рисунок 10710">
          <a:extLst>
            <a:ext uri="{FF2B5EF4-FFF2-40B4-BE49-F238E27FC236}">
              <a16:creationId xmlns:a16="http://schemas.microsoft.com/office/drawing/2014/main" id="{95757425-7EB0-4AE5-AB0A-CB2AD08EC6C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8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754700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1327</xdr:row>
      <xdr:rowOff>25400</xdr:rowOff>
    </xdr:from>
    <xdr:to>
      <xdr:col>11</xdr:col>
      <xdr:colOff>571500</xdr:colOff>
      <xdr:row>1328</xdr:row>
      <xdr:rowOff>0</xdr:rowOff>
    </xdr:to>
    <xdr:pic>
      <xdr:nvPicPr>
        <xdr:cNvPr id="10713" name="Рисунок 10712">
          <a:extLst>
            <a:ext uri="{FF2B5EF4-FFF2-40B4-BE49-F238E27FC236}">
              <a16:creationId xmlns:a16="http://schemas.microsoft.com/office/drawing/2014/main" id="{B8884823-E307-48FE-886D-A90091605A5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9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755272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1328</xdr:row>
      <xdr:rowOff>25400</xdr:rowOff>
    </xdr:from>
    <xdr:to>
      <xdr:col>11</xdr:col>
      <xdr:colOff>571500</xdr:colOff>
      <xdr:row>1329</xdr:row>
      <xdr:rowOff>0</xdr:rowOff>
    </xdr:to>
    <xdr:pic>
      <xdr:nvPicPr>
        <xdr:cNvPr id="10715" name="Рисунок 10714">
          <a:extLst>
            <a:ext uri="{FF2B5EF4-FFF2-40B4-BE49-F238E27FC236}">
              <a16:creationId xmlns:a16="http://schemas.microsoft.com/office/drawing/2014/main" id="{1E9C58CA-FBC1-49CB-A21D-473D267741A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9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755843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1329</xdr:row>
      <xdr:rowOff>25400</xdr:rowOff>
    </xdr:from>
    <xdr:to>
      <xdr:col>11</xdr:col>
      <xdr:colOff>571500</xdr:colOff>
      <xdr:row>1330</xdr:row>
      <xdr:rowOff>0</xdr:rowOff>
    </xdr:to>
    <xdr:pic>
      <xdr:nvPicPr>
        <xdr:cNvPr id="10717" name="Рисунок 10716">
          <a:extLst>
            <a:ext uri="{FF2B5EF4-FFF2-40B4-BE49-F238E27FC236}">
              <a16:creationId xmlns:a16="http://schemas.microsoft.com/office/drawing/2014/main" id="{5B99C8A5-C7EA-43DB-BF44-51544E4D661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9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756415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1330</xdr:row>
      <xdr:rowOff>25400</xdr:rowOff>
    </xdr:from>
    <xdr:to>
      <xdr:col>11</xdr:col>
      <xdr:colOff>571500</xdr:colOff>
      <xdr:row>1331</xdr:row>
      <xdr:rowOff>0</xdr:rowOff>
    </xdr:to>
    <xdr:pic>
      <xdr:nvPicPr>
        <xdr:cNvPr id="10719" name="Рисунок 10718">
          <a:extLst>
            <a:ext uri="{FF2B5EF4-FFF2-40B4-BE49-F238E27FC236}">
              <a16:creationId xmlns:a16="http://schemas.microsoft.com/office/drawing/2014/main" id="{77C7EEF9-67C1-45E6-875C-AD8A5205446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9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756986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1331</xdr:row>
      <xdr:rowOff>25400</xdr:rowOff>
    </xdr:from>
    <xdr:to>
      <xdr:col>11</xdr:col>
      <xdr:colOff>571500</xdr:colOff>
      <xdr:row>1332</xdr:row>
      <xdr:rowOff>0</xdr:rowOff>
    </xdr:to>
    <xdr:pic>
      <xdr:nvPicPr>
        <xdr:cNvPr id="10721" name="Рисунок 10720">
          <a:extLst>
            <a:ext uri="{FF2B5EF4-FFF2-40B4-BE49-F238E27FC236}">
              <a16:creationId xmlns:a16="http://schemas.microsoft.com/office/drawing/2014/main" id="{F03400D6-2A41-4EF3-A909-8E5EB83254B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9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757558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1332</xdr:row>
      <xdr:rowOff>25400</xdr:rowOff>
    </xdr:from>
    <xdr:to>
      <xdr:col>11</xdr:col>
      <xdr:colOff>571500</xdr:colOff>
      <xdr:row>1333</xdr:row>
      <xdr:rowOff>0</xdr:rowOff>
    </xdr:to>
    <xdr:pic>
      <xdr:nvPicPr>
        <xdr:cNvPr id="10723" name="Рисунок 10722">
          <a:extLst>
            <a:ext uri="{FF2B5EF4-FFF2-40B4-BE49-F238E27FC236}">
              <a16:creationId xmlns:a16="http://schemas.microsoft.com/office/drawing/2014/main" id="{F1831286-9317-4A25-B2CD-C1FD203FDCD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9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758129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1333</xdr:row>
      <xdr:rowOff>25400</xdr:rowOff>
    </xdr:from>
    <xdr:to>
      <xdr:col>11</xdr:col>
      <xdr:colOff>571500</xdr:colOff>
      <xdr:row>1334</xdr:row>
      <xdr:rowOff>0</xdr:rowOff>
    </xdr:to>
    <xdr:pic>
      <xdr:nvPicPr>
        <xdr:cNvPr id="10725" name="Рисунок 10724">
          <a:extLst>
            <a:ext uri="{FF2B5EF4-FFF2-40B4-BE49-F238E27FC236}">
              <a16:creationId xmlns:a16="http://schemas.microsoft.com/office/drawing/2014/main" id="{81EAC889-FC69-4826-AA6B-B97E6222DE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9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758701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1334</xdr:row>
      <xdr:rowOff>25400</xdr:rowOff>
    </xdr:from>
    <xdr:to>
      <xdr:col>11</xdr:col>
      <xdr:colOff>571500</xdr:colOff>
      <xdr:row>1335</xdr:row>
      <xdr:rowOff>0</xdr:rowOff>
    </xdr:to>
    <xdr:pic>
      <xdr:nvPicPr>
        <xdr:cNvPr id="10727" name="Рисунок 10726">
          <a:extLst>
            <a:ext uri="{FF2B5EF4-FFF2-40B4-BE49-F238E27FC236}">
              <a16:creationId xmlns:a16="http://schemas.microsoft.com/office/drawing/2014/main" id="{4C8A66BA-6BC3-42A8-A415-E765D1E8BD5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9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759272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1335</xdr:row>
      <xdr:rowOff>25400</xdr:rowOff>
    </xdr:from>
    <xdr:to>
      <xdr:col>11</xdr:col>
      <xdr:colOff>571500</xdr:colOff>
      <xdr:row>1336</xdr:row>
      <xdr:rowOff>0</xdr:rowOff>
    </xdr:to>
    <xdr:pic>
      <xdr:nvPicPr>
        <xdr:cNvPr id="10729" name="Рисунок 10728">
          <a:extLst>
            <a:ext uri="{FF2B5EF4-FFF2-40B4-BE49-F238E27FC236}">
              <a16:creationId xmlns:a16="http://schemas.microsoft.com/office/drawing/2014/main" id="{D2F31649-7372-4D94-8894-A89EE10F2D9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9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759844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1336</xdr:row>
      <xdr:rowOff>25400</xdr:rowOff>
    </xdr:from>
    <xdr:to>
      <xdr:col>11</xdr:col>
      <xdr:colOff>571500</xdr:colOff>
      <xdr:row>1337</xdr:row>
      <xdr:rowOff>0</xdr:rowOff>
    </xdr:to>
    <xdr:pic>
      <xdr:nvPicPr>
        <xdr:cNvPr id="10731" name="Рисунок 10730">
          <a:extLst>
            <a:ext uri="{FF2B5EF4-FFF2-40B4-BE49-F238E27FC236}">
              <a16:creationId xmlns:a16="http://schemas.microsoft.com/office/drawing/2014/main" id="{16FB5120-8F30-4F44-B597-6EEBE329EAB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29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760415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1337</xdr:row>
      <xdr:rowOff>25400</xdr:rowOff>
    </xdr:from>
    <xdr:to>
      <xdr:col>11</xdr:col>
      <xdr:colOff>571500</xdr:colOff>
      <xdr:row>1338</xdr:row>
      <xdr:rowOff>0</xdr:rowOff>
    </xdr:to>
    <xdr:pic>
      <xdr:nvPicPr>
        <xdr:cNvPr id="10733" name="Рисунок 10732">
          <a:extLst>
            <a:ext uri="{FF2B5EF4-FFF2-40B4-BE49-F238E27FC236}">
              <a16:creationId xmlns:a16="http://schemas.microsoft.com/office/drawing/2014/main" id="{634D561D-AB58-46F4-BFD5-D0342D0FC68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0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760987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1338</xdr:row>
      <xdr:rowOff>25400</xdr:rowOff>
    </xdr:from>
    <xdr:to>
      <xdr:col>11</xdr:col>
      <xdr:colOff>571500</xdr:colOff>
      <xdr:row>1339</xdr:row>
      <xdr:rowOff>0</xdr:rowOff>
    </xdr:to>
    <xdr:pic>
      <xdr:nvPicPr>
        <xdr:cNvPr id="10735" name="Рисунок 10734">
          <a:extLst>
            <a:ext uri="{FF2B5EF4-FFF2-40B4-BE49-F238E27FC236}">
              <a16:creationId xmlns:a16="http://schemas.microsoft.com/office/drawing/2014/main" id="{54CB9E24-0545-4191-9D79-75CD4F8AE26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0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761558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1339</xdr:row>
      <xdr:rowOff>25400</xdr:rowOff>
    </xdr:from>
    <xdr:to>
      <xdr:col>11</xdr:col>
      <xdr:colOff>571500</xdr:colOff>
      <xdr:row>1340</xdr:row>
      <xdr:rowOff>0</xdr:rowOff>
    </xdr:to>
    <xdr:pic>
      <xdr:nvPicPr>
        <xdr:cNvPr id="10737" name="Рисунок 10736">
          <a:extLst>
            <a:ext uri="{FF2B5EF4-FFF2-40B4-BE49-F238E27FC236}">
              <a16:creationId xmlns:a16="http://schemas.microsoft.com/office/drawing/2014/main" id="{64F36A28-7284-4AB2-891B-FBE2880612E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0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762130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1340</xdr:row>
      <xdr:rowOff>25400</xdr:rowOff>
    </xdr:from>
    <xdr:to>
      <xdr:col>11</xdr:col>
      <xdr:colOff>571500</xdr:colOff>
      <xdr:row>1341</xdr:row>
      <xdr:rowOff>0</xdr:rowOff>
    </xdr:to>
    <xdr:pic>
      <xdr:nvPicPr>
        <xdr:cNvPr id="10739" name="Рисунок 10738">
          <a:extLst>
            <a:ext uri="{FF2B5EF4-FFF2-40B4-BE49-F238E27FC236}">
              <a16:creationId xmlns:a16="http://schemas.microsoft.com/office/drawing/2014/main" id="{1AF8D6BD-4CF1-487D-968F-561E8E58F75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0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762701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1341</xdr:row>
      <xdr:rowOff>25400</xdr:rowOff>
    </xdr:from>
    <xdr:to>
      <xdr:col>11</xdr:col>
      <xdr:colOff>571500</xdr:colOff>
      <xdr:row>1342</xdr:row>
      <xdr:rowOff>0</xdr:rowOff>
    </xdr:to>
    <xdr:pic>
      <xdr:nvPicPr>
        <xdr:cNvPr id="10741" name="Рисунок 10740">
          <a:extLst>
            <a:ext uri="{FF2B5EF4-FFF2-40B4-BE49-F238E27FC236}">
              <a16:creationId xmlns:a16="http://schemas.microsoft.com/office/drawing/2014/main" id="{4BB9ADDF-EED0-41DA-853F-FA87101D038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0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763273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1342</xdr:row>
      <xdr:rowOff>25400</xdr:rowOff>
    </xdr:from>
    <xdr:to>
      <xdr:col>11</xdr:col>
      <xdr:colOff>571500</xdr:colOff>
      <xdr:row>1343</xdr:row>
      <xdr:rowOff>0</xdr:rowOff>
    </xdr:to>
    <xdr:pic>
      <xdr:nvPicPr>
        <xdr:cNvPr id="10743" name="Рисунок 10742">
          <a:extLst>
            <a:ext uri="{FF2B5EF4-FFF2-40B4-BE49-F238E27FC236}">
              <a16:creationId xmlns:a16="http://schemas.microsoft.com/office/drawing/2014/main" id="{5A797E1D-0DD4-46BC-B583-42982BA9CB1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0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763844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1343</xdr:row>
      <xdr:rowOff>25400</xdr:rowOff>
    </xdr:from>
    <xdr:to>
      <xdr:col>11</xdr:col>
      <xdr:colOff>571500</xdr:colOff>
      <xdr:row>1344</xdr:row>
      <xdr:rowOff>0</xdr:rowOff>
    </xdr:to>
    <xdr:pic>
      <xdr:nvPicPr>
        <xdr:cNvPr id="10745" name="Рисунок 10744">
          <a:extLst>
            <a:ext uri="{FF2B5EF4-FFF2-40B4-BE49-F238E27FC236}">
              <a16:creationId xmlns:a16="http://schemas.microsoft.com/office/drawing/2014/main" id="{E6AB39AE-96B2-4277-8576-64A5652C8C3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0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764416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1344</xdr:row>
      <xdr:rowOff>25400</xdr:rowOff>
    </xdr:from>
    <xdr:to>
      <xdr:col>11</xdr:col>
      <xdr:colOff>571500</xdr:colOff>
      <xdr:row>1345</xdr:row>
      <xdr:rowOff>0</xdr:rowOff>
    </xdr:to>
    <xdr:pic>
      <xdr:nvPicPr>
        <xdr:cNvPr id="10747" name="Рисунок 10746">
          <a:extLst>
            <a:ext uri="{FF2B5EF4-FFF2-40B4-BE49-F238E27FC236}">
              <a16:creationId xmlns:a16="http://schemas.microsoft.com/office/drawing/2014/main" id="{C3E566C6-0371-4374-8BD2-47FA3175987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0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764987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1345</xdr:row>
      <xdr:rowOff>25400</xdr:rowOff>
    </xdr:from>
    <xdr:to>
      <xdr:col>11</xdr:col>
      <xdr:colOff>571500</xdr:colOff>
      <xdr:row>1346</xdr:row>
      <xdr:rowOff>0</xdr:rowOff>
    </xdr:to>
    <xdr:pic>
      <xdr:nvPicPr>
        <xdr:cNvPr id="10749" name="Рисунок 10748">
          <a:extLst>
            <a:ext uri="{FF2B5EF4-FFF2-40B4-BE49-F238E27FC236}">
              <a16:creationId xmlns:a16="http://schemas.microsoft.com/office/drawing/2014/main" id="{6BD6362A-05F7-4386-A4EC-90795A3F413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0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765559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1346</xdr:row>
      <xdr:rowOff>25400</xdr:rowOff>
    </xdr:from>
    <xdr:to>
      <xdr:col>11</xdr:col>
      <xdr:colOff>571500</xdr:colOff>
      <xdr:row>1347</xdr:row>
      <xdr:rowOff>0</xdr:rowOff>
    </xdr:to>
    <xdr:pic>
      <xdr:nvPicPr>
        <xdr:cNvPr id="10751" name="Рисунок 10750">
          <a:extLst>
            <a:ext uri="{FF2B5EF4-FFF2-40B4-BE49-F238E27FC236}">
              <a16:creationId xmlns:a16="http://schemas.microsoft.com/office/drawing/2014/main" id="{EFC55224-6F74-4DB7-B412-99E1EC8AFBF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0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766130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1347</xdr:row>
      <xdr:rowOff>25400</xdr:rowOff>
    </xdr:from>
    <xdr:to>
      <xdr:col>11</xdr:col>
      <xdr:colOff>571500</xdr:colOff>
      <xdr:row>1348</xdr:row>
      <xdr:rowOff>0</xdr:rowOff>
    </xdr:to>
    <xdr:pic>
      <xdr:nvPicPr>
        <xdr:cNvPr id="10753" name="Рисунок 10752">
          <a:extLst>
            <a:ext uri="{FF2B5EF4-FFF2-40B4-BE49-F238E27FC236}">
              <a16:creationId xmlns:a16="http://schemas.microsoft.com/office/drawing/2014/main" id="{A4FE9264-2305-4433-82EE-E632DAB796A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766702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1348</xdr:row>
      <xdr:rowOff>25400</xdr:rowOff>
    </xdr:from>
    <xdr:to>
      <xdr:col>11</xdr:col>
      <xdr:colOff>571500</xdr:colOff>
      <xdr:row>1349</xdr:row>
      <xdr:rowOff>0</xdr:rowOff>
    </xdr:to>
    <xdr:pic>
      <xdr:nvPicPr>
        <xdr:cNvPr id="10755" name="Рисунок 10754">
          <a:extLst>
            <a:ext uri="{FF2B5EF4-FFF2-40B4-BE49-F238E27FC236}">
              <a16:creationId xmlns:a16="http://schemas.microsoft.com/office/drawing/2014/main" id="{2B7E380C-F479-4F5E-80EC-5E5311F215B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767273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1349</xdr:row>
      <xdr:rowOff>25400</xdr:rowOff>
    </xdr:from>
    <xdr:to>
      <xdr:col>11</xdr:col>
      <xdr:colOff>571500</xdr:colOff>
      <xdr:row>1350</xdr:row>
      <xdr:rowOff>0</xdr:rowOff>
    </xdr:to>
    <xdr:pic>
      <xdr:nvPicPr>
        <xdr:cNvPr id="10757" name="Рисунок 10756">
          <a:extLst>
            <a:ext uri="{FF2B5EF4-FFF2-40B4-BE49-F238E27FC236}">
              <a16:creationId xmlns:a16="http://schemas.microsoft.com/office/drawing/2014/main" id="{C3197CB6-4BF7-455B-A1B1-02AAF914406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767845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1350</xdr:row>
      <xdr:rowOff>25400</xdr:rowOff>
    </xdr:from>
    <xdr:to>
      <xdr:col>11</xdr:col>
      <xdr:colOff>571500</xdr:colOff>
      <xdr:row>1351</xdr:row>
      <xdr:rowOff>0</xdr:rowOff>
    </xdr:to>
    <xdr:pic>
      <xdr:nvPicPr>
        <xdr:cNvPr id="10759" name="Рисунок 10758">
          <a:extLst>
            <a:ext uri="{FF2B5EF4-FFF2-40B4-BE49-F238E27FC236}">
              <a16:creationId xmlns:a16="http://schemas.microsoft.com/office/drawing/2014/main" id="{9FC64465-EB1C-4865-99BB-2FE8B06EF3F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768416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1351</xdr:row>
      <xdr:rowOff>25400</xdr:rowOff>
    </xdr:from>
    <xdr:to>
      <xdr:col>11</xdr:col>
      <xdr:colOff>571500</xdr:colOff>
      <xdr:row>1352</xdr:row>
      <xdr:rowOff>0</xdr:rowOff>
    </xdr:to>
    <xdr:pic>
      <xdr:nvPicPr>
        <xdr:cNvPr id="10761" name="Рисунок 10760">
          <a:extLst>
            <a:ext uri="{FF2B5EF4-FFF2-40B4-BE49-F238E27FC236}">
              <a16:creationId xmlns:a16="http://schemas.microsoft.com/office/drawing/2014/main" id="{4B3DC24A-5D40-4EA9-974F-D9926BCB703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768988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1352</xdr:row>
      <xdr:rowOff>25400</xdr:rowOff>
    </xdr:from>
    <xdr:to>
      <xdr:col>11</xdr:col>
      <xdr:colOff>571500</xdr:colOff>
      <xdr:row>1353</xdr:row>
      <xdr:rowOff>0</xdr:rowOff>
    </xdr:to>
    <xdr:pic>
      <xdr:nvPicPr>
        <xdr:cNvPr id="10763" name="Рисунок 10762">
          <a:extLst>
            <a:ext uri="{FF2B5EF4-FFF2-40B4-BE49-F238E27FC236}">
              <a16:creationId xmlns:a16="http://schemas.microsoft.com/office/drawing/2014/main" id="{77372E3C-6014-4E05-B03A-2163C04AF54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769559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1353</xdr:row>
      <xdr:rowOff>25400</xdr:rowOff>
    </xdr:from>
    <xdr:to>
      <xdr:col>11</xdr:col>
      <xdr:colOff>571500</xdr:colOff>
      <xdr:row>1354</xdr:row>
      <xdr:rowOff>0</xdr:rowOff>
    </xdr:to>
    <xdr:pic>
      <xdr:nvPicPr>
        <xdr:cNvPr id="10765" name="Рисунок 10764">
          <a:extLst>
            <a:ext uri="{FF2B5EF4-FFF2-40B4-BE49-F238E27FC236}">
              <a16:creationId xmlns:a16="http://schemas.microsoft.com/office/drawing/2014/main" id="{9C86F4FE-F097-4D46-AB8B-6E2FD4FFECC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770131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1354</xdr:row>
      <xdr:rowOff>25400</xdr:rowOff>
    </xdr:from>
    <xdr:to>
      <xdr:col>11</xdr:col>
      <xdr:colOff>571500</xdr:colOff>
      <xdr:row>1355</xdr:row>
      <xdr:rowOff>0</xdr:rowOff>
    </xdr:to>
    <xdr:pic>
      <xdr:nvPicPr>
        <xdr:cNvPr id="10767" name="Рисунок 10766">
          <a:extLst>
            <a:ext uri="{FF2B5EF4-FFF2-40B4-BE49-F238E27FC236}">
              <a16:creationId xmlns:a16="http://schemas.microsoft.com/office/drawing/2014/main" id="{CF17589D-9AB2-45BB-804C-B39555FE2C7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770702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1355</xdr:row>
      <xdr:rowOff>25400</xdr:rowOff>
    </xdr:from>
    <xdr:to>
      <xdr:col>11</xdr:col>
      <xdr:colOff>571500</xdr:colOff>
      <xdr:row>1356</xdr:row>
      <xdr:rowOff>0</xdr:rowOff>
    </xdr:to>
    <xdr:pic>
      <xdr:nvPicPr>
        <xdr:cNvPr id="10769" name="Рисунок 10768">
          <a:extLst>
            <a:ext uri="{FF2B5EF4-FFF2-40B4-BE49-F238E27FC236}">
              <a16:creationId xmlns:a16="http://schemas.microsoft.com/office/drawing/2014/main" id="{E7AA730E-5F8B-4589-8446-8DAB95C818F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771274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1356</xdr:row>
      <xdr:rowOff>25400</xdr:rowOff>
    </xdr:from>
    <xdr:to>
      <xdr:col>11</xdr:col>
      <xdr:colOff>571500</xdr:colOff>
      <xdr:row>1357</xdr:row>
      <xdr:rowOff>0</xdr:rowOff>
    </xdr:to>
    <xdr:pic>
      <xdr:nvPicPr>
        <xdr:cNvPr id="10771" name="Рисунок 10770">
          <a:extLst>
            <a:ext uri="{FF2B5EF4-FFF2-40B4-BE49-F238E27FC236}">
              <a16:creationId xmlns:a16="http://schemas.microsoft.com/office/drawing/2014/main" id="{4A9339FB-4BAE-41C7-8FA1-64CBA129227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771845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1357</xdr:row>
      <xdr:rowOff>25400</xdr:rowOff>
    </xdr:from>
    <xdr:to>
      <xdr:col>11</xdr:col>
      <xdr:colOff>571500</xdr:colOff>
      <xdr:row>1358</xdr:row>
      <xdr:rowOff>0</xdr:rowOff>
    </xdr:to>
    <xdr:pic>
      <xdr:nvPicPr>
        <xdr:cNvPr id="10773" name="Рисунок 10772">
          <a:extLst>
            <a:ext uri="{FF2B5EF4-FFF2-40B4-BE49-F238E27FC236}">
              <a16:creationId xmlns:a16="http://schemas.microsoft.com/office/drawing/2014/main" id="{75EF9F23-E8E6-4C28-A787-56C27FB428C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772417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1358</xdr:row>
      <xdr:rowOff>25400</xdr:rowOff>
    </xdr:from>
    <xdr:to>
      <xdr:col>11</xdr:col>
      <xdr:colOff>571500</xdr:colOff>
      <xdr:row>1359</xdr:row>
      <xdr:rowOff>0</xdr:rowOff>
    </xdr:to>
    <xdr:pic>
      <xdr:nvPicPr>
        <xdr:cNvPr id="10775" name="Рисунок 10774">
          <a:extLst>
            <a:ext uri="{FF2B5EF4-FFF2-40B4-BE49-F238E27FC236}">
              <a16:creationId xmlns:a16="http://schemas.microsoft.com/office/drawing/2014/main" id="{F7F73A13-15FB-4061-935F-F47FA826E92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772988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1359</xdr:row>
      <xdr:rowOff>25400</xdr:rowOff>
    </xdr:from>
    <xdr:to>
      <xdr:col>11</xdr:col>
      <xdr:colOff>571500</xdr:colOff>
      <xdr:row>1360</xdr:row>
      <xdr:rowOff>0</xdr:rowOff>
    </xdr:to>
    <xdr:pic>
      <xdr:nvPicPr>
        <xdr:cNvPr id="10777" name="Рисунок 10776">
          <a:extLst>
            <a:ext uri="{FF2B5EF4-FFF2-40B4-BE49-F238E27FC236}">
              <a16:creationId xmlns:a16="http://schemas.microsoft.com/office/drawing/2014/main" id="{4318AB58-BE92-4ADA-AF72-354EAC387E7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773560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1360</xdr:row>
      <xdr:rowOff>25400</xdr:rowOff>
    </xdr:from>
    <xdr:to>
      <xdr:col>11</xdr:col>
      <xdr:colOff>571500</xdr:colOff>
      <xdr:row>1361</xdr:row>
      <xdr:rowOff>0</xdr:rowOff>
    </xdr:to>
    <xdr:pic>
      <xdr:nvPicPr>
        <xdr:cNvPr id="10779" name="Рисунок 10778">
          <a:extLst>
            <a:ext uri="{FF2B5EF4-FFF2-40B4-BE49-F238E27FC236}">
              <a16:creationId xmlns:a16="http://schemas.microsoft.com/office/drawing/2014/main" id="{B699F527-A060-462F-992C-63E422A9369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774131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1361</xdr:row>
      <xdr:rowOff>25400</xdr:rowOff>
    </xdr:from>
    <xdr:to>
      <xdr:col>11</xdr:col>
      <xdr:colOff>571500</xdr:colOff>
      <xdr:row>1362</xdr:row>
      <xdr:rowOff>0</xdr:rowOff>
    </xdr:to>
    <xdr:pic>
      <xdr:nvPicPr>
        <xdr:cNvPr id="10781" name="Рисунок 10780">
          <a:extLst>
            <a:ext uri="{FF2B5EF4-FFF2-40B4-BE49-F238E27FC236}">
              <a16:creationId xmlns:a16="http://schemas.microsoft.com/office/drawing/2014/main" id="{8C2938AD-50E5-4EB2-8CB0-C03BB065496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774703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1362</xdr:row>
      <xdr:rowOff>25400</xdr:rowOff>
    </xdr:from>
    <xdr:to>
      <xdr:col>11</xdr:col>
      <xdr:colOff>571500</xdr:colOff>
      <xdr:row>1363</xdr:row>
      <xdr:rowOff>0</xdr:rowOff>
    </xdr:to>
    <xdr:pic>
      <xdr:nvPicPr>
        <xdr:cNvPr id="10783" name="Рисунок 10782">
          <a:extLst>
            <a:ext uri="{FF2B5EF4-FFF2-40B4-BE49-F238E27FC236}">
              <a16:creationId xmlns:a16="http://schemas.microsoft.com/office/drawing/2014/main" id="{AE6EC5D2-4E9D-48E6-891B-3E9D727FB7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775274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1363</xdr:row>
      <xdr:rowOff>25400</xdr:rowOff>
    </xdr:from>
    <xdr:to>
      <xdr:col>11</xdr:col>
      <xdr:colOff>571500</xdr:colOff>
      <xdr:row>1364</xdr:row>
      <xdr:rowOff>0</xdr:rowOff>
    </xdr:to>
    <xdr:pic>
      <xdr:nvPicPr>
        <xdr:cNvPr id="10785" name="Рисунок 10784">
          <a:extLst>
            <a:ext uri="{FF2B5EF4-FFF2-40B4-BE49-F238E27FC236}">
              <a16:creationId xmlns:a16="http://schemas.microsoft.com/office/drawing/2014/main" id="{D089A235-C96F-4346-85B6-BB2D415BAB7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775846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1364</xdr:row>
      <xdr:rowOff>25400</xdr:rowOff>
    </xdr:from>
    <xdr:to>
      <xdr:col>11</xdr:col>
      <xdr:colOff>571500</xdr:colOff>
      <xdr:row>1365</xdr:row>
      <xdr:rowOff>0</xdr:rowOff>
    </xdr:to>
    <xdr:pic>
      <xdr:nvPicPr>
        <xdr:cNvPr id="10787" name="Рисунок 10786">
          <a:extLst>
            <a:ext uri="{FF2B5EF4-FFF2-40B4-BE49-F238E27FC236}">
              <a16:creationId xmlns:a16="http://schemas.microsoft.com/office/drawing/2014/main" id="{41BE4A62-23EA-42D0-AFCB-C2B6E3E4AE1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776417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1365</xdr:row>
      <xdr:rowOff>25400</xdr:rowOff>
    </xdr:from>
    <xdr:to>
      <xdr:col>11</xdr:col>
      <xdr:colOff>571500</xdr:colOff>
      <xdr:row>1366</xdr:row>
      <xdr:rowOff>0</xdr:rowOff>
    </xdr:to>
    <xdr:pic>
      <xdr:nvPicPr>
        <xdr:cNvPr id="10789" name="Рисунок 10788">
          <a:extLst>
            <a:ext uri="{FF2B5EF4-FFF2-40B4-BE49-F238E27FC236}">
              <a16:creationId xmlns:a16="http://schemas.microsoft.com/office/drawing/2014/main" id="{686360E1-4C39-4BFE-A427-6051C000D17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776989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1366</xdr:row>
      <xdr:rowOff>25400</xdr:rowOff>
    </xdr:from>
    <xdr:to>
      <xdr:col>11</xdr:col>
      <xdr:colOff>571500</xdr:colOff>
      <xdr:row>1367</xdr:row>
      <xdr:rowOff>0</xdr:rowOff>
    </xdr:to>
    <xdr:pic>
      <xdr:nvPicPr>
        <xdr:cNvPr id="10791" name="Рисунок 10790">
          <a:extLst>
            <a:ext uri="{FF2B5EF4-FFF2-40B4-BE49-F238E27FC236}">
              <a16:creationId xmlns:a16="http://schemas.microsoft.com/office/drawing/2014/main" id="{3EC9E135-E7EA-459B-B9F9-41EE899C49E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777560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1367</xdr:row>
      <xdr:rowOff>25400</xdr:rowOff>
    </xdr:from>
    <xdr:to>
      <xdr:col>11</xdr:col>
      <xdr:colOff>571500</xdr:colOff>
      <xdr:row>1368</xdr:row>
      <xdr:rowOff>0</xdr:rowOff>
    </xdr:to>
    <xdr:pic>
      <xdr:nvPicPr>
        <xdr:cNvPr id="10793" name="Рисунок 10792">
          <a:extLst>
            <a:ext uri="{FF2B5EF4-FFF2-40B4-BE49-F238E27FC236}">
              <a16:creationId xmlns:a16="http://schemas.microsoft.com/office/drawing/2014/main" id="{DB2276A6-98AC-44C5-BC76-C124187CE26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778132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1368</xdr:row>
      <xdr:rowOff>25400</xdr:rowOff>
    </xdr:from>
    <xdr:to>
      <xdr:col>11</xdr:col>
      <xdr:colOff>571500</xdr:colOff>
      <xdr:row>1369</xdr:row>
      <xdr:rowOff>0</xdr:rowOff>
    </xdr:to>
    <xdr:pic>
      <xdr:nvPicPr>
        <xdr:cNvPr id="10795" name="Рисунок 10794">
          <a:extLst>
            <a:ext uri="{FF2B5EF4-FFF2-40B4-BE49-F238E27FC236}">
              <a16:creationId xmlns:a16="http://schemas.microsoft.com/office/drawing/2014/main" id="{14A717FD-D834-4811-AC5F-E4E47206FDD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3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778703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1369</xdr:row>
      <xdr:rowOff>25400</xdr:rowOff>
    </xdr:from>
    <xdr:to>
      <xdr:col>11</xdr:col>
      <xdr:colOff>571500</xdr:colOff>
      <xdr:row>1370</xdr:row>
      <xdr:rowOff>0</xdr:rowOff>
    </xdr:to>
    <xdr:pic>
      <xdr:nvPicPr>
        <xdr:cNvPr id="10797" name="Рисунок 10796">
          <a:extLst>
            <a:ext uri="{FF2B5EF4-FFF2-40B4-BE49-F238E27FC236}">
              <a16:creationId xmlns:a16="http://schemas.microsoft.com/office/drawing/2014/main" id="{0E6B7535-A69D-4030-9FDD-E04CAA83221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3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779275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1370</xdr:row>
      <xdr:rowOff>25400</xdr:rowOff>
    </xdr:from>
    <xdr:to>
      <xdr:col>11</xdr:col>
      <xdr:colOff>571500</xdr:colOff>
      <xdr:row>1371</xdr:row>
      <xdr:rowOff>0</xdr:rowOff>
    </xdr:to>
    <xdr:pic>
      <xdr:nvPicPr>
        <xdr:cNvPr id="10799" name="Рисунок 10798">
          <a:extLst>
            <a:ext uri="{FF2B5EF4-FFF2-40B4-BE49-F238E27FC236}">
              <a16:creationId xmlns:a16="http://schemas.microsoft.com/office/drawing/2014/main" id="{482AEDA0-F44E-487C-97CE-9C8A222AC6E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3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779846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1371</xdr:row>
      <xdr:rowOff>25400</xdr:rowOff>
    </xdr:from>
    <xdr:to>
      <xdr:col>11</xdr:col>
      <xdr:colOff>571500</xdr:colOff>
      <xdr:row>1372</xdr:row>
      <xdr:rowOff>0</xdr:rowOff>
    </xdr:to>
    <xdr:pic>
      <xdr:nvPicPr>
        <xdr:cNvPr id="10801" name="Рисунок 10800">
          <a:extLst>
            <a:ext uri="{FF2B5EF4-FFF2-40B4-BE49-F238E27FC236}">
              <a16:creationId xmlns:a16="http://schemas.microsoft.com/office/drawing/2014/main" id="{0E8B76DF-501D-45DC-8A8F-4B13041A3A6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3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780418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1372</xdr:row>
      <xdr:rowOff>25400</xdr:rowOff>
    </xdr:from>
    <xdr:to>
      <xdr:col>11</xdr:col>
      <xdr:colOff>571500</xdr:colOff>
      <xdr:row>1373</xdr:row>
      <xdr:rowOff>0</xdr:rowOff>
    </xdr:to>
    <xdr:pic>
      <xdr:nvPicPr>
        <xdr:cNvPr id="10803" name="Рисунок 10802">
          <a:extLst>
            <a:ext uri="{FF2B5EF4-FFF2-40B4-BE49-F238E27FC236}">
              <a16:creationId xmlns:a16="http://schemas.microsoft.com/office/drawing/2014/main" id="{B28A37DA-CDD9-4C46-90E0-309F91CD920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3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780989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1373</xdr:row>
      <xdr:rowOff>25400</xdr:rowOff>
    </xdr:from>
    <xdr:to>
      <xdr:col>11</xdr:col>
      <xdr:colOff>571500</xdr:colOff>
      <xdr:row>1374</xdr:row>
      <xdr:rowOff>0</xdr:rowOff>
    </xdr:to>
    <xdr:pic>
      <xdr:nvPicPr>
        <xdr:cNvPr id="10805" name="Рисунок 10804">
          <a:extLst>
            <a:ext uri="{FF2B5EF4-FFF2-40B4-BE49-F238E27FC236}">
              <a16:creationId xmlns:a16="http://schemas.microsoft.com/office/drawing/2014/main" id="{4FA8CB47-BA95-41A2-BCDF-1B0D72E0369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3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781561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1374</xdr:row>
      <xdr:rowOff>25400</xdr:rowOff>
    </xdr:from>
    <xdr:to>
      <xdr:col>11</xdr:col>
      <xdr:colOff>571500</xdr:colOff>
      <xdr:row>1375</xdr:row>
      <xdr:rowOff>0</xdr:rowOff>
    </xdr:to>
    <xdr:pic>
      <xdr:nvPicPr>
        <xdr:cNvPr id="10807" name="Рисунок 10806">
          <a:extLst>
            <a:ext uri="{FF2B5EF4-FFF2-40B4-BE49-F238E27FC236}">
              <a16:creationId xmlns:a16="http://schemas.microsoft.com/office/drawing/2014/main" id="{66B516E4-D0E2-4329-9EB1-4032BCC9696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3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782132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1375</xdr:row>
      <xdr:rowOff>25400</xdr:rowOff>
    </xdr:from>
    <xdr:to>
      <xdr:col>11</xdr:col>
      <xdr:colOff>571500</xdr:colOff>
      <xdr:row>1376</xdr:row>
      <xdr:rowOff>0</xdr:rowOff>
    </xdr:to>
    <xdr:pic>
      <xdr:nvPicPr>
        <xdr:cNvPr id="10809" name="Рисунок 10808">
          <a:extLst>
            <a:ext uri="{FF2B5EF4-FFF2-40B4-BE49-F238E27FC236}">
              <a16:creationId xmlns:a16="http://schemas.microsoft.com/office/drawing/2014/main" id="{D5BFE3FA-FD8B-485D-A8FE-953F7E6330A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3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782704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1376</xdr:row>
      <xdr:rowOff>25400</xdr:rowOff>
    </xdr:from>
    <xdr:to>
      <xdr:col>11</xdr:col>
      <xdr:colOff>571500</xdr:colOff>
      <xdr:row>1377</xdr:row>
      <xdr:rowOff>0</xdr:rowOff>
    </xdr:to>
    <xdr:pic>
      <xdr:nvPicPr>
        <xdr:cNvPr id="10811" name="Рисунок 10810">
          <a:extLst>
            <a:ext uri="{FF2B5EF4-FFF2-40B4-BE49-F238E27FC236}">
              <a16:creationId xmlns:a16="http://schemas.microsoft.com/office/drawing/2014/main" id="{73525EFB-4F37-4A8C-A236-1F7BBE788BB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3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783275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1377</xdr:row>
      <xdr:rowOff>25400</xdr:rowOff>
    </xdr:from>
    <xdr:to>
      <xdr:col>11</xdr:col>
      <xdr:colOff>571500</xdr:colOff>
      <xdr:row>1378</xdr:row>
      <xdr:rowOff>0</xdr:rowOff>
    </xdr:to>
    <xdr:pic>
      <xdr:nvPicPr>
        <xdr:cNvPr id="10813" name="Рисунок 10812">
          <a:extLst>
            <a:ext uri="{FF2B5EF4-FFF2-40B4-BE49-F238E27FC236}">
              <a16:creationId xmlns:a16="http://schemas.microsoft.com/office/drawing/2014/main" id="{EDB51B8F-624C-4000-B6B4-2AE0FFDA2FD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4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783847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1378</xdr:row>
      <xdr:rowOff>25400</xdr:rowOff>
    </xdr:from>
    <xdr:to>
      <xdr:col>11</xdr:col>
      <xdr:colOff>571500</xdr:colOff>
      <xdr:row>1379</xdr:row>
      <xdr:rowOff>0</xdr:rowOff>
    </xdr:to>
    <xdr:pic>
      <xdr:nvPicPr>
        <xdr:cNvPr id="10815" name="Рисунок 10814">
          <a:extLst>
            <a:ext uri="{FF2B5EF4-FFF2-40B4-BE49-F238E27FC236}">
              <a16:creationId xmlns:a16="http://schemas.microsoft.com/office/drawing/2014/main" id="{34D65DC1-6111-4BA1-B7B6-8E307851A9F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4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784418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1379</xdr:row>
      <xdr:rowOff>25400</xdr:rowOff>
    </xdr:from>
    <xdr:to>
      <xdr:col>11</xdr:col>
      <xdr:colOff>571500</xdr:colOff>
      <xdr:row>1380</xdr:row>
      <xdr:rowOff>0</xdr:rowOff>
    </xdr:to>
    <xdr:pic>
      <xdr:nvPicPr>
        <xdr:cNvPr id="10817" name="Рисунок 10816">
          <a:extLst>
            <a:ext uri="{FF2B5EF4-FFF2-40B4-BE49-F238E27FC236}">
              <a16:creationId xmlns:a16="http://schemas.microsoft.com/office/drawing/2014/main" id="{E72D1B02-E48A-477D-812D-5D65FDBB71A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784990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1380</xdr:row>
      <xdr:rowOff>25400</xdr:rowOff>
    </xdr:from>
    <xdr:to>
      <xdr:col>11</xdr:col>
      <xdr:colOff>571500</xdr:colOff>
      <xdr:row>1381</xdr:row>
      <xdr:rowOff>0</xdr:rowOff>
    </xdr:to>
    <xdr:pic>
      <xdr:nvPicPr>
        <xdr:cNvPr id="10819" name="Рисунок 10818">
          <a:extLst>
            <a:ext uri="{FF2B5EF4-FFF2-40B4-BE49-F238E27FC236}">
              <a16:creationId xmlns:a16="http://schemas.microsoft.com/office/drawing/2014/main" id="{A61688D2-8838-4CE1-81A8-AF644EC464D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785561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1381</xdr:row>
      <xdr:rowOff>25400</xdr:rowOff>
    </xdr:from>
    <xdr:to>
      <xdr:col>11</xdr:col>
      <xdr:colOff>571500</xdr:colOff>
      <xdr:row>1382</xdr:row>
      <xdr:rowOff>0</xdr:rowOff>
    </xdr:to>
    <xdr:pic>
      <xdr:nvPicPr>
        <xdr:cNvPr id="10821" name="Рисунок 10820">
          <a:extLst>
            <a:ext uri="{FF2B5EF4-FFF2-40B4-BE49-F238E27FC236}">
              <a16:creationId xmlns:a16="http://schemas.microsoft.com/office/drawing/2014/main" id="{4B10B811-9FA4-451D-977D-C51DD570446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786133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1382</xdr:row>
      <xdr:rowOff>25400</xdr:rowOff>
    </xdr:from>
    <xdr:to>
      <xdr:col>11</xdr:col>
      <xdr:colOff>571500</xdr:colOff>
      <xdr:row>1383</xdr:row>
      <xdr:rowOff>0</xdr:rowOff>
    </xdr:to>
    <xdr:pic>
      <xdr:nvPicPr>
        <xdr:cNvPr id="10823" name="Рисунок 10822">
          <a:extLst>
            <a:ext uri="{FF2B5EF4-FFF2-40B4-BE49-F238E27FC236}">
              <a16:creationId xmlns:a16="http://schemas.microsoft.com/office/drawing/2014/main" id="{393446AD-5B9F-42D4-BEBC-C50D39E6CD3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4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786704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1383</xdr:row>
      <xdr:rowOff>25400</xdr:rowOff>
    </xdr:from>
    <xdr:to>
      <xdr:col>11</xdr:col>
      <xdr:colOff>571500</xdr:colOff>
      <xdr:row>1384</xdr:row>
      <xdr:rowOff>0</xdr:rowOff>
    </xdr:to>
    <xdr:pic>
      <xdr:nvPicPr>
        <xdr:cNvPr id="10825" name="Рисунок 10824">
          <a:extLst>
            <a:ext uri="{FF2B5EF4-FFF2-40B4-BE49-F238E27FC236}">
              <a16:creationId xmlns:a16="http://schemas.microsoft.com/office/drawing/2014/main" id="{9FD5FFE2-6B8D-49FA-8339-90BF2EC487B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4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787276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1384</xdr:row>
      <xdr:rowOff>25400</xdr:rowOff>
    </xdr:from>
    <xdr:to>
      <xdr:col>11</xdr:col>
      <xdr:colOff>571500</xdr:colOff>
      <xdr:row>1385</xdr:row>
      <xdr:rowOff>0</xdr:rowOff>
    </xdr:to>
    <xdr:pic>
      <xdr:nvPicPr>
        <xdr:cNvPr id="10827" name="Рисунок 10826">
          <a:extLst>
            <a:ext uri="{FF2B5EF4-FFF2-40B4-BE49-F238E27FC236}">
              <a16:creationId xmlns:a16="http://schemas.microsoft.com/office/drawing/2014/main" id="{EF73BE08-0319-4ABA-9A0C-E272CBD71FE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4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787847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1385</xdr:row>
      <xdr:rowOff>25400</xdr:rowOff>
    </xdr:from>
    <xdr:to>
      <xdr:col>11</xdr:col>
      <xdr:colOff>571500</xdr:colOff>
      <xdr:row>1386</xdr:row>
      <xdr:rowOff>0</xdr:rowOff>
    </xdr:to>
    <xdr:pic>
      <xdr:nvPicPr>
        <xdr:cNvPr id="10829" name="Рисунок 10828">
          <a:extLst>
            <a:ext uri="{FF2B5EF4-FFF2-40B4-BE49-F238E27FC236}">
              <a16:creationId xmlns:a16="http://schemas.microsoft.com/office/drawing/2014/main" id="{CD615449-B848-4EC4-918F-68D1545E800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4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788419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1386</xdr:row>
      <xdr:rowOff>25400</xdr:rowOff>
    </xdr:from>
    <xdr:to>
      <xdr:col>11</xdr:col>
      <xdr:colOff>571500</xdr:colOff>
      <xdr:row>1387</xdr:row>
      <xdr:rowOff>0</xdr:rowOff>
    </xdr:to>
    <xdr:pic>
      <xdr:nvPicPr>
        <xdr:cNvPr id="10831" name="Рисунок 10830">
          <a:extLst>
            <a:ext uri="{FF2B5EF4-FFF2-40B4-BE49-F238E27FC236}">
              <a16:creationId xmlns:a16="http://schemas.microsoft.com/office/drawing/2014/main" id="{7D5F30E2-D233-4DD6-9BB2-2E803561CD6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4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788990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1387</xdr:row>
      <xdr:rowOff>25400</xdr:rowOff>
    </xdr:from>
    <xdr:to>
      <xdr:col>11</xdr:col>
      <xdr:colOff>571500</xdr:colOff>
      <xdr:row>1388</xdr:row>
      <xdr:rowOff>0</xdr:rowOff>
    </xdr:to>
    <xdr:pic>
      <xdr:nvPicPr>
        <xdr:cNvPr id="10833" name="Рисунок 10832">
          <a:extLst>
            <a:ext uri="{FF2B5EF4-FFF2-40B4-BE49-F238E27FC236}">
              <a16:creationId xmlns:a16="http://schemas.microsoft.com/office/drawing/2014/main" id="{DDD0E938-00D4-400D-B3F6-3E5898E0E8D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5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789562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1388</xdr:row>
      <xdr:rowOff>25400</xdr:rowOff>
    </xdr:from>
    <xdr:to>
      <xdr:col>11</xdr:col>
      <xdr:colOff>571500</xdr:colOff>
      <xdr:row>1389</xdr:row>
      <xdr:rowOff>0</xdr:rowOff>
    </xdr:to>
    <xdr:pic>
      <xdr:nvPicPr>
        <xdr:cNvPr id="10835" name="Рисунок 10834">
          <a:extLst>
            <a:ext uri="{FF2B5EF4-FFF2-40B4-BE49-F238E27FC236}">
              <a16:creationId xmlns:a16="http://schemas.microsoft.com/office/drawing/2014/main" id="{F83834E5-5F1F-470F-9B0A-09C664BB4F9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5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790133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1389</xdr:row>
      <xdr:rowOff>25400</xdr:rowOff>
    </xdr:from>
    <xdr:to>
      <xdr:col>11</xdr:col>
      <xdr:colOff>571500</xdr:colOff>
      <xdr:row>1390</xdr:row>
      <xdr:rowOff>0</xdr:rowOff>
    </xdr:to>
    <xdr:pic>
      <xdr:nvPicPr>
        <xdr:cNvPr id="10837" name="Рисунок 10836">
          <a:extLst>
            <a:ext uri="{FF2B5EF4-FFF2-40B4-BE49-F238E27FC236}">
              <a16:creationId xmlns:a16="http://schemas.microsoft.com/office/drawing/2014/main" id="{7CFDB4AB-2F6C-4276-A2EB-08A043B705E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790705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1390</xdr:row>
      <xdr:rowOff>25400</xdr:rowOff>
    </xdr:from>
    <xdr:to>
      <xdr:col>11</xdr:col>
      <xdr:colOff>571500</xdr:colOff>
      <xdr:row>1391</xdr:row>
      <xdr:rowOff>0</xdr:rowOff>
    </xdr:to>
    <xdr:pic>
      <xdr:nvPicPr>
        <xdr:cNvPr id="10839" name="Рисунок 10838">
          <a:extLst>
            <a:ext uri="{FF2B5EF4-FFF2-40B4-BE49-F238E27FC236}">
              <a16:creationId xmlns:a16="http://schemas.microsoft.com/office/drawing/2014/main" id="{D8FC245A-7BE2-4DE6-A80B-E0A315E2FB8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5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791276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1391</xdr:row>
      <xdr:rowOff>25400</xdr:rowOff>
    </xdr:from>
    <xdr:to>
      <xdr:col>11</xdr:col>
      <xdr:colOff>571500</xdr:colOff>
      <xdr:row>1392</xdr:row>
      <xdr:rowOff>0</xdr:rowOff>
    </xdr:to>
    <xdr:pic>
      <xdr:nvPicPr>
        <xdr:cNvPr id="10841" name="Рисунок 10840">
          <a:extLst>
            <a:ext uri="{FF2B5EF4-FFF2-40B4-BE49-F238E27FC236}">
              <a16:creationId xmlns:a16="http://schemas.microsoft.com/office/drawing/2014/main" id="{CF38E355-1DCE-4056-9478-AD211AF956D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5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791848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1392</xdr:row>
      <xdr:rowOff>25400</xdr:rowOff>
    </xdr:from>
    <xdr:to>
      <xdr:col>11</xdr:col>
      <xdr:colOff>571500</xdr:colOff>
      <xdr:row>1393</xdr:row>
      <xdr:rowOff>0</xdr:rowOff>
    </xdr:to>
    <xdr:pic>
      <xdr:nvPicPr>
        <xdr:cNvPr id="10843" name="Рисунок 10842">
          <a:extLst>
            <a:ext uri="{FF2B5EF4-FFF2-40B4-BE49-F238E27FC236}">
              <a16:creationId xmlns:a16="http://schemas.microsoft.com/office/drawing/2014/main" id="{484B11C1-354D-4EBA-BBC6-DE36CFBF4F8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5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792419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1393</xdr:row>
      <xdr:rowOff>25400</xdr:rowOff>
    </xdr:from>
    <xdr:to>
      <xdr:col>11</xdr:col>
      <xdr:colOff>571500</xdr:colOff>
      <xdr:row>1394</xdr:row>
      <xdr:rowOff>0</xdr:rowOff>
    </xdr:to>
    <xdr:pic>
      <xdr:nvPicPr>
        <xdr:cNvPr id="10845" name="Рисунок 10844">
          <a:extLst>
            <a:ext uri="{FF2B5EF4-FFF2-40B4-BE49-F238E27FC236}">
              <a16:creationId xmlns:a16="http://schemas.microsoft.com/office/drawing/2014/main" id="{18FD5C15-71CD-44C6-B96B-ADA947966DB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5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792991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1394</xdr:row>
      <xdr:rowOff>25400</xdr:rowOff>
    </xdr:from>
    <xdr:to>
      <xdr:col>11</xdr:col>
      <xdr:colOff>571500</xdr:colOff>
      <xdr:row>1395</xdr:row>
      <xdr:rowOff>0</xdr:rowOff>
    </xdr:to>
    <xdr:pic>
      <xdr:nvPicPr>
        <xdr:cNvPr id="10847" name="Рисунок 10846">
          <a:extLst>
            <a:ext uri="{FF2B5EF4-FFF2-40B4-BE49-F238E27FC236}">
              <a16:creationId xmlns:a16="http://schemas.microsoft.com/office/drawing/2014/main" id="{CD014258-9464-4915-9C8E-7705A3ECED8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5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793562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1395</xdr:row>
      <xdr:rowOff>25400</xdr:rowOff>
    </xdr:from>
    <xdr:to>
      <xdr:col>11</xdr:col>
      <xdr:colOff>571500</xdr:colOff>
      <xdr:row>1396</xdr:row>
      <xdr:rowOff>0</xdr:rowOff>
    </xdr:to>
    <xdr:pic>
      <xdr:nvPicPr>
        <xdr:cNvPr id="10849" name="Рисунок 10848">
          <a:extLst>
            <a:ext uri="{FF2B5EF4-FFF2-40B4-BE49-F238E27FC236}">
              <a16:creationId xmlns:a16="http://schemas.microsoft.com/office/drawing/2014/main" id="{9AD5F094-EF14-4E30-BEA5-E4ACB246DE7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5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794134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1396</xdr:row>
      <xdr:rowOff>25400</xdr:rowOff>
    </xdr:from>
    <xdr:to>
      <xdr:col>11</xdr:col>
      <xdr:colOff>571500</xdr:colOff>
      <xdr:row>1397</xdr:row>
      <xdr:rowOff>0</xdr:rowOff>
    </xdr:to>
    <xdr:pic>
      <xdr:nvPicPr>
        <xdr:cNvPr id="10851" name="Рисунок 10850">
          <a:extLst>
            <a:ext uri="{FF2B5EF4-FFF2-40B4-BE49-F238E27FC236}">
              <a16:creationId xmlns:a16="http://schemas.microsoft.com/office/drawing/2014/main" id="{E03E1D02-6D08-4224-9796-C3B04873E81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5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794705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1397</xdr:row>
      <xdr:rowOff>25400</xdr:rowOff>
    </xdr:from>
    <xdr:to>
      <xdr:col>11</xdr:col>
      <xdr:colOff>571500</xdr:colOff>
      <xdr:row>1398</xdr:row>
      <xdr:rowOff>0</xdr:rowOff>
    </xdr:to>
    <xdr:pic>
      <xdr:nvPicPr>
        <xdr:cNvPr id="10853" name="Рисунок 10852">
          <a:extLst>
            <a:ext uri="{FF2B5EF4-FFF2-40B4-BE49-F238E27FC236}">
              <a16:creationId xmlns:a16="http://schemas.microsoft.com/office/drawing/2014/main" id="{93E02DC8-2DDF-4E09-BDDE-6316EC8EA52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6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795277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1398</xdr:row>
      <xdr:rowOff>25400</xdr:rowOff>
    </xdr:from>
    <xdr:to>
      <xdr:col>11</xdr:col>
      <xdr:colOff>571500</xdr:colOff>
      <xdr:row>1399</xdr:row>
      <xdr:rowOff>0</xdr:rowOff>
    </xdr:to>
    <xdr:pic>
      <xdr:nvPicPr>
        <xdr:cNvPr id="10855" name="Рисунок 10854">
          <a:extLst>
            <a:ext uri="{FF2B5EF4-FFF2-40B4-BE49-F238E27FC236}">
              <a16:creationId xmlns:a16="http://schemas.microsoft.com/office/drawing/2014/main" id="{4E9CDD8C-B8EC-4860-8F47-0262E7AAAB2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6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795848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1399</xdr:row>
      <xdr:rowOff>25400</xdr:rowOff>
    </xdr:from>
    <xdr:to>
      <xdr:col>11</xdr:col>
      <xdr:colOff>571500</xdr:colOff>
      <xdr:row>1400</xdr:row>
      <xdr:rowOff>0</xdr:rowOff>
    </xdr:to>
    <xdr:pic>
      <xdr:nvPicPr>
        <xdr:cNvPr id="10857" name="Рисунок 10856">
          <a:extLst>
            <a:ext uri="{FF2B5EF4-FFF2-40B4-BE49-F238E27FC236}">
              <a16:creationId xmlns:a16="http://schemas.microsoft.com/office/drawing/2014/main" id="{FDBA8C0A-8618-4A20-A65C-5412DCE4153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6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796420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1400</xdr:row>
      <xdr:rowOff>25400</xdr:rowOff>
    </xdr:from>
    <xdr:to>
      <xdr:col>11</xdr:col>
      <xdr:colOff>571500</xdr:colOff>
      <xdr:row>1401</xdr:row>
      <xdr:rowOff>0</xdr:rowOff>
    </xdr:to>
    <xdr:pic>
      <xdr:nvPicPr>
        <xdr:cNvPr id="10859" name="Рисунок 10858">
          <a:extLst>
            <a:ext uri="{FF2B5EF4-FFF2-40B4-BE49-F238E27FC236}">
              <a16:creationId xmlns:a16="http://schemas.microsoft.com/office/drawing/2014/main" id="{A10D4B64-5608-4D7B-86BB-C60B1D70181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6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796991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1401</xdr:row>
      <xdr:rowOff>25400</xdr:rowOff>
    </xdr:from>
    <xdr:to>
      <xdr:col>11</xdr:col>
      <xdr:colOff>571500</xdr:colOff>
      <xdr:row>1402</xdr:row>
      <xdr:rowOff>0</xdr:rowOff>
    </xdr:to>
    <xdr:pic>
      <xdr:nvPicPr>
        <xdr:cNvPr id="10861" name="Рисунок 10860">
          <a:extLst>
            <a:ext uri="{FF2B5EF4-FFF2-40B4-BE49-F238E27FC236}">
              <a16:creationId xmlns:a16="http://schemas.microsoft.com/office/drawing/2014/main" id="{18E42BC7-C349-421F-A317-51D65ECCBFF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6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797563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1402</xdr:row>
      <xdr:rowOff>25400</xdr:rowOff>
    </xdr:from>
    <xdr:to>
      <xdr:col>11</xdr:col>
      <xdr:colOff>571500</xdr:colOff>
      <xdr:row>1403</xdr:row>
      <xdr:rowOff>0</xdr:rowOff>
    </xdr:to>
    <xdr:pic>
      <xdr:nvPicPr>
        <xdr:cNvPr id="10863" name="Рисунок 10862">
          <a:extLst>
            <a:ext uri="{FF2B5EF4-FFF2-40B4-BE49-F238E27FC236}">
              <a16:creationId xmlns:a16="http://schemas.microsoft.com/office/drawing/2014/main" id="{0AD90359-BE2A-4DBE-967A-E28FC7825C4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6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798134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1403</xdr:row>
      <xdr:rowOff>25400</xdr:rowOff>
    </xdr:from>
    <xdr:to>
      <xdr:col>11</xdr:col>
      <xdr:colOff>571500</xdr:colOff>
      <xdr:row>1404</xdr:row>
      <xdr:rowOff>0</xdr:rowOff>
    </xdr:to>
    <xdr:pic>
      <xdr:nvPicPr>
        <xdr:cNvPr id="10865" name="Рисунок 10864">
          <a:extLst>
            <a:ext uri="{FF2B5EF4-FFF2-40B4-BE49-F238E27FC236}">
              <a16:creationId xmlns:a16="http://schemas.microsoft.com/office/drawing/2014/main" id="{59D84220-6208-42D5-9D99-CA587328E55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6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798706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1404</xdr:row>
      <xdr:rowOff>25400</xdr:rowOff>
    </xdr:from>
    <xdr:to>
      <xdr:col>11</xdr:col>
      <xdr:colOff>571500</xdr:colOff>
      <xdr:row>1405</xdr:row>
      <xdr:rowOff>0</xdr:rowOff>
    </xdr:to>
    <xdr:pic>
      <xdr:nvPicPr>
        <xdr:cNvPr id="10867" name="Рисунок 10866">
          <a:extLst>
            <a:ext uri="{FF2B5EF4-FFF2-40B4-BE49-F238E27FC236}">
              <a16:creationId xmlns:a16="http://schemas.microsoft.com/office/drawing/2014/main" id="{51AB6C8F-9198-4E27-9FB7-D53D1F8638E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6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799277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1405</xdr:row>
      <xdr:rowOff>25400</xdr:rowOff>
    </xdr:from>
    <xdr:to>
      <xdr:col>11</xdr:col>
      <xdr:colOff>571500</xdr:colOff>
      <xdr:row>1406</xdr:row>
      <xdr:rowOff>0</xdr:rowOff>
    </xdr:to>
    <xdr:pic>
      <xdr:nvPicPr>
        <xdr:cNvPr id="10869" name="Рисунок 10868">
          <a:extLst>
            <a:ext uri="{FF2B5EF4-FFF2-40B4-BE49-F238E27FC236}">
              <a16:creationId xmlns:a16="http://schemas.microsoft.com/office/drawing/2014/main" id="{813076EC-474F-436B-A969-EADE26C4ED5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6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799849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1406</xdr:row>
      <xdr:rowOff>25400</xdr:rowOff>
    </xdr:from>
    <xdr:to>
      <xdr:col>11</xdr:col>
      <xdr:colOff>571500</xdr:colOff>
      <xdr:row>1407</xdr:row>
      <xdr:rowOff>0</xdr:rowOff>
    </xdr:to>
    <xdr:pic>
      <xdr:nvPicPr>
        <xdr:cNvPr id="10871" name="Рисунок 10870">
          <a:extLst>
            <a:ext uri="{FF2B5EF4-FFF2-40B4-BE49-F238E27FC236}">
              <a16:creationId xmlns:a16="http://schemas.microsoft.com/office/drawing/2014/main" id="{EE86552B-1B72-4562-AE5A-FD4134A3048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6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800420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1407</xdr:row>
      <xdr:rowOff>25400</xdr:rowOff>
    </xdr:from>
    <xdr:to>
      <xdr:col>11</xdr:col>
      <xdr:colOff>571500</xdr:colOff>
      <xdr:row>1408</xdr:row>
      <xdr:rowOff>0</xdr:rowOff>
    </xdr:to>
    <xdr:pic>
      <xdr:nvPicPr>
        <xdr:cNvPr id="10873" name="Рисунок 10872">
          <a:extLst>
            <a:ext uri="{FF2B5EF4-FFF2-40B4-BE49-F238E27FC236}">
              <a16:creationId xmlns:a16="http://schemas.microsoft.com/office/drawing/2014/main" id="{6F72E3DD-B1A4-4A2D-BFBE-27A4A7646F2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7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800992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1408</xdr:row>
      <xdr:rowOff>25400</xdr:rowOff>
    </xdr:from>
    <xdr:to>
      <xdr:col>11</xdr:col>
      <xdr:colOff>571500</xdr:colOff>
      <xdr:row>1409</xdr:row>
      <xdr:rowOff>0</xdr:rowOff>
    </xdr:to>
    <xdr:pic>
      <xdr:nvPicPr>
        <xdr:cNvPr id="10875" name="Рисунок 10874">
          <a:extLst>
            <a:ext uri="{FF2B5EF4-FFF2-40B4-BE49-F238E27FC236}">
              <a16:creationId xmlns:a16="http://schemas.microsoft.com/office/drawing/2014/main" id="{0885DE17-7D59-4297-AF32-2F73FB59854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7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801563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1409</xdr:row>
      <xdr:rowOff>25400</xdr:rowOff>
    </xdr:from>
    <xdr:to>
      <xdr:col>11</xdr:col>
      <xdr:colOff>571500</xdr:colOff>
      <xdr:row>1410</xdr:row>
      <xdr:rowOff>0</xdr:rowOff>
    </xdr:to>
    <xdr:pic>
      <xdr:nvPicPr>
        <xdr:cNvPr id="10877" name="Рисунок 10876">
          <a:extLst>
            <a:ext uri="{FF2B5EF4-FFF2-40B4-BE49-F238E27FC236}">
              <a16:creationId xmlns:a16="http://schemas.microsoft.com/office/drawing/2014/main" id="{FF041558-6749-4091-8B36-A95E3149474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7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802135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1410</xdr:row>
      <xdr:rowOff>25400</xdr:rowOff>
    </xdr:from>
    <xdr:to>
      <xdr:col>11</xdr:col>
      <xdr:colOff>571500</xdr:colOff>
      <xdr:row>1411</xdr:row>
      <xdr:rowOff>0</xdr:rowOff>
    </xdr:to>
    <xdr:pic>
      <xdr:nvPicPr>
        <xdr:cNvPr id="10879" name="Рисунок 10878">
          <a:extLst>
            <a:ext uri="{FF2B5EF4-FFF2-40B4-BE49-F238E27FC236}">
              <a16:creationId xmlns:a16="http://schemas.microsoft.com/office/drawing/2014/main" id="{7B96DD56-CAB5-4B7E-BE42-E4D03C14E4E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7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802706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1411</xdr:row>
      <xdr:rowOff>25400</xdr:rowOff>
    </xdr:from>
    <xdr:to>
      <xdr:col>11</xdr:col>
      <xdr:colOff>571500</xdr:colOff>
      <xdr:row>1412</xdr:row>
      <xdr:rowOff>0</xdr:rowOff>
    </xdr:to>
    <xdr:pic>
      <xdr:nvPicPr>
        <xdr:cNvPr id="10881" name="Рисунок 10880">
          <a:extLst>
            <a:ext uri="{FF2B5EF4-FFF2-40B4-BE49-F238E27FC236}">
              <a16:creationId xmlns:a16="http://schemas.microsoft.com/office/drawing/2014/main" id="{AFCF7BE8-3A58-491A-B7F2-C389D44F974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7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803278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1412</xdr:row>
      <xdr:rowOff>25400</xdr:rowOff>
    </xdr:from>
    <xdr:to>
      <xdr:col>11</xdr:col>
      <xdr:colOff>571500</xdr:colOff>
      <xdr:row>1413</xdr:row>
      <xdr:rowOff>0</xdr:rowOff>
    </xdr:to>
    <xdr:pic>
      <xdr:nvPicPr>
        <xdr:cNvPr id="10883" name="Рисунок 10882">
          <a:extLst>
            <a:ext uri="{FF2B5EF4-FFF2-40B4-BE49-F238E27FC236}">
              <a16:creationId xmlns:a16="http://schemas.microsoft.com/office/drawing/2014/main" id="{BFF60384-2983-4686-9412-C18A2801387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7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803849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1413</xdr:row>
      <xdr:rowOff>25400</xdr:rowOff>
    </xdr:from>
    <xdr:to>
      <xdr:col>11</xdr:col>
      <xdr:colOff>571500</xdr:colOff>
      <xdr:row>1414</xdr:row>
      <xdr:rowOff>0</xdr:rowOff>
    </xdr:to>
    <xdr:pic>
      <xdr:nvPicPr>
        <xdr:cNvPr id="10885" name="Рисунок 10884">
          <a:extLst>
            <a:ext uri="{FF2B5EF4-FFF2-40B4-BE49-F238E27FC236}">
              <a16:creationId xmlns:a16="http://schemas.microsoft.com/office/drawing/2014/main" id="{C8D86E20-7B4F-4B0C-964D-16C49C6E3CE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7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804421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1414</xdr:row>
      <xdr:rowOff>25400</xdr:rowOff>
    </xdr:from>
    <xdr:to>
      <xdr:col>11</xdr:col>
      <xdr:colOff>571500</xdr:colOff>
      <xdr:row>1415</xdr:row>
      <xdr:rowOff>0</xdr:rowOff>
    </xdr:to>
    <xdr:pic>
      <xdr:nvPicPr>
        <xdr:cNvPr id="10887" name="Рисунок 10886">
          <a:extLst>
            <a:ext uri="{FF2B5EF4-FFF2-40B4-BE49-F238E27FC236}">
              <a16:creationId xmlns:a16="http://schemas.microsoft.com/office/drawing/2014/main" id="{DC6EB0B4-6F49-47CA-8E1B-B32FE45CC24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7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804992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1415</xdr:row>
      <xdr:rowOff>25400</xdr:rowOff>
    </xdr:from>
    <xdr:to>
      <xdr:col>11</xdr:col>
      <xdr:colOff>571500</xdr:colOff>
      <xdr:row>1416</xdr:row>
      <xdr:rowOff>0</xdr:rowOff>
    </xdr:to>
    <xdr:pic>
      <xdr:nvPicPr>
        <xdr:cNvPr id="10889" name="Рисунок 10888">
          <a:extLst>
            <a:ext uri="{FF2B5EF4-FFF2-40B4-BE49-F238E27FC236}">
              <a16:creationId xmlns:a16="http://schemas.microsoft.com/office/drawing/2014/main" id="{38BBD4DF-1722-4173-B38D-E96BB482984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7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805564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1416</xdr:row>
      <xdr:rowOff>25400</xdr:rowOff>
    </xdr:from>
    <xdr:to>
      <xdr:col>11</xdr:col>
      <xdr:colOff>571500</xdr:colOff>
      <xdr:row>1417</xdr:row>
      <xdr:rowOff>0</xdr:rowOff>
    </xdr:to>
    <xdr:pic>
      <xdr:nvPicPr>
        <xdr:cNvPr id="10891" name="Рисунок 10890">
          <a:extLst>
            <a:ext uri="{FF2B5EF4-FFF2-40B4-BE49-F238E27FC236}">
              <a16:creationId xmlns:a16="http://schemas.microsoft.com/office/drawing/2014/main" id="{B40187C5-EE5F-4E4F-8FF8-B14BC199951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7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806135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1417</xdr:row>
      <xdr:rowOff>25400</xdr:rowOff>
    </xdr:from>
    <xdr:to>
      <xdr:col>11</xdr:col>
      <xdr:colOff>571500</xdr:colOff>
      <xdr:row>1418</xdr:row>
      <xdr:rowOff>0</xdr:rowOff>
    </xdr:to>
    <xdr:pic>
      <xdr:nvPicPr>
        <xdr:cNvPr id="10893" name="Рисунок 10892">
          <a:extLst>
            <a:ext uri="{FF2B5EF4-FFF2-40B4-BE49-F238E27FC236}">
              <a16:creationId xmlns:a16="http://schemas.microsoft.com/office/drawing/2014/main" id="{B3FB0F02-A756-4AAE-A5A4-75150BC3A93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8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806707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1418</xdr:row>
      <xdr:rowOff>25400</xdr:rowOff>
    </xdr:from>
    <xdr:to>
      <xdr:col>11</xdr:col>
      <xdr:colOff>571500</xdr:colOff>
      <xdr:row>1419</xdr:row>
      <xdr:rowOff>0</xdr:rowOff>
    </xdr:to>
    <xdr:pic>
      <xdr:nvPicPr>
        <xdr:cNvPr id="10895" name="Рисунок 10894">
          <a:extLst>
            <a:ext uri="{FF2B5EF4-FFF2-40B4-BE49-F238E27FC236}">
              <a16:creationId xmlns:a16="http://schemas.microsoft.com/office/drawing/2014/main" id="{396EBE89-8FC5-40E0-8880-DF22B851506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8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807278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1419</xdr:row>
      <xdr:rowOff>25400</xdr:rowOff>
    </xdr:from>
    <xdr:to>
      <xdr:col>11</xdr:col>
      <xdr:colOff>571500</xdr:colOff>
      <xdr:row>1420</xdr:row>
      <xdr:rowOff>0</xdr:rowOff>
    </xdr:to>
    <xdr:pic>
      <xdr:nvPicPr>
        <xdr:cNvPr id="10897" name="Рисунок 10896">
          <a:extLst>
            <a:ext uri="{FF2B5EF4-FFF2-40B4-BE49-F238E27FC236}">
              <a16:creationId xmlns:a16="http://schemas.microsoft.com/office/drawing/2014/main" id="{E76E1CDD-CB5D-4E68-B962-E115B73C8F3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8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807850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1420</xdr:row>
      <xdr:rowOff>25400</xdr:rowOff>
    </xdr:from>
    <xdr:to>
      <xdr:col>11</xdr:col>
      <xdr:colOff>571500</xdr:colOff>
      <xdr:row>1421</xdr:row>
      <xdr:rowOff>0</xdr:rowOff>
    </xdr:to>
    <xdr:pic>
      <xdr:nvPicPr>
        <xdr:cNvPr id="10899" name="Рисунок 10898">
          <a:extLst>
            <a:ext uri="{FF2B5EF4-FFF2-40B4-BE49-F238E27FC236}">
              <a16:creationId xmlns:a16="http://schemas.microsoft.com/office/drawing/2014/main" id="{A504CE90-6BFE-44ED-ABC5-7E2ACCAA7BA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8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808421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1421</xdr:row>
      <xdr:rowOff>25400</xdr:rowOff>
    </xdr:from>
    <xdr:to>
      <xdr:col>11</xdr:col>
      <xdr:colOff>571500</xdr:colOff>
      <xdr:row>1422</xdr:row>
      <xdr:rowOff>0</xdr:rowOff>
    </xdr:to>
    <xdr:pic>
      <xdr:nvPicPr>
        <xdr:cNvPr id="10901" name="Рисунок 10900">
          <a:extLst>
            <a:ext uri="{FF2B5EF4-FFF2-40B4-BE49-F238E27FC236}">
              <a16:creationId xmlns:a16="http://schemas.microsoft.com/office/drawing/2014/main" id="{30671125-06F0-4408-B544-F9398DC8BAC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8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808993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1422</xdr:row>
      <xdr:rowOff>25400</xdr:rowOff>
    </xdr:from>
    <xdr:to>
      <xdr:col>11</xdr:col>
      <xdr:colOff>571500</xdr:colOff>
      <xdr:row>1423</xdr:row>
      <xdr:rowOff>0</xdr:rowOff>
    </xdr:to>
    <xdr:pic>
      <xdr:nvPicPr>
        <xdr:cNvPr id="10903" name="Рисунок 10902">
          <a:extLst>
            <a:ext uri="{FF2B5EF4-FFF2-40B4-BE49-F238E27FC236}">
              <a16:creationId xmlns:a16="http://schemas.microsoft.com/office/drawing/2014/main" id="{45617A6F-B42E-44D3-BC01-2C39575AA76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8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809564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1423</xdr:row>
      <xdr:rowOff>25400</xdr:rowOff>
    </xdr:from>
    <xdr:to>
      <xdr:col>11</xdr:col>
      <xdr:colOff>571500</xdr:colOff>
      <xdr:row>1424</xdr:row>
      <xdr:rowOff>0</xdr:rowOff>
    </xdr:to>
    <xdr:pic>
      <xdr:nvPicPr>
        <xdr:cNvPr id="10905" name="Рисунок 10904">
          <a:extLst>
            <a:ext uri="{FF2B5EF4-FFF2-40B4-BE49-F238E27FC236}">
              <a16:creationId xmlns:a16="http://schemas.microsoft.com/office/drawing/2014/main" id="{3F524994-1CDE-4F0A-9324-F607737DAB1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8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810136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1424</xdr:row>
      <xdr:rowOff>25400</xdr:rowOff>
    </xdr:from>
    <xdr:to>
      <xdr:col>11</xdr:col>
      <xdr:colOff>571500</xdr:colOff>
      <xdr:row>1425</xdr:row>
      <xdr:rowOff>0</xdr:rowOff>
    </xdr:to>
    <xdr:pic>
      <xdr:nvPicPr>
        <xdr:cNvPr id="10907" name="Рисунок 10906">
          <a:extLst>
            <a:ext uri="{FF2B5EF4-FFF2-40B4-BE49-F238E27FC236}">
              <a16:creationId xmlns:a16="http://schemas.microsoft.com/office/drawing/2014/main" id="{E2CDE8FB-74F5-4214-8FE9-C3D7597FAFB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8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810707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1425</xdr:row>
      <xdr:rowOff>25400</xdr:rowOff>
    </xdr:from>
    <xdr:to>
      <xdr:col>11</xdr:col>
      <xdr:colOff>571500</xdr:colOff>
      <xdr:row>1426</xdr:row>
      <xdr:rowOff>0</xdr:rowOff>
    </xdr:to>
    <xdr:pic>
      <xdr:nvPicPr>
        <xdr:cNvPr id="10909" name="Рисунок 10908">
          <a:extLst>
            <a:ext uri="{FF2B5EF4-FFF2-40B4-BE49-F238E27FC236}">
              <a16:creationId xmlns:a16="http://schemas.microsoft.com/office/drawing/2014/main" id="{12D6462D-CD77-495C-AF37-92FF5652003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8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811279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1426</xdr:row>
      <xdr:rowOff>25400</xdr:rowOff>
    </xdr:from>
    <xdr:to>
      <xdr:col>11</xdr:col>
      <xdr:colOff>571500</xdr:colOff>
      <xdr:row>1427</xdr:row>
      <xdr:rowOff>0</xdr:rowOff>
    </xdr:to>
    <xdr:pic>
      <xdr:nvPicPr>
        <xdr:cNvPr id="10911" name="Рисунок 10910">
          <a:extLst>
            <a:ext uri="{FF2B5EF4-FFF2-40B4-BE49-F238E27FC236}">
              <a16:creationId xmlns:a16="http://schemas.microsoft.com/office/drawing/2014/main" id="{AA936842-ADC9-4D8C-840B-9BF5D9D03E4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8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811850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1427</xdr:row>
      <xdr:rowOff>25400</xdr:rowOff>
    </xdr:from>
    <xdr:to>
      <xdr:col>11</xdr:col>
      <xdr:colOff>571500</xdr:colOff>
      <xdr:row>1428</xdr:row>
      <xdr:rowOff>0</xdr:rowOff>
    </xdr:to>
    <xdr:pic>
      <xdr:nvPicPr>
        <xdr:cNvPr id="10913" name="Рисунок 10912">
          <a:extLst>
            <a:ext uri="{FF2B5EF4-FFF2-40B4-BE49-F238E27FC236}">
              <a16:creationId xmlns:a16="http://schemas.microsoft.com/office/drawing/2014/main" id="{62DC9331-30FF-48D4-931A-7D13A1B03AD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9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812422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1428</xdr:row>
      <xdr:rowOff>25400</xdr:rowOff>
    </xdr:from>
    <xdr:to>
      <xdr:col>11</xdr:col>
      <xdr:colOff>571500</xdr:colOff>
      <xdr:row>1429</xdr:row>
      <xdr:rowOff>0</xdr:rowOff>
    </xdr:to>
    <xdr:pic>
      <xdr:nvPicPr>
        <xdr:cNvPr id="10915" name="Рисунок 10914">
          <a:extLst>
            <a:ext uri="{FF2B5EF4-FFF2-40B4-BE49-F238E27FC236}">
              <a16:creationId xmlns:a16="http://schemas.microsoft.com/office/drawing/2014/main" id="{B9CEEC4D-2786-44B4-8D39-C98E36DAF5D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9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812993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1429</xdr:row>
      <xdr:rowOff>25400</xdr:rowOff>
    </xdr:from>
    <xdr:to>
      <xdr:col>11</xdr:col>
      <xdr:colOff>571500</xdr:colOff>
      <xdr:row>1430</xdr:row>
      <xdr:rowOff>0</xdr:rowOff>
    </xdr:to>
    <xdr:pic>
      <xdr:nvPicPr>
        <xdr:cNvPr id="10917" name="Рисунок 10916">
          <a:extLst>
            <a:ext uri="{FF2B5EF4-FFF2-40B4-BE49-F238E27FC236}">
              <a16:creationId xmlns:a16="http://schemas.microsoft.com/office/drawing/2014/main" id="{076325CF-E638-4BA7-B0A4-19680282EE4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9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813565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1430</xdr:row>
      <xdr:rowOff>25400</xdr:rowOff>
    </xdr:from>
    <xdr:to>
      <xdr:col>11</xdr:col>
      <xdr:colOff>571500</xdr:colOff>
      <xdr:row>1431</xdr:row>
      <xdr:rowOff>0</xdr:rowOff>
    </xdr:to>
    <xdr:pic>
      <xdr:nvPicPr>
        <xdr:cNvPr id="10919" name="Рисунок 10918">
          <a:extLst>
            <a:ext uri="{FF2B5EF4-FFF2-40B4-BE49-F238E27FC236}">
              <a16:creationId xmlns:a16="http://schemas.microsoft.com/office/drawing/2014/main" id="{232A4EAC-F075-4171-8C6A-7D6E2056BDE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9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814136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1431</xdr:row>
      <xdr:rowOff>25400</xdr:rowOff>
    </xdr:from>
    <xdr:to>
      <xdr:col>11</xdr:col>
      <xdr:colOff>571500</xdr:colOff>
      <xdr:row>1432</xdr:row>
      <xdr:rowOff>0</xdr:rowOff>
    </xdr:to>
    <xdr:pic>
      <xdr:nvPicPr>
        <xdr:cNvPr id="10921" name="Рисунок 10920">
          <a:extLst>
            <a:ext uri="{FF2B5EF4-FFF2-40B4-BE49-F238E27FC236}">
              <a16:creationId xmlns:a16="http://schemas.microsoft.com/office/drawing/2014/main" id="{2CE52357-9EAB-46CA-9810-CC14F809AF6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9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814708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1432</xdr:row>
      <xdr:rowOff>25400</xdr:rowOff>
    </xdr:from>
    <xdr:to>
      <xdr:col>11</xdr:col>
      <xdr:colOff>571500</xdr:colOff>
      <xdr:row>1433</xdr:row>
      <xdr:rowOff>0</xdr:rowOff>
    </xdr:to>
    <xdr:pic>
      <xdr:nvPicPr>
        <xdr:cNvPr id="10923" name="Рисунок 10922">
          <a:extLst>
            <a:ext uri="{FF2B5EF4-FFF2-40B4-BE49-F238E27FC236}">
              <a16:creationId xmlns:a16="http://schemas.microsoft.com/office/drawing/2014/main" id="{FA410573-7EF5-4B0E-B9A0-A32CDF174E8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9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815279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1433</xdr:row>
      <xdr:rowOff>25400</xdr:rowOff>
    </xdr:from>
    <xdr:to>
      <xdr:col>11</xdr:col>
      <xdr:colOff>571500</xdr:colOff>
      <xdr:row>1434</xdr:row>
      <xdr:rowOff>0</xdr:rowOff>
    </xdr:to>
    <xdr:pic>
      <xdr:nvPicPr>
        <xdr:cNvPr id="10925" name="Рисунок 10924">
          <a:extLst>
            <a:ext uri="{FF2B5EF4-FFF2-40B4-BE49-F238E27FC236}">
              <a16:creationId xmlns:a16="http://schemas.microsoft.com/office/drawing/2014/main" id="{FAFCE1C8-BC5A-4CB4-B1E1-2A163A85D6A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9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815851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1434</xdr:row>
      <xdr:rowOff>25400</xdr:rowOff>
    </xdr:from>
    <xdr:to>
      <xdr:col>11</xdr:col>
      <xdr:colOff>571500</xdr:colOff>
      <xdr:row>1435</xdr:row>
      <xdr:rowOff>0</xdr:rowOff>
    </xdr:to>
    <xdr:pic>
      <xdr:nvPicPr>
        <xdr:cNvPr id="10927" name="Рисунок 10926">
          <a:extLst>
            <a:ext uri="{FF2B5EF4-FFF2-40B4-BE49-F238E27FC236}">
              <a16:creationId xmlns:a16="http://schemas.microsoft.com/office/drawing/2014/main" id="{39054DB2-4BAC-477F-9DDD-4427B05279F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9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816422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1435</xdr:row>
      <xdr:rowOff>25400</xdr:rowOff>
    </xdr:from>
    <xdr:to>
      <xdr:col>11</xdr:col>
      <xdr:colOff>571500</xdr:colOff>
      <xdr:row>1436</xdr:row>
      <xdr:rowOff>0</xdr:rowOff>
    </xdr:to>
    <xdr:pic>
      <xdr:nvPicPr>
        <xdr:cNvPr id="10929" name="Рисунок 10928">
          <a:extLst>
            <a:ext uri="{FF2B5EF4-FFF2-40B4-BE49-F238E27FC236}">
              <a16:creationId xmlns:a16="http://schemas.microsoft.com/office/drawing/2014/main" id="{8A742D62-12F8-4D20-87C6-358A6852CE9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9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816994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1436</xdr:row>
      <xdr:rowOff>25400</xdr:rowOff>
    </xdr:from>
    <xdr:to>
      <xdr:col>11</xdr:col>
      <xdr:colOff>571500</xdr:colOff>
      <xdr:row>1437</xdr:row>
      <xdr:rowOff>0</xdr:rowOff>
    </xdr:to>
    <xdr:pic>
      <xdr:nvPicPr>
        <xdr:cNvPr id="10931" name="Рисунок 10930">
          <a:extLst>
            <a:ext uri="{FF2B5EF4-FFF2-40B4-BE49-F238E27FC236}">
              <a16:creationId xmlns:a16="http://schemas.microsoft.com/office/drawing/2014/main" id="{AE02FBB9-72A9-47A6-80DD-CE27DE460CA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39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817565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1437</xdr:row>
      <xdr:rowOff>25400</xdr:rowOff>
    </xdr:from>
    <xdr:to>
      <xdr:col>11</xdr:col>
      <xdr:colOff>571500</xdr:colOff>
      <xdr:row>1438</xdr:row>
      <xdr:rowOff>0</xdr:rowOff>
    </xdr:to>
    <xdr:pic>
      <xdr:nvPicPr>
        <xdr:cNvPr id="10933" name="Рисунок 10932">
          <a:extLst>
            <a:ext uri="{FF2B5EF4-FFF2-40B4-BE49-F238E27FC236}">
              <a16:creationId xmlns:a16="http://schemas.microsoft.com/office/drawing/2014/main" id="{EC0677E9-C71A-4D5D-80F5-0A415FC2A72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0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818137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1438</xdr:row>
      <xdr:rowOff>25400</xdr:rowOff>
    </xdr:from>
    <xdr:to>
      <xdr:col>11</xdr:col>
      <xdr:colOff>571500</xdr:colOff>
      <xdr:row>1439</xdr:row>
      <xdr:rowOff>0</xdr:rowOff>
    </xdr:to>
    <xdr:pic>
      <xdr:nvPicPr>
        <xdr:cNvPr id="10935" name="Рисунок 10934">
          <a:extLst>
            <a:ext uri="{FF2B5EF4-FFF2-40B4-BE49-F238E27FC236}">
              <a16:creationId xmlns:a16="http://schemas.microsoft.com/office/drawing/2014/main" id="{B0E3E860-E19A-40F1-A3F1-AAE903B4551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0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818708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1439</xdr:row>
      <xdr:rowOff>25400</xdr:rowOff>
    </xdr:from>
    <xdr:to>
      <xdr:col>11</xdr:col>
      <xdr:colOff>571500</xdr:colOff>
      <xdr:row>1440</xdr:row>
      <xdr:rowOff>0</xdr:rowOff>
    </xdr:to>
    <xdr:pic>
      <xdr:nvPicPr>
        <xdr:cNvPr id="10937" name="Рисунок 10936">
          <a:extLst>
            <a:ext uri="{FF2B5EF4-FFF2-40B4-BE49-F238E27FC236}">
              <a16:creationId xmlns:a16="http://schemas.microsoft.com/office/drawing/2014/main" id="{CA2CF75C-E3E6-42C6-81E9-7CAE4B12CCE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0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819280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1440</xdr:row>
      <xdr:rowOff>25400</xdr:rowOff>
    </xdr:from>
    <xdr:to>
      <xdr:col>11</xdr:col>
      <xdr:colOff>571500</xdr:colOff>
      <xdr:row>1441</xdr:row>
      <xdr:rowOff>0</xdr:rowOff>
    </xdr:to>
    <xdr:pic>
      <xdr:nvPicPr>
        <xdr:cNvPr id="10939" name="Рисунок 10938">
          <a:extLst>
            <a:ext uri="{FF2B5EF4-FFF2-40B4-BE49-F238E27FC236}">
              <a16:creationId xmlns:a16="http://schemas.microsoft.com/office/drawing/2014/main" id="{631F48EA-90C6-4104-9150-26F698EE7DB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0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819851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1441</xdr:row>
      <xdr:rowOff>25400</xdr:rowOff>
    </xdr:from>
    <xdr:to>
      <xdr:col>11</xdr:col>
      <xdr:colOff>571500</xdr:colOff>
      <xdr:row>1442</xdr:row>
      <xdr:rowOff>0</xdr:rowOff>
    </xdr:to>
    <xdr:pic>
      <xdr:nvPicPr>
        <xdr:cNvPr id="10941" name="Рисунок 10940">
          <a:extLst>
            <a:ext uri="{FF2B5EF4-FFF2-40B4-BE49-F238E27FC236}">
              <a16:creationId xmlns:a16="http://schemas.microsoft.com/office/drawing/2014/main" id="{90715FDF-C05F-4995-97BC-138DECA2343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0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820423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1442</xdr:row>
      <xdr:rowOff>25400</xdr:rowOff>
    </xdr:from>
    <xdr:to>
      <xdr:col>11</xdr:col>
      <xdr:colOff>571500</xdr:colOff>
      <xdr:row>1443</xdr:row>
      <xdr:rowOff>0</xdr:rowOff>
    </xdr:to>
    <xdr:pic>
      <xdr:nvPicPr>
        <xdr:cNvPr id="10943" name="Рисунок 10942">
          <a:extLst>
            <a:ext uri="{FF2B5EF4-FFF2-40B4-BE49-F238E27FC236}">
              <a16:creationId xmlns:a16="http://schemas.microsoft.com/office/drawing/2014/main" id="{B0C81299-A7B5-4F73-9C08-A1F0C1C3A46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0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820994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1443</xdr:row>
      <xdr:rowOff>25400</xdr:rowOff>
    </xdr:from>
    <xdr:to>
      <xdr:col>11</xdr:col>
      <xdr:colOff>571500</xdr:colOff>
      <xdr:row>1444</xdr:row>
      <xdr:rowOff>0</xdr:rowOff>
    </xdr:to>
    <xdr:pic>
      <xdr:nvPicPr>
        <xdr:cNvPr id="10945" name="Рисунок 10944">
          <a:extLst>
            <a:ext uri="{FF2B5EF4-FFF2-40B4-BE49-F238E27FC236}">
              <a16:creationId xmlns:a16="http://schemas.microsoft.com/office/drawing/2014/main" id="{986BF75C-CED0-4FB0-9B6C-EBBAA53CB61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0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821566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1444</xdr:row>
      <xdr:rowOff>25400</xdr:rowOff>
    </xdr:from>
    <xdr:to>
      <xdr:col>11</xdr:col>
      <xdr:colOff>571500</xdr:colOff>
      <xdr:row>1445</xdr:row>
      <xdr:rowOff>0</xdr:rowOff>
    </xdr:to>
    <xdr:pic>
      <xdr:nvPicPr>
        <xdr:cNvPr id="10947" name="Рисунок 10946">
          <a:extLst>
            <a:ext uri="{FF2B5EF4-FFF2-40B4-BE49-F238E27FC236}">
              <a16:creationId xmlns:a16="http://schemas.microsoft.com/office/drawing/2014/main" id="{303D7849-0A31-49AC-A5A1-EC8FAE9BB3A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0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822137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1445</xdr:row>
      <xdr:rowOff>25400</xdr:rowOff>
    </xdr:from>
    <xdr:to>
      <xdr:col>11</xdr:col>
      <xdr:colOff>571500</xdr:colOff>
      <xdr:row>1446</xdr:row>
      <xdr:rowOff>0</xdr:rowOff>
    </xdr:to>
    <xdr:pic>
      <xdr:nvPicPr>
        <xdr:cNvPr id="10949" name="Рисунок 10948">
          <a:extLst>
            <a:ext uri="{FF2B5EF4-FFF2-40B4-BE49-F238E27FC236}">
              <a16:creationId xmlns:a16="http://schemas.microsoft.com/office/drawing/2014/main" id="{72F0ECBE-0899-4697-B214-470FE15ABF3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0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822709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1446</xdr:row>
      <xdr:rowOff>25400</xdr:rowOff>
    </xdr:from>
    <xdr:to>
      <xdr:col>11</xdr:col>
      <xdr:colOff>571500</xdr:colOff>
      <xdr:row>1447</xdr:row>
      <xdr:rowOff>0</xdr:rowOff>
    </xdr:to>
    <xdr:pic>
      <xdr:nvPicPr>
        <xdr:cNvPr id="10951" name="Рисунок 10950">
          <a:extLst>
            <a:ext uri="{FF2B5EF4-FFF2-40B4-BE49-F238E27FC236}">
              <a16:creationId xmlns:a16="http://schemas.microsoft.com/office/drawing/2014/main" id="{D09879A6-959A-44C0-B2B8-3D24589A74E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0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823280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1448</xdr:row>
      <xdr:rowOff>25400</xdr:rowOff>
    </xdr:from>
    <xdr:to>
      <xdr:col>11</xdr:col>
      <xdr:colOff>571500</xdr:colOff>
      <xdr:row>1449</xdr:row>
      <xdr:rowOff>0</xdr:rowOff>
    </xdr:to>
    <xdr:pic>
      <xdr:nvPicPr>
        <xdr:cNvPr id="10953" name="Рисунок 10952">
          <a:extLst>
            <a:ext uri="{FF2B5EF4-FFF2-40B4-BE49-F238E27FC236}">
              <a16:creationId xmlns:a16="http://schemas.microsoft.com/office/drawing/2014/main" id="{9D727A80-A599-44DB-A948-D21F1C841E2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824423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1449</xdr:row>
      <xdr:rowOff>25400</xdr:rowOff>
    </xdr:from>
    <xdr:to>
      <xdr:col>11</xdr:col>
      <xdr:colOff>571500</xdr:colOff>
      <xdr:row>1450</xdr:row>
      <xdr:rowOff>0</xdr:rowOff>
    </xdr:to>
    <xdr:pic>
      <xdr:nvPicPr>
        <xdr:cNvPr id="10955" name="Рисунок 10954">
          <a:extLst>
            <a:ext uri="{FF2B5EF4-FFF2-40B4-BE49-F238E27FC236}">
              <a16:creationId xmlns:a16="http://schemas.microsoft.com/office/drawing/2014/main" id="{58E652AB-DE1D-421D-BF04-54EC9C07313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824995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1450</xdr:row>
      <xdr:rowOff>25400</xdr:rowOff>
    </xdr:from>
    <xdr:to>
      <xdr:col>11</xdr:col>
      <xdr:colOff>571500</xdr:colOff>
      <xdr:row>1451</xdr:row>
      <xdr:rowOff>0</xdr:rowOff>
    </xdr:to>
    <xdr:pic>
      <xdr:nvPicPr>
        <xdr:cNvPr id="10957" name="Рисунок 10956">
          <a:extLst>
            <a:ext uri="{FF2B5EF4-FFF2-40B4-BE49-F238E27FC236}">
              <a16:creationId xmlns:a16="http://schemas.microsoft.com/office/drawing/2014/main" id="{B09C5200-7766-4D57-9EC3-D573EE69BC9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825566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1451</xdr:row>
      <xdr:rowOff>25400</xdr:rowOff>
    </xdr:from>
    <xdr:to>
      <xdr:col>11</xdr:col>
      <xdr:colOff>571500</xdr:colOff>
      <xdr:row>1452</xdr:row>
      <xdr:rowOff>0</xdr:rowOff>
    </xdr:to>
    <xdr:pic>
      <xdr:nvPicPr>
        <xdr:cNvPr id="10959" name="Рисунок 10958">
          <a:extLst>
            <a:ext uri="{FF2B5EF4-FFF2-40B4-BE49-F238E27FC236}">
              <a16:creationId xmlns:a16="http://schemas.microsoft.com/office/drawing/2014/main" id="{7831B5B4-6294-4034-9DFB-E9639F9EC90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826138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1452</xdr:row>
      <xdr:rowOff>25400</xdr:rowOff>
    </xdr:from>
    <xdr:to>
      <xdr:col>11</xdr:col>
      <xdr:colOff>571500</xdr:colOff>
      <xdr:row>1453</xdr:row>
      <xdr:rowOff>0</xdr:rowOff>
    </xdr:to>
    <xdr:pic>
      <xdr:nvPicPr>
        <xdr:cNvPr id="10961" name="Рисунок 10960">
          <a:extLst>
            <a:ext uri="{FF2B5EF4-FFF2-40B4-BE49-F238E27FC236}">
              <a16:creationId xmlns:a16="http://schemas.microsoft.com/office/drawing/2014/main" id="{FE278D86-4D2F-47A1-B587-D64050D6E4C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826709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1453</xdr:row>
      <xdr:rowOff>25400</xdr:rowOff>
    </xdr:from>
    <xdr:to>
      <xdr:col>11</xdr:col>
      <xdr:colOff>571500</xdr:colOff>
      <xdr:row>1454</xdr:row>
      <xdr:rowOff>0</xdr:rowOff>
    </xdr:to>
    <xdr:pic>
      <xdr:nvPicPr>
        <xdr:cNvPr id="10963" name="Рисунок 10962">
          <a:extLst>
            <a:ext uri="{FF2B5EF4-FFF2-40B4-BE49-F238E27FC236}">
              <a16:creationId xmlns:a16="http://schemas.microsoft.com/office/drawing/2014/main" id="{620747BB-02BA-4354-92D5-9603639DD62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827281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1454</xdr:row>
      <xdr:rowOff>25400</xdr:rowOff>
    </xdr:from>
    <xdr:to>
      <xdr:col>11</xdr:col>
      <xdr:colOff>571500</xdr:colOff>
      <xdr:row>1455</xdr:row>
      <xdr:rowOff>0</xdr:rowOff>
    </xdr:to>
    <xdr:pic>
      <xdr:nvPicPr>
        <xdr:cNvPr id="10965" name="Рисунок 10964">
          <a:extLst>
            <a:ext uri="{FF2B5EF4-FFF2-40B4-BE49-F238E27FC236}">
              <a16:creationId xmlns:a16="http://schemas.microsoft.com/office/drawing/2014/main" id="{8C532EBF-7CAA-4413-A02C-C0858DAC5C9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827852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1455</xdr:row>
      <xdr:rowOff>25400</xdr:rowOff>
    </xdr:from>
    <xdr:to>
      <xdr:col>11</xdr:col>
      <xdr:colOff>571500</xdr:colOff>
      <xdr:row>1456</xdr:row>
      <xdr:rowOff>0</xdr:rowOff>
    </xdr:to>
    <xdr:pic>
      <xdr:nvPicPr>
        <xdr:cNvPr id="10967" name="Рисунок 10966">
          <a:extLst>
            <a:ext uri="{FF2B5EF4-FFF2-40B4-BE49-F238E27FC236}">
              <a16:creationId xmlns:a16="http://schemas.microsoft.com/office/drawing/2014/main" id="{5A2D3753-6179-4BEE-AAA9-45443E13B2F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828424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1456</xdr:row>
      <xdr:rowOff>25400</xdr:rowOff>
    </xdr:from>
    <xdr:to>
      <xdr:col>11</xdr:col>
      <xdr:colOff>571500</xdr:colOff>
      <xdr:row>1457</xdr:row>
      <xdr:rowOff>0</xdr:rowOff>
    </xdr:to>
    <xdr:pic>
      <xdr:nvPicPr>
        <xdr:cNvPr id="10969" name="Рисунок 10968">
          <a:extLst>
            <a:ext uri="{FF2B5EF4-FFF2-40B4-BE49-F238E27FC236}">
              <a16:creationId xmlns:a16="http://schemas.microsoft.com/office/drawing/2014/main" id="{453121EE-DA3A-4836-BD01-09C12C38D83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828995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1457</xdr:row>
      <xdr:rowOff>25400</xdr:rowOff>
    </xdr:from>
    <xdr:to>
      <xdr:col>11</xdr:col>
      <xdr:colOff>571500</xdr:colOff>
      <xdr:row>1458</xdr:row>
      <xdr:rowOff>0</xdr:rowOff>
    </xdr:to>
    <xdr:pic>
      <xdr:nvPicPr>
        <xdr:cNvPr id="10971" name="Рисунок 10970">
          <a:extLst>
            <a:ext uri="{FF2B5EF4-FFF2-40B4-BE49-F238E27FC236}">
              <a16:creationId xmlns:a16="http://schemas.microsoft.com/office/drawing/2014/main" id="{426697C4-3C21-4C82-B5D8-5F60219330D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829567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1458</xdr:row>
      <xdr:rowOff>25400</xdr:rowOff>
    </xdr:from>
    <xdr:to>
      <xdr:col>11</xdr:col>
      <xdr:colOff>571500</xdr:colOff>
      <xdr:row>1459</xdr:row>
      <xdr:rowOff>0</xdr:rowOff>
    </xdr:to>
    <xdr:pic>
      <xdr:nvPicPr>
        <xdr:cNvPr id="10973" name="Рисунок 10972">
          <a:extLst>
            <a:ext uri="{FF2B5EF4-FFF2-40B4-BE49-F238E27FC236}">
              <a16:creationId xmlns:a16="http://schemas.microsoft.com/office/drawing/2014/main" id="{2013C284-07C5-4073-9816-497C5663596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830138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1459</xdr:row>
      <xdr:rowOff>25400</xdr:rowOff>
    </xdr:from>
    <xdr:to>
      <xdr:col>11</xdr:col>
      <xdr:colOff>571500</xdr:colOff>
      <xdr:row>1460</xdr:row>
      <xdr:rowOff>0</xdr:rowOff>
    </xdr:to>
    <xdr:pic>
      <xdr:nvPicPr>
        <xdr:cNvPr id="10975" name="Рисунок 10974">
          <a:extLst>
            <a:ext uri="{FF2B5EF4-FFF2-40B4-BE49-F238E27FC236}">
              <a16:creationId xmlns:a16="http://schemas.microsoft.com/office/drawing/2014/main" id="{329C971E-FCE2-4392-8105-145652F04CA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830710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1460</xdr:row>
      <xdr:rowOff>25400</xdr:rowOff>
    </xdr:from>
    <xdr:to>
      <xdr:col>11</xdr:col>
      <xdr:colOff>571500</xdr:colOff>
      <xdr:row>1461</xdr:row>
      <xdr:rowOff>0</xdr:rowOff>
    </xdr:to>
    <xdr:pic>
      <xdr:nvPicPr>
        <xdr:cNvPr id="10977" name="Рисунок 10976">
          <a:extLst>
            <a:ext uri="{FF2B5EF4-FFF2-40B4-BE49-F238E27FC236}">
              <a16:creationId xmlns:a16="http://schemas.microsoft.com/office/drawing/2014/main" id="{8D4CA4E8-7189-4692-A040-F225FF2BBD4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831281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1461</xdr:row>
      <xdr:rowOff>25400</xdr:rowOff>
    </xdr:from>
    <xdr:to>
      <xdr:col>11</xdr:col>
      <xdr:colOff>571500</xdr:colOff>
      <xdr:row>1462</xdr:row>
      <xdr:rowOff>0</xdr:rowOff>
    </xdr:to>
    <xdr:pic>
      <xdr:nvPicPr>
        <xdr:cNvPr id="10979" name="Рисунок 10978">
          <a:extLst>
            <a:ext uri="{FF2B5EF4-FFF2-40B4-BE49-F238E27FC236}">
              <a16:creationId xmlns:a16="http://schemas.microsoft.com/office/drawing/2014/main" id="{A3F9139A-4A82-4FE9-A57E-050679D6C14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831853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1462</xdr:row>
      <xdr:rowOff>25400</xdr:rowOff>
    </xdr:from>
    <xdr:to>
      <xdr:col>11</xdr:col>
      <xdr:colOff>571500</xdr:colOff>
      <xdr:row>1463</xdr:row>
      <xdr:rowOff>0</xdr:rowOff>
    </xdr:to>
    <xdr:pic>
      <xdr:nvPicPr>
        <xdr:cNvPr id="10981" name="Рисунок 10980">
          <a:extLst>
            <a:ext uri="{FF2B5EF4-FFF2-40B4-BE49-F238E27FC236}">
              <a16:creationId xmlns:a16="http://schemas.microsoft.com/office/drawing/2014/main" id="{55C0BD67-66D8-4B94-9D6A-78D54EF543B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832424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1463</xdr:row>
      <xdr:rowOff>25400</xdr:rowOff>
    </xdr:from>
    <xdr:to>
      <xdr:col>11</xdr:col>
      <xdr:colOff>571500</xdr:colOff>
      <xdr:row>1464</xdr:row>
      <xdr:rowOff>0</xdr:rowOff>
    </xdr:to>
    <xdr:pic>
      <xdr:nvPicPr>
        <xdr:cNvPr id="10983" name="Рисунок 10982">
          <a:extLst>
            <a:ext uri="{FF2B5EF4-FFF2-40B4-BE49-F238E27FC236}">
              <a16:creationId xmlns:a16="http://schemas.microsoft.com/office/drawing/2014/main" id="{DEF5FF78-9038-416F-BA1D-235F45ECD57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832996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1464</xdr:row>
      <xdr:rowOff>25400</xdr:rowOff>
    </xdr:from>
    <xdr:to>
      <xdr:col>11</xdr:col>
      <xdr:colOff>571500</xdr:colOff>
      <xdr:row>1465</xdr:row>
      <xdr:rowOff>0</xdr:rowOff>
    </xdr:to>
    <xdr:pic>
      <xdr:nvPicPr>
        <xdr:cNvPr id="10985" name="Рисунок 10984">
          <a:extLst>
            <a:ext uri="{FF2B5EF4-FFF2-40B4-BE49-F238E27FC236}">
              <a16:creationId xmlns:a16="http://schemas.microsoft.com/office/drawing/2014/main" id="{94CAAA58-D1A7-454C-9323-D4AA60F322A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833567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1465</xdr:row>
      <xdr:rowOff>25400</xdr:rowOff>
    </xdr:from>
    <xdr:to>
      <xdr:col>11</xdr:col>
      <xdr:colOff>571500</xdr:colOff>
      <xdr:row>1466</xdr:row>
      <xdr:rowOff>0</xdr:rowOff>
    </xdr:to>
    <xdr:pic>
      <xdr:nvPicPr>
        <xdr:cNvPr id="10987" name="Рисунок 10986">
          <a:extLst>
            <a:ext uri="{FF2B5EF4-FFF2-40B4-BE49-F238E27FC236}">
              <a16:creationId xmlns:a16="http://schemas.microsoft.com/office/drawing/2014/main" id="{EC943AFC-5895-4BE8-98C9-7FA661FAE86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834139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1466</xdr:row>
      <xdr:rowOff>25400</xdr:rowOff>
    </xdr:from>
    <xdr:to>
      <xdr:col>11</xdr:col>
      <xdr:colOff>571500</xdr:colOff>
      <xdr:row>1467</xdr:row>
      <xdr:rowOff>0</xdr:rowOff>
    </xdr:to>
    <xdr:pic>
      <xdr:nvPicPr>
        <xdr:cNvPr id="10989" name="Рисунок 10988">
          <a:extLst>
            <a:ext uri="{FF2B5EF4-FFF2-40B4-BE49-F238E27FC236}">
              <a16:creationId xmlns:a16="http://schemas.microsoft.com/office/drawing/2014/main" id="{05E89421-C454-41B7-A1E8-0D35DABF116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834710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1467</xdr:row>
      <xdr:rowOff>25400</xdr:rowOff>
    </xdr:from>
    <xdr:to>
      <xdr:col>11</xdr:col>
      <xdr:colOff>571500</xdr:colOff>
      <xdr:row>1468</xdr:row>
      <xdr:rowOff>0</xdr:rowOff>
    </xdr:to>
    <xdr:pic>
      <xdr:nvPicPr>
        <xdr:cNvPr id="10991" name="Рисунок 10990">
          <a:extLst>
            <a:ext uri="{FF2B5EF4-FFF2-40B4-BE49-F238E27FC236}">
              <a16:creationId xmlns:a16="http://schemas.microsoft.com/office/drawing/2014/main" id="{EBBC31A5-3D0C-4AC8-B182-7CA29EEC798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835282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1468</xdr:row>
      <xdr:rowOff>25400</xdr:rowOff>
    </xdr:from>
    <xdr:to>
      <xdr:col>11</xdr:col>
      <xdr:colOff>571500</xdr:colOff>
      <xdr:row>1469</xdr:row>
      <xdr:rowOff>0</xdr:rowOff>
    </xdr:to>
    <xdr:pic>
      <xdr:nvPicPr>
        <xdr:cNvPr id="10993" name="Рисунок 10992">
          <a:extLst>
            <a:ext uri="{FF2B5EF4-FFF2-40B4-BE49-F238E27FC236}">
              <a16:creationId xmlns:a16="http://schemas.microsoft.com/office/drawing/2014/main" id="{661AA76F-9ADA-45FE-AC2B-BF9A89FDB17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835853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1469</xdr:row>
      <xdr:rowOff>25400</xdr:rowOff>
    </xdr:from>
    <xdr:to>
      <xdr:col>11</xdr:col>
      <xdr:colOff>571500</xdr:colOff>
      <xdr:row>1470</xdr:row>
      <xdr:rowOff>0</xdr:rowOff>
    </xdr:to>
    <xdr:pic>
      <xdr:nvPicPr>
        <xdr:cNvPr id="10995" name="Рисунок 10994">
          <a:extLst>
            <a:ext uri="{FF2B5EF4-FFF2-40B4-BE49-F238E27FC236}">
              <a16:creationId xmlns:a16="http://schemas.microsoft.com/office/drawing/2014/main" id="{5E8E131C-49EC-45F1-AFCC-53EB1D50B3B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3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836425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1470</xdr:row>
      <xdr:rowOff>25400</xdr:rowOff>
    </xdr:from>
    <xdr:to>
      <xdr:col>11</xdr:col>
      <xdr:colOff>571500</xdr:colOff>
      <xdr:row>1471</xdr:row>
      <xdr:rowOff>0</xdr:rowOff>
    </xdr:to>
    <xdr:pic>
      <xdr:nvPicPr>
        <xdr:cNvPr id="10997" name="Рисунок 10996">
          <a:extLst>
            <a:ext uri="{FF2B5EF4-FFF2-40B4-BE49-F238E27FC236}">
              <a16:creationId xmlns:a16="http://schemas.microsoft.com/office/drawing/2014/main" id="{5DC875EA-E668-4157-8812-31B74A54EC9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3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836996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1471</xdr:row>
      <xdr:rowOff>25400</xdr:rowOff>
    </xdr:from>
    <xdr:to>
      <xdr:col>11</xdr:col>
      <xdr:colOff>571500</xdr:colOff>
      <xdr:row>1472</xdr:row>
      <xdr:rowOff>0</xdr:rowOff>
    </xdr:to>
    <xdr:pic>
      <xdr:nvPicPr>
        <xdr:cNvPr id="10999" name="Рисунок 10998">
          <a:extLst>
            <a:ext uri="{FF2B5EF4-FFF2-40B4-BE49-F238E27FC236}">
              <a16:creationId xmlns:a16="http://schemas.microsoft.com/office/drawing/2014/main" id="{8C7773C4-6251-43C2-8EF1-14BA9D98C00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3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837568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1472</xdr:row>
      <xdr:rowOff>25400</xdr:rowOff>
    </xdr:from>
    <xdr:to>
      <xdr:col>11</xdr:col>
      <xdr:colOff>571500</xdr:colOff>
      <xdr:row>1473</xdr:row>
      <xdr:rowOff>0</xdr:rowOff>
    </xdr:to>
    <xdr:pic>
      <xdr:nvPicPr>
        <xdr:cNvPr id="11001" name="Рисунок 11000">
          <a:extLst>
            <a:ext uri="{FF2B5EF4-FFF2-40B4-BE49-F238E27FC236}">
              <a16:creationId xmlns:a16="http://schemas.microsoft.com/office/drawing/2014/main" id="{66A8B11D-2AAA-457A-9C6D-E15B0B0C7AC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3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838139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1473</xdr:row>
      <xdr:rowOff>25400</xdr:rowOff>
    </xdr:from>
    <xdr:to>
      <xdr:col>11</xdr:col>
      <xdr:colOff>571500</xdr:colOff>
      <xdr:row>1474</xdr:row>
      <xdr:rowOff>0</xdr:rowOff>
    </xdr:to>
    <xdr:pic>
      <xdr:nvPicPr>
        <xdr:cNvPr id="11003" name="Рисунок 11002">
          <a:extLst>
            <a:ext uri="{FF2B5EF4-FFF2-40B4-BE49-F238E27FC236}">
              <a16:creationId xmlns:a16="http://schemas.microsoft.com/office/drawing/2014/main" id="{D13AF956-B99A-47D9-9D73-6DCD36880FE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3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838711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1474</xdr:row>
      <xdr:rowOff>25400</xdr:rowOff>
    </xdr:from>
    <xdr:to>
      <xdr:col>11</xdr:col>
      <xdr:colOff>571500</xdr:colOff>
      <xdr:row>1475</xdr:row>
      <xdr:rowOff>0</xdr:rowOff>
    </xdr:to>
    <xdr:pic>
      <xdr:nvPicPr>
        <xdr:cNvPr id="11005" name="Рисунок 11004">
          <a:extLst>
            <a:ext uri="{FF2B5EF4-FFF2-40B4-BE49-F238E27FC236}">
              <a16:creationId xmlns:a16="http://schemas.microsoft.com/office/drawing/2014/main" id="{CD551418-ED6B-45A1-BCFD-928890B1DDF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3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839282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1475</xdr:row>
      <xdr:rowOff>25400</xdr:rowOff>
    </xdr:from>
    <xdr:to>
      <xdr:col>11</xdr:col>
      <xdr:colOff>571500</xdr:colOff>
      <xdr:row>1476</xdr:row>
      <xdr:rowOff>0</xdr:rowOff>
    </xdr:to>
    <xdr:pic>
      <xdr:nvPicPr>
        <xdr:cNvPr id="11007" name="Рисунок 11006">
          <a:extLst>
            <a:ext uri="{FF2B5EF4-FFF2-40B4-BE49-F238E27FC236}">
              <a16:creationId xmlns:a16="http://schemas.microsoft.com/office/drawing/2014/main" id="{979B4B24-6EAA-4E9D-9D1B-3F39B1DFD9D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3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839854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1476</xdr:row>
      <xdr:rowOff>25400</xdr:rowOff>
    </xdr:from>
    <xdr:to>
      <xdr:col>11</xdr:col>
      <xdr:colOff>571500</xdr:colOff>
      <xdr:row>1477</xdr:row>
      <xdr:rowOff>0</xdr:rowOff>
    </xdr:to>
    <xdr:pic>
      <xdr:nvPicPr>
        <xdr:cNvPr id="11009" name="Рисунок 11008">
          <a:extLst>
            <a:ext uri="{FF2B5EF4-FFF2-40B4-BE49-F238E27FC236}">
              <a16:creationId xmlns:a16="http://schemas.microsoft.com/office/drawing/2014/main" id="{406D8651-7A81-4E94-B3AA-64472FD58D3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3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840425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1477</xdr:row>
      <xdr:rowOff>25400</xdr:rowOff>
    </xdr:from>
    <xdr:to>
      <xdr:col>11</xdr:col>
      <xdr:colOff>571500</xdr:colOff>
      <xdr:row>1478</xdr:row>
      <xdr:rowOff>0</xdr:rowOff>
    </xdr:to>
    <xdr:pic>
      <xdr:nvPicPr>
        <xdr:cNvPr id="11011" name="Рисунок 11010">
          <a:extLst>
            <a:ext uri="{FF2B5EF4-FFF2-40B4-BE49-F238E27FC236}">
              <a16:creationId xmlns:a16="http://schemas.microsoft.com/office/drawing/2014/main" id="{55BFC392-72C8-45C4-BEB0-2176E8A6C84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3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840997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1478</xdr:row>
      <xdr:rowOff>25400</xdr:rowOff>
    </xdr:from>
    <xdr:to>
      <xdr:col>11</xdr:col>
      <xdr:colOff>571500</xdr:colOff>
      <xdr:row>1479</xdr:row>
      <xdr:rowOff>0</xdr:rowOff>
    </xdr:to>
    <xdr:pic>
      <xdr:nvPicPr>
        <xdr:cNvPr id="11013" name="Рисунок 11012">
          <a:extLst>
            <a:ext uri="{FF2B5EF4-FFF2-40B4-BE49-F238E27FC236}">
              <a16:creationId xmlns:a16="http://schemas.microsoft.com/office/drawing/2014/main" id="{56D535F3-53D9-4841-A657-D43E01EE328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4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841568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1479</xdr:row>
      <xdr:rowOff>25400</xdr:rowOff>
    </xdr:from>
    <xdr:to>
      <xdr:col>11</xdr:col>
      <xdr:colOff>571500</xdr:colOff>
      <xdr:row>1480</xdr:row>
      <xdr:rowOff>0</xdr:rowOff>
    </xdr:to>
    <xdr:pic>
      <xdr:nvPicPr>
        <xdr:cNvPr id="11015" name="Рисунок 11014">
          <a:extLst>
            <a:ext uri="{FF2B5EF4-FFF2-40B4-BE49-F238E27FC236}">
              <a16:creationId xmlns:a16="http://schemas.microsoft.com/office/drawing/2014/main" id="{2A9B26BD-50FC-43F4-B87D-2CC2C6912AF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4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842140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1480</xdr:row>
      <xdr:rowOff>25400</xdr:rowOff>
    </xdr:from>
    <xdr:to>
      <xdr:col>11</xdr:col>
      <xdr:colOff>571500</xdr:colOff>
      <xdr:row>1481</xdr:row>
      <xdr:rowOff>0</xdr:rowOff>
    </xdr:to>
    <xdr:pic>
      <xdr:nvPicPr>
        <xdr:cNvPr id="11017" name="Рисунок 11016">
          <a:extLst>
            <a:ext uri="{FF2B5EF4-FFF2-40B4-BE49-F238E27FC236}">
              <a16:creationId xmlns:a16="http://schemas.microsoft.com/office/drawing/2014/main" id="{0B6C46B7-9795-41F5-9184-90C1458D8D5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842711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1481</xdr:row>
      <xdr:rowOff>25400</xdr:rowOff>
    </xdr:from>
    <xdr:to>
      <xdr:col>11</xdr:col>
      <xdr:colOff>571500</xdr:colOff>
      <xdr:row>1482</xdr:row>
      <xdr:rowOff>0</xdr:rowOff>
    </xdr:to>
    <xdr:pic>
      <xdr:nvPicPr>
        <xdr:cNvPr id="11019" name="Рисунок 11018">
          <a:extLst>
            <a:ext uri="{FF2B5EF4-FFF2-40B4-BE49-F238E27FC236}">
              <a16:creationId xmlns:a16="http://schemas.microsoft.com/office/drawing/2014/main" id="{023436F1-54A9-4A34-9C5A-9B01F7A908F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843283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1482</xdr:row>
      <xdr:rowOff>25400</xdr:rowOff>
    </xdr:from>
    <xdr:to>
      <xdr:col>11</xdr:col>
      <xdr:colOff>571500</xdr:colOff>
      <xdr:row>1483</xdr:row>
      <xdr:rowOff>0</xdr:rowOff>
    </xdr:to>
    <xdr:pic>
      <xdr:nvPicPr>
        <xdr:cNvPr id="11021" name="Рисунок 11020">
          <a:extLst>
            <a:ext uri="{FF2B5EF4-FFF2-40B4-BE49-F238E27FC236}">
              <a16:creationId xmlns:a16="http://schemas.microsoft.com/office/drawing/2014/main" id="{4443D20A-88D3-4920-9197-2D661021E61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843854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1483</xdr:row>
      <xdr:rowOff>25400</xdr:rowOff>
    </xdr:from>
    <xdr:to>
      <xdr:col>11</xdr:col>
      <xdr:colOff>571500</xdr:colOff>
      <xdr:row>1484</xdr:row>
      <xdr:rowOff>0</xdr:rowOff>
    </xdr:to>
    <xdr:pic>
      <xdr:nvPicPr>
        <xdr:cNvPr id="11023" name="Рисунок 11022">
          <a:extLst>
            <a:ext uri="{FF2B5EF4-FFF2-40B4-BE49-F238E27FC236}">
              <a16:creationId xmlns:a16="http://schemas.microsoft.com/office/drawing/2014/main" id="{0BFC8F75-7739-4EF6-B234-5D73ADE8EB0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4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844426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1484</xdr:row>
      <xdr:rowOff>25400</xdr:rowOff>
    </xdr:from>
    <xdr:to>
      <xdr:col>11</xdr:col>
      <xdr:colOff>571500</xdr:colOff>
      <xdr:row>1485</xdr:row>
      <xdr:rowOff>0</xdr:rowOff>
    </xdr:to>
    <xdr:pic>
      <xdr:nvPicPr>
        <xdr:cNvPr id="11025" name="Рисунок 11024">
          <a:extLst>
            <a:ext uri="{FF2B5EF4-FFF2-40B4-BE49-F238E27FC236}">
              <a16:creationId xmlns:a16="http://schemas.microsoft.com/office/drawing/2014/main" id="{3B173E04-EF78-4B74-8F65-7F3B2BB5455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4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844997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1485</xdr:row>
      <xdr:rowOff>25400</xdr:rowOff>
    </xdr:from>
    <xdr:to>
      <xdr:col>11</xdr:col>
      <xdr:colOff>571500</xdr:colOff>
      <xdr:row>1486</xdr:row>
      <xdr:rowOff>0</xdr:rowOff>
    </xdr:to>
    <xdr:pic>
      <xdr:nvPicPr>
        <xdr:cNvPr id="11027" name="Рисунок 11026">
          <a:extLst>
            <a:ext uri="{FF2B5EF4-FFF2-40B4-BE49-F238E27FC236}">
              <a16:creationId xmlns:a16="http://schemas.microsoft.com/office/drawing/2014/main" id="{887A55C0-2A3E-4445-9BDD-7B9FA011712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4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845569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1486</xdr:row>
      <xdr:rowOff>25400</xdr:rowOff>
    </xdr:from>
    <xdr:to>
      <xdr:col>11</xdr:col>
      <xdr:colOff>571500</xdr:colOff>
      <xdr:row>1487</xdr:row>
      <xdr:rowOff>0</xdr:rowOff>
    </xdr:to>
    <xdr:pic>
      <xdr:nvPicPr>
        <xdr:cNvPr id="11029" name="Рисунок 11028">
          <a:extLst>
            <a:ext uri="{FF2B5EF4-FFF2-40B4-BE49-F238E27FC236}">
              <a16:creationId xmlns:a16="http://schemas.microsoft.com/office/drawing/2014/main" id="{5E346019-5F00-4176-8313-B2824572BBA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4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846140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1487</xdr:row>
      <xdr:rowOff>25400</xdr:rowOff>
    </xdr:from>
    <xdr:to>
      <xdr:col>11</xdr:col>
      <xdr:colOff>571500</xdr:colOff>
      <xdr:row>1488</xdr:row>
      <xdr:rowOff>0</xdr:rowOff>
    </xdr:to>
    <xdr:pic>
      <xdr:nvPicPr>
        <xdr:cNvPr id="11031" name="Рисунок 11030">
          <a:extLst>
            <a:ext uri="{FF2B5EF4-FFF2-40B4-BE49-F238E27FC236}">
              <a16:creationId xmlns:a16="http://schemas.microsoft.com/office/drawing/2014/main" id="{A6D9A978-4719-4EA8-91F7-79EFFF0CDBD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4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846712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1488</xdr:row>
      <xdr:rowOff>25400</xdr:rowOff>
    </xdr:from>
    <xdr:to>
      <xdr:col>11</xdr:col>
      <xdr:colOff>571500</xdr:colOff>
      <xdr:row>1489</xdr:row>
      <xdr:rowOff>0</xdr:rowOff>
    </xdr:to>
    <xdr:pic>
      <xdr:nvPicPr>
        <xdr:cNvPr id="11033" name="Рисунок 11032">
          <a:extLst>
            <a:ext uri="{FF2B5EF4-FFF2-40B4-BE49-F238E27FC236}">
              <a16:creationId xmlns:a16="http://schemas.microsoft.com/office/drawing/2014/main" id="{39CA5119-50DA-44AD-9190-3A849AA106F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5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847283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1489</xdr:row>
      <xdr:rowOff>25400</xdr:rowOff>
    </xdr:from>
    <xdr:to>
      <xdr:col>11</xdr:col>
      <xdr:colOff>571500</xdr:colOff>
      <xdr:row>1490</xdr:row>
      <xdr:rowOff>0</xdr:rowOff>
    </xdr:to>
    <xdr:pic>
      <xdr:nvPicPr>
        <xdr:cNvPr id="11035" name="Рисунок 11034">
          <a:extLst>
            <a:ext uri="{FF2B5EF4-FFF2-40B4-BE49-F238E27FC236}">
              <a16:creationId xmlns:a16="http://schemas.microsoft.com/office/drawing/2014/main" id="{7D7F78B2-9FF4-4B92-BAFE-B1226CBE249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5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847855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1490</xdr:row>
      <xdr:rowOff>25400</xdr:rowOff>
    </xdr:from>
    <xdr:to>
      <xdr:col>11</xdr:col>
      <xdr:colOff>571500</xdr:colOff>
      <xdr:row>1491</xdr:row>
      <xdr:rowOff>0</xdr:rowOff>
    </xdr:to>
    <xdr:pic>
      <xdr:nvPicPr>
        <xdr:cNvPr id="11037" name="Рисунок 11036">
          <a:extLst>
            <a:ext uri="{FF2B5EF4-FFF2-40B4-BE49-F238E27FC236}">
              <a16:creationId xmlns:a16="http://schemas.microsoft.com/office/drawing/2014/main" id="{AC20B36D-26AD-4687-8DF7-B6AAAEB1CA3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848426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1491</xdr:row>
      <xdr:rowOff>25400</xdr:rowOff>
    </xdr:from>
    <xdr:to>
      <xdr:col>11</xdr:col>
      <xdr:colOff>571500</xdr:colOff>
      <xdr:row>1492</xdr:row>
      <xdr:rowOff>0</xdr:rowOff>
    </xdr:to>
    <xdr:pic>
      <xdr:nvPicPr>
        <xdr:cNvPr id="11039" name="Рисунок 11038">
          <a:extLst>
            <a:ext uri="{FF2B5EF4-FFF2-40B4-BE49-F238E27FC236}">
              <a16:creationId xmlns:a16="http://schemas.microsoft.com/office/drawing/2014/main" id="{C6CE9A62-3DC0-4DFF-A32D-6533619A132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5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848998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1492</xdr:row>
      <xdr:rowOff>25400</xdr:rowOff>
    </xdr:from>
    <xdr:to>
      <xdr:col>11</xdr:col>
      <xdr:colOff>571500</xdr:colOff>
      <xdr:row>1493</xdr:row>
      <xdr:rowOff>0</xdr:rowOff>
    </xdr:to>
    <xdr:pic>
      <xdr:nvPicPr>
        <xdr:cNvPr id="11041" name="Рисунок 11040">
          <a:extLst>
            <a:ext uri="{FF2B5EF4-FFF2-40B4-BE49-F238E27FC236}">
              <a16:creationId xmlns:a16="http://schemas.microsoft.com/office/drawing/2014/main" id="{9484865F-44F5-4BC4-9B9A-9D8447DC0A7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5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849569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1493</xdr:row>
      <xdr:rowOff>25400</xdr:rowOff>
    </xdr:from>
    <xdr:to>
      <xdr:col>11</xdr:col>
      <xdr:colOff>571500</xdr:colOff>
      <xdr:row>1494</xdr:row>
      <xdr:rowOff>0</xdr:rowOff>
    </xdr:to>
    <xdr:pic>
      <xdr:nvPicPr>
        <xdr:cNvPr id="11043" name="Рисунок 11042">
          <a:extLst>
            <a:ext uri="{FF2B5EF4-FFF2-40B4-BE49-F238E27FC236}">
              <a16:creationId xmlns:a16="http://schemas.microsoft.com/office/drawing/2014/main" id="{E187BE23-DC47-41FF-9EA7-D3D14A7FF7D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5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850141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1494</xdr:row>
      <xdr:rowOff>25400</xdr:rowOff>
    </xdr:from>
    <xdr:to>
      <xdr:col>11</xdr:col>
      <xdr:colOff>571500</xdr:colOff>
      <xdr:row>1495</xdr:row>
      <xdr:rowOff>0</xdr:rowOff>
    </xdr:to>
    <xdr:pic>
      <xdr:nvPicPr>
        <xdr:cNvPr id="11045" name="Рисунок 11044">
          <a:extLst>
            <a:ext uri="{FF2B5EF4-FFF2-40B4-BE49-F238E27FC236}">
              <a16:creationId xmlns:a16="http://schemas.microsoft.com/office/drawing/2014/main" id="{41D313EC-9C53-4BF5-BBDC-C36A5BBE28E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5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850712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1495</xdr:row>
      <xdr:rowOff>25400</xdr:rowOff>
    </xdr:from>
    <xdr:to>
      <xdr:col>11</xdr:col>
      <xdr:colOff>571500</xdr:colOff>
      <xdr:row>1496</xdr:row>
      <xdr:rowOff>0</xdr:rowOff>
    </xdr:to>
    <xdr:pic>
      <xdr:nvPicPr>
        <xdr:cNvPr id="11047" name="Рисунок 11046">
          <a:extLst>
            <a:ext uri="{FF2B5EF4-FFF2-40B4-BE49-F238E27FC236}">
              <a16:creationId xmlns:a16="http://schemas.microsoft.com/office/drawing/2014/main" id="{764A46DC-99D4-4F84-850E-CAFB5A16C50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5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851284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1496</xdr:row>
      <xdr:rowOff>25400</xdr:rowOff>
    </xdr:from>
    <xdr:to>
      <xdr:col>11</xdr:col>
      <xdr:colOff>571500</xdr:colOff>
      <xdr:row>1497</xdr:row>
      <xdr:rowOff>0</xdr:rowOff>
    </xdr:to>
    <xdr:pic>
      <xdr:nvPicPr>
        <xdr:cNvPr id="11049" name="Рисунок 11048">
          <a:extLst>
            <a:ext uri="{FF2B5EF4-FFF2-40B4-BE49-F238E27FC236}">
              <a16:creationId xmlns:a16="http://schemas.microsoft.com/office/drawing/2014/main" id="{5A528FB0-F9FC-4255-9137-69C032323F4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5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851855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1497</xdr:row>
      <xdr:rowOff>25400</xdr:rowOff>
    </xdr:from>
    <xdr:to>
      <xdr:col>11</xdr:col>
      <xdr:colOff>571500</xdr:colOff>
      <xdr:row>1498</xdr:row>
      <xdr:rowOff>0</xdr:rowOff>
    </xdr:to>
    <xdr:pic>
      <xdr:nvPicPr>
        <xdr:cNvPr id="11051" name="Рисунок 11050">
          <a:extLst>
            <a:ext uri="{FF2B5EF4-FFF2-40B4-BE49-F238E27FC236}">
              <a16:creationId xmlns:a16="http://schemas.microsoft.com/office/drawing/2014/main" id="{2A93E499-14A6-4305-9D09-0BDBE7E1638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5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852427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1498</xdr:row>
      <xdr:rowOff>25400</xdr:rowOff>
    </xdr:from>
    <xdr:to>
      <xdr:col>11</xdr:col>
      <xdr:colOff>571500</xdr:colOff>
      <xdr:row>1499</xdr:row>
      <xdr:rowOff>0</xdr:rowOff>
    </xdr:to>
    <xdr:pic>
      <xdr:nvPicPr>
        <xdr:cNvPr id="11053" name="Рисунок 11052">
          <a:extLst>
            <a:ext uri="{FF2B5EF4-FFF2-40B4-BE49-F238E27FC236}">
              <a16:creationId xmlns:a16="http://schemas.microsoft.com/office/drawing/2014/main" id="{0D617B14-3912-42A9-9242-7FA0D2C9833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6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852998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1499</xdr:row>
      <xdr:rowOff>25400</xdr:rowOff>
    </xdr:from>
    <xdr:to>
      <xdr:col>11</xdr:col>
      <xdr:colOff>571500</xdr:colOff>
      <xdr:row>1500</xdr:row>
      <xdr:rowOff>0</xdr:rowOff>
    </xdr:to>
    <xdr:pic>
      <xdr:nvPicPr>
        <xdr:cNvPr id="11055" name="Рисунок 11054">
          <a:extLst>
            <a:ext uri="{FF2B5EF4-FFF2-40B4-BE49-F238E27FC236}">
              <a16:creationId xmlns:a16="http://schemas.microsoft.com/office/drawing/2014/main" id="{2B9DAFD9-A797-47F3-97AB-A1AEA72CA2A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6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853570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1500</xdr:row>
      <xdr:rowOff>25400</xdr:rowOff>
    </xdr:from>
    <xdr:to>
      <xdr:col>11</xdr:col>
      <xdr:colOff>571500</xdr:colOff>
      <xdr:row>1501</xdr:row>
      <xdr:rowOff>0</xdr:rowOff>
    </xdr:to>
    <xdr:pic>
      <xdr:nvPicPr>
        <xdr:cNvPr id="11057" name="Рисунок 11056">
          <a:extLst>
            <a:ext uri="{FF2B5EF4-FFF2-40B4-BE49-F238E27FC236}">
              <a16:creationId xmlns:a16="http://schemas.microsoft.com/office/drawing/2014/main" id="{3509F4C4-D770-4307-99B2-C729718A82A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6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854141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1501</xdr:row>
      <xdr:rowOff>25400</xdr:rowOff>
    </xdr:from>
    <xdr:to>
      <xdr:col>11</xdr:col>
      <xdr:colOff>571500</xdr:colOff>
      <xdr:row>1502</xdr:row>
      <xdr:rowOff>0</xdr:rowOff>
    </xdr:to>
    <xdr:pic>
      <xdr:nvPicPr>
        <xdr:cNvPr id="11059" name="Рисунок 11058">
          <a:extLst>
            <a:ext uri="{FF2B5EF4-FFF2-40B4-BE49-F238E27FC236}">
              <a16:creationId xmlns:a16="http://schemas.microsoft.com/office/drawing/2014/main" id="{E66C5E4A-F2F1-4E4A-B5D3-10D13B1C2C3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6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854713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1502</xdr:row>
      <xdr:rowOff>25400</xdr:rowOff>
    </xdr:from>
    <xdr:to>
      <xdr:col>11</xdr:col>
      <xdr:colOff>571500</xdr:colOff>
      <xdr:row>1503</xdr:row>
      <xdr:rowOff>0</xdr:rowOff>
    </xdr:to>
    <xdr:pic>
      <xdr:nvPicPr>
        <xdr:cNvPr id="11061" name="Рисунок 11060">
          <a:extLst>
            <a:ext uri="{FF2B5EF4-FFF2-40B4-BE49-F238E27FC236}">
              <a16:creationId xmlns:a16="http://schemas.microsoft.com/office/drawing/2014/main" id="{53D1ABDE-3E8A-460A-B105-1238AA8B00D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6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855284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1503</xdr:row>
      <xdr:rowOff>25400</xdr:rowOff>
    </xdr:from>
    <xdr:to>
      <xdr:col>11</xdr:col>
      <xdr:colOff>571500</xdr:colOff>
      <xdr:row>1504</xdr:row>
      <xdr:rowOff>0</xdr:rowOff>
    </xdr:to>
    <xdr:pic>
      <xdr:nvPicPr>
        <xdr:cNvPr id="11063" name="Рисунок 11062">
          <a:extLst>
            <a:ext uri="{FF2B5EF4-FFF2-40B4-BE49-F238E27FC236}">
              <a16:creationId xmlns:a16="http://schemas.microsoft.com/office/drawing/2014/main" id="{68593BF9-51AF-4FBF-B91D-279C944C65A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6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855856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1504</xdr:row>
      <xdr:rowOff>25400</xdr:rowOff>
    </xdr:from>
    <xdr:to>
      <xdr:col>11</xdr:col>
      <xdr:colOff>571500</xdr:colOff>
      <xdr:row>1505</xdr:row>
      <xdr:rowOff>0</xdr:rowOff>
    </xdr:to>
    <xdr:pic>
      <xdr:nvPicPr>
        <xdr:cNvPr id="11065" name="Рисунок 11064">
          <a:extLst>
            <a:ext uri="{FF2B5EF4-FFF2-40B4-BE49-F238E27FC236}">
              <a16:creationId xmlns:a16="http://schemas.microsoft.com/office/drawing/2014/main" id="{5253724A-648A-4295-9B11-FD7BF4D593E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6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856427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1505</xdr:row>
      <xdr:rowOff>25400</xdr:rowOff>
    </xdr:from>
    <xdr:to>
      <xdr:col>11</xdr:col>
      <xdr:colOff>571500</xdr:colOff>
      <xdr:row>1506</xdr:row>
      <xdr:rowOff>0</xdr:rowOff>
    </xdr:to>
    <xdr:pic>
      <xdr:nvPicPr>
        <xdr:cNvPr id="11067" name="Рисунок 11066">
          <a:extLst>
            <a:ext uri="{FF2B5EF4-FFF2-40B4-BE49-F238E27FC236}">
              <a16:creationId xmlns:a16="http://schemas.microsoft.com/office/drawing/2014/main" id="{52A9B3DC-D1C4-47F8-B5FB-7F9E5BAFF2D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6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856999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1506</xdr:row>
      <xdr:rowOff>25400</xdr:rowOff>
    </xdr:from>
    <xdr:to>
      <xdr:col>11</xdr:col>
      <xdr:colOff>571500</xdr:colOff>
      <xdr:row>1507</xdr:row>
      <xdr:rowOff>0</xdr:rowOff>
    </xdr:to>
    <xdr:pic>
      <xdr:nvPicPr>
        <xdr:cNvPr id="11069" name="Рисунок 11068">
          <a:extLst>
            <a:ext uri="{FF2B5EF4-FFF2-40B4-BE49-F238E27FC236}">
              <a16:creationId xmlns:a16="http://schemas.microsoft.com/office/drawing/2014/main" id="{4C155AAA-50B2-4372-AEC4-1F64EAB1DFB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6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857570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1507</xdr:row>
      <xdr:rowOff>25400</xdr:rowOff>
    </xdr:from>
    <xdr:to>
      <xdr:col>11</xdr:col>
      <xdr:colOff>571500</xdr:colOff>
      <xdr:row>1508</xdr:row>
      <xdr:rowOff>0</xdr:rowOff>
    </xdr:to>
    <xdr:pic>
      <xdr:nvPicPr>
        <xdr:cNvPr id="11071" name="Рисунок 11070">
          <a:extLst>
            <a:ext uri="{FF2B5EF4-FFF2-40B4-BE49-F238E27FC236}">
              <a16:creationId xmlns:a16="http://schemas.microsoft.com/office/drawing/2014/main" id="{3FC068F2-17BF-4CCC-AFDC-ACE76933C1D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6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858142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1508</xdr:row>
      <xdr:rowOff>25400</xdr:rowOff>
    </xdr:from>
    <xdr:to>
      <xdr:col>11</xdr:col>
      <xdr:colOff>571500</xdr:colOff>
      <xdr:row>1509</xdr:row>
      <xdr:rowOff>0</xdr:rowOff>
    </xdr:to>
    <xdr:pic>
      <xdr:nvPicPr>
        <xdr:cNvPr id="11073" name="Рисунок 11072">
          <a:extLst>
            <a:ext uri="{FF2B5EF4-FFF2-40B4-BE49-F238E27FC236}">
              <a16:creationId xmlns:a16="http://schemas.microsoft.com/office/drawing/2014/main" id="{65697BAE-AFB9-43B7-9A21-C73AA8CB8A2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7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858713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1509</xdr:row>
      <xdr:rowOff>25400</xdr:rowOff>
    </xdr:from>
    <xdr:to>
      <xdr:col>11</xdr:col>
      <xdr:colOff>571500</xdr:colOff>
      <xdr:row>1510</xdr:row>
      <xdr:rowOff>0</xdr:rowOff>
    </xdr:to>
    <xdr:pic>
      <xdr:nvPicPr>
        <xdr:cNvPr id="11075" name="Рисунок 11074">
          <a:extLst>
            <a:ext uri="{FF2B5EF4-FFF2-40B4-BE49-F238E27FC236}">
              <a16:creationId xmlns:a16="http://schemas.microsoft.com/office/drawing/2014/main" id="{20A1FE78-7D32-40B8-8137-845FC5341A0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7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859285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1510</xdr:row>
      <xdr:rowOff>25400</xdr:rowOff>
    </xdr:from>
    <xdr:to>
      <xdr:col>11</xdr:col>
      <xdr:colOff>571500</xdr:colOff>
      <xdr:row>1511</xdr:row>
      <xdr:rowOff>0</xdr:rowOff>
    </xdr:to>
    <xdr:pic>
      <xdr:nvPicPr>
        <xdr:cNvPr id="11077" name="Рисунок 11076">
          <a:extLst>
            <a:ext uri="{FF2B5EF4-FFF2-40B4-BE49-F238E27FC236}">
              <a16:creationId xmlns:a16="http://schemas.microsoft.com/office/drawing/2014/main" id="{215738C3-7581-4429-BA03-F68E83A2033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7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859856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1511</xdr:row>
      <xdr:rowOff>25400</xdr:rowOff>
    </xdr:from>
    <xdr:to>
      <xdr:col>11</xdr:col>
      <xdr:colOff>571500</xdr:colOff>
      <xdr:row>1512</xdr:row>
      <xdr:rowOff>0</xdr:rowOff>
    </xdr:to>
    <xdr:pic>
      <xdr:nvPicPr>
        <xdr:cNvPr id="11079" name="Рисунок 11078">
          <a:extLst>
            <a:ext uri="{FF2B5EF4-FFF2-40B4-BE49-F238E27FC236}">
              <a16:creationId xmlns:a16="http://schemas.microsoft.com/office/drawing/2014/main" id="{908559D9-236C-47E2-B95D-C1343EE792D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7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860428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1512</xdr:row>
      <xdr:rowOff>25400</xdr:rowOff>
    </xdr:from>
    <xdr:to>
      <xdr:col>11</xdr:col>
      <xdr:colOff>571500</xdr:colOff>
      <xdr:row>1513</xdr:row>
      <xdr:rowOff>0</xdr:rowOff>
    </xdr:to>
    <xdr:pic>
      <xdr:nvPicPr>
        <xdr:cNvPr id="11081" name="Рисунок 11080">
          <a:extLst>
            <a:ext uri="{FF2B5EF4-FFF2-40B4-BE49-F238E27FC236}">
              <a16:creationId xmlns:a16="http://schemas.microsoft.com/office/drawing/2014/main" id="{B4931847-C6B2-4568-8F55-098D1BA5426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7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860999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1513</xdr:row>
      <xdr:rowOff>25400</xdr:rowOff>
    </xdr:from>
    <xdr:to>
      <xdr:col>11</xdr:col>
      <xdr:colOff>571500</xdr:colOff>
      <xdr:row>1514</xdr:row>
      <xdr:rowOff>0</xdr:rowOff>
    </xdr:to>
    <xdr:pic>
      <xdr:nvPicPr>
        <xdr:cNvPr id="11083" name="Рисунок 11082">
          <a:extLst>
            <a:ext uri="{FF2B5EF4-FFF2-40B4-BE49-F238E27FC236}">
              <a16:creationId xmlns:a16="http://schemas.microsoft.com/office/drawing/2014/main" id="{0D759996-068F-4BF6-A154-395AFA91C6C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7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861571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1514</xdr:row>
      <xdr:rowOff>25400</xdr:rowOff>
    </xdr:from>
    <xdr:to>
      <xdr:col>11</xdr:col>
      <xdr:colOff>571500</xdr:colOff>
      <xdr:row>1515</xdr:row>
      <xdr:rowOff>0</xdr:rowOff>
    </xdr:to>
    <xdr:pic>
      <xdr:nvPicPr>
        <xdr:cNvPr id="11085" name="Рисунок 11084">
          <a:extLst>
            <a:ext uri="{FF2B5EF4-FFF2-40B4-BE49-F238E27FC236}">
              <a16:creationId xmlns:a16="http://schemas.microsoft.com/office/drawing/2014/main" id="{04B7E328-BDAE-4005-9D03-A460A8E73B9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7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862142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1515</xdr:row>
      <xdr:rowOff>25400</xdr:rowOff>
    </xdr:from>
    <xdr:to>
      <xdr:col>11</xdr:col>
      <xdr:colOff>571500</xdr:colOff>
      <xdr:row>1516</xdr:row>
      <xdr:rowOff>0</xdr:rowOff>
    </xdr:to>
    <xdr:pic>
      <xdr:nvPicPr>
        <xdr:cNvPr id="11087" name="Рисунок 11086">
          <a:extLst>
            <a:ext uri="{FF2B5EF4-FFF2-40B4-BE49-F238E27FC236}">
              <a16:creationId xmlns:a16="http://schemas.microsoft.com/office/drawing/2014/main" id="{0F36637D-E587-4E01-90D7-4A8C794F7B2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7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862714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1516</xdr:row>
      <xdr:rowOff>25400</xdr:rowOff>
    </xdr:from>
    <xdr:to>
      <xdr:col>11</xdr:col>
      <xdr:colOff>571500</xdr:colOff>
      <xdr:row>1517</xdr:row>
      <xdr:rowOff>0</xdr:rowOff>
    </xdr:to>
    <xdr:pic>
      <xdr:nvPicPr>
        <xdr:cNvPr id="11089" name="Рисунок 11088">
          <a:extLst>
            <a:ext uri="{FF2B5EF4-FFF2-40B4-BE49-F238E27FC236}">
              <a16:creationId xmlns:a16="http://schemas.microsoft.com/office/drawing/2014/main" id="{3AA30ED3-5A52-4CEA-9CF3-96CA51BB41C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7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863285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1517</xdr:row>
      <xdr:rowOff>25400</xdr:rowOff>
    </xdr:from>
    <xdr:to>
      <xdr:col>11</xdr:col>
      <xdr:colOff>571500</xdr:colOff>
      <xdr:row>1518</xdr:row>
      <xdr:rowOff>0</xdr:rowOff>
    </xdr:to>
    <xdr:pic>
      <xdr:nvPicPr>
        <xdr:cNvPr id="11091" name="Рисунок 11090">
          <a:extLst>
            <a:ext uri="{FF2B5EF4-FFF2-40B4-BE49-F238E27FC236}">
              <a16:creationId xmlns:a16="http://schemas.microsoft.com/office/drawing/2014/main" id="{7AD25149-E2B6-4E46-986A-C6F1CD1BD16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7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863857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1518</xdr:row>
      <xdr:rowOff>25400</xdr:rowOff>
    </xdr:from>
    <xdr:to>
      <xdr:col>11</xdr:col>
      <xdr:colOff>571500</xdr:colOff>
      <xdr:row>1519</xdr:row>
      <xdr:rowOff>0</xdr:rowOff>
    </xdr:to>
    <xdr:pic>
      <xdr:nvPicPr>
        <xdr:cNvPr id="11093" name="Рисунок 11092">
          <a:extLst>
            <a:ext uri="{FF2B5EF4-FFF2-40B4-BE49-F238E27FC236}">
              <a16:creationId xmlns:a16="http://schemas.microsoft.com/office/drawing/2014/main" id="{6C936610-255F-456A-99E6-F5843F666A0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8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864428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1519</xdr:row>
      <xdr:rowOff>25400</xdr:rowOff>
    </xdr:from>
    <xdr:to>
      <xdr:col>11</xdr:col>
      <xdr:colOff>571500</xdr:colOff>
      <xdr:row>1520</xdr:row>
      <xdr:rowOff>0</xdr:rowOff>
    </xdr:to>
    <xdr:pic>
      <xdr:nvPicPr>
        <xdr:cNvPr id="11095" name="Рисунок 11094">
          <a:extLst>
            <a:ext uri="{FF2B5EF4-FFF2-40B4-BE49-F238E27FC236}">
              <a16:creationId xmlns:a16="http://schemas.microsoft.com/office/drawing/2014/main" id="{2207C153-8348-4400-BC59-10AC07F91F2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8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865000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1520</xdr:row>
      <xdr:rowOff>25400</xdr:rowOff>
    </xdr:from>
    <xdr:to>
      <xdr:col>11</xdr:col>
      <xdr:colOff>571500</xdr:colOff>
      <xdr:row>1521</xdr:row>
      <xdr:rowOff>0</xdr:rowOff>
    </xdr:to>
    <xdr:pic>
      <xdr:nvPicPr>
        <xdr:cNvPr id="11097" name="Рисунок 11096">
          <a:extLst>
            <a:ext uri="{FF2B5EF4-FFF2-40B4-BE49-F238E27FC236}">
              <a16:creationId xmlns:a16="http://schemas.microsoft.com/office/drawing/2014/main" id="{8B1CC1E5-0972-4284-B737-5474743D191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8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865571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1521</xdr:row>
      <xdr:rowOff>25400</xdr:rowOff>
    </xdr:from>
    <xdr:to>
      <xdr:col>11</xdr:col>
      <xdr:colOff>571500</xdr:colOff>
      <xdr:row>1522</xdr:row>
      <xdr:rowOff>0</xdr:rowOff>
    </xdr:to>
    <xdr:pic>
      <xdr:nvPicPr>
        <xdr:cNvPr id="11099" name="Рисунок 11098">
          <a:extLst>
            <a:ext uri="{FF2B5EF4-FFF2-40B4-BE49-F238E27FC236}">
              <a16:creationId xmlns:a16="http://schemas.microsoft.com/office/drawing/2014/main" id="{1BEB89CF-4F07-406A-9C87-B9515D46968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8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866143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1522</xdr:row>
      <xdr:rowOff>25400</xdr:rowOff>
    </xdr:from>
    <xdr:to>
      <xdr:col>11</xdr:col>
      <xdr:colOff>571500</xdr:colOff>
      <xdr:row>1523</xdr:row>
      <xdr:rowOff>0</xdr:rowOff>
    </xdr:to>
    <xdr:pic>
      <xdr:nvPicPr>
        <xdr:cNvPr id="11101" name="Рисунок 11100">
          <a:extLst>
            <a:ext uri="{FF2B5EF4-FFF2-40B4-BE49-F238E27FC236}">
              <a16:creationId xmlns:a16="http://schemas.microsoft.com/office/drawing/2014/main" id="{5D8E0681-DD55-43F1-B651-19F44FAD14A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8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866714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1523</xdr:row>
      <xdr:rowOff>25400</xdr:rowOff>
    </xdr:from>
    <xdr:to>
      <xdr:col>11</xdr:col>
      <xdr:colOff>571500</xdr:colOff>
      <xdr:row>1524</xdr:row>
      <xdr:rowOff>0</xdr:rowOff>
    </xdr:to>
    <xdr:pic>
      <xdr:nvPicPr>
        <xdr:cNvPr id="11103" name="Рисунок 11102">
          <a:extLst>
            <a:ext uri="{FF2B5EF4-FFF2-40B4-BE49-F238E27FC236}">
              <a16:creationId xmlns:a16="http://schemas.microsoft.com/office/drawing/2014/main" id="{3E2A7DC9-F7BA-450A-9C55-5D01BDAA182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8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867286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1524</xdr:row>
      <xdr:rowOff>25400</xdr:rowOff>
    </xdr:from>
    <xdr:to>
      <xdr:col>11</xdr:col>
      <xdr:colOff>571500</xdr:colOff>
      <xdr:row>1525</xdr:row>
      <xdr:rowOff>0</xdr:rowOff>
    </xdr:to>
    <xdr:pic>
      <xdr:nvPicPr>
        <xdr:cNvPr id="11105" name="Рисунок 11104">
          <a:extLst>
            <a:ext uri="{FF2B5EF4-FFF2-40B4-BE49-F238E27FC236}">
              <a16:creationId xmlns:a16="http://schemas.microsoft.com/office/drawing/2014/main" id="{4FE702A4-8E90-4764-8BC1-ACE407EEE40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8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867857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1525</xdr:row>
      <xdr:rowOff>25400</xdr:rowOff>
    </xdr:from>
    <xdr:to>
      <xdr:col>11</xdr:col>
      <xdr:colOff>571500</xdr:colOff>
      <xdr:row>1526</xdr:row>
      <xdr:rowOff>0</xdr:rowOff>
    </xdr:to>
    <xdr:pic>
      <xdr:nvPicPr>
        <xdr:cNvPr id="11107" name="Рисунок 11106">
          <a:extLst>
            <a:ext uri="{FF2B5EF4-FFF2-40B4-BE49-F238E27FC236}">
              <a16:creationId xmlns:a16="http://schemas.microsoft.com/office/drawing/2014/main" id="{9050460D-9B76-472D-A739-F475720B6A9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8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868429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1526</xdr:row>
      <xdr:rowOff>25400</xdr:rowOff>
    </xdr:from>
    <xdr:to>
      <xdr:col>11</xdr:col>
      <xdr:colOff>571500</xdr:colOff>
      <xdr:row>1527</xdr:row>
      <xdr:rowOff>0</xdr:rowOff>
    </xdr:to>
    <xdr:pic>
      <xdr:nvPicPr>
        <xdr:cNvPr id="11109" name="Рисунок 11108">
          <a:extLst>
            <a:ext uri="{FF2B5EF4-FFF2-40B4-BE49-F238E27FC236}">
              <a16:creationId xmlns:a16="http://schemas.microsoft.com/office/drawing/2014/main" id="{069E629F-14B6-469F-A9D1-22A939AF648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8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869000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1527</xdr:row>
      <xdr:rowOff>25400</xdr:rowOff>
    </xdr:from>
    <xdr:to>
      <xdr:col>11</xdr:col>
      <xdr:colOff>571500</xdr:colOff>
      <xdr:row>1528</xdr:row>
      <xdr:rowOff>0</xdr:rowOff>
    </xdr:to>
    <xdr:pic>
      <xdr:nvPicPr>
        <xdr:cNvPr id="11111" name="Рисунок 11110">
          <a:extLst>
            <a:ext uri="{FF2B5EF4-FFF2-40B4-BE49-F238E27FC236}">
              <a16:creationId xmlns:a16="http://schemas.microsoft.com/office/drawing/2014/main" id="{1D32084C-38C9-4415-854C-62861C06A1A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8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869572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1528</xdr:row>
      <xdr:rowOff>25400</xdr:rowOff>
    </xdr:from>
    <xdr:to>
      <xdr:col>11</xdr:col>
      <xdr:colOff>571500</xdr:colOff>
      <xdr:row>1529</xdr:row>
      <xdr:rowOff>0</xdr:rowOff>
    </xdr:to>
    <xdr:pic>
      <xdr:nvPicPr>
        <xdr:cNvPr id="11113" name="Рисунок 11112">
          <a:extLst>
            <a:ext uri="{FF2B5EF4-FFF2-40B4-BE49-F238E27FC236}">
              <a16:creationId xmlns:a16="http://schemas.microsoft.com/office/drawing/2014/main" id="{6F953973-BCD9-4E93-B528-FDCB7622391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9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870143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1529</xdr:row>
      <xdr:rowOff>25400</xdr:rowOff>
    </xdr:from>
    <xdr:to>
      <xdr:col>11</xdr:col>
      <xdr:colOff>571500</xdr:colOff>
      <xdr:row>1530</xdr:row>
      <xdr:rowOff>0</xdr:rowOff>
    </xdr:to>
    <xdr:pic>
      <xdr:nvPicPr>
        <xdr:cNvPr id="11115" name="Рисунок 11114">
          <a:extLst>
            <a:ext uri="{FF2B5EF4-FFF2-40B4-BE49-F238E27FC236}">
              <a16:creationId xmlns:a16="http://schemas.microsoft.com/office/drawing/2014/main" id="{3D6FBE5C-D051-4862-A85D-6179CB26E61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9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870715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1530</xdr:row>
      <xdr:rowOff>25400</xdr:rowOff>
    </xdr:from>
    <xdr:to>
      <xdr:col>11</xdr:col>
      <xdr:colOff>571500</xdr:colOff>
      <xdr:row>1531</xdr:row>
      <xdr:rowOff>0</xdr:rowOff>
    </xdr:to>
    <xdr:pic>
      <xdr:nvPicPr>
        <xdr:cNvPr id="11117" name="Рисунок 11116">
          <a:extLst>
            <a:ext uri="{FF2B5EF4-FFF2-40B4-BE49-F238E27FC236}">
              <a16:creationId xmlns:a16="http://schemas.microsoft.com/office/drawing/2014/main" id="{A523F00E-6B49-405C-BC97-46954E266AD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9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871286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1531</xdr:row>
      <xdr:rowOff>25400</xdr:rowOff>
    </xdr:from>
    <xdr:to>
      <xdr:col>11</xdr:col>
      <xdr:colOff>571500</xdr:colOff>
      <xdr:row>1532</xdr:row>
      <xdr:rowOff>0</xdr:rowOff>
    </xdr:to>
    <xdr:pic>
      <xdr:nvPicPr>
        <xdr:cNvPr id="11119" name="Рисунок 11118">
          <a:extLst>
            <a:ext uri="{FF2B5EF4-FFF2-40B4-BE49-F238E27FC236}">
              <a16:creationId xmlns:a16="http://schemas.microsoft.com/office/drawing/2014/main" id="{526B6D08-7A77-4AFC-AE15-14548CB2968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9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871858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1532</xdr:row>
      <xdr:rowOff>25400</xdr:rowOff>
    </xdr:from>
    <xdr:to>
      <xdr:col>11</xdr:col>
      <xdr:colOff>571500</xdr:colOff>
      <xdr:row>1533</xdr:row>
      <xdr:rowOff>0</xdr:rowOff>
    </xdr:to>
    <xdr:pic>
      <xdr:nvPicPr>
        <xdr:cNvPr id="11121" name="Рисунок 11120">
          <a:extLst>
            <a:ext uri="{FF2B5EF4-FFF2-40B4-BE49-F238E27FC236}">
              <a16:creationId xmlns:a16="http://schemas.microsoft.com/office/drawing/2014/main" id="{5E6C3A0A-44F9-4B84-8D91-48A28CE7CF0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9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872429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1533</xdr:row>
      <xdr:rowOff>25400</xdr:rowOff>
    </xdr:from>
    <xdr:to>
      <xdr:col>11</xdr:col>
      <xdr:colOff>571500</xdr:colOff>
      <xdr:row>1534</xdr:row>
      <xdr:rowOff>0</xdr:rowOff>
    </xdr:to>
    <xdr:pic>
      <xdr:nvPicPr>
        <xdr:cNvPr id="11123" name="Рисунок 11122">
          <a:extLst>
            <a:ext uri="{FF2B5EF4-FFF2-40B4-BE49-F238E27FC236}">
              <a16:creationId xmlns:a16="http://schemas.microsoft.com/office/drawing/2014/main" id="{56B3CCA8-7F2A-4B65-BB5F-8FA84D77863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9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873001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1534</xdr:row>
      <xdr:rowOff>25400</xdr:rowOff>
    </xdr:from>
    <xdr:to>
      <xdr:col>11</xdr:col>
      <xdr:colOff>571500</xdr:colOff>
      <xdr:row>1535</xdr:row>
      <xdr:rowOff>0</xdr:rowOff>
    </xdr:to>
    <xdr:pic>
      <xdr:nvPicPr>
        <xdr:cNvPr id="11125" name="Рисунок 11124">
          <a:extLst>
            <a:ext uri="{FF2B5EF4-FFF2-40B4-BE49-F238E27FC236}">
              <a16:creationId xmlns:a16="http://schemas.microsoft.com/office/drawing/2014/main" id="{CED90E3E-C538-4392-A20C-DC457C8B018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9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873572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1535</xdr:row>
      <xdr:rowOff>25400</xdr:rowOff>
    </xdr:from>
    <xdr:to>
      <xdr:col>11</xdr:col>
      <xdr:colOff>571500</xdr:colOff>
      <xdr:row>1536</xdr:row>
      <xdr:rowOff>0</xdr:rowOff>
    </xdr:to>
    <xdr:pic>
      <xdr:nvPicPr>
        <xdr:cNvPr id="11127" name="Рисунок 11126">
          <a:extLst>
            <a:ext uri="{FF2B5EF4-FFF2-40B4-BE49-F238E27FC236}">
              <a16:creationId xmlns:a16="http://schemas.microsoft.com/office/drawing/2014/main" id="{F5FFCAD0-CDEC-44A3-A4BE-D929DD8AE64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9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874144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1536</xdr:row>
      <xdr:rowOff>25400</xdr:rowOff>
    </xdr:from>
    <xdr:to>
      <xdr:col>11</xdr:col>
      <xdr:colOff>571500</xdr:colOff>
      <xdr:row>1537</xdr:row>
      <xdr:rowOff>0</xdr:rowOff>
    </xdr:to>
    <xdr:pic>
      <xdr:nvPicPr>
        <xdr:cNvPr id="11129" name="Рисунок 11128">
          <a:extLst>
            <a:ext uri="{FF2B5EF4-FFF2-40B4-BE49-F238E27FC236}">
              <a16:creationId xmlns:a16="http://schemas.microsoft.com/office/drawing/2014/main" id="{49159943-9883-4F98-AE89-0A7434F0511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9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874715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1537</xdr:row>
      <xdr:rowOff>25400</xdr:rowOff>
    </xdr:from>
    <xdr:to>
      <xdr:col>11</xdr:col>
      <xdr:colOff>571500</xdr:colOff>
      <xdr:row>1538</xdr:row>
      <xdr:rowOff>0</xdr:rowOff>
    </xdr:to>
    <xdr:pic>
      <xdr:nvPicPr>
        <xdr:cNvPr id="11131" name="Рисунок 11130">
          <a:extLst>
            <a:ext uri="{FF2B5EF4-FFF2-40B4-BE49-F238E27FC236}">
              <a16:creationId xmlns:a16="http://schemas.microsoft.com/office/drawing/2014/main" id="{CED6C2E9-4F25-403C-9588-0219BC80CE7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49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875287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1538</xdr:row>
      <xdr:rowOff>25400</xdr:rowOff>
    </xdr:from>
    <xdr:to>
      <xdr:col>11</xdr:col>
      <xdr:colOff>571500</xdr:colOff>
      <xdr:row>1539</xdr:row>
      <xdr:rowOff>0</xdr:rowOff>
    </xdr:to>
    <xdr:pic>
      <xdr:nvPicPr>
        <xdr:cNvPr id="11133" name="Рисунок 11132">
          <a:extLst>
            <a:ext uri="{FF2B5EF4-FFF2-40B4-BE49-F238E27FC236}">
              <a16:creationId xmlns:a16="http://schemas.microsoft.com/office/drawing/2014/main" id="{D17B3334-6D4A-4975-9F06-DDB3229FCC4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0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875858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1539</xdr:row>
      <xdr:rowOff>25400</xdr:rowOff>
    </xdr:from>
    <xdr:to>
      <xdr:col>11</xdr:col>
      <xdr:colOff>571500</xdr:colOff>
      <xdr:row>1540</xdr:row>
      <xdr:rowOff>0</xdr:rowOff>
    </xdr:to>
    <xdr:pic>
      <xdr:nvPicPr>
        <xdr:cNvPr id="11135" name="Рисунок 11134">
          <a:extLst>
            <a:ext uri="{FF2B5EF4-FFF2-40B4-BE49-F238E27FC236}">
              <a16:creationId xmlns:a16="http://schemas.microsoft.com/office/drawing/2014/main" id="{C1016B6C-43FD-449E-9FC2-FABA057F4FA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0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876430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1540</xdr:row>
      <xdr:rowOff>25400</xdr:rowOff>
    </xdr:from>
    <xdr:to>
      <xdr:col>11</xdr:col>
      <xdr:colOff>571500</xdr:colOff>
      <xdr:row>1541</xdr:row>
      <xdr:rowOff>0</xdr:rowOff>
    </xdr:to>
    <xdr:pic>
      <xdr:nvPicPr>
        <xdr:cNvPr id="11137" name="Рисунок 11136">
          <a:extLst>
            <a:ext uri="{FF2B5EF4-FFF2-40B4-BE49-F238E27FC236}">
              <a16:creationId xmlns:a16="http://schemas.microsoft.com/office/drawing/2014/main" id="{07FDA427-26BD-4FE1-BABA-A99DA29DB57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0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877001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1541</xdr:row>
      <xdr:rowOff>25400</xdr:rowOff>
    </xdr:from>
    <xdr:to>
      <xdr:col>11</xdr:col>
      <xdr:colOff>571500</xdr:colOff>
      <xdr:row>1542</xdr:row>
      <xdr:rowOff>0</xdr:rowOff>
    </xdr:to>
    <xdr:pic>
      <xdr:nvPicPr>
        <xdr:cNvPr id="11139" name="Рисунок 11138">
          <a:extLst>
            <a:ext uri="{FF2B5EF4-FFF2-40B4-BE49-F238E27FC236}">
              <a16:creationId xmlns:a16="http://schemas.microsoft.com/office/drawing/2014/main" id="{D3F9C221-C9E3-493B-9EBF-FDAA4D397A3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0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877573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1542</xdr:row>
      <xdr:rowOff>25400</xdr:rowOff>
    </xdr:from>
    <xdr:to>
      <xdr:col>11</xdr:col>
      <xdr:colOff>571500</xdr:colOff>
      <xdr:row>1543</xdr:row>
      <xdr:rowOff>0</xdr:rowOff>
    </xdr:to>
    <xdr:pic>
      <xdr:nvPicPr>
        <xdr:cNvPr id="11141" name="Рисунок 11140">
          <a:extLst>
            <a:ext uri="{FF2B5EF4-FFF2-40B4-BE49-F238E27FC236}">
              <a16:creationId xmlns:a16="http://schemas.microsoft.com/office/drawing/2014/main" id="{340395A8-8FAE-4C4A-9341-739B5E0F370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0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878144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1543</xdr:row>
      <xdr:rowOff>25400</xdr:rowOff>
    </xdr:from>
    <xdr:to>
      <xdr:col>11</xdr:col>
      <xdr:colOff>571500</xdr:colOff>
      <xdr:row>1544</xdr:row>
      <xdr:rowOff>0</xdr:rowOff>
    </xdr:to>
    <xdr:pic>
      <xdr:nvPicPr>
        <xdr:cNvPr id="11143" name="Рисунок 11142">
          <a:extLst>
            <a:ext uri="{FF2B5EF4-FFF2-40B4-BE49-F238E27FC236}">
              <a16:creationId xmlns:a16="http://schemas.microsoft.com/office/drawing/2014/main" id="{6FB4624F-8F13-428C-9DD0-C08B0372E1E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0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878716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1544</xdr:row>
      <xdr:rowOff>25400</xdr:rowOff>
    </xdr:from>
    <xdr:to>
      <xdr:col>11</xdr:col>
      <xdr:colOff>571500</xdr:colOff>
      <xdr:row>1545</xdr:row>
      <xdr:rowOff>0</xdr:rowOff>
    </xdr:to>
    <xdr:pic>
      <xdr:nvPicPr>
        <xdr:cNvPr id="11145" name="Рисунок 11144">
          <a:extLst>
            <a:ext uri="{FF2B5EF4-FFF2-40B4-BE49-F238E27FC236}">
              <a16:creationId xmlns:a16="http://schemas.microsoft.com/office/drawing/2014/main" id="{E2F06924-FEB7-49BF-80FF-3B8E40FDEA9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0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879287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1545</xdr:row>
      <xdr:rowOff>25400</xdr:rowOff>
    </xdr:from>
    <xdr:to>
      <xdr:col>11</xdr:col>
      <xdr:colOff>571500</xdr:colOff>
      <xdr:row>1546</xdr:row>
      <xdr:rowOff>0</xdr:rowOff>
    </xdr:to>
    <xdr:pic>
      <xdr:nvPicPr>
        <xdr:cNvPr id="11147" name="Рисунок 11146">
          <a:extLst>
            <a:ext uri="{FF2B5EF4-FFF2-40B4-BE49-F238E27FC236}">
              <a16:creationId xmlns:a16="http://schemas.microsoft.com/office/drawing/2014/main" id="{02943307-85FE-4493-89D7-D71D13C30FA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0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879859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1546</xdr:row>
      <xdr:rowOff>25400</xdr:rowOff>
    </xdr:from>
    <xdr:to>
      <xdr:col>11</xdr:col>
      <xdr:colOff>571500</xdr:colOff>
      <xdr:row>1547</xdr:row>
      <xdr:rowOff>0</xdr:rowOff>
    </xdr:to>
    <xdr:pic>
      <xdr:nvPicPr>
        <xdr:cNvPr id="11149" name="Рисунок 11148">
          <a:extLst>
            <a:ext uri="{FF2B5EF4-FFF2-40B4-BE49-F238E27FC236}">
              <a16:creationId xmlns:a16="http://schemas.microsoft.com/office/drawing/2014/main" id="{BFF31390-4061-49D6-8B1A-CC93A64759D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0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880430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1547</xdr:row>
      <xdr:rowOff>25400</xdr:rowOff>
    </xdr:from>
    <xdr:to>
      <xdr:col>11</xdr:col>
      <xdr:colOff>571500</xdr:colOff>
      <xdr:row>1548</xdr:row>
      <xdr:rowOff>0</xdr:rowOff>
    </xdr:to>
    <xdr:pic>
      <xdr:nvPicPr>
        <xdr:cNvPr id="11151" name="Рисунок 11150">
          <a:extLst>
            <a:ext uri="{FF2B5EF4-FFF2-40B4-BE49-F238E27FC236}">
              <a16:creationId xmlns:a16="http://schemas.microsoft.com/office/drawing/2014/main" id="{B6EF784D-1965-4C59-83C4-D5D3AD8E6EE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0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881002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1548</xdr:row>
      <xdr:rowOff>25400</xdr:rowOff>
    </xdr:from>
    <xdr:to>
      <xdr:col>11</xdr:col>
      <xdr:colOff>571500</xdr:colOff>
      <xdr:row>1549</xdr:row>
      <xdr:rowOff>0</xdr:rowOff>
    </xdr:to>
    <xdr:pic>
      <xdr:nvPicPr>
        <xdr:cNvPr id="11153" name="Рисунок 11152">
          <a:extLst>
            <a:ext uri="{FF2B5EF4-FFF2-40B4-BE49-F238E27FC236}">
              <a16:creationId xmlns:a16="http://schemas.microsoft.com/office/drawing/2014/main" id="{9FEB2349-9F6D-446F-89EC-9BF56552E3F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881573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1549</xdr:row>
      <xdr:rowOff>25400</xdr:rowOff>
    </xdr:from>
    <xdr:to>
      <xdr:col>11</xdr:col>
      <xdr:colOff>571500</xdr:colOff>
      <xdr:row>1550</xdr:row>
      <xdr:rowOff>0</xdr:rowOff>
    </xdr:to>
    <xdr:pic>
      <xdr:nvPicPr>
        <xdr:cNvPr id="11155" name="Рисунок 11154">
          <a:extLst>
            <a:ext uri="{FF2B5EF4-FFF2-40B4-BE49-F238E27FC236}">
              <a16:creationId xmlns:a16="http://schemas.microsoft.com/office/drawing/2014/main" id="{E4AEAFFD-6099-4BAA-954D-3FF4368479B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882145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1550</xdr:row>
      <xdr:rowOff>25400</xdr:rowOff>
    </xdr:from>
    <xdr:to>
      <xdr:col>11</xdr:col>
      <xdr:colOff>571500</xdr:colOff>
      <xdr:row>1551</xdr:row>
      <xdr:rowOff>0</xdr:rowOff>
    </xdr:to>
    <xdr:pic>
      <xdr:nvPicPr>
        <xdr:cNvPr id="11157" name="Рисунок 11156">
          <a:extLst>
            <a:ext uri="{FF2B5EF4-FFF2-40B4-BE49-F238E27FC236}">
              <a16:creationId xmlns:a16="http://schemas.microsoft.com/office/drawing/2014/main" id="{1F4C5E5E-C859-4686-9D39-05728B2D014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882716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1551</xdr:row>
      <xdr:rowOff>25400</xdr:rowOff>
    </xdr:from>
    <xdr:to>
      <xdr:col>11</xdr:col>
      <xdr:colOff>571500</xdr:colOff>
      <xdr:row>1552</xdr:row>
      <xdr:rowOff>0</xdr:rowOff>
    </xdr:to>
    <xdr:pic>
      <xdr:nvPicPr>
        <xdr:cNvPr id="11159" name="Рисунок 11158">
          <a:extLst>
            <a:ext uri="{FF2B5EF4-FFF2-40B4-BE49-F238E27FC236}">
              <a16:creationId xmlns:a16="http://schemas.microsoft.com/office/drawing/2014/main" id="{6B0C8F16-818A-46B7-8FBE-4B41A55E8CC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883288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1552</xdr:row>
      <xdr:rowOff>25400</xdr:rowOff>
    </xdr:from>
    <xdr:to>
      <xdr:col>11</xdr:col>
      <xdr:colOff>571500</xdr:colOff>
      <xdr:row>1553</xdr:row>
      <xdr:rowOff>0</xdr:rowOff>
    </xdr:to>
    <xdr:pic>
      <xdr:nvPicPr>
        <xdr:cNvPr id="11161" name="Рисунок 11160">
          <a:extLst>
            <a:ext uri="{FF2B5EF4-FFF2-40B4-BE49-F238E27FC236}">
              <a16:creationId xmlns:a16="http://schemas.microsoft.com/office/drawing/2014/main" id="{9D4E83CD-1E8F-4227-B8B5-4FD1A47E246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883859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1553</xdr:row>
      <xdr:rowOff>25400</xdr:rowOff>
    </xdr:from>
    <xdr:to>
      <xdr:col>11</xdr:col>
      <xdr:colOff>571500</xdr:colOff>
      <xdr:row>1554</xdr:row>
      <xdr:rowOff>0</xdr:rowOff>
    </xdr:to>
    <xdr:pic>
      <xdr:nvPicPr>
        <xdr:cNvPr id="11163" name="Рисунок 11162">
          <a:extLst>
            <a:ext uri="{FF2B5EF4-FFF2-40B4-BE49-F238E27FC236}">
              <a16:creationId xmlns:a16="http://schemas.microsoft.com/office/drawing/2014/main" id="{9377B048-3D6E-4AD9-81F1-9AB5BF425B2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884431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1554</xdr:row>
      <xdr:rowOff>25400</xdr:rowOff>
    </xdr:from>
    <xdr:to>
      <xdr:col>11</xdr:col>
      <xdr:colOff>571500</xdr:colOff>
      <xdr:row>1555</xdr:row>
      <xdr:rowOff>0</xdr:rowOff>
    </xdr:to>
    <xdr:pic>
      <xdr:nvPicPr>
        <xdr:cNvPr id="11165" name="Рисунок 11164">
          <a:extLst>
            <a:ext uri="{FF2B5EF4-FFF2-40B4-BE49-F238E27FC236}">
              <a16:creationId xmlns:a16="http://schemas.microsoft.com/office/drawing/2014/main" id="{E5261C0B-6FC9-4022-B8B5-CC4C72AE046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885002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1555</xdr:row>
      <xdr:rowOff>25400</xdr:rowOff>
    </xdr:from>
    <xdr:to>
      <xdr:col>11</xdr:col>
      <xdr:colOff>571500</xdr:colOff>
      <xdr:row>1556</xdr:row>
      <xdr:rowOff>0</xdr:rowOff>
    </xdr:to>
    <xdr:pic>
      <xdr:nvPicPr>
        <xdr:cNvPr id="11167" name="Рисунок 11166">
          <a:extLst>
            <a:ext uri="{FF2B5EF4-FFF2-40B4-BE49-F238E27FC236}">
              <a16:creationId xmlns:a16="http://schemas.microsoft.com/office/drawing/2014/main" id="{51D334B1-F4E1-4CC5-B5DB-7F6CD6DCCB8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885574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1556</xdr:row>
      <xdr:rowOff>25400</xdr:rowOff>
    </xdr:from>
    <xdr:to>
      <xdr:col>11</xdr:col>
      <xdr:colOff>571500</xdr:colOff>
      <xdr:row>1557</xdr:row>
      <xdr:rowOff>0</xdr:rowOff>
    </xdr:to>
    <xdr:pic>
      <xdr:nvPicPr>
        <xdr:cNvPr id="11169" name="Рисунок 11168">
          <a:extLst>
            <a:ext uri="{FF2B5EF4-FFF2-40B4-BE49-F238E27FC236}">
              <a16:creationId xmlns:a16="http://schemas.microsoft.com/office/drawing/2014/main" id="{5F0B192A-25D3-4200-B94C-3B989AB74EC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886145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1557</xdr:row>
      <xdr:rowOff>25400</xdr:rowOff>
    </xdr:from>
    <xdr:to>
      <xdr:col>11</xdr:col>
      <xdr:colOff>571500</xdr:colOff>
      <xdr:row>1558</xdr:row>
      <xdr:rowOff>0</xdr:rowOff>
    </xdr:to>
    <xdr:pic>
      <xdr:nvPicPr>
        <xdr:cNvPr id="11171" name="Рисунок 11170">
          <a:extLst>
            <a:ext uri="{FF2B5EF4-FFF2-40B4-BE49-F238E27FC236}">
              <a16:creationId xmlns:a16="http://schemas.microsoft.com/office/drawing/2014/main" id="{8BBBE8CE-012B-4BF5-B1AC-F6A569213B9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886717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1558</xdr:row>
      <xdr:rowOff>25400</xdr:rowOff>
    </xdr:from>
    <xdr:to>
      <xdr:col>11</xdr:col>
      <xdr:colOff>571500</xdr:colOff>
      <xdr:row>1559</xdr:row>
      <xdr:rowOff>0</xdr:rowOff>
    </xdr:to>
    <xdr:pic>
      <xdr:nvPicPr>
        <xdr:cNvPr id="11173" name="Рисунок 11172">
          <a:extLst>
            <a:ext uri="{FF2B5EF4-FFF2-40B4-BE49-F238E27FC236}">
              <a16:creationId xmlns:a16="http://schemas.microsoft.com/office/drawing/2014/main" id="{A5060BB7-8D7B-4B54-8711-7A62FF56C96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887288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1559</xdr:row>
      <xdr:rowOff>25400</xdr:rowOff>
    </xdr:from>
    <xdr:to>
      <xdr:col>11</xdr:col>
      <xdr:colOff>571500</xdr:colOff>
      <xdr:row>1560</xdr:row>
      <xdr:rowOff>0</xdr:rowOff>
    </xdr:to>
    <xdr:pic>
      <xdr:nvPicPr>
        <xdr:cNvPr id="11175" name="Рисунок 11174">
          <a:extLst>
            <a:ext uri="{FF2B5EF4-FFF2-40B4-BE49-F238E27FC236}">
              <a16:creationId xmlns:a16="http://schemas.microsoft.com/office/drawing/2014/main" id="{96D918B5-7E3D-43D5-BA3F-409AA937635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887860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1560</xdr:row>
      <xdr:rowOff>25400</xdr:rowOff>
    </xdr:from>
    <xdr:to>
      <xdr:col>11</xdr:col>
      <xdr:colOff>571500</xdr:colOff>
      <xdr:row>1561</xdr:row>
      <xdr:rowOff>0</xdr:rowOff>
    </xdr:to>
    <xdr:pic>
      <xdr:nvPicPr>
        <xdr:cNvPr id="11177" name="Рисунок 11176">
          <a:extLst>
            <a:ext uri="{FF2B5EF4-FFF2-40B4-BE49-F238E27FC236}">
              <a16:creationId xmlns:a16="http://schemas.microsoft.com/office/drawing/2014/main" id="{91518D3C-8DF9-4AC9-A4AA-F519A30D08B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888431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1561</xdr:row>
      <xdr:rowOff>25400</xdr:rowOff>
    </xdr:from>
    <xdr:to>
      <xdr:col>11</xdr:col>
      <xdr:colOff>571500</xdr:colOff>
      <xdr:row>1562</xdr:row>
      <xdr:rowOff>0</xdr:rowOff>
    </xdr:to>
    <xdr:pic>
      <xdr:nvPicPr>
        <xdr:cNvPr id="11179" name="Рисунок 11178">
          <a:extLst>
            <a:ext uri="{FF2B5EF4-FFF2-40B4-BE49-F238E27FC236}">
              <a16:creationId xmlns:a16="http://schemas.microsoft.com/office/drawing/2014/main" id="{4E0F6E9D-BDD3-4CBF-AC02-852F43C28BD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889003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1562</xdr:row>
      <xdr:rowOff>25400</xdr:rowOff>
    </xdr:from>
    <xdr:to>
      <xdr:col>11</xdr:col>
      <xdr:colOff>571500</xdr:colOff>
      <xdr:row>1563</xdr:row>
      <xdr:rowOff>0</xdr:rowOff>
    </xdr:to>
    <xdr:pic>
      <xdr:nvPicPr>
        <xdr:cNvPr id="11181" name="Рисунок 11180">
          <a:extLst>
            <a:ext uri="{FF2B5EF4-FFF2-40B4-BE49-F238E27FC236}">
              <a16:creationId xmlns:a16="http://schemas.microsoft.com/office/drawing/2014/main" id="{64E9328A-D8A3-4AA5-B08A-456E2C17777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889574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1563</xdr:row>
      <xdr:rowOff>25400</xdr:rowOff>
    </xdr:from>
    <xdr:to>
      <xdr:col>11</xdr:col>
      <xdr:colOff>571500</xdr:colOff>
      <xdr:row>1564</xdr:row>
      <xdr:rowOff>0</xdr:rowOff>
    </xdr:to>
    <xdr:pic>
      <xdr:nvPicPr>
        <xdr:cNvPr id="11183" name="Рисунок 11182">
          <a:extLst>
            <a:ext uri="{FF2B5EF4-FFF2-40B4-BE49-F238E27FC236}">
              <a16:creationId xmlns:a16="http://schemas.microsoft.com/office/drawing/2014/main" id="{80DE3026-F5D1-4FAB-AC54-659B2D8BE00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890146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1564</xdr:row>
      <xdr:rowOff>25400</xdr:rowOff>
    </xdr:from>
    <xdr:to>
      <xdr:col>11</xdr:col>
      <xdr:colOff>571500</xdr:colOff>
      <xdr:row>1565</xdr:row>
      <xdr:rowOff>0</xdr:rowOff>
    </xdr:to>
    <xdr:pic>
      <xdr:nvPicPr>
        <xdr:cNvPr id="11185" name="Рисунок 11184">
          <a:extLst>
            <a:ext uri="{FF2B5EF4-FFF2-40B4-BE49-F238E27FC236}">
              <a16:creationId xmlns:a16="http://schemas.microsoft.com/office/drawing/2014/main" id="{EEF74DC1-2EAF-4A7C-A6AE-13FB9C1B314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890717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1565</xdr:row>
      <xdr:rowOff>25400</xdr:rowOff>
    </xdr:from>
    <xdr:to>
      <xdr:col>11</xdr:col>
      <xdr:colOff>571500</xdr:colOff>
      <xdr:row>1566</xdr:row>
      <xdr:rowOff>0</xdr:rowOff>
    </xdr:to>
    <xdr:pic>
      <xdr:nvPicPr>
        <xdr:cNvPr id="11187" name="Рисунок 11186">
          <a:extLst>
            <a:ext uri="{FF2B5EF4-FFF2-40B4-BE49-F238E27FC236}">
              <a16:creationId xmlns:a16="http://schemas.microsoft.com/office/drawing/2014/main" id="{8A522A1A-F9A1-41BE-8C67-9EC7F890941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891289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1566</xdr:row>
      <xdr:rowOff>25400</xdr:rowOff>
    </xdr:from>
    <xdr:to>
      <xdr:col>11</xdr:col>
      <xdr:colOff>571500</xdr:colOff>
      <xdr:row>1567</xdr:row>
      <xdr:rowOff>0</xdr:rowOff>
    </xdr:to>
    <xdr:pic>
      <xdr:nvPicPr>
        <xdr:cNvPr id="11189" name="Рисунок 11188">
          <a:extLst>
            <a:ext uri="{FF2B5EF4-FFF2-40B4-BE49-F238E27FC236}">
              <a16:creationId xmlns:a16="http://schemas.microsoft.com/office/drawing/2014/main" id="{82EE44D2-B579-42C1-AE42-9B6269214E6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891860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1567</xdr:row>
      <xdr:rowOff>25400</xdr:rowOff>
    </xdr:from>
    <xdr:to>
      <xdr:col>11</xdr:col>
      <xdr:colOff>571500</xdr:colOff>
      <xdr:row>1568</xdr:row>
      <xdr:rowOff>0</xdr:rowOff>
    </xdr:to>
    <xdr:pic>
      <xdr:nvPicPr>
        <xdr:cNvPr id="11191" name="Рисунок 11190">
          <a:extLst>
            <a:ext uri="{FF2B5EF4-FFF2-40B4-BE49-F238E27FC236}">
              <a16:creationId xmlns:a16="http://schemas.microsoft.com/office/drawing/2014/main" id="{BAB794F1-DB7F-4A35-944E-162705C5C3E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892432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1568</xdr:row>
      <xdr:rowOff>25400</xdr:rowOff>
    </xdr:from>
    <xdr:to>
      <xdr:col>11</xdr:col>
      <xdr:colOff>571500</xdr:colOff>
      <xdr:row>1569</xdr:row>
      <xdr:rowOff>0</xdr:rowOff>
    </xdr:to>
    <xdr:pic>
      <xdr:nvPicPr>
        <xdr:cNvPr id="11193" name="Рисунок 11192">
          <a:extLst>
            <a:ext uri="{FF2B5EF4-FFF2-40B4-BE49-F238E27FC236}">
              <a16:creationId xmlns:a16="http://schemas.microsoft.com/office/drawing/2014/main" id="{D7CAE923-F09B-4036-8B46-5934CF0381B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893003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1569</xdr:row>
      <xdr:rowOff>25400</xdr:rowOff>
    </xdr:from>
    <xdr:to>
      <xdr:col>11</xdr:col>
      <xdr:colOff>571500</xdr:colOff>
      <xdr:row>1570</xdr:row>
      <xdr:rowOff>0</xdr:rowOff>
    </xdr:to>
    <xdr:pic>
      <xdr:nvPicPr>
        <xdr:cNvPr id="11195" name="Рисунок 11194">
          <a:extLst>
            <a:ext uri="{FF2B5EF4-FFF2-40B4-BE49-F238E27FC236}">
              <a16:creationId xmlns:a16="http://schemas.microsoft.com/office/drawing/2014/main" id="{7D030A1C-8F79-4F17-9396-BCF2BC60393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3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893575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1570</xdr:row>
      <xdr:rowOff>25400</xdr:rowOff>
    </xdr:from>
    <xdr:to>
      <xdr:col>11</xdr:col>
      <xdr:colOff>571500</xdr:colOff>
      <xdr:row>1571</xdr:row>
      <xdr:rowOff>0</xdr:rowOff>
    </xdr:to>
    <xdr:pic>
      <xdr:nvPicPr>
        <xdr:cNvPr id="11197" name="Рисунок 11196">
          <a:extLst>
            <a:ext uri="{FF2B5EF4-FFF2-40B4-BE49-F238E27FC236}">
              <a16:creationId xmlns:a16="http://schemas.microsoft.com/office/drawing/2014/main" id="{8C29CE3F-975F-41E2-A409-EAA87732507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3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894146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1571</xdr:row>
      <xdr:rowOff>25400</xdr:rowOff>
    </xdr:from>
    <xdr:to>
      <xdr:col>11</xdr:col>
      <xdr:colOff>571500</xdr:colOff>
      <xdr:row>1572</xdr:row>
      <xdr:rowOff>0</xdr:rowOff>
    </xdr:to>
    <xdr:pic>
      <xdr:nvPicPr>
        <xdr:cNvPr id="11199" name="Рисунок 11198">
          <a:extLst>
            <a:ext uri="{FF2B5EF4-FFF2-40B4-BE49-F238E27FC236}">
              <a16:creationId xmlns:a16="http://schemas.microsoft.com/office/drawing/2014/main" id="{93FF0420-CE7C-4767-AC1E-E27B0B024DF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3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894718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1572</xdr:row>
      <xdr:rowOff>25400</xdr:rowOff>
    </xdr:from>
    <xdr:to>
      <xdr:col>11</xdr:col>
      <xdr:colOff>571500</xdr:colOff>
      <xdr:row>1573</xdr:row>
      <xdr:rowOff>0</xdr:rowOff>
    </xdr:to>
    <xdr:pic>
      <xdr:nvPicPr>
        <xdr:cNvPr id="11201" name="Рисунок 11200">
          <a:extLst>
            <a:ext uri="{FF2B5EF4-FFF2-40B4-BE49-F238E27FC236}">
              <a16:creationId xmlns:a16="http://schemas.microsoft.com/office/drawing/2014/main" id="{8B348283-798B-4B7E-A9C8-50B7E640AC2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3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895289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1573</xdr:row>
      <xdr:rowOff>25400</xdr:rowOff>
    </xdr:from>
    <xdr:to>
      <xdr:col>11</xdr:col>
      <xdr:colOff>571500</xdr:colOff>
      <xdr:row>1574</xdr:row>
      <xdr:rowOff>0</xdr:rowOff>
    </xdr:to>
    <xdr:pic>
      <xdr:nvPicPr>
        <xdr:cNvPr id="11203" name="Рисунок 11202">
          <a:extLst>
            <a:ext uri="{FF2B5EF4-FFF2-40B4-BE49-F238E27FC236}">
              <a16:creationId xmlns:a16="http://schemas.microsoft.com/office/drawing/2014/main" id="{3B6DB7E2-A255-46E3-B98F-8E500E95E4A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3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895861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1574</xdr:row>
      <xdr:rowOff>25400</xdr:rowOff>
    </xdr:from>
    <xdr:to>
      <xdr:col>11</xdr:col>
      <xdr:colOff>571500</xdr:colOff>
      <xdr:row>1575</xdr:row>
      <xdr:rowOff>0</xdr:rowOff>
    </xdr:to>
    <xdr:pic>
      <xdr:nvPicPr>
        <xdr:cNvPr id="11205" name="Рисунок 11204">
          <a:extLst>
            <a:ext uri="{FF2B5EF4-FFF2-40B4-BE49-F238E27FC236}">
              <a16:creationId xmlns:a16="http://schemas.microsoft.com/office/drawing/2014/main" id="{39A4731C-6E7C-4A8C-AAE3-42CD368A259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3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896432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1575</xdr:row>
      <xdr:rowOff>25400</xdr:rowOff>
    </xdr:from>
    <xdr:to>
      <xdr:col>11</xdr:col>
      <xdr:colOff>571500</xdr:colOff>
      <xdr:row>1576</xdr:row>
      <xdr:rowOff>0</xdr:rowOff>
    </xdr:to>
    <xdr:pic>
      <xdr:nvPicPr>
        <xdr:cNvPr id="11207" name="Рисунок 11206">
          <a:extLst>
            <a:ext uri="{FF2B5EF4-FFF2-40B4-BE49-F238E27FC236}">
              <a16:creationId xmlns:a16="http://schemas.microsoft.com/office/drawing/2014/main" id="{5684BE6D-BAFA-4DEC-90E0-686B589E7A6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3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897004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1576</xdr:row>
      <xdr:rowOff>25400</xdr:rowOff>
    </xdr:from>
    <xdr:to>
      <xdr:col>11</xdr:col>
      <xdr:colOff>571500</xdr:colOff>
      <xdr:row>1577</xdr:row>
      <xdr:rowOff>0</xdr:rowOff>
    </xdr:to>
    <xdr:pic>
      <xdr:nvPicPr>
        <xdr:cNvPr id="11209" name="Рисунок 11208">
          <a:extLst>
            <a:ext uri="{FF2B5EF4-FFF2-40B4-BE49-F238E27FC236}">
              <a16:creationId xmlns:a16="http://schemas.microsoft.com/office/drawing/2014/main" id="{0B88E142-5CE2-4321-BADF-93A9FEDA32E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3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897575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1577</xdr:row>
      <xdr:rowOff>25400</xdr:rowOff>
    </xdr:from>
    <xdr:to>
      <xdr:col>11</xdr:col>
      <xdr:colOff>571500</xdr:colOff>
      <xdr:row>1578</xdr:row>
      <xdr:rowOff>0</xdr:rowOff>
    </xdr:to>
    <xdr:pic>
      <xdr:nvPicPr>
        <xdr:cNvPr id="11211" name="Рисунок 11210">
          <a:extLst>
            <a:ext uri="{FF2B5EF4-FFF2-40B4-BE49-F238E27FC236}">
              <a16:creationId xmlns:a16="http://schemas.microsoft.com/office/drawing/2014/main" id="{7B379C77-A769-4840-9786-9511A10F468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3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898147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1578</xdr:row>
      <xdr:rowOff>25400</xdr:rowOff>
    </xdr:from>
    <xdr:to>
      <xdr:col>11</xdr:col>
      <xdr:colOff>571500</xdr:colOff>
      <xdr:row>1579</xdr:row>
      <xdr:rowOff>0</xdr:rowOff>
    </xdr:to>
    <xdr:pic>
      <xdr:nvPicPr>
        <xdr:cNvPr id="11213" name="Рисунок 11212">
          <a:extLst>
            <a:ext uri="{FF2B5EF4-FFF2-40B4-BE49-F238E27FC236}">
              <a16:creationId xmlns:a16="http://schemas.microsoft.com/office/drawing/2014/main" id="{D5C271F4-C1C9-4D25-9083-3824A9DAFB7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4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898718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1579</xdr:row>
      <xdr:rowOff>25400</xdr:rowOff>
    </xdr:from>
    <xdr:to>
      <xdr:col>11</xdr:col>
      <xdr:colOff>571500</xdr:colOff>
      <xdr:row>1580</xdr:row>
      <xdr:rowOff>0</xdr:rowOff>
    </xdr:to>
    <xdr:pic>
      <xdr:nvPicPr>
        <xdr:cNvPr id="11215" name="Рисунок 11214">
          <a:extLst>
            <a:ext uri="{FF2B5EF4-FFF2-40B4-BE49-F238E27FC236}">
              <a16:creationId xmlns:a16="http://schemas.microsoft.com/office/drawing/2014/main" id="{CC7FB65F-C40E-403E-B1FA-E6E88996E68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4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899290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1580</xdr:row>
      <xdr:rowOff>25400</xdr:rowOff>
    </xdr:from>
    <xdr:to>
      <xdr:col>11</xdr:col>
      <xdr:colOff>571500</xdr:colOff>
      <xdr:row>1581</xdr:row>
      <xdr:rowOff>0</xdr:rowOff>
    </xdr:to>
    <xdr:pic>
      <xdr:nvPicPr>
        <xdr:cNvPr id="11217" name="Рисунок 11216">
          <a:extLst>
            <a:ext uri="{FF2B5EF4-FFF2-40B4-BE49-F238E27FC236}">
              <a16:creationId xmlns:a16="http://schemas.microsoft.com/office/drawing/2014/main" id="{E610F91B-A058-4C46-B64E-46D41567435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899861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1581</xdr:row>
      <xdr:rowOff>25400</xdr:rowOff>
    </xdr:from>
    <xdr:to>
      <xdr:col>11</xdr:col>
      <xdr:colOff>571500</xdr:colOff>
      <xdr:row>1582</xdr:row>
      <xdr:rowOff>0</xdr:rowOff>
    </xdr:to>
    <xdr:pic>
      <xdr:nvPicPr>
        <xdr:cNvPr id="11219" name="Рисунок 11218">
          <a:extLst>
            <a:ext uri="{FF2B5EF4-FFF2-40B4-BE49-F238E27FC236}">
              <a16:creationId xmlns:a16="http://schemas.microsoft.com/office/drawing/2014/main" id="{9AF928D1-730C-4525-84B8-837895ACB45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900433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1582</xdr:row>
      <xdr:rowOff>25400</xdr:rowOff>
    </xdr:from>
    <xdr:to>
      <xdr:col>11</xdr:col>
      <xdr:colOff>571500</xdr:colOff>
      <xdr:row>1583</xdr:row>
      <xdr:rowOff>0</xdr:rowOff>
    </xdr:to>
    <xdr:pic>
      <xdr:nvPicPr>
        <xdr:cNvPr id="11221" name="Рисунок 11220">
          <a:extLst>
            <a:ext uri="{FF2B5EF4-FFF2-40B4-BE49-F238E27FC236}">
              <a16:creationId xmlns:a16="http://schemas.microsoft.com/office/drawing/2014/main" id="{FC14627F-E736-41AD-94DE-E9A47AE7C44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901004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1583</xdr:row>
      <xdr:rowOff>25400</xdr:rowOff>
    </xdr:from>
    <xdr:to>
      <xdr:col>11</xdr:col>
      <xdr:colOff>571500</xdr:colOff>
      <xdr:row>1584</xdr:row>
      <xdr:rowOff>0</xdr:rowOff>
    </xdr:to>
    <xdr:pic>
      <xdr:nvPicPr>
        <xdr:cNvPr id="11223" name="Рисунок 11222">
          <a:extLst>
            <a:ext uri="{FF2B5EF4-FFF2-40B4-BE49-F238E27FC236}">
              <a16:creationId xmlns:a16="http://schemas.microsoft.com/office/drawing/2014/main" id="{47D2A66B-A7CA-4602-B053-9578BD3D97C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4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901576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1584</xdr:row>
      <xdr:rowOff>25400</xdr:rowOff>
    </xdr:from>
    <xdr:to>
      <xdr:col>11</xdr:col>
      <xdr:colOff>571500</xdr:colOff>
      <xdr:row>1585</xdr:row>
      <xdr:rowOff>0</xdr:rowOff>
    </xdr:to>
    <xdr:pic>
      <xdr:nvPicPr>
        <xdr:cNvPr id="11225" name="Рисунок 11224">
          <a:extLst>
            <a:ext uri="{FF2B5EF4-FFF2-40B4-BE49-F238E27FC236}">
              <a16:creationId xmlns:a16="http://schemas.microsoft.com/office/drawing/2014/main" id="{E68D8BB5-E8E8-4076-8B60-C71F9E6CD2D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4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902147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1585</xdr:row>
      <xdr:rowOff>25400</xdr:rowOff>
    </xdr:from>
    <xdr:to>
      <xdr:col>11</xdr:col>
      <xdr:colOff>571500</xdr:colOff>
      <xdr:row>1586</xdr:row>
      <xdr:rowOff>0</xdr:rowOff>
    </xdr:to>
    <xdr:pic>
      <xdr:nvPicPr>
        <xdr:cNvPr id="11227" name="Рисунок 11226">
          <a:extLst>
            <a:ext uri="{FF2B5EF4-FFF2-40B4-BE49-F238E27FC236}">
              <a16:creationId xmlns:a16="http://schemas.microsoft.com/office/drawing/2014/main" id="{D172A1DC-33A3-42BA-AD00-273F55EC56E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4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902719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1586</xdr:row>
      <xdr:rowOff>25400</xdr:rowOff>
    </xdr:from>
    <xdr:to>
      <xdr:col>11</xdr:col>
      <xdr:colOff>571500</xdr:colOff>
      <xdr:row>1587</xdr:row>
      <xdr:rowOff>0</xdr:rowOff>
    </xdr:to>
    <xdr:pic>
      <xdr:nvPicPr>
        <xdr:cNvPr id="11229" name="Рисунок 11228">
          <a:extLst>
            <a:ext uri="{FF2B5EF4-FFF2-40B4-BE49-F238E27FC236}">
              <a16:creationId xmlns:a16="http://schemas.microsoft.com/office/drawing/2014/main" id="{0E9E9177-7651-4AD1-BECD-57017DE50F0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4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903290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1587</xdr:row>
      <xdr:rowOff>25400</xdr:rowOff>
    </xdr:from>
    <xdr:to>
      <xdr:col>11</xdr:col>
      <xdr:colOff>571500</xdr:colOff>
      <xdr:row>1588</xdr:row>
      <xdr:rowOff>0</xdr:rowOff>
    </xdr:to>
    <xdr:pic>
      <xdr:nvPicPr>
        <xdr:cNvPr id="11231" name="Рисунок 11230">
          <a:extLst>
            <a:ext uri="{FF2B5EF4-FFF2-40B4-BE49-F238E27FC236}">
              <a16:creationId xmlns:a16="http://schemas.microsoft.com/office/drawing/2014/main" id="{15FFC615-FA31-4B6A-8699-A95C8F8AD04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4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903862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1588</xdr:row>
      <xdr:rowOff>25400</xdr:rowOff>
    </xdr:from>
    <xdr:to>
      <xdr:col>11</xdr:col>
      <xdr:colOff>571500</xdr:colOff>
      <xdr:row>1589</xdr:row>
      <xdr:rowOff>0</xdr:rowOff>
    </xdr:to>
    <xdr:pic>
      <xdr:nvPicPr>
        <xdr:cNvPr id="11233" name="Рисунок 11232">
          <a:extLst>
            <a:ext uri="{FF2B5EF4-FFF2-40B4-BE49-F238E27FC236}">
              <a16:creationId xmlns:a16="http://schemas.microsoft.com/office/drawing/2014/main" id="{D3B283B8-187E-4C2D-8109-475A675F17E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5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904433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1589</xdr:row>
      <xdr:rowOff>25400</xdr:rowOff>
    </xdr:from>
    <xdr:to>
      <xdr:col>11</xdr:col>
      <xdr:colOff>571500</xdr:colOff>
      <xdr:row>1590</xdr:row>
      <xdr:rowOff>0</xdr:rowOff>
    </xdr:to>
    <xdr:pic>
      <xdr:nvPicPr>
        <xdr:cNvPr id="11235" name="Рисунок 11234">
          <a:extLst>
            <a:ext uri="{FF2B5EF4-FFF2-40B4-BE49-F238E27FC236}">
              <a16:creationId xmlns:a16="http://schemas.microsoft.com/office/drawing/2014/main" id="{748D6F79-19B1-4B87-8747-2A5175F72FA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5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905005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1590</xdr:row>
      <xdr:rowOff>25400</xdr:rowOff>
    </xdr:from>
    <xdr:to>
      <xdr:col>11</xdr:col>
      <xdr:colOff>571500</xdr:colOff>
      <xdr:row>1591</xdr:row>
      <xdr:rowOff>0</xdr:rowOff>
    </xdr:to>
    <xdr:pic>
      <xdr:nvPicPr>
        <xdr:cNvPr id="11237" name="Рисунок 11236">
          <a:extLst>
            <a:ext uri="{FF2B5EF4-FFF2-40B4-BE49-F238E27FC236}">
              <a16:creationId xmlns:a16="http://schemas.microsoft.com/office/drawing/2014/main" id="{577B0B1A-91A0-4B25-AEE5-699C51ED6D0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905576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1591</xdr:row>
      <xdr:rowOff>25400</xdr:rowOff>
    </xdr:from>
    <xdr:to>
      <xdr:col>11</xdr:col>
      <xdr:colOff>571500</xdr:colOff>
      <xdr:row>1592</xdr:row>
      <xdr:rowOff>0</xdr:rowOff>
    </xdr:to>
    <xdr:pic>
      <xdr:nvPicPr>
        <xdr:cNvPr id="11239" name="Рисунок 11238">
          <a:extLst>
            <a:ext uri="{FF2B5EF4-FFF2-40B4-BE49-F238E27FC236}">
              <a16:creationId xmlns:a16="http://schemas.microsoft.com/office/drawing/2014/main" id="{16CF1251-15E5-4589-84CF-C479AD7834F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5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906148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1592</xdr:row>
      <xdr:rowOff>25400</xdr:rowOff>
    </xdr:from>
    <xdr:to>
      <xdr:col>11</xdr:col>
      <xdr:colOff>571500</xdr:colOff>
      <xdr:row>1593</xdr:row>
      <xdr:rowOff>0</xdr:rowOff>
    </xdr:to>
    <xdr:pic>
      <xdr:nvPicPr>
        <xdr:cNvPr id="11241" name="Рисунок 11240">
          <a:extLst>
            <a:ext uri="{FF2B5EF4-FFF2-40B4-BE49-F238E27FC236}">
              <a16:creationId xmlns:a16="http://schemas.microsoft.com/office/drawing/2014/main" id="{65F2B6C6-E47F-4FAD-982E-A378F377818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5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906719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1593</xdr:row>
      <xdr:rowOff>25400</xdr:rowOff>
    </xdr:from>
    <xdr:to>
      <xdr:col>11</xdr:col>
      <xdr:colOff>571500</xdr:colOff>
      <xdr:row>1594</xdr:row>
      <xdr:rowOff>0</xdr:rowOff>
    </xdr:to>
    <xdr:pic>
      <xdr:nvPicPr>
        <xdr:cNvPr id="11243" name="Рисунок 11242">
          <a:extLst>
            <a:ext uri="{FF2B5EF4-FFF2-40B4-BE49-F238E27FC236}">
              <a16:creationId xmlns:a16="http://schemas.microsoft.com/office/drawing/2014/main" id="{A7D06BD9-BFDA-4421-9401-1F7E7FFA5A1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5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907291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1594</xdr:row>
      <xdr:rowOff>25400</xdr:rowOff>
    </xdr:from>
    <xdr:to>
      <xdr:col>11</xdr:col>
      <xdr:colOff>571500</xdr:colOff>
      <xdr:row>1595</xdr:row>
      <xdr:rowOff>0</xdr:rowOff>
    </xdr:to>
    <xdr:pic>
      <xdr:nvPicPr>
        <xdr:cNvPr id="11245" name="Рисунок 11244">
          <a:extLst>
            <a:ext uri="{FF2B5EF4-FFF2-40B4-BE49-F238E27FC236}">
              <a16:creationId xmlns:a16="http://schemas.microsoft.com/office/drawing/2014/main" id="{C654AFB9-BE58-4B01-A876-CD5F121BAF3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5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907862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1595</xdr:row>
      <xdr:rowOff>25400</xdr:rowOff>
    </xdr:from>
    <xdr:to>
      <xdr:col>11</xdr:col>
      <xdr:colOff>571500</xdr:colOff>
      <xdr:row>1596</xdr:row>
      <xdr:rowOff>0</xdr:rowOff>
    </xdr:to>
    <xdr:pic>
      <xdr:nvPicPr>
        <xdr:cNvPr id="11247" name="Рисунок 11246">
          <a:extLst>
            <a:ext uri="{FF2B5EF4-FFF2-40B4-BE49-F238E27FC236}">
              <a16:creationId xmlns:a16="http://schemas.microsoft.com/office/drawing/2014/main" id="{3DBBC3D4-ECB9-406F-9717-9203BA4916C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5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908434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1596</xdr:row>
      <xdr:rowOff>25400</xdr:rowOff>
    </xdr:from>
    <xdr:to>
      <xdr:col>11</xdr:col>
      <xdr:colOff>571500</xdr:colOff>
      <xdr:row>1597</xdr:row>
      <xdr:rowOff>0</xdr:rowOff>
    </xdr:to>
    <xdr:pic>
      <xdr:nvPicPr>
        <xdr:cNvPr id="11249" name="Рисунок 11248">
          <a:extLst>
            <a:ext uri="{FF2B5EF4-FFF2-40B4-BE49-F238E27FC236}">
              <a16:creationId xmlns:a16="http://schemas.microsoft.com/office/drawing/2014/main" id="{AD1A6536-C091-4719-A2C5-D35D72200B3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5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909005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1597</xdr:row>
      <xdr:rowOff>25400</xdr:rowOff>
    </xdr:from>
    <xdr:to>
      <xdr:col>11</xdr:col>
      <xdr:colOff>571500</xdr:colOff>
      <xdr:row>1598</xdr:row>
      <xdr:rowOff>0</xdr:rowOff>
    </xdr:to>
    <xdr:pic>
      <xdr:nvPicPr>
        <xdr:cNvPr id="11251" name="Рисунок 11250">
          <a:extLst>
            <a:ext uri="{FF2B5EF4-FFF2-40B4-BE49-F238E27FC236}">
              <a16:creationId xmlns:a16="http://schemas.microsoft.com/office/drawing/2014/main" id="{B97ED8B1-A589-4D87-A58B-4CF2780F540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5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909577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1598</xdr:row>
      <xdr:rowOff>25400</xdr:rowOff>
    </xdr:from>
    <xdr:to>
      <xdr:col>11</xdr:col>
      <xdr:colOff>571500</xdr:colOff>
      <xdr:row>1599</xdr:row>
      <xdr:rowOff>0</xdr:rowOff>
    </xdr:to>
    <xdr:pic>
      <xdr:nvPicPr>
        <xdr:cNvPr id="11253" name="Рисунок 11252">
          <a:extLst>
            <a:ext uri="{FF2B5EF4-FFF2-40B4-BE49-F238E27FC236}">
              <a16:creationId xmlns:a16="http://schemas.microsoft.com/office/drawing/2014/main" id="{3E840754-BF13-4066-BCB0-5B4B09A6420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6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910148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1599</xdr:row>
      <xdr:rowOff>25400</xdr:rowOff>
    </xdr:from>
    <xdr:to>
      <xdr:col>11</xdr:col>
      <xdr:colOff>571500</xdr:colOff>
      <xdr:row>1600</xdr:row>
      <xdr:rowOff>0</xdr:rowOff>
    </xdr:to>
    <xdr:pic>
      <xdr:nvPicPr>
        <xdr:cNvPr id="11255" name="Рисунок 11254">
          <a:extLst>
            <a:ext uri="{FF2B5EF4-FFF2-40B4-BE49-F238E27FC236}">
              <a16:creationId xmlns:a16="http://schemas.microsoft.com/office/drawing/2014/main" id="{3466B6DA-0FBF-417F-ACDE-8E052D820EA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6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910720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1600</xdr:row>
      <xdr:rowOff>25400</xdr:rowOff>
    </xdr:from>
    <xdr:to>
      <xdr:col>11</xdr:col>
      <xdr:colOff>571500</xdr:colOff>
      <xdr:row>1601</xdr:row>
      <xdr:rowOff>0</xdr:rowOff>
    </xdr:to>
    <xdr:pic>
      <xdr:nvPicPr>
        <xdr:cNvPr id="11257" name="Рисунок 11256">
          <a:extLst>
            <a:ext uri="{FF2B5EF4-FFF2-40B4-BE49-F238E27FC236}">
              <a16:creationId xmlns:a16="http://schemas.microsoft.com/office/drawing/2014/main" id="{8D2D641D-8AA8-49BE-926B-2104BB294F1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6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911291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1601</xdr:row>
      <xdr:rowOff>25400</xdr:rowOff>
    </xdr:from>
    <xdr:to>
      <xdr:col>11</xdr:col>
      <xdr:colOff>571500</xdr:colOff>
      <xdr:row>1602</xdr:row>
      <xdr:rowOff>0</xdr:rowOff>
    </xdr:to>
    <xdr:pic>
      <xdr:nvPicPr>
        <xdr:cNvPr id="11259" name="Рисунок 11258">
          <a:extLst>
            <a:ext uri="{FF2B5EF4-FFF2-40B4-BE49-F238E27FC236}">
              <a16:creationId xmlns:a16="http://schemas.microsoft.com/office/drawing/2014/main" id="{926A7543-4EA7-4CD3-A30C-BE7F1B46E9D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6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911863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1602</xdr:row>
      <xdr:rowOff>25400</xdr:rowOff>
    </xdr:from>
    <xdr:to>
      <xdr:col>11</xdr:col>
      <xdr:colOff>571500</xdr:colOff>
      <xdr:row>1603</xdr:row>
      <xdr:rowOff>0</xdr:rowOff>
    </xdr:to>
    <xdr:pic>
      <xdr:nvPicPr>
        <xdr:cNvPr id="11261" name="Рисунок 11260">
          <a:extLst>
            <a:ext uri="{FF2B5EF4-FFF2-40B4-BE49-F238E27FC236}">
              <a16:creationId xmlns:a16="http://schemas.microsoft.com/office/drawing/2014/main" id="{C9640D9F-D226-45BE-BEDB-C1F9AF8F57A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6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912434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1603</xdr:row>
      <xdr:rowOff>25400</xdr:rowOff>
    </xdr:from>
    <xdr:to>
      <xdr:col>11</xdr:col>
      <xdr:colOff>571500</xdr:colOff>
      <xdr:row>1604</xdr:row>
      <xdr:rowOff>0</xdr:rowOff>
    </xdr:to>
    <xdr:pic>
      <xdr:nvPicPr>
        <xdr:cNvPr id="11263" name="Рисунок 11262">
          <a:extLst>
            <a:ext uri="{FF2B5EF4-FFF2-40B4-BE49-F238E27FC236}">
              <a16:creationId xmlns:a16="http://schemas.microsoft.com/office/drawing/2014/main" id="{09E1EA40-B901-436F-AA3B-2C752AB01C8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6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913006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1604</xdr:row>
      <xdr:rowOff>25400</xdr:rowOff>
    </xdr:from>
    <xdr:to>
      <xdr:col>11</xdr:col>
      <xdr:colOff>571500</xdr:colOff>
      <xdr:row>1605</xdr:row>
      <xdr:rowOff>0</xdr:rowOff>
    </xdr:to>
    <xdr:pic>
      <xdr:nvPicPr>
        <xdr:cNvPr id="11265" name="Рисунок 11264">
          <a:extLst>
            <a:ext uri="{FF2B5EF4-FFF2-40B4-BE49-F238E27FC236}">
              <a16:creationId xmlns:a16="http://schemas.microsoft.com/office/drawing/2014/main" id="{67179CF3-0629-46D0-85F1-1D3CB263B95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6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913577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1605</xdr:row>
      <xdr:rowOff>25400</xdr:rowOff>
    </xdr:from>
    <xdr:to>
      <xdr:col>11</xdr:col>
      <xdr:colOff>571500</xdr:colOff>
      <xdr:row>1606</xdr:row>
      <xdr:rowOff>0</xdr:rowOff>
    </xdr:to>
    <xdr:pic>
      <xdr:nvPicPr>
        <xdr:cNvPr id="11267" name="Рисунок 11266">
          <a:extLst>
            <a:ext uri="{FF2B5EF4-FFF2-40B4-BE49-F238E27FC236}">
              <a16:creationId xmlns:a16="http://schemas.microsoft.com/office/drawing/2014/main" id="{A22BB081-87EE-4987-8B07-84CDCF22355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6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914149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1606</xdr:row>
      <xdr:rowOff>25400</xdr:rowOff>
    </xdr:from>
    <xdr:to>
      <xdr:col>11</xdr:col>
      <xdr:colOff>571500</xdr:colOff>
      <xdr:row>1607</xdr:row>
      <xdr:rowOff>0</xdr:rowOff>
    </xdr:to>
    <xdr:pic>
      <xdr:nvPicPr>
        <xdr:cNvPr id="11269" name="Рисунок 11268">
          <a:extLst>
            <a:ext uri="{FF2B5EF4-FFF2-40B4-BE49-F238E27FC236}">
              <a16:creationId xmlns:a16="http://schemas.microsoft.com/office/drawing/2014/main" id="{1E9E283E-5C56-4EF3-AB7A-4697CF3F8A4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6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914720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1607</xdr:row>
      <xdr:rowOff>25400</xdr:rowOff>
    </xdr:from>
    <xdr:to>
      <xdr:col>11</xdr:col>
      <xdr:colOff>571500</xdr:colOff>
      <xdr:row>1608</xdr:row>
      <xdr:rowOff>0</xdr:rowOff>
    </xdr:to>
    <xdr:pic>
      <xdr:nvPicPr>
        <xdr:cNvPr id="11271" name="Рисунок 11270">
          <a:extLst>
            <a:ext uri="{FF2B5EF4-FFF2-40B4-BE49-F238E27FC236}">
              <a16:creationId xmlns:a16="http://schemas.microsoft.com/office/drawing/2014/main" id="{7FEDBDE4-A9D8-463E-A784-D0B33256824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6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915292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1608</xdr:row>
      <xdr:rowOff>25400</xdr:rowOff>
    </xdr:from>
    <xdr:to>
      <xdr:col>11</xdr:col>
      <xdr:colOff>571500</xdr:colOff>
      <xdr:row>1609</xdr:row>
      <xdr:rowOff>0</xdr:rowOff>
    </xdr:to>
    <xdr:pic>
      <xdr:nvPicPr>
        <xdr:cNvPr id="11273" name="Рисунок 11272">
          <a:extLst>
            <a:ext uri="{FF2B5EF4-FFF2-40B4-BE49-F238E27FC236}">
              <a16:creationId xmlns:a16="http://schemas.microsoft.com/office/drawing/2014/main" id="{4898CC09-D340-4DC2-BD86-EA6BA22EFBA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7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915863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1609</xdr:row>
      <xdr:rowOff>25400</xdr:rowOff>
    </xdr:from>
    <xdr:to>
      <xdr:col>11</xdr:col>
      <xdr:colOff>571500</xdr:colOff>
      <xdr:row>1610</xdr:row>
      <xdr:rowOff>0</xdr:rowOff>
    </xdr:to>
    <xdr:pic>
      <xdr:nvPicPr>
        <xdr:cNvPr id="11275" name="Рисунок 11274">
          <a:extLst>
            <a:ext uri="{FF2B5EF4-FFF2-40B4-BE49-F238E27FC236}">
              <a16:creationId xmlns:a16="http://schemas.microsoft.com/office/drawing/2014/main" id="{16AA3B4B-3E50-4F9B-8E1E-0AECECF1AC4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7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916435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1610</xdr:row>
      <xdr:rowOff>25400</xdr:rowOff>
    </xdr:from>
    <xdr:to>
      <xdr:col>11</xdr:col>
      <xdr:colOff>571500</xdr:colOff>
      <xdr:row>1611</xdr:row>
      <xdr:rowOff>0</xdr:rowOff>
    </xdr:to>
    <xdr:pic>
      <xdr:nvPicPr>
        <xdr:cNvPr id="11277" name="Рисунок 11276">
          <a:extLst>
            <a:ext uri="{FF2B5EF4-FFF2-40B4-BE49-F238E27FC236}">
              <a16:creationId xmlns:a16="http://schemas.microsoft.com/office/drawing/2014/main" id="{D813EAE9-BC7A-439B-AA90-B490A91D575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7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917006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1611</xdr:row>
      <xdr:rowOff>25400</xdr:rowOff>
    </xdr:from>
    <xdr:to>
      <xdr:col>11</xdr:col>
      <xdr:colOff>571500</xdr:colOff>
      <xdr:row>1612</xdr:row>
      <xdr:rowOff>0</xdr:rowOff>
    </xdr:to>
    <xdr:pic>
      <xdr:nvPicPr>
        <xdr:cNvPr id="11279" name="Рисунок 11278">
          <a:extLst>
            <a:ext uri="{FF2B5EF4-FFF2-40B4-BE49-F238E27FC236}">
              <a16:creationId xmlns:a16="http://schemas.microsoft.com/office/drawing/2014/main" id="{571FB40E-A118-47F9-905D-5ECF1A8BFFD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7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917578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1612</xdr:row>
      <xdr:rowOff>25400</xdr:rowOff>
    </xdr:from>
    <xdr:to>
      <xdr:col>11</xdr:col>
      <xdr:colOff>571500</xdr:colOff>
      <xdr:row>1613</xdr:row>
      <xdr:rowOff>0</xdr:rowOff>
    </xdr:to>
    <xdr:pic>
      <xdr:nvPicPr>
        <xdr:cNvPr id="11281" name="Рисунок 11280">
          <a:extLst>
            <a:ext uri="{FF2B5EF4-FFF2-40B4-BE49-F238E27FC236}">
              <a16:creationId xmlns:a16="http://schemas.microsoft.com/office/drawing/2014/main" id="{ECB652D7-BFC5-407F-9930-1BED393B2D3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7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918149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1613</xdr:row>
      <xdr:rowOff>25400</xdr:rowOff>
    </xdr:from>
    <xdr:to>
      <xdr:col>11</xdr:col>
      <xdr:colOff>571500</xdr:colOff>
      <xdr:row>1614</xdr:row>
      <xdr:rowOff>0</xdr:rowOff>
    </xdr:to>
    <xdr:pic>
      <xdr:nvPicPr>
        <xdr:cNvPr id="11283" name="Рисунок 11282">
          <a:extLst>
            <a:ext uri="{FF2B5EF4-FFF2-40B4-BE49-F238E27FC236}">
              <a16:creationId xmlns:a16="http://schemas.microsoft.com/office/drawing/2014/main" id="{D9322075-B564-45C6-A871-6B86230D91F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7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918721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1614</xdr:row>
      <xdr:rowOff>25400</xdr:rowOff>
    </xdr:from>
    <xdr:to>
      <xdr:col>11</xdr:col>
      <xdr:colOff>571500</xdr:colOff>
      <xdr:row>1615</xdr:row>
      <xdr:rowOff>0</xdr:rowOff>
    </xdr:to>
    <xdr:pic>
      <xdr:nvPicPr>
        <xdr:cNvPr id="11285" name="Рисунок 11284">
          <a:extLst>
            <a:ext uri="{FF2B5EF4-FFF2-40B4-BE49-F238E27FC236}">
              <a16:creationId xmlns:a16="http://schemas.microsoft.com/office/drawing/2014/main" id="{123E5DC3-84FB-4757-BD39-20C0ACC168A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7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919292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1615</xdr:row>
      <xdr:rowOff>25400</xdr:rowOff>
    </xdr:from>
    <xdr:to>
      <xdr:col>11</xdr:col>
      <xdr:colOff>571500</xdr:colOff>
      <xdr:row>1616</xdr:row>
      <xdr:rowOff>0</xdr:rowOff>
    </xdr:to>
    <xdr:pic>
      <xdr:nvPicPr>
        <xdr:cNvPr id="11287" name="Рисунок 11286">
          <a:extLst>
            <a:ext uri="{FF2B5EF4-FFF2-40B4-BE49-F238E27FC236}">
              <a16:creationId xmlns:a16="http://schemas.microsoft.com/office/drawing/2014/main" id="{986A0538-C6F0-44FC-BD44-3F1DF82177E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7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919864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1616</xdr:row>
      <xdr:rowOff>25400</xdr:rowOff>
    </xdr:from>
    <xdr:to>
      <xdr:col>11</xdr:col>
      <xdr:colOff>571500</xdr:colOff>
      <xdr:row>1617</xdr:row>
      <xdr:rowOff>0</xdr:rowOff>
    </xdr:to>
    <xdr:pic>
      <xdr:nvPicPr>
        <xdr:cNvPr id="11289" name="Рисунок 11288">
          <a:extLst>
            <a:ext uri="{FF2B5EF4-FFF2-40B4-BE49-F238E27FC236}">
              <a16:creationId xmlns:a16="http://schemas.microsoft.com/office/drawing/2014/main" id="{E65CE1E3-3310-4361-A382-49007F5BB49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7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920435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1617</xdr:row>
      <xdr:rowOff>25400</xdr:rowOff>
    </xdr:from>
    <xdr:to>
      <xdr:col>11</xdr:col>
      <xdr:colOff>571500</xdr:colOff>
      <xdr:row>1618</xdr:row>
      <xdr:rowOff>0</xdr:rowOff>
    </xdr:to>
    <xdr:pic>
      <xdr:nvPicPr>
        <xdr:cNvPr id="11291" name="Рисунок 11290">
          <a:extLst>
            <a:ext uri="{FF2B5EF4-FFF2-40B4-BE49-F238E27FC236}">
              <a16:creationId xmlns:a16="http://schemas.microsoft.com/office/drawing/2014/main" id="{BFC735AA-13CA-42B9-B2F6-EC86323837E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7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921007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1618</xdr:row>
      <xdr:rowOff>25400</xdr:rowOff>
    </xdr:from>
    <xdr:to>
      <xdr:col>11</xdr:col>
      <xdr:colOff>571500</xdr:colOff>
      <xdr:row>1619</xdr:row>
      <xdr:rowOff>0</xdr:rowOff>
    </xdr:to>
    <xdr:pic>
      <xdr:nvPicPr>
        <xdr:cNvPr id="11293" name="Рисунок 11292">
          <a:extLst>
            <a:ext uri="{FF2B5EF4-FFF2-40B4-BE49-F238E27FC236}">
              <a16:creationId xmlns:a16="http://schemas.microsoft.com/office/drawing/2014/main" id="{559A97F7-AB3F-4849-8786-EE4FB033F95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8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921578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1619</xdr:row>
      <xdr:rowOff>25400</xdr:rowOff>
    </xdr:from>
    <xdr:to>
      <xdr:col>11</xdr:col>
      <xdr:colOff>571500</xdr:colOff>
      <xdr:row>1620</xdr:row>
      <xdr:rowOff>0</xdr:rowOff>
    </xdr:to>
    <xdr:pic>
      <xdr:nvPicPr>
        <xdr:cNvPr id="11295" name="Рисунок 11294">
          <a:extLst>
            <a:ext uri="{FF2B5EF4-FFF2-40B4-BE49-F238E27FC236}">
              <a16:creationId xmlns:a16="http://schemas.microsoft.com/office/drawing/2014/main" id="{789DD6DB-8E75-40E0-B794-59E10E19165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8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922150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1620</xdr:row>
      <xdr:rowOff>25400</xdr:rowOff>
    </xdr:from>
    <xdr:to>
      <xdr:col>11</xdr:col>
      <xdr:colOff>571500</xdr:colOff>
      <xdr:row>1621</xdr:row>
      <xdr:rowOff>0</xdr:rowOff>
    </xdr:to>
    <xdr:pic>
      <xdr:nvPicPr>
        <xdr:cNvPr id="11297" name="Рисунок 11296">
          <a:extLst>
            <a:ext uri="{FF2B5EF4-FFF2-40B4-BE49-F238E27FC236}">
              <a16:creationId xmlns:a16="http://schemas.microsoft.com/office/drawing/2014/main" id="{668C6451-6C29-41A4-B33E-CDB2B07D624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8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922721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1621</xdr:row>
      <xdr:rowOff>25400</xdr:rowOff>
    </xdr:from>
    <xdr:to>
      <xdr:col>11</xdr:col>
      <xdr:colOff>571500</xdr:colOff>
      <xdr:row>1622</xdr:row>
      <xdr:rowOff>0</xdr:rowOff>
    </xdr:to>
    <xdr:pic>
      <xdr:nvPicPr>
        <xdr:cNvPr id="11299" name="Рисунок 11298">
          <a:extLst>
            <a:ext uri="{FF2B5EF4-FFF2-40B4-BE49-F238E27FC236}">
              <a16:creationId xmlns:a16="http://schemas.microsoft.com/office/drawing/2014/main" id="{680F09EA-1AB5-43B9-9331-3D072943951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8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923293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1622</xdr:row>
      <xdr:rowOff>25400</xdr:rowOff>
    </xdr:from>
    <xdr:to>
      <xdr:col>11</xdr:col>
      <xdr:colOff>571500</xdr:colOff>
      <xdr:row>1623</xdr:row>
      <xdr:rowOff>0</xdr:rowOff>
    </xdr:to>
    <xdr:pic>
      <xdr:nvPicPr>
        <xdr:cNvPr id="11301" name="Рисунок 11300">
          <a:extLst>
            <a:ext uri="{FF2B5EF4-FFF2-40B4-BE49-F238E27FC236}">
              <a16:creationId xmlns:a16="http://schemas.microsoft.com/office/drawing/2014/main" id="{AD2FBF91-C8BE-4096-885A-F1EDB2A894B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8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923864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1623</xdr:row>
      <xdr:rowOff>25400</xdr:rowOff>
    </xdr:from>
    <xdr:to>
      <xdr:col>11</xdr:col>
      <xdr:colOff>571500</xdr:colOff>
      <xdr:row>1624</xdr:row>
      <xdr:rowOff>0</xdr:rowOff>
    </xdr:to>
    <xdr:pic>
      <xdr:nvPicPr>
        <xdr:cNvPr id="11303" name="Рисунок 11302">
          <a:extLst>
            <a:ext uri="{FF2B5EF4-FFF2-40B4-BE49-F238E27FC236}">
              <a16:creationId xmlns:a16="http://schemas.microsoft.com/office/drawing/2014/main" id="{E0F16720-D23C-432C-8416-23F9A510CA9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8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924436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1624</xdr:row>
      <xdr:rowOff>25400</xdr:rowOff>
    </xdr:from>
    <xdr:to>
      <xdr:col>11</xdr:col>
      <xdr:colOff>571500</xdr:colOff>
      <xdr:row>1625</xdr:row>
      <xdr:rowOff>0</xdr:rowOff>
    </xdr:to>
    <xdr:pic>
      <xdr:nvPicPr>
        <xdr:cNvPr id="11305" name="Рисунок 11304">
          <a:extLst>
            <a:ext uri="{FF2B5EF4-FFF2-40B4-BE49-F238E27FC236}">
              <a16:creationId xmlns:a16="http://schemas.microsoft.com/office/drawing/2014/main" id="{162BDEEA-99BE-4B73-B181-41AE76A5E74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8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925007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1625</xdr:row>
      <xdr:rowOff>25400</xdr:rowOff>
    </xdr:from>
    <xdr:to>
      <xdr:col>11</xdr:col>
      <xdr:colOff>571500</xdr:colOff>
      <xdr:row>1626</xdr:row>
      <xdr:rowOff>0</xdr:rowOff>
    </xdr:to>
    <xdr:pic>
      <xdr:nvPicPr>
        <xdr:cNvPr id="11307" name="Рисунок 11306">
          <a:extLst>
            <a:ext uri="{FF2B5EF4-FFF2-40B4-BE49-F238E27FC236}">
              <a16:creationId xmlns:a16="http://schemas.microsoft.com/office/drawing/2014/main" id="{B45B32B5-2297-4266-8AD1-9BE489AAC92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8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925579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1626</xdr:row>
      <xdr:rowOff>25400</xdr:rowOff>
    </xdr:from>
    <xdr:to>
      <xdr:col>11</xdr:col>
      <xdr:colOff>571500</xdr:colOff>
      <xdr:row>1627</xdr:row>
      <xdr:rowOff>0</xdr:rowOff>
    </xdr:to>
    <xdr:pic>
      <xdr:nvPicPr>
        <xdr:cNvPr id="11309" name="Рисунок 11308">
          <a:extLst>
            <a:ext uri="{FF2B5EF4-FFF2-40B4-BE49-F238E27FC236}">
              <a16:creationId xmlns:a16="http://schemas.microsoft.com/office/drawing/2014/main" id="{EEF792F7-ABBE-4C6B-9308-60422C36950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8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926150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1627</xdr:row>
      <xdr:rowOff>25400</xdr:rowOff>
    </xdr:from>
    <xdr:to>
      <xdr:col>11</xdr:col>
      <xdr:colOff>571500</xdr:colOff>
      <xdr:row>1628</xdr:row>
      <xdr:rowOff>0</xdr:rowOff>
    </xdr:to>
    <xdr:pic>
      <xdr:nvPicPr>
        <xdr:cNvPr id="11311" name="Рисунок 11310">
          <a:extLst>
            <a:ext uri="{FF2B5EF4-FFF2-40B4-BE49-F238E27FC236}">
              <a16:creationId xmlns:a16="http://schemas.microsoft.com/office/drawing/2014/main" id="{817FBA00-C834-4729-9EC0-7F419D336D8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8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926722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1628</xdr:row>
      <xdr:rowOff>25400</xdr:rowOff>
    </xdr:from>
    <xdr:to>
      <xdr:col>11</xdr:col>
      <xdr:colOff>571500</xdr:colOff>
      <xdr:row>1629</xdr:row>
      <xdr:rowOff>0</xdr:rowOff>
    </xdr:to>
    <xdr:pic>
      <xdr:nvPicPr>
        <xdr:cNvPr id="11313" name="Рисунок 11312">
          <a:extLst>
            <a:ext uri="{FF2B5EF4-FFF2-40B4-BE49-F238E27FC236}">
              <a16:creationId xmlns:a16="http://schemas.microsoft.com/office/drawing/2014/main" id="{A863C1F9-F389-4648-858A-B84D3108480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9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927293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1629</xdr:row>
      <xdr:rowOff>25400</xdr:rowOff>
    </xdr:from>
    <xdr:to>
      <xdr:col>11</xdr:col>
      <xdr:colOff>571500</xdr:colOff>
      <xdr:row>1630</xdr:row>
      <xdr:rowOff>0</xdr:rowOff>
    </xdr:to>
    <xdr:pic>
      <xdr:nvPicPr>
        <xdr:cNvPr id="11315" name="Рисунок 11314">
          <a:extLst>
            <a:ext uri="{FF2B5EF4-FFF2-40B4-BE49-F238E27FC236}">
              <a16:creationId xmlns:a16="http://schemas.microsoft.com/office/drawing/2014/main" id="{AC36F3A6-AE86-447D-B757-9164C2D3CBC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9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927865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1630</xdr:row>
      <xdr:rowOff>25400</xdr:rowOff>
    </xdr:from>
    <xdr:to>
      <xdr:col>11</xdr:col>
      <xdr:colOff>571500</xdr:colOff>
      <xdr:row>1631</xdr:row>
      <xdr:rowOff>0</xdr:rowOff>
    </xdr:to>
    <xdr:pic>
      <xdr:nvPicPr>
        <xdr:cNvPr id="11317" name="Рисунок 11316">
          <a:extLst>
            <a:ext uri="{FF2B5EF4-FFF2-40B4-BE49-F238E27FC236}">
              <a16:creationId xmlns:a16="http://schemas.microsoft.com/office/drawing/2014/main" id="{B5F733F7-218E-495C-887C-1B43B23E0DB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9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928436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1631</xdr:row>
      <xdr:rowOff>25400</xdr:rowOff>
    </xdr:from>
    <xdr:to>
      <xdr:col>11</xdr:col>
      <xdr:colOff>571500</xdr:colOff>
      <xdr:row>1632</xdr:row>
      <xdr:rowOff>0</xdr:rowOff>
    </xdr:to>
    <xdr:pic>
      <xdr:nvPicPr>
        <xdr:cNvPr id="11319" name="Рисунок 11318">
          <a:extLst>
            <a:ext uri="{FF2B5EF4-FFF2-40B4-BE49-F238E27FC236}">
              <a16:creationId xmlns:a16="http://schemas.microsoft.com/office/drawing/2014/main" id="{F85E91D5-35C7-4CA3-AFE8-F0855C7FC03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9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929008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1632</xdr:row>
      <xdr:rowOff>25400</xdr:rowOff>
    </xdr:from>
    <xdr:to>
      <xdr:col>11</xdr:col>
      <xdr:colOff>571500</xdr:colOff>
      <xdr:row>1633</xdr:row>
      <xdr:rowOff>0</xdr:rowOff>
    </xdr:to>
    <xdr:pic>
      <xdr:nvPicPr>
        <xdr:cNvPr id="11321" name="Рисунок 11320">
          <a:extLst>
            <a:ext uri="{FF2B5EF4-FFF2-40B4-BE49-F238E27FC236}">
              <a16:creationId xmlns:a16="http://schemas.microsoft.com/office/drawing/2014/main" id="{67B4BBD6-8D9F-4A3E-AC3E-0821EBAFDC5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9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929579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1633</xdr:row>
      <xdr:rowOff>25400</xdr:rowOff>
    </xdr:from>
    <xdr:to>
      <xdr:col>11</xdr:col>
      <xdr:colOff>571500</xdr:colOff>
      <xdr:row>1634</xdr:row>
      <xdr:rowOff>0</xdr:rowOff>
    </xdr:to>
    <xdr:pic>
      <xdr:nvPicPr>
        <xdr:cNvPr id="11323" name="Рисунок 11322">
          <a:extLst>
            <a:ext uri="{FF2B5EF4-FFF2-40B4-BE49-F238E27FC236}">
              <a16:creationId xmlns:a16="http://schemas.microsoft.com/office/drawing/2014/main" id="{B5EE87CB-3932-4B5E-8358-021AD26E945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9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930151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1634</xdr:row>
      <xdr:rowOff>25400</xdr:rowOff>
    </xdr:from>
    <xdr:to>
      <xdr:col>11</xdr:col>
      <xdr:colOff>571500</xdr:colOff>
      <xdr:row>1635</xdr:row>
      <xdr:rowOff>0</xdr:rowOff>
    </xdr:to>
    <xdr:pic>
      <xdr:nvPicPr>
        <xdr:cNvPr id="11325" name="Рисунок 11324">
          <a:extLst>
            <a:ext uri="{FF2B5EF4-FFF2-40B4-BE49-F238E27FC236}">
              <a16:creationId xmlns:a16="http://schemas.microsoft.com/office/drawing/2014/main" id="{49F351C7-BF3A-4B63-ABCF-39F5F3D3023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9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930722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1635</xdr:row>
      <xdr:rowOff>25400</xdr:rowOff>
    </xdr:from>
    <xdr:to>
      <xdr:col>11</xdr:col>
      <xdr:colOff>571500</xdr:colOff>
      <xdr:row>1636</xdr:row>
      <xdr:rowOff>0</xdr:rowOff>
    </xdr:to>
    <xdr:pic>
      <xdr:nvPicPr>
        <xdr:cNvPr id="11327" name="Рисунок 11326">
          <a:extLst>
            <a:ext uri="{FF2B5EF4-FFF2-40B4-BE49-F238E27FC236}">
              <a16:creationId xmlns:a16="http://schemas.microsoft.com/office/drawing/2014/main" id="{2F6F7BE1-31A9-4219-85F6-4240E900CD9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9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931294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1636</xdr:row>
      <xdr:rowOff>25400</xdr:rowOff>
    </xdr:from>
    <xdr:to>
      <xdr:col>11</xdr:col>
      <xdr:colOff>571500</xdr:colOff>
      <xdr:row>1637</xdr:row>
      <xdr:rowOff>0</xdr:rowOff>
    </xdr:to>
    <xdr:pic>
      <xdr:nvPicPr>
        <xdr:cNvPr id="11329" name="Рисунок 11328">
          <a:extLst>
            <a:ext uri="{FF2B5EF4-FFF2-40B4-BE49-F238E27FC236}">
              <a16:creationId xmlns:a16="http://schemas.microsoft.com/office/drawing/2014/main" id="{D0D51610-5A74-42CA-950C-3D5D5CADDFE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9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931865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1637</xdr:row>
      <xdr:rowOff>25400</xdr:rowOff>
    </xdr:from>
    <xdr:to>
      <xdr:col>11</xdr:col>
      <xdr:colOff>571500</xdr:colOff>
      <xdr:row>1638</xdr:row>
      <xdr:rowOff>0</xdr:rowOff>
    </xdr:to>
    <xdr:pic>
      <xdr:nvPicPr>
        <xdr:cNvPr id="11331" name="Рисунок 11330">
          <a:extLst>
            <a:ext uri="{FF2B5EF4-FFF2-40B4-BE49-F238E27FC236}">
              <a16:creationId xmlns:a16="http://schemas.microsoft.com/office/drawing/2014/main" id="{4B8A1E10-C4B0-4D6D-ABE9-C5E90938D3D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59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932437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1638</xdr:row>
      <xdr:rowOff>25400</xdr:rowOff>
    </xdr:from>
    <xdr:to>
      <xdr:col>11</xdr:col>
      <xdr:colOff>571500</xdr:colOff>
      <xdr:row>1639</xdr:row>
      <xdr:rowOff>0</xdr:rowOff>
    </xdr:to>
    <xdr:pic>
      <xdr:nvPicPr>
        <xdr:cNvPr id="11333" name="Рисунок 11332">
          <a:extLst>
            <a:ext uri="{FF2B5EF4-FFF2-40B4-BE49-F238E27FC236}">
              <a16:creationId xmlns:a16="http://schemas.microsoft.com/office/drawing/2014/main" id="{CBC7F783-C0CD-42FD-8DCF-2FCD382E3C9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0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933008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1639</xdr:row>
      <xdr:rowOff>25400</xdr:rowOff>
    </xdr:from>
    <xdr:to>
      <xdr:col>11</xdr:col>
      <xdr:colOff>571500</xdr:colOff>
      <xdr:row>1640</xdr:row>
      <xdr:rowOff>0</xdr:rowOff>
    </xdr:to>
    <xdr:pic>
      <xdr:nvPicPr>
        <xdr:cNvPr id="11335" name="Рисунок 11334">
          <a:extLst>
            <a:ext uri="{FF2B5EF4-FFF2-40B4-BE49-F238E27FC236}">
              <a16:creationId xmlns:a16="http://schemas.microsoft.com/office/drawing/2014/main" id="{DA995E8C-CA6E-4ECA-BCA0-9202FE1A31B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0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933580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1640</xdr:row>
      <xdr:rowOff>25400</xdr:rowOff>
    </xdr:from>
    <xdr:to>
      <xdr:col>11</xdr:col>
      <xdr:colOff>571500</xdr:colOff>
      <xdr:row>1641</xdr:row>
      <xdr:rowOff>0</xdr:rowOff>
    </xdr:to>
    <xdr:pic>
      <xdr:nvPicPr>
        <xdr:cNvPr id="11337" name="Рисунок 11336">
          <a:extLst>
            <a:ext uri="{FF2B5EF4-FFF2-40B4-BE49-F238E27FC236}">
              <a16:creationId xmlns:a16="http://schemas.microsoft.com/office/drawing/2014/main" id="{6CF0676D-E81D-4544-961B-6408DEC4884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0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934151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1641</xdr:row>
      <xdr:rowOff>25400</xdr:rowOff>
    </xdr:from>
    <xdr:to>
      <xdr:col>11</xdr:col>
      <xdr:colOff>571500</xdr:colOff>
      <xdr:row>1642</xdr:row>
      <xdr:rowOff>0</xdr:rowOff>
    </xdr:to>
    <xdr:pic>
      <xdr:nvPicPr>
        <xdr:cNvPr id="11339" name="Рисунок 11338">
          <a:extLst>
            <a:ext uri="{FF2B5EF4-FFF2-40B4-BE49-F238E27FC236}">
              <a16:creationId xmlns:a16="http://schemas.microsoft.com/office/drawing/2014/main" id="{0AC4A8F1-E0AD-4C8C-8338-F3188FB3D8D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0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934723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1642</xdr:row>
      <xdr:rowOff>25400</xdr:rowOff>
    </xdr:from>
    <xdr:to>
      <xdr:col>11</xdr:col>
      <xdr:colOff>571500</xdr:colOff>
      <xdr:row>1643</xdr:row>
      <xdr:rowOff>0</xdr:rowOff>
    </xdr:to>
    <xdr:pic>
      <xdr:nvPicPr>
        <xdr:cNvPr id="11341" name="Рисунок 11340">
          <a:extLst>
            <a:ext uri="{FF2B5EF4-FFF2-40B4-BE49-F238E27FC236}">
              <a16:creationId xmlns:a16="http://schemas.microsoft.com/office/drawing/2014/main" id="{3475271A-B7CF-4048-8966-A140B59EE98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0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935294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1643</xdr:row>
      <xdr:rowOff>25400</xdr:rowOff>
    </xdr:from>
    <xdr:to>
      <xdr:col>11</xdr:col>
      <xdr:colOff>571500</xdr:colOff>
      <xdr:row>1644</xdr:row>
      <xdr:rowOff>0</xdr:rowOff>
    </xdr:to>
    <xdr:pic>
      <xdr:nvPicPr>
        <xdr:cNvPr id="11343" name="Рисунок 11342">
          <a:extLst>
            <a:ext uri="{FF2B5EF4-FFF2-40B4-BE49-F238E27FC236}">
              <a16:creationId xmlns:a16="http://schemas.microsoft.com/office/drawing/2014/main" id="{3AB01E9F-7476-479C-B049-3B13555AC6D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0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935866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1644</xdr:row>
      <xdr:rowOff>25400</xdr:rowOff>
    </xdr:from>
    <xdr:to>
      <xdr:col>11</xdr:col>
      <xdr:colOff>571500</xdr:colOff>
      <xdr:row>1645</xdr:row>
      <xdr:rowOff>0</xdr:rowOff>
    </xdr:to>
    <xdr:pic>
      <xdr:nvPicPr>
        <xdr:cNvPr id="11345" name="Рисунок 11344">
          <a:extLst>
            <a:ext uri="{FF2B5EF4-FFF2-40B4-BE49-F238E27FC236}">
              <a16:creationId xmlns:a16="http://schemas.microsoft.com/office/drawing/2014/main" id="{002E2319-24C8-46FD-A65C-CB62992285C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0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936437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1645</xdr:row>
      <xdr:rowOff>25400</xdr:rowOff>
    </xdr:from>
    <xdr:to>
      <xdr:col>11</xdr:col>
      <xdr:colOff>571500</xdr:colOff>
      <xdr:row>1646</xdr:row>
      <xdr:rowOff>0</xdr:rowOff>
    </xdr:to>
    <xdr:pic>
      <xdr:nvPicPr>
        <xdr:cNvPr id="11347" name="Рисунок 11346">
          <a:extLst>
            <a:ext uri="{FF2B5EF4-FFF2-40B4-BE49-F238E27FC236}">
              <a16:creationId xmlns:a16="http://schemas.microsoft.com/office/drawing/2014/main" id="{56184B8B-1BC9-46AB-A77D-BA870CD1FB1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0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937009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1646</xdr:row>
      <xdr:rowOff>25400</xdr:rowOff>
    </xdr:from>
    <xdr:to>
      <xdr:col>11</xdr:col>
      <xdr:colOff>571500</xdr:colOff>
      <xdr:row>1647</xdr:row>
      <xdr:rowOff>0</xdr:rowOff>
    </xdr:to>
    <xdr:pic>
      <xdr:nvPicPr>
        <xdr:cNvPr id="11349" name="Рисунок 11348">
          <a:extLst>
            <a:ext uri="{FF2B5EF4-FFF2-40B4-BE49-F238E27FC236}">
              <a16:creationId xmlns:a16="http://schemas.microsoft.com/office/drawing/2014/main" id="{F8EF99FA-4B81-4D7F-9026-BF12633FFFB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0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937580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1647</xdr:row>
      <xdr:rowOff>25400</xdr:rowOff>
    </xdr:from>
    <xdr:to>
      <xdr:col>11</xdr:col>
      <xdr:colOff>571500</xdr:colOff>
      <xdr:row>1648</xdr:row>
      <xdr:rowOff>0</xdr:rowOff>
    </xdr:to>
    <xdr:pic>
      <xdr:nvPicPr>
        <xdr:cNvPr id="11351" name="Рисунок 11350">
          <a:extLst>
            <a:ext uri="{FF2B5EF4-FFF2-40B4-BE49-F238E27FC236}">
              <a16:creationId xmlns:a16="http://schemas.microsoft.com/office/drawing/2014/main" id="{13C977CE-CAA5-4702-8CB9-0DBBEE770A6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0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938152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1648</xdr:row>
      <xdr:rowOff>25400</xdr:rowOff>
    </xdr:from>
    <xdr:to>
      <xdr:col>11</xdr:col>
      <xdr:colOff>571500</xdr:colOff>
      <xdr:row>1649</xdr:row>
      <xdr:rowOff>0</xdr:rowOff>
    </xdr:to>
    <xdr:pic>
      <xdr:nvPicPr>
        <xdr:cNvPr id="11353" name="Рисунок 11352">
          <a:extLst>
            <a:ext uri="{FF2B5EF4-FFF2-40B4-BE49-F238E27FC236}">
              <a16:creationId xmlns:a16="http://schemas.microsoft.com/office/drawing/2014/main" id="{B069E48A-251A-4FFD-AF52-00DCD660C7F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938723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1649</xdr:row>
      <xdr:rowOff>25400</xdr:rowOff>
    </xdr:from>
    <xdr:to>
      <xdr:col>11</xdr:col>
      <xdr:colOff>571500</xdr:colOff>
      <xdr:row>1650</xdr:row>
      <xdr:rowOff>0</xdr:rowOff>
    </xdr:to>
    <xdr:pic>
      <xdr:nvPicPr>
        <xdr:cNvPr id="11355" name="Рисунок 11354">
          <a:extLst>
            <a:ext uri="{FF2B5EF4-FFF2-40B4-BE49-F238E27FC236}">
              <a16:creationId xmlns:a16="http://schemas.microsoft.com/office/drawing/2014/main" id="{C132F272-61D2-4229-9165-8552D4F48FA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939295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1650</xdr:row>
      <xdr:rowOff>25400</xdr:rowOff>
    </xdr:from>
    <xdr:to>
      <xdr:col>11</xdr:col>
      <xdr:colOff>571500</xdr:colOff>
      <xdr:row>1651</xdr:row>
      <xdr:rowOff>0</xdr:rowOff>
    </xdr:to>
    <xdr:pic>
      <xdr:nvPicPr>
        <xdr:cNvPr id="11357" name="Рисунок 11356">
          <a:extLst>
            <a:ext uri="{FF2B5EF4-FFF2-40B4-BE49-F238E27FC236}">
              <a16:creationId xmlns:a16="http://schemas.microsoft.com/office/drawing/2014/main" id="{7389FD83-7ADA-4F93-A5A6-9EC8CD281F6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939866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1651</xdr:row>
      <xdr:rowOff>25400</xdr:rowOff>
    </xdr:from>
    <xdr:to>
      <xdr:col>11</xdr:col>
      <xdr:colOff>571500</xdr:colOff>
      <xdr:row>1652</xdr:row>
      <xdr:rowOff>0</xdr:rowOff>
    </xdr:to>
    <xdr:pic>
      <xdr:nvPicPr>
        <xdr:cNvPr id="11359" name="Рисунок 11358">
          <a:extLst>
            <a:ext uri="{FF2B5EF4-FFF2-40B4-BE49-F238E27FC236}">
              <a16:creationId xmlns:a16="http://schemas.microsoft.com/office/drawing/2014/main" id="{600721BB-7567-454C-A3B0-D99C92E9B4C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940438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1652</xdr:row>
      <xdr:rowOff>25400</xdr:rowOff>
    </xdr:from>
    <xdr:to>
      <xdr:col>11</xdr:col>
      <xdr:colOff>571500</xdr:colOff>
      <xdr:row>1653</xdr:row>
      <xdr:rowOff>0</xdr:rowOff>
    </xdr:to>
    <xdr:pic>
      <xdr:nvPicPr>
        <xdr:cNvPr id="11361" name="Рисунок 11360">
          <a:extLst>
            <a:ext uri="{FF2B5EF4-FFF2-40B4-BE49-F238E27FC236}">
              <a16:creationId xmlns:a16="http://schemas.microsoft.com/office/drawing/2014/main" id="{531D22EF-7D1C-4FCC-BFDA-DAFD99D00C2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941009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1653</xdr:row>
      <xdr:rowOff>25400</xdr:rowOff>
    </xdr:from>
    <xdr:to>
      <xdr:col>11</xdr:col>
      <xdr:colOff>571500</xdr:colOff>
      <xdr:row>1654</xdr:row>
      <xdr:rowOff>0</xdr:rowOff>
    </xdr:to>
    <xdr:pic>
      <xdr:nvPicPr>
        <xdr:cNvPr id="11363" name="Рисунок 11362">
          <a:extLst>
            <a:ext uri="{FF2B5EF4-FFF2-40B4-BE49-F238E27FC236}">
              <a16:creationId xmlns:a16="http://schemas.microsoft.com/office/drawing/2014/main" id="{6F56D06D-620D-4986-96BB-37E32B41EA2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941581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1654</xdr:row>
      <xdr:rowOff>25400</xdr:rowOff>
    </xdr:from>
    <xdr:to>
      <xdr:col>11</xdr:col>
      <xdr:colOff>571500</xdr:colOff>
      <xdr:row>1655</xdr:row>
      <xdr:rowOff>0</xdr:rowOff>
    </xdr:to>
    <xdr:pic>
      <xdr:nvPicPr>
        <xdr:cNvPr id="11365" name="Рисунок 11364">
          <a:extLst>
            <a:ext uri="{FF2B5EF4-FFF2-40B4-BE49-F238E27FC236}">
              <a16:creationId xmlns:a16="http://schemas.microsoft.com/office/drawing/2014/main" id="{22F6BC4C-FF09-4E04-BA6B-51106BC3AE3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942152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1655</xdr:row>
      <xdr:rowOff>25400</xdr:rowOff>
    </xdr:from>
    <xdr:to>
      <xdr:col>11</xdr:col>
      <xdr:colOff>571500</xdr:colOff>
      <xdr:row>1656</xdr:row>
      <xdr:rowOff>0</xdr:rowOff>
    </xdr:to>
    <xdr:pic>
      <xdr:nvPicPr>
        <xdr:cNvPr id="11367" name="Рисунок 11366">
          <a:extLst>
            <a:ext uri="{FF2B5EF4-FFF2-40B4-BE49-F238E27FC236}">
              <a16:creationId xmlns:a16="http://schemas.microsoft.com/office/drawing/2014/main" id="{0AA714C0-9759-454B-9174-CDDDD95E570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942724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1656</xdr:row>
      <xdr:rowOff>25400</xdr:rowOff>
    </xdr:from>
    <xdr:to>
      <xdr:col>11</xdr:col>
      <xdr:colOff>571500</xdr:colOff>
      <xdr:row>1657</xdr:row>
      <xdr:rowOff>0</xdr:rowOff>
    </xdr:to>
    <xdr:pic>
      <xdr:nvPicPr>
        <xdr:cNvPr id="11369" name="Рисунок 11368">
          <a:extLst>
            <a:ext uri="{FF2B5EF4-FFF2-40B4-BE49-F238E27FC236}">
              <a16:creationId xmlns:a16="http://schemas.microsoft.com/office/drawing/2014/main" id="{C965EBEC-45E5-4E06-9B6C-BEC0DE5FB46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943295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1657</xdr:row>
      <xdr:rowOff>25400</xdr:rowOff>
    </xdr:from>
    <xdr:to>
      <xdr:col>11</xdr:col>
      <xdr:colOff>571500</xdr:colOff>
      <xdr:row>1658</xdr:row>
      <xdr:rowOff>0</xdr:rowOff>
    </xdr:to>
    <xdr:pic>
      <xdr:nvPicPr>
        <xdr:cNvPr id="11371" name="Рисунок 11370">
          <a:extLst>
            <a:ext uri="{FF2B5EF4-FFF2-40B4-BE49-F238E27FC236}">
              <a16:creationId xmlns:a16="http://schemas.microsoft.com/office/drawing/2014/main" id="{22E95CC8-A283-4915-A761-455BB02FD3A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943867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1658</xdr:row>
      <xdr:rowOff>25400</xdr:rowOff>
    </xdr:from>
    <xdr:to>
      <xdr:col>11</xdr:col>
      <xdr:colOff>571500</xdr:colOff>
      <xdr:row>1659</xdr:row>
      <xdr:rowOff>0</xdr:rowOff>
    </xdr:to>
    <xdr:pic>
      <xdr:nvPicPr>
        <xdr:cNvPr id="11373" name="Рисунок 11372">
          <a:extLst>
            <a:ext uri="{FF2B5EF4-FFF2-40B4-BE49-F238E27FC236}">
              <a16:creationId xmlns:a16="http://schemas.microsoft.com/office/drawing/2014/main" id="{7C8C5427-EF4B-4F03-893E-D9E1422277C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944438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1659</xdr:row>
      <xdr:rowOff>25400</xdr:rowOff>
    </xdr:from>
    <xdr:to>
      <xdr:col>11</xdr:col>
      <xdr:colOff>571500</xdr:colOff>
      <xdr:row>1660</xdr:row>
      <xdr:rowOff>0</xdr:rowOff>
    </xdr:to>
    <xdr:pic>
      <xdr:nvPicPr>
        <xdr:cNvPr id="11375" name="Рисунок 11374">
          <a:extLst>
            <a:ext uri="{FF2B5EF4-FFF2-40B4-BE49-F238E27FC236}">
              <a16:creationId xmlns:a16="http://schemas.microsoft.com/office/drawing/2014/main" id="{C03566C8-1DE7-4CA6-96FA-3145890EBC3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945010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1660</xdr:row>
      <xdr:rowOff>25400</xdr:rowOff>
    </xdr:from>
    <xdr:to>
      <xdr:col>11</xdr:col>
      <xdr:colOff>571500</xdr:colOff>
      <xdr:row>1661</xdr:row>
      <xdr:rowOff>0</xdr:rowOff>
    </xdr:to>
    <xdr:pic>
      <xdr:nvPicPr>
        <xdr:cNvPr id="11377" name="Рисунок 11376">
          <a:extLst>
            <a:ext uri="{FF2B5EF4-FFF2-40B4-BE49-F238E27FC236}">
              <a16:creationId xmlns:a16="http://schemas.microsoft.com/office/drawing/2014/main" id="{0472C8B2-DC97-47EF-A5AD-6054A020AC1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945581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1661</xdr:row>
      <xdr:rowOff>25400</xdr:rowOff>
    </xdr:from>
    <xdr:to>
      <xdr:col>11</xdr:col>
      <xdr:colOff>571500</xdr:colOff>
      <xdr:row>1662</xdr:row>
      <xdr:rowOff>0</xdr:rowOff>
    </xdr:to>
    <xdr:pic>
      <xdr:nvPicPr>
        <xdr:cNvPr id="11379" name="Рисунок 11378">
          <a:extLst>
            <a:ext uri="{FF2B5EF4-FFF2-40B4-BE49-F238E27FC236}">
              <a16:creationId xmlns:a16="http://schemas.microsoft.com/office/drawing/2014/main" id="{922E88B3-98BB-46DF-94D5-49ACCEBD584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946153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1662</xdr:row>
      <xdr:rowOff>25400</xdr:rowOff>
    </xdr:from>
    <xdr:to>
      <xdr:col>11</xdr:col>
      <xdr:colOff>571500</xdr:colOff>
      <xdr:row>1663</xdr:row>
      <xdr:rowOff>0</xdr:rowOff>
    </xdr:to>
    <xdr:pic>
      <xdr:nvPicPr>
        <xdr:cNvPr id="11381" name="Рисунок 11380">
          <a:extLst>
            <a:ext uri="{FF2B5EF4-FFF2-40B4-BE49-F238E27FC236}">
              <a16:creationId xmlns:a16="http://schemas.microsoft.com/office/drawing/2014/main" id="{18B728DC-A411-419A-AB3B-5A7BF634DC4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946724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1663</xdr:row>
      <xdr:rowOff>25400</xdr:rowOff>
    </xdr:from>
    <xdr:to>
      <xdr:col>11</xdr:col>
      <xdr:colOff>571500</xdr:colOff>
      <xdr:row>1664</xdr:row>
      <xdr:rowOff>0</xdr:rowOff>
    </xdr:to>
    <xdr:pic>
      <xdr:nvPicPr>
        <xdr:cNvPr id="11383" name="Рисунок 11382">
          <a:extLst>
            <a:ext uri="{FF2B5EF4-FFF2-40B4-BE49-F238E27FC236}">
              <a16:creationId xmlns:a16="http://schemas.microsoft.com/office/drawing/2014/main" id="{B805B661-2F6A-42B1-B6C8-0337BB337E9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947296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1664</xdr:row>
      <xdr:rowOff>25400</xdr:rowOff>
    </xdr:from>
    <xdr:to>
      <xdr:col>11</xdr:col>
      <xdr:colOff>571500</xdr:colOff>
      <xdr:row>1665</xdr:row>
      <xdr:rowOff>0</xdr:rowOff>
    </xdr:to>
    <xdr:pic>
      <xdr:nvPicPr>
        <xdr:cNvPr id="11385" name="Рисунок 11384">
          <a:extLst>
            <a:ext uri="{FF2B5EF4-FFF2-40B4-BE49-F238E27FC236}">
              <a16:creationId xmlns:a16="http://schemas.microsoft.com/office/drawing/2014/main" id="{2E1836F4-515E-423C-B929-425B1384D17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947867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1665</xdr:row>
      <xdr:rowOff>25400</xdr:rowOff>
    </xdr:from>
    <xdr:to>
      <xdr:col>11</xdr:col>
      <xdr:colOff>571500</xdr:colOff>
      <xdr:row>1666</xdr:row>
      <xdr:rowOff>0</xdr:rowOff>
    </xdr:to>
    <xdr:pic>
      <xdr:nvPicPr>
        <xdr:cNvPr id="11387" name="Рисунок 11386">
          <a:extLst>
            <a:ext uri="{FF2B5EF4-FFF2-40B4-BE49-F238E27FC236}">
              <a16:creationId xmlns:a16="http://schemas.microsoft.com/office/drawing/2014/main" id="{7BB361D7-8CBF-4634-B42D-44DD99093BB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948439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1666</xdr:row>
      <xdr:rowOff>25400</xdr:rowOff>
    </xdr:from>
    <xdr:to>
      <xdr:col>11</xdr:col>
      <xdr:colOff>571500</xdr:colOff>
      <xdr:row>1667</xdr:row>
      <xdr:rowOff>0</xdr:rowOff>
    </xdr:to>
    <xdr:pic>
      <xdr:nvPicPr>
        <xdr:cNvPr id="11389" name="Рисунок 11388">
          <a:extLst>
            <a:ext uri="{FF2B5EF4-FFF2-40B4-BE49-F238E27FC236}">
              <a16:creationId xmlns:a16="http://schemas.microsoft.com/office/drawing/2014/main" id="{A8527E78-F225-4CE3-9736-30C8E11A32C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949010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1667</xdr:row>
      <xdr:rowOff>25400</xdr:rowOff>
    </xdr:from>
    <xdr:to>
      <xdr:col>11</xdr:col>
      <xdr:colOff>571500</xdr:colOff>
      <xdr:row>1668</xdr:row>
      <xdr:rowOff>0</xdr:rowOff>
    </xdr:to>
    <xdr:pic>
      <xdr:nvPicPr>
        <xdr:cNvPr id="11391" name="Рисунок 11390">
          <a:extLst>
            <a:ext uri="{FF2B5EF4-FFF2-40B4-BE49-F238E27FC236}">
              <a16:creationId xmlns:a16="http://schemas.microsoft.com/office/drawing/2014/main" id="{8126F29B-8E4E-4FB5-B8AC-3446949D440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949582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1668</xdr:row>
      <xdr:rowOff>25400</xdr:rowOff>
    </xdr:from>
    <xdr:to>
      <xdr:col>11</xdr:col>
      <xdr:colOff>571500</xdr:colOff>
      <xdr:row>1669</xdr:row>
      <xdr:rowOff>0</xdr:rowOff>
    </xdr:to>
    <xdr:pic>
      <xdr:nvPicPr>
        <xdr:cNvPr id="11393" name="Рисунок 11392">
          <a:extLst>
            <a:ext uri="{FF2B5EF4-FFF2-40B4-BE49-F238E27FC236}">
              <a16:creationId xmlns:a16="http://schemas.microsoft.com/office/drawing/2014/main" id="{9005F5FC-EF6E-4CA1-A446-4D3E5420C1D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950153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1669</xdr:row>
      <xdr:rowOff>25400</xdr:rowOff>
    </xdr:from>
    <xdr:to>
      <xdr:col>11</xdr:col>
      <xdr:colOff>571500</xdr:colOff>
      <xdr:row>1670</xdr:row>
      <xdr:rowOff>0</xdr:rowOff>
    </xdr:to>
    <xdr:pic>
      <xdr:nvPicPr>
        <xdr:cNvPr id="11395" name="Рисунок 11394">
          <a:extLst>
            <a:ext uri="{FF2B5EF4-FFF2-40B4-BE49-F238E27FC236}">
              <a16:creationId xmlns:a16="http://schemas.microsoft.com/office/drawing/2014/main" id="{67D67916-160C-4CA4-88B4-98062C56E88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3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950725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1670</xdr:row>
      <xdr:rowOff>25400</xdr:rowOff>
    </xdr:from>
    <xdr:to>
      <xdr:col>11</xdr:col>
      <xdr:colOff>571500</xdr:colOff>
      <xdr:row>1671</xdr:row>
      <xdr:rowOff>0</xdr:rowOff>
    </xdr:to>
    <xdr:pic>
      <xdr:nvPicPr>
        <xdr:cNvPr id="11397" name="Рисунок 11396">
          <a:extLst>
            <a:ext uri="{FF2B5EF4-FFF2-40B4-BE49-F238E27FC236}">
              <a16:creationId xmlns:a16="http://schemas.microsoft.com/office/drawing/2014/main" id="{DC462A28-75F7-4AA3-BA36-AAC76E4AC7C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3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951296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1671</xdr:row>
      <xdr:rowOff>25400</xdr:rowOff>
    </xdr:from>
    <xdr:to>
      <xdr:col>11</xdr:col>
      <xdr:colOff>571500</xdr:colOff>
      <xdr:row>1672</xdr:row>
      <xdr:rowOff>0</xdr:rowOff>
    </xdr:to>
    <xdr:pic>
      <xdr:nvPicPr>
        <xdr:cNvPr id="11399" name="Рисунок 11398">
          <a:extLst>
            <a:ext uri="{FF2B5EF4-FFF2-40B4-BE49-F238E27FC236}">
              <a16:creationId xmlns:a16="http://schemas.microsoft.com/office/drawing/2014/main" id="{D5C56BFC-E926-4E2A-A3B0-D8BA3F970A4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3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951868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1672</xdr:row>
      <xdr:rowOff>25400</xdr:rowOff>
    </xdr:from>
    <xdr:to>
      <xdr:col>11</xdr:col>
      <xdr:colOff>571500</xdr:colOff>
      <xdr:row>1673</xdr:row>
      <xdr:rowOff>0</xdr:rowOff>
    </xdr:to>
    <xdr:pic>
      <xdr:nvPicPr>
        <xdr:cNvPr id="11401" name="Рисунок 11400">
          <a:extLst>
            <a:ext uri="{FF2B5EF4-FFF2-40B4-BE49-F238E27FC236}">
              <a16:creationId xmlns:a16="http://schemas.microsoft.com/office/drawing/2014/main" id="{BFFAD115-856A-47B6-9802-6A2DF14BFE3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3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952439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1673</xdr:row>
      <xdr:rowOff>25400</xdr:rowOff>
    </xdr:from>
    <xdr:to>
      <xdr:col>11</xdr:col>
      <xdr:colOff>571500</xdr:colOff>
      <xdr:row>1674</xdr:row>
      <xdr:rowOff>0</xdr:rowOff>
    </xdr:to>
    <xdr:pic>
      <xdr:nvPicPr>
        <xdr:cNvPr id="11403" name="Рисунок 11402">
          <a:extLst>
            <a:ext uri="{FF2B5EF4-FFF2-40B4-BE49-F238E27FC236}">
              <a16:creationId xmlns:a16="http://schemas.microsoft.com/office/drawing/2014/main" id="{317EA9E2-8ABD-469D-8091-536CE755E05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3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953011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1674</xdr:row>
      <xdr:rowOff>25400</xdr:rowOff>
    </xdr:from>
    <xdr:to>
      <xdr:col>11</xdr:col>
      <xdr:colOff>571500</xdr:colOff>
      <xdr:row>1675</xdr:row>
      <xdr:rowOff>0</xdr:rowOff>
    </xdr:to>
    <xdr:pic>
      <xdr:nvPicPr>
        <xdr:cNvPr id="11405" name="Рисунок 11404">
          <a:extLst>
            <a:ext uri="{FF2B5EF4-FFF2-40B4-BE49-F238E27FC236}">
              <a16:creationId xmlns:a16="http://schemas.microsoft.com/office/drawing/2014/main" id="{4FED1A4A-88A9-44EE-A44E-9A379E5DD5A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3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953582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1675</xdr:row>
      <xdr:rowOff>25400</xdr:rowOff>
    </xdr:from>
    <xdr:to>
      <xdr:col>11</xdr:col>
      <xdr:colOff>571500</xdr:colOff>
      <xdr:row>1676</xdr:row>
      <xdr:rowOff>0</xdr:rowOff>
    </xdr:to>
    <xdr:pic>
      <xdr:nvPicPr>
        <xdr:cNvPr id="11407" name="Рисунок 11406">
          <a:extLst>
            <a:ext uri="{FF2B5EF4-FFF2-40B4-BE49-F238E27FC236}">
              <a16:creationId xmlns:a16="http://schemas.microsoft.com/office/drawing/2014/main" id="{C344F822-867B-4EF4-AD3F-DE67F38B774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3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954154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1676</xdr:row>
      <xdr:rowOff>25400</xdr:rowOff>
    </xdr:from>
    <xdr:to>
      <xdr:col>11</xdr:col>
      <xdr:colOff>571500</xdr:colOff>
      <xdr:row>1677</xdr:row>
      <xdr:rowOff>0</xdr:rowOff>
    </xdr:to>
    <xdr:pic>
      <xdr:nvPicPr>
        <xdr:cNvPr id="11409" name="Рисунок 11408">
          <a:extLst>
            <a:ext uri="{FF2B5EF4-FFF2-40B4-BE49-F238E27FC236}">
              <a16:creationId xmlns:a16="http://schemas.microsoft.com/office/drawing/2014/main" id="{652488FC-466E-4CBF-9354-0CC8F97EE15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3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954725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1677</xdr:row>
      <xdr:rowOff>25400</xdr:rowOff>
    </xdr:from>
    <xdr:to>
      <xdr:col>11</xdr:col>
      <xdr:colOff>571500</xdr:colOff>
      <xdr:row>1678</xdr:row>
      <xdr:rowOff>0</xdr:rowOff>
    </xdr:to>
    <xdr:pic>
      <xdr:nvPicPr>
        <xdr:cNvPr id="11411" name="Рисунок 11410">
          <a:extLst>
            <a:ext uri="{FF2B5EF4-FFF2-40B4-BE49-F238E27FC236}">
              <a16:creationId xmlns:a16="http://schemas.microsoft.com/office/drawing/2014/main" id="{7974829F-0D69-4D76-A2A8-D81C7390D53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3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955297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1678</xdr:row>
      <xdr:rowOff>25400</xdr:rowOff>
    </xdr:from>
    <xdr:to>
      <xdr:col>11</xdr:col>
      <xdr:colOff>571500</xdr:colOff>
      <xdr:row>1679</xdr:row>
      <xdr:rowOff>0</xdr:rowOff>
    </xdr:to>
    <xdr:pic>
      <xdr:nvPicPr>
        <xdr:cNvPr id="11413" name="Рисунок 11412">
          <a:extLst>
            <a:ext uri="{FF2B5EF4-FFF2-40B4-BE49-F238E27FC236}">
              <a16:creationId xmlns:a16="http://schemas.microsoft.com/office/drawing/2014/main" id="{B4D4F359-D322-4110-993D-C8907FC18B2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4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955868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1679</xdr:row>
      <xdr:rowOff>25400</xdr:rowOff>
    </xdr:from>
    <xdr:to>
      <xdr:col>11</xdr:col>
      <xdr:colOff>571500</xdr:colOff>
      <xdr:row>1680</xdr:row>
      <xdr:rowOff>0</xdr:rowOff>
    </xdr:to>
    <xdr:pic>
      <xdr:nvPicPr>
        <xdr:cNvPr id="11415" name="Рисунок 11414">
          <a:extLst>
            <a:ext uri="{FF2B5EF4-FFF2-40B4-BE49-F238E27FC236}">
              <a16:creationId xmlns:a16="http://schemas.microsoft.com/office/drawing/2014/main" id="{04512095-8DCF-4373-BA64-0DE4DB4593A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4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956440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1680</xdr:row>
      <xdr:rowOff>25400</xdr:rowOff>
    </xdr:from>
    <xdr:to>
      <xdr:col>11</xdr:col>
      <xdr:colOff>571500</xdr:colOff>
      <xdr:row>1681</xdr:row>
      <xdr:rowOff>0</xdr:rowOff>
    </xdr:to>
    <xdr:pic>
      <xdr:nvPicPr>
        <xdr:cNvPr id="11417" name="Рисунок 11416">
          <a:extLst>
            <a:ext uri="{FF2B5EF4-FFF2-40B4-BE49-F238E27FC236}">
              <a16:creationId xmlns:a16="http://schemas.microsoft.com/office/drawing/2014/main" id="{18477C80-DBC0-472F-9DC9-F29BDB87CBA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957011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1681</xdr:row>
      <xdr:rowOff>25400</xdr:rowOff>
    </xdr:from>
    <xdr:to>
      <xdr:col>11</xdr:col>
      <xdr:colOff>571500</xdr:colOff>
      <xdr:row>1682</xdr:row>
      <xdr:rowOff>0</xdr:rowOff>
    </xdr:to>
    <xdr:pic>
      <xdr:nvPicPr>
        <xdr:cNvPr id="11419" name="Рисунок 11418">
          <a:extLst>
            <a:ext uri="{FF2B5EF4-FFF2-40B4-BE49-F238E27FC236}">
              <a16:creationId xmlns:a16="http://schemas.microsoft.com/office/drawing/2014/main" id="{C987D9C5-7655-432C-AAAC-CCDFA35478D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957583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1682</xdr:row>
      <xdr:rowOff>25400</xdr:rowOff>
    </xdr:from>
    <xdr:to>
      <xdr:col>11</xdr:col>
      <xdr:colOff>571500</xdr:colOff>
      <xdr:row>1683</xdr:row>
      <xdr:rowOff>0</xdr:rowOff>
    </xdr:to>
    <xdr:pic>
      <xdr:nvPicPr>
        <xdr:cNvPr id="11421" name="Рисунок 11420">
          <a:extLst>
            <a:ext uri="{FF2B5EF4-FFF2-40B4-BE49-F238E27FC236}">
              <a16:creationId xmlns:a16="http://schemas.microsoft.com/office/drawing/2014/main" id="{A869F0D2-BCC1-42E0-A3F7-07B5E0F4268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958154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1683</xdr:row>
      <xdr:rowOff>25400</xdr:rowOff>
    </xdr:from>
    <xdr:to>
      <xdr:col>11</xdr:col>
      <xdr:colOff>571500</xdr:colOff>
      <xdr:row>1684</xdr:row>
      <xdr:rowOff>0</xdr:rowOff>
    </xdr:to>
    <xdr:pic>
      <xdr:nvPicPr>
        <xdr:cNvPr id="11423" name="Рисунок 11422">
          <a:extLst>
            <a:ext uri="{FF2B5EF4-FFF2-40B4-BE49-F238E27FC236}">
              <a16:creationId xmlns:a16="http://schemas.microsoft.com/office/drawing/2014/main" id="{B6EC156D-5702-47E7-BDCD-9C38F4EA46A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4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958726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1684</xdr:row>
      <xdr:rowOff>25400</xdr:rowOff>
    </xdr:from>
    <xdr:to>
      <xdr:col>11</xdr:col>
      <xdr:colOff>571500</xdr:colOff>
      <xdr:row>1685</xdr:row>
      <xdr:rowOff>0</xdr:rowOff>
    </xdr:to>
    <xdr:pic>
      <xdr:nvPicPr>
        <xdr:cNvPr id="11425" name="Рисунок 11424">
          <a:extLst>
            <a:ext uri="{FF2B5EF4-FFF2-40B4-BE49-F238E27FC236}">
              <a16:creationId xmlns:a16="http://schemas.microsoft.com/office/drawing/2014/main" id="{2A057489-D460-468C-8519-B7840DBFE14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4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959297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1685</xdr:row>
      <xdr:rowOff>25400</xdr:rowOff>
    </xdr:from>
    <xdr:to>
      <xdr:col>11</xdr:col>
      <xdr:colOff>571500</xdr:colOff>
      <xdr:row>1686</xdr:row>
      <xdr:rowOff>0</xdr:rowOff>
    </xdr:to>
    <xdr:pic>
      <xdr:nvPicPr>
        <xdr:cNvPr id="11427" name="Рисунок 11426">
          <a:extLst>
            <a:ext uri="{FF2B5EF4-FFF2-40B4-BE49-F238E27FC236}">
              <a16:creationId xmlns:a16="http://schemas.microsoft.com/office/drawing/2014/main" id="{87B57699-16A9-4462-A446-5CD124CB4D0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4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959869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1686</xdr:row>
      <xdr:rowOff>25400</xdr:rowOff>
    </xdr:from>
    <xdr:to>
      <xdr:col>11</xdr:col>
      <xdr:colOff>571500</xdr:colOff>
      <xdr:row>1687</xdr:row>
      <xdr:rowOff>0</xdr:rowOff>
    </xdr:to>
    <xdr:pic>
      <xdr:nvPicPr>
        <xdr:cNvPr id="11429" name="Рисунок 11428">
          <a:extLst>
            <a:ext uri="{FF2B5EF4-FFF2-40B4-BE49-F238E27FC236}">
              <a16:creationId xmlns:a16="http://schemas.microsoft.com/office/drawing/2014/main" id="{74BD0912-C47D-4420-A7F7-BA975031AC5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4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960440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1687</xdr:row>
      <xdr:rowOff>25400</xdr:rowOff>
    </xdr:from>
    <xdr:to>
      <xdr:col>11</xdr:col>
      <xdr:colOff>571500</xdr:colOff>
      <xdr:row>1688</xdr:row>
      <xdr:rowOff>0</xdr:rowOff>
    </xdr:to>
    <xdr:pic>
      <xdr:nvPicPr>
        <xdr:cNvPr id="11431" name="Рисунок 11430">
          <a:extLst>
            <a:ext uri="{FF2B5EF4-FFF2-40B4-BE49-F238E27FC236}">
              <a16:creationId xmlns:a16="http://schemas.microsoft.com/office/drawing/2014/main" id="{0F4DC872-2F06-4B85-8CAF-20FB9BEA09B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4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961012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1688</xdr:row>
      <xdr:rowOff>25400</xdr:rowOff>
    </xdr:from>
    <xdr:to>
      <xdr:col>11</xdr:col>
      <xdr:colOff>571500</xdr:colOff>
      <xdr:row>1689</xdr:row>
      <xdr:rowOff>0</xdr:rowOff>
    </xdr:to>
    <xdr:pic>
      <xdr:nvPicPr>
        <xdr:cNvPr id="11433" name="Рисунок 11432">
          <a:extLst>
            <a:ext uri="{FF2B5EF4-FFF2-40B4-BE49-F238E27FC236}">
              <a16:creationId xmlns:a16="http://schemas.microsoft.com/office/drawing/2014/main" id="{3E674FA3-03DD-490B-A598-1448D90A2FA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5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961583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1689</xdr:row>
      <xdr:rowOff>25400</xdr:rowOff>
    </xdr:from>
    <xdr:to>
      <xdr:col>11</xdr:col>
      <xdr:colOff>571500</xdr:colOff>
      <xdr:row>1690</xdr:row>
      <xdr:rowOff>0</xdr:rowOff>
    </xdr:to>
    <xdr:pic>
      <xdr:nvPicPr>
        <xdr:cNvPr id="11435" name="Рисунок 11434">
          <a:extLst>
            <a:ext uri="{FF2B5EF4-FFF2-40B4-BE49-F238E27FC236}">
              <a16:creationId xmlns:a16="http://schemas.microsoft.com/office/drawing/2014/main" id="{5DF92A08-AE7B-42D6-8370-43A7074AB5C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5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962155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1690</xdr:row>
      <xdr:rowOff>25400</xdr:rowOff>
    </xdr:from>
    <xdr:to>
      <xdr:col>11</xdr:col>
      <xdr:colOff>571500</xdr:colOff>
      <xdr:row>1691</xdr:row>
      <xdr:rowOff>0</xdr:rowOff>
    </xdr:to>
    <xdr:pic>
      <xdr:nvPicPr>
        <xdr:cNvPr id="11437" name="Рисунок 11436">
          <a:extLst>
            <a:ext uri="{FF2B5EF4-FFF2-40B4-BE49-F238E27FC236}">
              <a16:creationId xmlns:a16="http://schemas.microsoft.com/office/drawing/2014/main" id="{985D0165-A5ED-49FD-8759-D0FDEB43C2E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962726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1691</xdr:row>
      <xdr:rowOff>25400</xdr:rowOff>
    </xdr:from>
    <xdr:to>
      <xdr:col>11</xdr:col>
      <xdr:colOff>571500</xdr:colOff>
      <xdr:row>1692</xdr:row>
      <xdr:rowOff>0</xdr:rowOff>
    </xdr:to>
    <xdr:pic>
      <xdr:nvPicPr>
        <xdr:cNvPr id="11439" name="Рисунок 11438">
          <a:extLst>
            <a:ext uri="{FF2B5EF4-FFF2-40B4-BE49-F238E27FC236}">
              <a16:creationId xmlns:a16="http://schemas.microsoft.com/office/drawing/2014/main" id="{05BB3308-368C-41D5-8A69-0CCDC87FBEF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5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963298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1692</xdr:row>
      <xdr:rowOff>25400</xdr:rowOff>
    </xdr:from>
    <xdr:to>
      <xdr:col>11</xdr:col>
      <xdr:colOff>571500</xdr:colOff>
      <xdr:row>1693</xdr:row>
      <xdr:rowOff>0</xdr:rowOff>
    </xdr:to>
    <xdr:pic>
      <xdr:nvPicPr>
        <xdr:cNvPr id="11441" name="Рисунок 11440">
          <a:extLst>
            <a:ext uri="{FF2B5EF4-FFF2-40B4-BE49-F238E27FC236}">
              <a16:creationId xmlns:a16="http://schemas.microsoft.com/office/drawing/2014/main" id="{CD3AC373-3FFE-4549-A622-2A26DE32C1B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5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963869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1693</xdr:row>
      <xdr:rowOff>25400</xdr:rowOff>
    </xdr:from>
    <xdr:to>
      <xdr:col>11</xdr:col>
      <xdr:colOff>571500</xdr:colOff>
      <xdr:row>1694</xdr:row>
      <xdr:rowOff>0</xdr:rowOff>
    </xdr:to>
    <xdr:pic>
      <xdr:nvPicPr>
        <xdr:cNvPr id="11443" name="Рисунок 11442">
          <a:extLst>
            <a:ext uri="{FF2B5EF4-FFF2-40B4-BE49-F238E27FC236}">
              <a16:creationId xmlns:a16="http://schemas.microsoft.com/office/drawing/2014/main" id="{BE51A63A-869B-41C8-AB6D-87CC6AB039A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5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964441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1694</xdr:row>
      <xdr:rowOff>25400</xdr:rowOff>
    </xdr:from>
    <xdr:to>
      <xdr:col>11</xdr:col>
      <xdr:colOff>571500</xdr:colOff>
      <xdr:row>1695</xdr:row>
      <xdr:rowOff>0</xdr:rowOff>
    </xdr:to>
    <xdr:pic>
      <xdr:nvPicPr>
        <xdr:cNvPr id="11445" name="Рисунок 11444">
          <a:extLst>
            <a:ext uri="{FF2B5EF4-FFF2-40B4-BE49-F238E27FC236}">
              <a16:creationId xmlns:a16="http://schemas.microsoft.com/office/drawing/2014/main" id="{69948CB3-17CC-4271-876A-D4967C7BF42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5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965012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1695</xdr:row>
      <xdr:rowOff>25400</xdr:rowOff>
    </xdr:from>
    <xdr:to>
      <xdr:col>11</xdr:col>
      <xdr:colOff>571500</xdr:colOff>
      <xdr:row>1696</xdr:row>
      <xdr:rowOff>0</xdr:rowOff>
    </xdr:to>
    <xdr:pic>
      <xdr:nvPicPr>
        <xdr:cNvPr id="11447" name="Рисунок 11446">
          <a:extLst>
            <a:ext uri="{FF2B5EF4-FFF2-40B4-BE49-F238E27FC236}">
              <a16:creationId xmlns:a16="http://schemas.microsoft.com/office/drawing/2014/main" id="{31EB854B-2B66-43A3-B37E-C15B2AAD850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5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965584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1696</xdr:row>
      <xdr:rowOff>25400</xdr:rowOff>
    </xdr:from>
    <xdr:to>
      <xdr:col>11</xdr:col>
      <xdr:colOff>571500</xdr:colOff>
      <xdr:row>1697</xdr:row>
      <xdr:rowOff>0</xdr:rowOff>
    </xdr:to>
    <xdr:pic>
      <xdr:nvPicPr>
        <xdr:cNvPr id="11449" name="Рисунок 11448">
          <a:extLst>
            <a:ext uri="{FF2B5EF4-FFF2-40B4-BE49-F238E27FC236}">
              <a16:creationId xmlns:a16="http://schemas.microsoft.com/office/drawing/2014/main" id="{1BB13BFC-9B44-4F48-8D7A-5F05E1338CC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5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966155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1697</xdr:row>
      <xdr:rowOff>25400</xdr:rowOff>
    </xdr:from>
    <xdr:to>
      <xdr:col>11</xdr:col>
      <xdr:colOff>571500</xdr:colOff>
      <xdr:row>1698</xdr:row>
      <xdr:rowOff>0</xdr:rowOff>
    </xdr:to>
    <xdr:pic>
      <xdr:nvPicPr>
        <xdr:cNvPr id="11451" name="Рисунок 11450">
          <a:extLst>
            <a:ext uri="{FF2B5EF4-FFF2-40B4-BE49-F238E27FC236}">
              <a16:creationId xmlns:a16="http://schemas.microsoft.com/office/drawing/2014/main" id="{9B644C31-03C2-44D7-9A8A-08A833676AD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5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966727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1698</xdr:row>
      <xdr:rowOff>25400</xdr:rowOff>
    </xdr:from>
    <xdr:to>
      <xdr:col>11</xdr:col>
      <xdr:colOff>571500</xdr:colOff>
      <xdr:row>1699</xdr:row>
      <xdr:rowOff>0</xdr:rowOff>
    </xdr:to>
    <xdr:pic>
      <xdr:nvPicPr>
        <xdr:cNvPr id="11453" name="Рисунок 11452">
          <a:extLst>
            <a:ext uri="{FF2B5EF4-FFF2-40B4-BE49-F238E27FC236}">
              <a16:creationId xmlns:a16="http://schemas.microsoft.com/office/drawing/2014/main" id="{6EDAE9B0-A3D8-4769-8D8F-FF21EECA660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6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967298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1699</xdr:row>
      <xdr:rowOff>25400</xdr:rowOff>
    </xdr:from>
    <xdr:to>
      <xdr:col>11</xdr:col>
      <xdr:colOff>571500</xdr:colOff>
      <xdr:row>1700</xdr:row>
      <xdr:rowOff>0</xdr:rowOff>
    </xdr:to>
    <xdr:pic>
      <xdr:nvPicPr>
        <xdr:cNvPr id="11455" name="Рисунок 11454">
          <a:extLst>
            <a:ext uri="{FF2B5EF4-FFF2-40B4-BE49-F238E27FC236}">
              <a16:creationId xmlns:a16="http://schemas.microsoft.com/office/drawing/2014/main" id="{40399A7B-AA42-45A0-A500-240FCDCA0D9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6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967870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1700</xdr:row>
      <xdr:rowOff>25400</xdr:rowOff>
    </xdr:from>
    <xdr:to>
      <xdr:col>11</xdr:col>
      <xdr:colOff>571500</xdr:colOff>
      <xdr:row>1701</xdr:row>
      <xdr:rowOff>0</xdr:rowOff>
    </xdr:to>
    <xdr:pic>
      <xdr:nvPicPr>
        <xdr:cNvPr id="11457" name="Рисунок 11456">
          <a:extLst>
            <a:ext uri="{FF2B5EF4-FFF2-40B4-BE49-F238E27FC236}">
              <a16:creationId xmlns:a16="http://schemas.microsoft.com/office/drawing/2014/main" id="{E88FEBF3-EDE7-47C7-8E4F-CC5CE0F42F9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6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968441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1701</xdr:row>
      <xdr:rowOff>25400</xdr:rowOff>
    </xdr:from>
    <xdr:to>
      <xdr:col>11</xdr:col>
      <xdr:colOff>571500</xdr:colOff>
      <xdr:row>1702</xdr:row>
      <xdr:rowOff>0</xdr:rowOff>
    </xdr:to>
    <xdr:pic>
      <xdr:nvPicPr>
        <xdr:cNvPr id="11459" name="Рисунок 11458">
          <a:extLst>
            <a:ext uri="{FF2B5EF4-FFF2-40B4-BE49-F238E27FC236}">
              <a16:creationId xmlns:a16="http://schemas.microsoft.com/office/drawing/2014/main" id="{B8D12CF4-F366-4DB1-B013-05F08FCDC7E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6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969013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1702</xdr:row>
      <xdr:rowOff>25400</xdr:rowOff>
    </xdr:from>
    <xdr:to>
      <xdr:col>11</xdr:col>
      <xdr:colOff>571500</xdr:colOff>
      <xdr:row>1703</xdr:row>
      <xdr:rowOff>0</xdr:rowOff>
    </xdr:to>
    <xdr:pic>
      <xdr:nvPicPr>
        <xdr:cNvPr id="11461" name="Рисунок 11460">
          <a:extLst>
            <a:ext uri="{FF2B5EF4-FFF2-40B4-BE49-F238E27FC236}">
              <a16:creationId xmlns:a16="http://schemas.microsoft.com/office/drawing/2014/main" id="{90B437A9-AE87-4B8E-A7AC-F5438E17613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6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969584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1703</xdr:row>
      <xdr:rowOff>25400</xdr:rowOff>
    </xdr:from>
    <xdr:to>
      <xdr:col>11</xdr:col>
      <xdr:colOff>571500</xdr:colOff>
      <xdr:row>1704</xdr:row>
      <xdr:rowOff>0</xdr:rowOff>
    </xdr:to>
    <xdr:pic>
      <xdr:nvPicPr>
        <xdr:cNvPr id="11463" name="Рисунок 11462">
          <a:extLst>
            <a:ext uri="{FF2B5EF4-FFF2-40B4-BE49-F238E27FC236}">
              <a16:creationId xmlns:a16="http://schemas.microsoft.com/office/drawing/2014/main" id="{0CB1BF49-98F6-4356-9FA8-00B67BD7CF6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6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970156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1704</xdr:row>
      <xdr:rowOff>25400</xdr:rowOff>
    </xdr:from>
    <xdr:to>
      <xdr:col>11</xdr:col>
      <xdr:colOff>571500</xdr:colOff>
      <xdr:row>1705</xdr:row>
      <xdr:rowOff>0</xdr:rowOff>
    </xdr:to>
    <xdr:pic>
      <xdr:nvPicPr>
        <xdr:cNvPr id="11465" name="Рисунок 11464">
          <a:extLst>
            <a:ext uri="{FF2B5EF4-FFF2-40B4-BE49-F238E27FC236}">
              <a16:creationId xmlns:a16="http://schemas.microsoft.com/office/drawing/2014/main" id="{DA1AD470-4C8C-4801-BC3C-573A2AC51DE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6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970727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1705</xdr:row>
      <xdr:rowOff>25400</xdr:rowOff>
    </xdr:from>
    <xdr:to>
      <xdr:col>11</xdr:col>
      <xdr:colOff>571500</xdr:colOff>
      <xdr:row>1706</xdr:row>
      <xdr:rowOff>0</xdr:rowOff>
    </xdr:to>
    <xdr:pic>
      <xdr:nvPicPr>
        <xdr:cNvPr id="11467" name="Рисунок 11466">
          <a:extLst>
            <a:ext uri="{FF2B5EF4-FFF2-40B4-BE49-F238E27FC236}">
              <a16:creationId xmlns:a16="http://schemas.microsoft.com/office/drawing/2014/main" id="{633B2286-DA37-4ED3-9C04-5B97C0CB3B8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6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971299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1706</xdr:row>
      <xdr:rowOff>25400</xdr:rowOff>
    </xdr:from>
    <xdr:to>
      <xdr:col>11</xdr:col>
      <xdr:colOff>571500</xdr:colOff>
      <xdr:row>1707</xdr:row>
      <xdr:rowOff>0</xdr:rowOff>
    </xdr:to>
    <xdr:pic>
      <xdr:nvPicPr>
        <xdr:cNvPr id="11469" name="Рисунок 11468">
          <a:extLst>
            <a:ext uri="{FF2B5EF4-FFF2-40B4-BE49-F238E27FC236}">
              <a16:creationId xmlns:a16="http://schemas.microsoft.com/office/drawing/2014/main" id="{4BD2EBB5-ECFF-47B3-BDBD-4B079515FAA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6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971870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1707</xdr:row>
      <xdr:rowOff>25400</xdr:rowOff>
    </xdr:from>
    <xdr:to>
      <xdr:col>11</xdr:col>
      <xdr:colOff>571500</xdr:colOff>
      <xdr:row>1708</xdr:row>
      <xdr:rowOff>0</xdr:rowOff>
    </xdr:to>
    <xdr:pic>
      <xdr:nvPicPr>
        <xdr:cNvPr id="11471" name="Рисунок 11470">
          <a:extLst>
            <a:ext uri="{FF2B5EF4-FFF2-40B4-BE49-F238E27FC236}">
              <a16:creationId xmlns:a16="http://schemas.microsoft.com/office/drawing/2014/main" id="{B7F2744D-0834-4C4A-AB22-FDC56DAEC8B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6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972442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1708</xdr:row>
      <xdr:rowOff>25400</xdr:rowOff>
    </xdr:from>
    <xdr:to>
      <xdr:col>11</xdr:col>
      <xdr:colOff>571500</xdr:colOff>
      <xdr:row>1709</xdr:row>
      <xdr:rowOff>0</xdr:rowOff>
    </xdr:to>
    <xdr:pic>
      <xdr:nvPicPr>
        <xdr:cNvPr id="11473" name="Рисунок 11472">
          <a:extLst>
            <a:ext uri="{FF2B5EF4-FFF2-40B4-BE49-F238E27FC236}">
              <a16:creationId xmlns:a16="http://schemas.microsoft.com/office/drawing/2014/main" id="{C267AE17-795A-4B7E-9BBB-217F68CCA71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7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973013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1709</xdr:row>
      <xdr:rowOff>25400</xdr:rowOff>
    </xdr:from>
    <xdr:to>
      <xdr:col>11</xdr:col>
      <xdr:colOff>571500</xdr:colOff>
      <xdr:row>1710</xdr:row>
      <xdr:rowOff>0</xdr:rowOff>
    </xdr:to>
    <xdr:pic>
      <xdr:nvPicPr>
        <xdr:cNvPr id="11475" name="Рисунок 11474">
          <a:extLst>
            <a:ext uri="{FF2B5EF4-FFF2-40B4-BE49-F238E27FC236}">
              <a16:creationId xmlns:a16="http://schemas.microsoft.com/office/drawing/2014/main" id="{754163C3-1FCF-4A9C-AF56-0416D10137B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7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973585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1710</xdr:row>
      <xdr:rowOff>25400</xdr:rowOff>
    </xdr:from>
    <xdr:to>
      <xdr:col>11</xdr:col>
      <xdr:colOff>571500</xdr:colOff>
      <xdr:row>1711</xdr:row>
      <xdr:rowOff>0</xdr:rowOff>
    </xdr:to>
    <xdr:pic>
      <xdr:nvPicPr>
        <xdr:cNvPr id="11477" name="Рисунок 11476">
          <a:extLst>
            <a:ext uri="{FF2B5EF4-FFF2-40B4-BE49-F238E27FC236}">
              <a16:creationId xmlns:a16="http://schemas.microsoft.com/office/drawing/2014/main" id="{A5F00C2A-50FF-4EB9-8D02-7396320C390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7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974156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1711</xdr:row>
      <xdr:rowOff>25400</xdr:rowOff>
    </xdr:from>
    <xdr:to>
      <xdr:col>11</xdr:col>
      <xdr:colOff>571500</xdr:colOff>
      <xdr:row>1712</xdr:row>
      <xdr:rowOff>0</xdr:rowOff>
    </xdr:to>
    <xdr:pic>
      <xdr:nvPicPr>
        <xdr:cNvPr id="11479" name="Рисунок 11478">
          <a:extLst>
            <a:ext uri="{FF2B5EF4-FFF2-40B4-BE49-F238E27FC236}">
              <a16:creationId xmlns:a16="http://schemas.microsoft.com/office/drawing/2014/main" id="{5737AD19-5A94-4A21-A147-EC101AB3C37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7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974728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1712</xdr:row>
      <xdr:rowOff>25400</xdr:rowOff>
    </xdr:from>
    <xdr:to>
      <xdr:col>11</xdr:col>
      <xdr:colOff>571500</xdr:colOff>
      <xdr:row>1713</xdr:row>
      <xdr:rowOff>0</xdr:rowOff>
    </xdr:to>
    <xdr:pic>
      <xdr:nvPicPr>
        <xdr:cNvPr id="11481" name="Рисунок 11480">
          <a:extLst>
            <a:ext uri="{FF2B5EF4-FFF2-40B4-BE49-F238E27FC236}">
              <a16:creationId xmlns:a16="http://schemas.microsoft.com/office/drawing/2014/main" id="{25F3E929-28CF-4ABB-8680-39BAE1E7DBC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7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975299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1713</xdr:row>
      <xdr:rowOff>25400</xdr:rowOff>
    </xdr:from>
    <xdr:to>
      <xdr:col>11</xdr:col>
      <xdr:colOff>571500</xdr:colOff>
      <xdr:row>1714</xdr:row>
      <xdr:rowOff>0</xdr:rowOff>
    </xdr:to>
    <xdr:pic>
      <xdr:nvPicPr>
        <xdr:cNvPr id="11483" name="Рисунок 11482">
          <a:extLst>
            <a:ext uri="{FF2B5EF4-FFF2-40B4-BE49-F238E27FC236}">
              <a16:creationId xmlns:a16="http://schemas.microsoft.com/office/drawing/2014/main" id="{3DA2F9AA-72F0-4A09-AEA5-B233BD872ED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7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975871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1714</xdr:row>
      <xdr:rowOff>25400</xdr:rowOff>
    </xdr:from>
    <xdr:to>
      <xdr:col>11</xdr:col>
      <xdr:colOff>571500</xdr:colOff>
      <xdr:row>1715</xdr:row>
      <xdr:rowOff>0</xdr:rowOff>
    </xdr:to>
    <xdr:pic>
      <xdr:nvPicPr>
        <xdr:cNvPr id="11485" name="Рисунок 11484">
          <a:extLst>
            <a:ext uri="{FF2B5EF4-FFF2-40B4-BE49-F238E27FC236}">
              <a16:creationId xmlns:a16="http://schemas.microsoft.com/office/drawing/2014/main" id="{FEFC7D48-F184-4C58-9327-7B1F5B06B1D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7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976442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1715</xdr:row>
      <xdr:rowOff>25400</xdr:rowOff>
    </xdr:from>
    <xdr:to>
      <xdr:col>11</xdr:col>
      <xdr:colOff>571500</xdr:colOff>
      <xdr:row>1716</xdr:row>
      <xdr:rowOff>0</xdr:rowOff>
    </xdr:to>
    <xdr:pic>
      <xdr:nvPicPr>
        <xdr:cNvPr id="11487" name="Рисунок 11486">
          <a:extLst>
            <a:ext uri="{FF2B5EF4-FFF2-40B4-BE49-F238E27FC236}">
              <a16:creationId xmlns:a16="http://schemas.microsoft.com/office/drawing/2014/main" id="{358D6BC3-A85B-49EB-826E-5D78B140B6C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7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977014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1716</xdr:row>
      <xdr:rowOff>25400</xdr:rowOff>
    </xdr:from>
    <xdr:to>
      <xdr:col>11</xdr:col>
      <xdr:colOff>571500</xdr:colOff>
      <xdr:row>1717</xdr:row>
      <xdr:rowOff>0</xdr:rowOff>
    </xdr:to>
    <xdr:pic>
      <xdr:nvPicPr>
        <xdr:cNvPr id="11489" name="Рисунок 11488">
          <a:extLst>
            <a:ext uri="{FF2B5EF4-FFF2-40B4-BE49-F238E27FC236}">
              <a16:creationId xmlns:a16="http://schemas.microsoft.com/office/drawing/2014/main" id="{36CF0322-14F7-47A9-84BA-2DD5D860688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7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977585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1717</xdr:row>
      <xdr:rowOff>25400</xdr:rowOff>
    </xdr:from>
    <xdr:to>
      <xdr:col>11</xdr:col>
      <xdr:colOff>571500</xdr:colOff>
      <xdr:row>1718</xdr:row>
      <xdr:rowOff>0</xdr:rowOff>
    </xdr:to>
    <xdr:pic>
      <xdr:nvPicPr>
        <xdr:cNvPr id="11491" name="Рисунок 11490">
          <a:extLst>
            <a:ext uri="{FF2B5EF4-FFF2-40B4-BE49-F238E27FC236}">
              <a16:creationId xmlns:a16="http://schemas.microsoft.com/office/drawing/2014/main" id="{F8E715BB-C225-4A9C-81EE-EA3360BCBE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7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978157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1718</xdr:row>
      <xdr:rowOff>25400</xdr:rowOff>
    </xdr:from>
    <xdr:to>
      <xdr:col>11</xdr:col>
      <xdr:colOff>571500</xdr:colOff>
      <xdr:row>1719</xdr:row>
      <xdr:rowOff>0</xdr:rowOff>
    </xdr:to>
    <xdr:pic>
      <xdr:nvPicPr>
        <xdr:cNvPr id="11493" name="Рисунок 11492">
          <a:extLst>
            <a:ext uri="{FF2B5EF4-FFF2-40B4-BE49-F238E27FC236}">
              <a16:creationId xmlns:a16="http://schemas.microsoft.com/office/drawing/2014/main" id="{9109B90F-3569-42AE-8EB2-717201ECA96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8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978728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1719</xdr:row>
      <xdr:rowOff>25400</xdr:rowOff>
    </xdr:from>
    <xdr:to>
      <xdr:col>11</xdr:col>
      <xdr:colOff>571500</xdr:colOff>
      <xdr:row>1720</xdr:row>
      <xdr:rowOff>0</xdr:rowOff>
    </xdr:to>
    <xdr:pic>
      <xdr:nvPicPr>
        <xdr:cNvPr id="11495" name="Рисунок 11494">
          <a:extLst>
            <a:ext uri="{FF2B5EF4-FFF2-40B4-BE49-F238E27FC236}">
              <a16:creationId xmlns:a16="http://schemas.microsoft.com/office/drawing/2014/main" id="{D73FF136-EC61-4C28-99EC-49F4D4104CA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8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979300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1720</xdr:row>
      <xdr:rowOff>25400</xdr:rowOff>
    </xdr:from>
    <xdr:to>
      <xdr:col>11</xdr:col>
      <xdr:colOff>571500</xdr:colOff>
      <xdr:row>1721</xdr:row>
      <xdr:rowOff>0</xdr:rowOff>
    </xdr:to>
    <xdr:pic>
      <xdr:nvPicPr>
        <xdr:cNvPr id="11497" name="Рисунок 11496">
          <a:extLst>
            <a:ext uri="{FF2B5EF4-FFF2-40B4-BE49-F238E27FC236}">
              <a16:creationId xmlns:a16="http://schemas.microsoft.com/office/drawing/2014/main" id="{375BC069-BF0A-4B6E-BE04-455A5D083D7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8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979871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1721</xdr:row>
      <xdr:rowOff>25400</xdr:rowOff>
    </xdr:from>
    <xdr:to>
      <xdr:col>11</xdr:col>
      <xdr:colOff>571500</xdr:colOff>
      <xdr:row>1722</xdr:row>
      <xdr:rowOff>0</xdr:rowOff>
    </xdr:to>
    <xdr:pic>
      <xdr:nvPicPr>
        <xdr:cNvPr id="11499" name="Рисунок 11498">
          <a:extLst>
            <a:ext uri="{FF2B5EF4-FFF2-40B4-BE49-F238E27FC236}">
              <a16:creationId xmlns:a16="http://schemas.microsoft.com/office/drawing/2014/main" id="{722A2816-34CD-4A24-BB2C-65BA777BB9D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8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980443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1722</xdr:row>
      <xdr:rowOff>25400</xdr:rowOff>
    </xdr:from>
    <xdr:to>
      <xdr:col>11</xdr:col>
      <xdr:colOff>571500</xdr:colOff>
      <xdr:row>1723</xdr:row>
      <xdr:rowOff>0</xdr:rowOff>
    </xdr:to>
    <xdr:pic>
      <xdr:nvPicPr>
        <xdr:cNvPr id="11501" name="Рисунок 11500">
          <a:extLst>
            <a:ext uri="{FF2B5EF4-FFF2-40B4-BE49-F238E27FC236}">
              <a16:creationId xmlns:a16="http://schemas.microsoft.com/office/drawing/2014/main" id="{F4AD13B3-9E28-41ED-B3C5-BA4D4483769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8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981014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1723</xdr:row>
      <xdr:rowOff>25400</xdr:rowOff>
    </xdr:from>
    <xdr:to>
      <xdr:col>11</xdr:col>
      <xdr:colOff>571500</xdr:colOff>
      <xdr:row>1724</xdr:row>
      <xdr:rowOff>0</xdr:rowOff>
    </xdr:to>
    <xdr:pic>
      <xdr:nvPicPr>
        <xdr:cNvPr id="11503" name="Рисунок 11502">
          <a:extLst>
            <a:ext uri="{FF2B5EF4-FFF2-40B4-BE49-F238E27FC236}">
              <a16:creationId xmlns:a16="http://schemas.microsoft.com/office/drawing/2014/main" id="{E63328A7-1DB8-4E70-9DB6-FA561650489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8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981586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1724</xdr:row>
      <xdr:rowOff>25400</xdr:rowOff>
    </xdr:from>
    <xdr:to>
      <xdr:col>11</xdr:col>
      <xdr:colOff>571500</xdr:colOff>
      <xdr:row>1725</xdr:row>
      <xdr:rowOff>0</xdr:rowOff>
    </xdr:to>
    <xdr:pic>
      <xdr:nvPicPr>
        <xdr:cNvPr id="11505" name="Рисунок 11504">
          <a:extLst>
            <a:ext uri="{FF2B5EF4-FFF2-40B4-BE49-F238E27FC236}">
              <a16:creationId xmlns:a16="http://schemas.microsoft.com/office/drawing/2014/main" id="{C39D9B43-B029-4301-B8A2-8053622016C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8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982157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1725</xdr:row>
      <xdr:rowOff>25400</xdr:rowOff>
    </xdr:from>
    <xdr:to>
      <xdr:col>11</xdr:col>
      <xdr:colOff>571500</xdr:colOff>
      <xdr:row>1726</xdr:row>
      <xdr:rowOff>0</xdr:rowOff>
    </xdr:to>
    <xdr:pic>
      <xdr:nvPicPr>
        <xdr:cNvPr id="11507" name="Рисунок 11506">
          <a:extLst>
            <a:ext uri="{FF2B5EF4-FFF2-40B4-BE49-F238E27FC236}">
              <a16:creationId xmlns:a16="http://schemas.microsoft.com/office/drawing/2014/main" id="{40C3B906-022D-497B-8DC9-210E29C2BF7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8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982729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1726</xdr:row>
      <xdr:rowOff>25400</xdr:rowOff>
    </xdr:from>
    <xdr:to>
      <xdr:col>11</xdr:col>
      <xdr:colOff>571500</xdr:colOff>
      <xdr:row>1727</xdr:row>
      <xdr:rowOff>0</xdr:rowOff>
    </xdr:to>
    <xdr:pic>
      <xdr:nvPicPr>
        <xdr:cNvPr id="11509" name="Рисунок 11508">
          <a:extLst>
            <a:ext uri="{FF2B5EF4-FFF2-40B4-BE49-F238E27FC236}">
              <a16:creationId xmlns:a16="http://schemas.microsoft.com/office/drawing/2014/main" id="{33F6CC67-1FA1-464A-9E63-D2EC0EB7CE0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8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983300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1727</xdr:row>
      <xdr:rowOff>25400</xdr:rowOff>
    </xdr:from>
    <xdr:to>
      <xdr:col>11</xdr:col>
      <xdr:colOff>571500</xdr:colOff>
      <xdr:row>1728</xdr:row>
      <xdr:rowOff>0</xdr:rowOff>
    </xdr:to>
    <xdr:pic>
      <xdr:nvPicPr>
        <xdr:cNvPr id="11511" name="Рисунок 11510">
          <a:extLst>
            <a:ext uri="{FF2B5EF4-FFF2-40B4-BE49-F238E27FC236}">
              <a16:creationId xmlns:a16="http://schemas.microsoft.com/office/drawing/2014/main" id="{24191DAA-A996-404D-B267-9DCE21666B5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8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983872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1728</xdr:row>
      <xdr:rowOff>25400</xdr:rowOff>
    </xdr:from>
    <xdr:to>
      <xdr:col>11</xdr:col>
      <xdr:colOff>571500</xdr:colOff>
      <xdr:row>1729</xdr:row>
      <xdr:rowOff>0</xdr:rowOff>
    </xdr:to>
    <xdr:pic>
      <xdr:nvPicPr>
        <xdr:cNvPr id="11513" name="Рисунок 11512">
          <a:extLst>
            <a:ext uri="{FF2B5EF4-FFF2-40B4-BE49-F238E27FC236}">
              <a16:creationId xmlns:a16="http://schemas.microsoft.com/office/drawing/2014/main" id="{0755A49E-3BC5-41E7-BBE5-A0095951FE1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9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984443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1729</xdr:row>
      <xdr:rowOff>25400</xdr:rowOff>
    </xdr:from>
    <xdr:to>
      <xdr:col>11</xdr:col>
      <xdr:colOff>571500</xdr:colOff>
      <xdr:row>1730</xdr:row>
      <xdr:rowOff>0</xdr:rowOff>
    </xdr:to>
    <xdr:pic>
      <xdr:nvPicPr>
        <xdr:cNvPr id="11515" name="Рисунок 11514">
          <a:extLst>
            <a:ext uri="{FF2B5EF4-FFF2-40B4-BE49-F238E27FC236}">
              <a16:creationId xmlns:a16="http://schemas.microsoft.com/office/drawing/2014/main" id="{FB330AF5-AF15-4EA9-B3B2-F15C89E73B7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9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985015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1730</xdr:row>
      <xdr:rowOff>25400</xdr:rowOff>
    </xdr:from>
    <xdr:to>
      <xdr:col>11</xdr:col>
      <xdr:colOff>571500</xdr:colOff>
      <xdr:row>1731</xdr:row>
      <xdr:rowOff>0</xdr:rowOff>
    </xdr:to>
    <xdr:pic>
      <xdr:nvPicPr>
        <xdr:cNvPr id="11517" name="Рисунок 11516">
          <a:extLst>
            <a:ext uri="{FF2B5EF4-FFF2-40B4-BE49-F238E27FC236}">
              <a16:creationId xmlns:a16="http://schemas.microsoft.com/office/drawing/2014/main" id="{2DC82F8E-FC4A-4623-B0D4-50EB82579F4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9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985586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1731</xdr:row>
      <xdr:rowOff>25400</xdr:rowOff>
    </xdr:from>
    <xdr:to>
      <xdr:col>11</xdr:col>
      <xdr:colOff>571500</xdr:colOff>
      <xdr:row>1732</xdr:row>
      <xdr:rowOff>0</xdr:rowOff>
    </xdr:to>
    <xdr:pic>
      <xdr:nvPicPr>
        <xdr:cNvPr id="11519" name="Рисунок 11518">
          <a:extLst>
            <a:ext uri="{FF2B5EF4-FFF2-40B4-BE49-F238E27FC236}">
              <a16:creationId xmlns:a16="http://schemas.microsoft.com/office/drawing/2014/main" id="{C03C32EA-A08A-47E9-9A85-6F0ADE2753C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9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986158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1732</xdr:row>
      <xdr:rowOff>25400</xdr:rowOff>
    </xdr:from>
    <xdr:to>
      <xdr:col>11</xdr:col>
      <xdr:colOff>571500</xdr:colOff>
      <xdr:row>1733</xdr:row>
      <xdr:rowOff>0</xdr:rowOff>
    </xdr:to>
    <xdr:pic>
      <xdr:nvPicPr>
        <xdr:cNvPr id="11521" name="Рисунок 11520">
          <a:extLst>
            <a:ext uri="{FF2B5EF4-FFF2-40B4-BE49-F238E27FC236}">
              <a16:creationId xmlns:a16="http://schemas.microsoft.com/office/drawing/2014/main" id="{69CCA067-2AEE-495D-8AC7-DC0046FAE65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9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986729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1733</xdr:row>
      <xdr:rowOff>25400</xdr:rowOff>
    </xdr:from>
    <xdr:to>
      <xdr:col>11</xdr:col>
      <xdr:colOff>571500</xdr:colOff>
      <xdr:row>1734</xdr:row>
      <xdr:rowOff>0</xdr:rowOff>
    </xdr:to>
    <xdr:pic>
      <xdr:nvPicPr>
        <xdr:cNvPr id="11523" name="Рисунок 11522">
          <a:extLst>
            <a:ext uri="{FF2B5EF4-FFF2-40B4-BE49-F238E27FC236}">
              <a16:creationId xmlns:a16="http://schemas.microsoft.com/office/drawing/2014/main" id="{B228BC65-7CAA-4D06-9B62-C4D795CE3C1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9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987301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1734</xdr:row>
      <xdr:rowOff>25400</xdr:rowOff>
    </xdr:from>
    <xdr:to>
      <xdr:col>11</xdr:col>
      <xdr:colOff>571500</xdr:colOff>
      <xdr:row>1735</xdr:row>
      <xdr:rowOff>0</xdr:rowOff>
    </xdr:to>
    <xdr:pic>
      <xdr:nvPicPr>
        <xdr:cNvPr id="11525" name="Рисунок 11524">
          <a:extLst>
            <a:ext uri="{FF2B5EF4-FFF2-40B4-BE49-F238E27FC236}">
              <a16:creationId xmlns:a16="http://schemas.microsoft.com/office/drawing/2014/main" id="{BFB4ED5B-0C18-4CA2-9BD9-B408F042530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9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987872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1735</xdr:row>
      <xdr:rowOff>25400</xdr:rowOff>
    </xdr:from>
    <xdr:to>
      <xdr:col>11</xdr:col>
      <xdr:colOff>571500</xdr:colOff>
      <xdr:row>1736</xdr:row>
      <xdr:rowOff>0</xdr:rowOff>
    </xdr:to>
    <xdr:pic>
      <xdr:nvPicPr>
        <xdr:cNvPr id="11527" name="Рисунок 11526">
          <a:extLst>
            <a:ext uri="{FF2B5EF4-FFF2-40B4-BE49-F238E27FC236}">
              <a16:creationId xmlns:a16="http://schemas.microsoft.com/office/drawing/2014/main" id="{AD7C3EE2-57D6-4458-8456-644BA2600AB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9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988444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1736</xdr:row>
      <xdr:rowOff>25400</xdr:rowOff>
    </xdr:from>
    <xdr:to>
      <xdr:col>11</xdr:col>
      <xdr:colOff>789940</xdr:colOff>
      <xdr:row>1737</xdr:row>
      <xdr:rowOff>0</xdr:rowOff>
    </xdr:to>
    <xdr:pic>
      <xdr:nvPicPr>
        <xdr:cNvPr id="11529" name="Рисунок 11528">
          <a:extLst>
            <a:ext uri="{FF2B5EF4-FFF2-40B4-BE49-F238E27FC236}">
              <a16:creationId xmlns:a16="http://schemas.microsoft.com/office/drawing/2014/main" id="{84E93F23-0B5E-42C6-9367-0B8E7095C2D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9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989015675"/>
          <a:ext cx="76454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1737</xdr:row>
      <xdr:rowOff>25400</xdr:rowOff>
    </xdr:from>
    <xdr:to>
      <xdr:col>11</xdr:col>
      <xdr:colOff>571500</xdr:colOff>
      <xdr:row>1738</xdr:row>
      <xdr:rowOff>0</xdr:rowOff>
    </xdr:to>
    <xdr:pic>
      <xdr:nvPicPr>
        <xdr:cNvPr id="11531" name="Рисунок 11530">
          <a:extLst>
            <a:ext uri="{FF2B5EF4-FFF2-40B4-BE49-F238E27FC236}">
              <a16:creationId xmlns:a16="http://schemas.microsoft.com/office/drawing/2014/main" id="{088B314F-A931-44F9-8E41-C12A04AD860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69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989587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1738</xdr:row>
      <xdr:rowOff>25400</xdr:rowOff>
    </xdr:from>
    <xdr:to>
      <xdr:col>11</xdr:col>
      <xdr:colOff>571500</xdr:colOff>
      <xdr:row>1739</xdr:row>
      <xdr:rowOff>0</xdr:rowOff>
    </xdr:to>
    <xdr:pic>
      <xdr:nvPicPr>
        <xdr:cNvPr id="11533" name="Рисунок 11532">
          <a:extLst>
            <a:ext uri="{FF2B5EF4-FFF2-40B4-BE49-F238E27FC236}">
              <a16:creationId xmlns:a16="http://schemas.microsoft.com/office/drawing/2014/main" id="{87B00740-62C5-4551-8197-C9D27256C27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0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990158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1739</xdr:row>
      <xdr:rowOff>25400</xdr:rowOff>
    </xdr:from>
    <xdr:to>
      <xdr:col>11</xdr:col>
      <xdr:colOff>571500</xdr:colOff>
      <xdr:row>1740</xdr:row>
      <xdr:rowOff>0</xdr:rowOff>
    </xdr:to>
    <xdr:pic>
      <xdr:nvPicPr>
        <xdr:cNvPr id="11535" name="Рисунок 11534">
          <a:extLst>
            <a:ext uri="{FF2B5EF4-FFF2-40B4-BE49-F238E27FC236}">
              <a16:creationId xmlns:a16="http://schemas.microsoft.com/office/drawing/2014/main" id="{BE8E8CD9-98A4-4B01-A512-F93B8F50A9F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0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990730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1740</xdr:row>
      <xdr:rowOff>25400</xdr:rowOff>
    </xdr:from>
    <xdr:to>
      <xdr:col>11</xdr:col>
      <xdr:colOff>571500</xdr:colOff>
      <xdr:row>1741</xdr:row>
      <xdr:rowOff>0</xdr:rowOff>
    </xdr:to>
    <xdr:pic>
      <xdr:nvPicPr>
        <xdr:cNvPr id="11537" name="Рисунок 11536">
          <a:extLst>
            <a:ext uri="{FF2B5EF4-FFF2-40B4-BE49-F238E27FC236}">
              <a16:creationId xmlns:a16="http://schemas.microsoft.com/office/drawing/2014/main" id="{DCC963C0-88C7-4F8C-81D6-786F8CEB2BD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0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991301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1741</xdr:row>
      <xdr:rowOff>25400</xdr:rowOff>
    </xdr:from>
    <xdr:to>
      <xdr:col>11</xdr:col>
      <xdr:colOff>571500</xdr:colOff>
      <xdr:row>1742</xdr:row>
      <xdr:rowOff>0</xdr:rowOff>
    </xdr:to>
    <xdr:pic>
      <xdr:nvPicPr>
        <xdr:cNvPr id="11539" name="Рисунок 11538">
          <a:extLst>
            <a:ext uri="{FF2B5EF4-FFF2-40B4-BE49-F238E27FC236}">
              <a16:creationId xmlns:a16="http://schemas.microsoft.com/office/drawing/2014/main" id="{1FA118BD-2C99-44EF-84E2-E3208436509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0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991873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1742</xdr:row>
      <xdr:rowOff>25400</xdr:rowOff>
    </xdr:from>
    <xdr:to>
      <xdr:col>11</xdr:col>
      <xdr:colOff>571500</xdr:colOff>
      <xdr:row>1743</xdr:row>
      <xdr:rowOff>0</xdr:rowOff>
    </xdr:to>
    <xdr:pic>
      <xdr:nvPicPr>
        <xdr:cNvPr id="11541" name="Рисунок 11540">
          <a:extLst>
            <a:ext uri="{FF2B5EF4-FFF2-40B4-BE49-F238E27FC236}">
              <a16:creationId xmlns:a16="http://schemas.microsoft.com/office/drawing/2014/main" id="{39D8E33E-A0C7-4663-9170-BC315619D87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0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992444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1743</xdr:row>
      <xdr:rowOff>25400</xdr:rowOff>
    </xdr:from>
    <xdr:to>
      <xdr:col>11</xdr:col>
      <xdr:colOff>571500</xdr:colOff>
      <xdr:row>1744</xdr:row>
      <xdr:rowOff>0</xdr:rowOff>
    </xdr:to>
    <xdr:pic>
      <xdr:nvPicPr>
        <xdr:cNvPr id="11543" name="Рисунок 11542">
          <a:extLst>
            <a:ext uri="{FF2B5EF4-FFF2-40B4-BE49-F238E27FC236}">
              <a16:creationId xmlns:a16="http://schemas.microsoft.com/office/drawing/2014/main" id="{C577D67D-240B-42F0-A833-23CC9C77823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0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993016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1744</xdr:row>
      <xdr:rowOff>25400</xdr:rowOff>
    </xdr:from>
    <xdr:to>
      <xdr:col>11</xdr:col>
      <xdr:colOff>571500</xdr:colOff>
      <xdr:row>1745</xdr:row>
      <xdr:rowOff>0</xdr:rowOff>
    </xdr:to>
    <xdr:pic>
      <xdr:nvPicPr>
        <xdr:cNvPr id="11545" name="Рисунок 11544">
          <a:extLst>
            <a:ext uri="{FF2B5EF4-FFF2-40B4-BE49-F238E27FC236}">
              <a16:creationId xmlns:a16="http://schemas.microsoft.com/office/drawing/2014/main" id="{DCAE4DB2-6409-4485-99D2-CE2E32D72F8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0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993587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1745</xdr:row>
      <xdr:rowOff>25400</xdr:rowOff>
    </xdr:from>
    <xdr:to>
      <xdr:col>11</xdr:col>
      <xdr:colOff>571500</xdr:colOff>
      <xdr:row>1746</xdr:row>
      <xdr:rowOff>0</xdr:rowOff>
    </xdr:to>
    <xdr:pic>
      <xdr:nvPicPr>
        <xdr:cNvPr id="11547" name="Рисунок 11546">
          <a:extLst>
            <a:ext uri="{FF2B5EF4-FFF2-40B4-BE49-F238E27FC236}">
              <a16:creationId xmlns:a16="http://schemas.microsoft.com/office/drawing/2014/main" id="{3E825B25-8E97-45C0-934C-4C34D2F8E73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0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994159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1746</xdr:row>
      <xdr:rowOff>25400</xdr:rowOff>
    </xdr:from>
    <xdr:to>
      <xdr:col>11</xdr:col>
      <xdr:colOff>571500</xdr:colOff>
      <xdr:row>1747</xdr:row>
      <xdr:rowOff>0</xdr:rowOff>
    </xdr:to>
    <xdr:pic>
      <xdr:nvPicPr>
        <xdr:cNvPr id="11549" name="Рисунок 11548">
          <a:extLst>
            <a:ext uri="{FF2B5EF4-FFF2-40B4-BE49-F238E27FC236}">
              <a16:creationId xmlns:a16="http://schemas.microsoft.com/office/drawing/2014/main" id="{9D70C0C0-FD0F-4643-B07D-70819DD1145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0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994730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1747</xdr:row>
      <xdr:rowOff>25400</xdr:rowOff>
    </xdr:from>
    <xdr:to>
      <xdr:col>11</xdr:col>
      <xdr:colOff>571500</xdr:colOff>
      <xdr:row>1748</xdr:row>
      <xdr:rowOff>0</xdr:rowOff>
    </xdr:to>
    <xdr:pic>
      <xdr:nvPicPr>
        <xdr:cNvPr id="11551" name="Рисунок 11550">
          <a:extLst>
            <a:ext uri="{FF2B5EF4-FFF2-40B4-BE49-F238E27FC236}">
              <a16:creationId xmlns:a16="http://schemas.microsoft.com/office/drawing/2014/main" id="{E6B163EF-0F6F-4CC0-9F03-932688C580A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0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995302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1748</xdr:row>
      <xdr:rowOff>25400</xdr:rowOff>
    </xdr:from>
    <xdr:to>
      <xdr:col>11</xdr:col>
      <xdr:colOff>571500</xdr:colOff>
      <xdr:row>1749</xdr:row>
      <xdr:rowOff>0</xdr:rowOff>
    </xdr:to>
    <xdr:pic>
      <xdr:nvPicPr>
        <xdr:cNvPr id="11553" name="Рисунок 11552">
          <a:extLst>
            <a:ext uri="{FF2B5EF4-FFF2-40B4-BE49-F238E27FC236}">
              <a16:creationId xmlns:a16="http://schemas.microsoft.com/office/drawing/2014/main" id="{257AD74D-DC60-486B-8442-47C2B8BB597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995873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1749</xdr:row>
      <xdr:rowOff>25400</xdr:rowOff>
    </xdr:from>
    <xdr:to>
      <xdr:col>11</xdr:col>
      <xdr:colOff>571500</xdr:colOff>
      <xdr:row>1750</xdr:row>
      <xdr:rowOff>0</xdr:rowOff>
    </xdr:to>
    <xdr:pic>
      <xdr:nvPicPr>
        <xdr:cNvPr id="11555" name="Рисунок 11554">
          <a:extLst>
            <a:ext uri="{FF2B5EF4-FFF2-40B4-BE49-F238E27FC236}">
              <a16:creationId xmlns:a16="http://schemas.microsoft.com/office/drawing/2014/main" id="{10EAB62B-F9F4-4C7F-A089-580BCC0439D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996445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1750</xdr:row>
      <xdr:rowOff>25400</xdr:rowOff>
    </xdr:from>
    <xdr:to>
      <xdr:col>11</xdr:col>
      <xdr:colOff>571500</xdr:colOff>
      <xdr:row>1751</xdr:row>
      <xdr:rowOff>0</xdr:rowOff>
    </xdr:to>
    <xdr:pic>
      <xdr:nvPicPr>
        <xdr:cNvPr id="11557" name="Рисунок 11556">
          <a:extLst>
            <a:ext uri="{FF2B5EF4-FFF2-40B4-BE49-F238E27FC236}">
              <a16:creationId xmlns:a16="http://schemas.microsoft.com/office/drawing/2014/main" id="{4E66B09D-360E-4AAF-9000-25C67FE808E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997016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1751</xdr:row>
      <xdr:rowOff>25400</xdr:rowOff>
    </xdr:from>
    <xdr:to>
      <xdr:col>11</xdr:col>
      <xdr:colOff>571500</xdr:colOff>
      <xdr:row>1752</xdr:row>
      <xdr:rowOff>0</xdr:rowOff>
    </xdr:to>
    <xdr:pic>
      <xdr:nvPicPr>
        <xdr:cNvPr id="11559" name="Рисунок 11558">
          <a:extLst>
            <a:ext uri="{FF2B5EF4-FFF2-40B4-BE49-F238E27FC236}">
              <a16:creationId xmlns:a16="http://schemas.microsoft.com/office/drawing/2014/main" id="{2855998A-F5A8-439D-A6C4-B53A2909603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997588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1752</xdr:row>
      <xdr:rowOff>25400</xdr:rowOff>
    </xdr:from>
    <xdr:to>
      <xdr:col>11</xdr:col>
      <xdr:colOff>571500</xdr:colOff>
      <xdr:row>1753</xdr:row>
      <xdr:rowOff>0</xdr:rowOff>
    </xdr:to>
    <xdr:pic>
      <xdr:nvPicPr>
        <xdr:cNvPr id="11561" name="Рисунок 11560">
          <a:extLst>
            <a:ext uri="{FF2B5EF4-FFF2-40B4-BE49-F238E27FC236}">
              <a16:creationId xmlns:a16="http://schemas.microsoft.com/office/drawing/2014/main" id="{ED961F70-DCDB-426C-A5E8-AC082E05C6D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998159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1753</xdr:row>
      <xdr:rowOff>25400</xdr:rowOff>
    </xdr:from>
    <xdr:to>
      <xdr:col>11</xdr:col>
      <xdr:colOff>571500</xdr:colOff>
      <xdr:row>1754</xdr:row>
      <xdr:rowOff>0</xdr:rowOff>
    </xdr:to>
    <xdr:pic>
      <xdr:nvPicPr>
        <xdr:cNvPr id="11563" name="Рисунок 11562">
          <a:extLst>
            <a:ext uri="{FF2B5EF4-FFF2-40B4-BE49-F238E27FC236}">
              <a16:creationId xmlns:a16="http://schemas.microsoft.com/office/drawing/2014/main" id="{671A3B7A-15A9-44D6-A8BD-8C84D62BDEF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998731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1754</xdr:row>
      <xdr:rowOff>25400</xdr:rowOff>
    </xdr:from>
    <xdr:to>
      <xdr:col>11</xdr:col>
      <xdr:colOff>571500</xdr:colOff>
      <xdr:row>1755</xdr:row>
      <xdr:rowOff>0</xdr:rowOff>
    </xdr:to>
    <xdr:pic>
      <xdr:nvPicPr>
        <xdr:cNvPr id="11565" name="Рисунок 11564">
          <a:extLst>
            <a:ext uri="{FF2B5EF4-FFF2-40B4-BE49-F238E27FC236}">
              <a16:creationId xmlns:a16="http://schemas.microsoft.com/office/drawing/2014/main" id="{F0517EA0-D501-4120-981F-2F345298261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999302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1755</xdr:row>
      <xdr:rowOff>25400</xdr:rowOff>
    </xdr:from>
    <xdr:to>
      <xdr:col>11</xdr:col>
      <xdr:colOff>571500</xdr:colOff>
      <xdr:row>1756</xdr:row>
      <xdr:rowOff>0</xdr:rowOff>
    </xdr:to>
    <xdr:pic>
      <xdr:nvPicPr>
        <xdr:cNvPr id="11567" name="Рисунок 11566">
          <a:extLst>
            <a:ext uri="{FF2B5EF4-FFF2-40B4-BE49-F238E27FC236}">
              <a16:creationId xmlns:a16="http://schemas.microsoft.com/office/drawing/2014/main" id="{25D780BE-5160-402A-909D-2FC39088CF2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999874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1756</xdr:row>
      <xdr:rowOff>25400</xdr:rowOff>
    </xdr:from>
    <xdr:to>
      <xdr:col>11</xdr:col>
      <xdr:colOff>571500</xdr:colOff>
      <xdr:row>1757</xdr:row>
      <xdr:rowOff>0</xdr:rowOff>
    </xdr:to>
    <xdr:pic>
      <xdr:nvPicPr>
        <xdr:cNvPr id="11569" name="Рисунок 11568">
          <a:extLst>
            <a:ext uri="{FF2B5EF4-FFF2-40B4-BE49-F238E27FC236}">
              <a16:creationId xmlns:a16="http://schemas.microsoft.com/office/drawing/2014/main" id="{3810C12E-C834-474E-A006-8BB2EC6AFE4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000445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1757</xdr:row>
      <xdr:rowOff>25400</xdr:rowOff>
    </xdr:from>
    <xdr:to>
      <xdr:col>11</xdr:col>
      <xdr:colOff>571500</xdr:colOff>
      <xdr:row>1758</xdr:row>
      <xdr:rowOff>0</xdr:rowOff>
    </xdr:to>
    <xdr:pic>
      <xdr:nvPicPr>
        <xdr:cNvPr id="11571" name="Рисунок 11570">
          <a:extLst>
            <a:ext uri="{FF2B5EF4-FFF2-40B4-BE49-F238E27FC236}">
              <a16:creationId xmlns:a16="http://schemas.microsoft.com/office/drawing/2014/main" id="{D1272F91-F9B8-49F5-B7DC-90BC1DDA890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001017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1758</xdr:row>
      <xdr:rowOff>25400</xdr:rowOff>
    </xdr:from>
    <xdr:to>
      <xdr:col>11</xdr:col>
      <xdr:colOff>571500</xdr:colOff>
      <xdr:row>1759</xdr:row>
      <xdr:rowOff>0</xdr:rowOff>
    </xdr:to>
    <xdr:pic>
      <xdr:nvPicPr>
        <xdr:cNvPr id="11573" name="Рисунок 11572">
          <a:extLst>
            <a:ext uri="{FF2B5EF4-FFF2-40B4-BE49-F238E27FC236}">
              <a16:creationId xmlns:a16="http://schemas.microsoft.com/office/drawing/2014/main" id="{3B48BE6B-3EE1-42C2-A95C-694CF551A0A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001588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1759</xdr:row>
      <xdr:rowOff>25400</xdr:rowOff>
    </xdr:from>
    <xdr:to>
      <xdr:col>11</xdr:col>
      <xdr:colOff>571500</xdr:colOff>
      <xdr:row>1760</xdr:row>
      <xdr:rowOff>0</xdr:rowOff>
    </xdr:to>
    <xdr:pic>
      <xdr:nvPicPr>
        <xdr:cNvPr id="11575" name="Рисунок 11574">
          <a:extLst>
            <a:ext uri="{FF2B5EF4-FFF2-40B4-BE49-F238E27FC236}">
              <a16:creationId xmlns:a16="http://schemas.microsoft.com/office/drawing/2014/main" id="{DC5856A2-636F-4630-8D34-6134D82826C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002160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1760</xdr:row>
      <xdr:rowOff>25400</xdr:rowOff>
    </xdr:from>
    <xdr:to>
      <xdr:col>11</xdr:col>
      <xdr:colOff>571500</xdr:colOff>
      <xdr:row>1761</xdr:row>
      <xdr:rowOff>0</xdr:rowOff>
    </xdr:to>
    <xdr:pic>
      <xdr:nvPicPr>
        <xdr:cNvPr id="11577" name="Рисунок 11576">
          <a:extLst>
            <a:ext uri="{FF2B5EF4-FFF2-40B4-BE49-F238E27FC236}">
              <a16:creationId xmlns:a16="http://schemas.microsoft.com/office/drawing/2014/main" id="{C680220F-DF1F-4C3A-B9EF-5D523941F46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002731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1761</xdr:row>
      <xdr:rowOff>25400</xdr:rowOff>
    </xdr:from>
    <xdr:to>
      <xdr:col>11</xdr:col>
      <xdr:colOff>571500</xdr:colOff>
      <xdr:row>1762</xdr:row>
      <xdr:rowOff>0</xdr:rowOff>
    </xdr:to>
    <xdr:pic>
      <xdr:nvPicPr>
        <xdr:cNvPr id="11579" name="Рисунок 11578">
          <a:extLst>
            <a:ext uri="{FF2B5EF4-FFF2-40B4-BE49-F238E27FC236}">
              <a16:creationId xmlns:a16="http://schemas.microsoft.com/office/drawing/2014/main" id="{9557A5CE-9DFB-4B70-837E-4E567C5AAE6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003303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1762</xdr:row>
      <xdr:rowOff>25400</xdr:rowOff>
    </xdr:from>
    <xdr:to>
      <xdr:col>11</xdr:col>
      <xdr:colOff>571500</xdr:colOff>
      <xdr:row>1763</xdr:row>
      <xdr:rowOff>0</xdr:rowOff>
    </xdr:to>
    <xdr:pic>
      <xdr:nvPicPr>
        <xdr:cNvPr id="11581" name="Рисунок 11580">
          <a:extLst>
            <a:ext uri="{FF2B5EF4-FFF2-40B4-BE49-F238E27FC236}">
              <a16:creationId xmlns:a16="http://schemas.microsoft.com/office/drawing/2014/main" id="{2973791F-A45B-47E3-96A3-E8BD7BE077B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003874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1763</xdr:row>
      <xdr:rowOff>25400</xdr:rowOff>
    </xdr:from>
    <xdr:to>
      <xdr:col>11</xdr:col>
      <xdr:colOff>571500</xdr:colOff>
      <xdr:row>1764</xdr:row>
      <xdr:rowOff>0</xdr:rowOff>
    </xdr:to>
    <xdr:pic>
      <xdr:nvPicPr>
        <xdr:cNvPr id="11583" name="Рисунок 11582">
          <a:extLst>
            <a:ext uri="{FF2B5EF4-FFF2-40B4-BE49-F238E27FC236}">
              <a16:creationId xmlns:a16="http://schemas.microsoft.com/office/drawing/2014/main" id="{253BD44E-AA7C-4346-B049-DF2777BF741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004446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1764</xdr:row>
      <xdr:rowOff>25400</xdr:rowOff>
    </xdr:from>
    <xdr:to>
      <xdr:col>11</xdr:col>
      <xdr:colOff>571500</xdr:colOff>
      <xdr:row>1765</xdr:row>
      <xdr:rowOff>0</xdr:rowOff>
    </xdr:to>
    <xdr:pic>
      <xdr:nvPicPr>
        <xdr:cNvPr id="11585" name="Рисунок 11584">
          <a:extLst>
            <a:ext uri="{FF2B5EF4-FFF2-40B4-BE49-F238E27FC236}">
              <a16:creationId xmlns:a16="http://schemas.microsoft.com/office/drawing/2014/main" id="{B04D7D7D-EE3B-46C7-9DFA-91593D0B0B0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005017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1765</xdr:row>
      <xdr:rowOff>25400</xdr:rowOff>
    </xdr:from>
    <xdr:to>
      <xdr:col>11</xdr:col>
      <xdr:colOff>571500</xdr:colOff>
      <xdr:row>1766</xdr:row>
      <xdr:rowOff>0</xdr:rowOff>
    </xdr:to>
    <xdr:pic>
      <xdr:nvPicPr>
        <xdr:cNvPr id="11587" name="Рисунок 11586">
          <a:extLst>
            <a:ext uri="{FF2B5EF4-FFF2-40B4-BE49-F238E27FC236}">
              <a16:creationId xmlns:a16="http://schemas.microsoft.com/office/drawing/2014/main" id="{23D89F74-EFB5-4E50-91BC-B6519E03E3A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005589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1766</xdr:row>
      <xdr:rowOff>25400</xdr:rowOff>
    </xdr:from>
    <xdr:to>
      <xdr:col>11</xdr:col>
      <xdr:colOff>571500</xdr:colOff>
      <xdr:row>1767</xdr:row>
      <xdr:rowOff>0</xdr:rowOff>
    </xdr:to>
    <xdr:pic>
      <xdr:nvPicPr>
        <xdr:cNvPr id="11589" name="Рисунок 11588">
          <a:extLst>
            <a:ext uri="{FF2B5EF4-FFF2-40B4-BE49-F238E27FC236}">
              <a16:creationId xmlns:a16="http://schemas.microsoft.com/office/drawing/2014/main" id="{2F918626-E3D5-492F-B8CC-A5733D6D153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006160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1767</xdr:row>
      <xdr:rowOff>25400</xdr:rowOff>
    </xdr:from>
    <xdr:to>
      <xdr:col>11</xdr:col>
      <xdr:colOff>571500</xdr:colOff>
      <xdr:row>1768</xdr:row>
      <xdr:rowOff>0</xdr:rowOff>
    </xdr:to>
    <xdr:pic>
      <xdr:nvPicPr>
        <xdr:cNvPr id="11591" name="Рисунок 11590">
          <a:extLst>
            <a:ext uri="{FF2B5EF4-FFF2-40B4-BE49-F238E27FC236}">
              <a16:creationId xmlns:a16="http://schemas.microsoft.com/office/drawing/2014/main" id="{109AA26D-72AA-477D-8BF7-CA0D7AD5C5E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006732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1768</xdr:row>
      <xdr:rowOff>25400</xdr:rowOff>
    </xdr:from>
    <xdr:to>
      <xdr:col>11</xdr:col>
      <xdr:colOff>571500</xdr:colOff>
      <xdr:row>1769</xdr:row>
      <xdr:rowOff>0</xdr:rowOff>
    </xdr:to>
    <xdr:pic>
      <xdr:nvPicPr>
        <xdr:cNvPr id="11593" name="Рисунок 11592">
          <a:extLst>
            <a:ext uri="{FF2B5EF4-FFF2-40B4-BE49-F238E27FC236}">
              <a16:creationId xmlns:a16="http://schemas.microsoft.com/office/drawing/2014/main" id="{C4E3401B-BAB6-42BB-9D3C-E65BFFE9050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007303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1769</xdr:row>
      <xdr:rowOff>25400</xdr:rowOff>
    </xdr:from>
    <xdr:to>
      <xdr:col>11</xdr:col>
      <xdr:colOff>571500</xdr:colOff>
      <xdr:row>1770</xdr:row>
      <xdr:rowOff>0</xdr:rowOff>
    </xdr:to>
    <xdr:pic>
      <xdr:nvPicPr>
        <xdr:cNvPr id="11595" name="Рисунок 11594">
          <a:extLst>
            <a:ext uri="{FF2B5EF4-FFF2-40B4-BE49-F238E27FC236}">
              <a16:creationId xmlns:a16="http://schemas.microsoft.com/office/drawing/2014/main" id="{3506C08F-79C9-4192-AE0F-23774A83688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3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007875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1770</xdr:row>
      <xdr:rowOff>25400</xdr:rowOff>
    </xdr:from>
    <xdr:to>
      <xdr:col>11</xdr:col>
      <xdr:colOff>571500</xdr:colOff>
      <xdr:row>1771</xdr:row>
      <xdr:rowOff>0</xdr:rowOff>
    </xdr:to>
    <xdr:pic>
      <xdr:nvPicPr>
        <xdr:cNvPr id="11597" name="Рисунок 11596">
          <a:extLst>
            <a:ext uri="{FF2B5EF4-FFF2-40B4-BE49-F238E27FC236}">
              <a16:creationId xmlns:a16="http://schemas.microsoft.com/office/drawing/2014/main" id="{43B43471-C5E5-46B0-8547-D69551684E5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3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008446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1771</xdr:row>
      <xdr:rowOff>25400</xdr:rowOff>
    </xdr:from>
    <xdr:to>
      <xdr:col>11</xdr:col>
      <xdr:colOff>571500</xdr:colOff>
      <xdr:row>1772</xdr:row>
      <xdr:rowOff>0</xdr:rowOff>
    </xdr:to>
    <xdr:pic>
      <xdr:nvPicPr>
        <xdr:cNvPr id="11599" name="Рисунок 11598">
          <a:extLst>
            <a:ext uri="{FF2B5EF4-FFF2-40B4-BE49-F238E27FC236}">
              <a16:creationId xmlns:a16="http://schemas.microsoft.com/office/drawing/2014/main" id="{65250023-CB11-49BD-9661-BED3B49CD7F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3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009018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1772</xdr:row>
      <xdr:rowOff>25400</xdr:rowOff>
    </xdr:from>
    <xdr:to>
      <xdr:col>11</xdr:col>
      <xdr:colOff>571500</xdr:colOff>
      <xdr:row>1773</xdr:row>
      <xdr:rowOff>0</xdr:rowOff>
    </xdr:to>
    <xdr:pic>
      <xdr:nvPicPr>
        <xdr:cNvPr id="11601" name="Рисунок 11600">
          <a:extLst>
            <a:ext uri="{FF2B5EF4-FFF2-40B4-BE49-F238E27FC236}">
              <a16:creationId xmlns:a16="http://schemas.microsoft.com/office/drawing/2014/main" id="{E8BCE310-3309-41F6-B22D-B0378DB1422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3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009589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1773</xdr:row>
      <xdr:rowOff>25400</xdr:rowOff>
    </xdr:from>
    <xdr:to>
      <xdr:col>11</xdr:col>
      <xdr:colOff>571500</xdr:colOff>
      <xdr:row>1774</xdr:row>
      <xdr:rowOff>0</xdr:rowOff>
    </xdr:to>
    <xdr:pic>
      <xdr:nvPicPr>
        <xdr:cNvPr id="11603" name="Рисунок 11602">
          <a:extLst>
            <a:ext uri="{FF2B5EF4-FFF2-40B4-BE49-F238E27FC236}">
              <a16:creationId xmlns:a16="http://schemas.microsoft.com/office/drawing/2014/main" id="{2A547EAB-E5E6-4DC3-B504-53918276660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3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010161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1774</xdr:row>
      <xdr:rowOff>25400</xdr:rowOff>
    </xdr:from>
    <xdr:to>
      <xdr:col>11</xdr:col>
      <xdr:colOff>571500</xdr:colOff>
      <xdr:row>1775</xdr:row>
      <xdr:rowOff>0</xdr:rowOff>
    </xdr:to>
    <xdr:pic>
      <xdr:nvPicPr>
        <xdr:cNvPr id="11605" name="Рисунок 11604">
          <a:extLst>
            <a:ext uri="{FF2B5EF4-FFF2-40B4-BE49-F238E27FC236}">
              <a16:creationId xmlns:a16="http://schemas.microsoft.com/office/drawing/2014/main" id="{D8B90775-1542-4E55-9A7E-E3B31635640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3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010732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1775</xdr:row>
      <xdr:rowOff>25400</xdr:rowOff>
    </xdr:from>
    <xdr:to>
      <xdr:col>11</xdr:col>
      <xdr:colOff>571500</xdr:colOff>
      <xdr:row>1776</xdr:row>
      <xdr:rowOff>0</xdr:rowOff>
    </xdr:to>
    <xdr:pic>
      <xdr:nvPicPr>
        <xdr:cNvPr id="11607" name="Рисунок 11606">
          <a:extLst>
            <a:ext uri="{FF2B5EF4-FFF2-40B4-BE49-F238E27FC236}">
              <a16:creationId xmlns:a16="http://schemas.microsoft.com/office/drawing/2014/main" id="{49C3AE2A-ED27-4B0B-950F-9B2F3ED73BA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3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011304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1776</xdr:row>
      <xdr:rowOff>25400</xdr:rowOff>
    </xdr:from>
    <xdr:to>
      <xdr:col>11</xdr:col>
      <xdr:colOff>571500</xdr:colOff>
      <xdr:row>1777</xdr:row>
      <xdr:rowOff>0</xdr:rowOff>
    </xdr:to>
    <xdr:pic>
      <xdr:nvPicPr>
        <xdr:cNvPr id="11609" name="Рисунок 11608">
          <a:extLst>
            <a:ext uri="{FF2B5EF4-FFF2-40B4-BE49-F238E27FC236}">
              <a16:creationId xmlns:a16="http://schemas.microsoft.com/office/drawing/2014/main" id="{59CEB421-99F6-465C-B26C-EE1C57F5F09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3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011875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1777</xdr:row>
      <xdr:rowOff>25400</xdr:rowOff>
    </xdr:from>
    <xdr:to>
      <xdr:col>11</xdr:col>
      <xdr:colOff>571500</xdr:colOff>
      <xdr:row>1778</xdr:row>
      <xdr:rowOff>0</xdr:rowOff>
    </xdr:to>
    <xdr:pic>
      <xdr:nvPicPr>
        <xdr:cNvPr id="11611" name="Рисунок 11610">
          <a:extLst>
            <a:ext uri="{FF2B5EF4-FFF2-40B4-BE49-F238E27FC236}">
              <a16:creationId xmlns:a16="http://schemas.microsoft.com/office/drawing/2014/main" id="{B326DB2B-0D6B-4AEC-8A0D-7439ED74B02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3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012447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1778</xdr:row>
      <xdr:rowOff>25400</xdr:rowOff>
    </xdr:from>
    <xdr:to>
      <xdr:col>11</xdr:col>
      <xdr:colOff>571500</xdr:colOff>
      <xdr:row>1779</xdr:row>
      <xdr:rowOff>0</xdr:rowOff>
    </xdr:to>
    <xdr:pic>
      <xdr:nvPicPr>
        <xdr:cNvPr id="11613" name="Рисунок 11612">
          <a:extLst>
            <a:ext uri="{FF2B5EF4-FFF2-40B4-BE49-F238E27FC236}">
              <a16:creationId xmlns:a16="http://schemas.microsoft.com/office/drawing/2014/main" id="{66EC9707-95DC-4994-BB6D-461F49A48BF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4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013018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1779</xdr:row>
      <xdr:rowOff>25400</xdr:rowOff>
    </xdr:from>
    <xdr:to>
      <xdr:col>11</xdr:col>
      <xdr:colOff>571500</xdr:colOff>
      <xdr:row>1780</xdr:row>
      <xdr:rowOff>0</xdr:rowOff>
    </xdr:to>
    <xdr:pic>
      <xdr:nvPicPr>
        <xdr:cNvPr id="11615" name="Рисунок 11614">
          <a:extLst>
            <a:ext uri="{FF2B5EF4-FFF2-40B4-BE49-F238E27FC236}">
              <a16:creationId xmlns:a16="http://schemas.microsoft.com/office/drawing/2014/main" id="{A41570FD-7538-4D65-ADED-1340270E961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4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013590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1780</xdr:row>
      <xdr:rowOff>25400</xdr:rowOff>
    </xdr:from>
    <xdr:to>
      <xdr:col>11</xdr:col>
      <xdr:colOff>571500</xdr:colOff>
      <xdr:row>1781</xdr:row>
      <xdr:rowOff>0</xdr:rowOff>
    </xdr:to>
    <xdr:pic>
      <xdr:nvPicPr>
        <xdr:cNvPr id="11617" name="Рисунок 11616">
          <a:extLst>
            <a:ext uri="{FF2B5EF4-FFF2-40B4-BE49-F238E27FC236}">
              <a16:creationId xmlns:a16="http://schemas.microsoft.com/office/drawing/2014/main" id="{D77BF33E-D227-4B1A-BA94-2780041E74A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014161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1781</xdr:row>
      <xdr:rowOff>25400</xdr:rowOff>
    </xdr:from>
    <xdr:to>
      <xdr:col>11</xdr:col>
      <xdr:colOff>877316</xdr:colOff>
      <xdr:row>1782</xdr:row>
      <xdr:rowOff>0</xdr:rowOff>
    </xdr:to>
    <xdr:pic>
      <xdr:nvPicPr>
        <xdr:cNvPr id="11619" name="Рисунок 11618">
          <a:extLst>
            <a:ext uri="{FF2B5EF4-FFF2-40B4-BE49-F238E27FC236}">
              <a16:creationId xmlns:a16="http://schemas.microsoft.com/office/drawing/2014/main" id="{B164C8F6-2224-4714-8154-F97C35FD458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014733175"/>
          <a:ext cx="851916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1782</xdr:row>
      <xdr:rowOff>25400</xdr:rowOff>
    </xdr:from>
    <xdr:to>
      <xdr:col>11</xdr:col>
      <xdr:colOff>571500</xdr:colOff>
      <xdr:row>1783</xdr:row>
      <xdr:rowOff>0</xdr:rowOff>
    </xdr:to>
    <xdr:pic>
      <xdr:nvPicPr>
        <xdr:cNvPr id="11621" name="Рисунок 11620">
          <a:extLst>
            <a:ext uri="{FF2B5EF4-FFF2-40B4-BE49-F238E27FC236}">
              <a16:creationId xmlns:a16="http://schemas.microsoft.com/office/drawing/2014/main" id="{59D7F955-00D5-4E58-993D-78ABA8426EA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015304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1783</xdr:row>
      <xdr:rowOff>25400</xdr:rowOff>
    </xdr:from>
    <xdr:to>
      <xdr:col>11</xdr:col>
      <xdr:colOff>571500</xdr:colOff>
      <xdr:row>1784</xdr:row>
      <xdr:rowOff>0</xdr:rowOff>
    </xdr:to>
    <xdr:pic>
      <xdr:nvPicPr>
        <xdr:cNvPr id="11623" name="Рисунок 11622">
          <a:extLst>
            <a:ext uri="{FF2B5EF4-FFF2-40B4-BE49-F238E27FC236}">
              <a16:creationId xmlns:a16="http://schemas.microsoft.com/office/drawing/2014/main" id="{E6B3B1C5-68E8-4320-B4B1-AFDF77DB05C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4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015876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1784</xdr:row>
      <xdr:rowOff>25400</xdr:rowOff>
    </xdr:from>
    <xdr:to>
      <xdr:col>11</xdr:col>
      <xdr:colOff>571500</xdr:colOff>
      <xdr:row>1785</xdr:row>
      <xdr:rowOff>0</xdr:rowOff>
    </xdr:to>
    <xdr:pic>
      <xdr:nvPicPr>
        <xdr:cNvPr id="11625" name="Рисунок 11624">
          <a:extLst>
            <a:ext uri="{FF2B5EF4-FFF2-40B4-BE49-F238E27FC236}">
              <a16:creationId xmlns:a16="http://schemas.microsoft.com/office/drawing/2014/main" id="{81A747D3-890B-4D69-AAFE-3A0A9D54431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4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016447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1785</xdr:row>
      <xdr:rowOff>25400</xdr:rowOff>
    </xdr:from>
    <xdr:to>
      <xdr:col>11</xdr:col>
      <xdr:colOff>571500</xdr:colOff>
      <xdr:row>1786</xdr:row>
      <xdr:rowOff>0</xdr:rowOff>
    </xdr:to>
    <xdr:pic>
      <xdr:nvPicPr>
        <xdr:cNvPr id="11627" name="Рисунок 11626">
          <a:extLst>
            <a:ext uri="{FF2B5EF4-FFF2-40B4-BE49-F238E27FC236}">
              <a16:creationId xmlns:a16="http://schemas.microsoft.com/office/drawing/2014/main" id="{E83ABB4A-081E-418D-9B97-F8E86BDE847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4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017019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1786</xdr:row>
      <xdr:rowOff>25400</xdr:rowOff>
    </xdr:from>
    <xdr:to>
      <xdr:col>11</xdr:col>
      <xdr:colOff>571500</xdr:colOff>
      <xdr:row>1787</xdr:row>
      <xdr:rowOff>0</xdr:rowOff>
    </xdr:to>
    <xdr:pic>
      <xdr:nvPicPr>
        <xdr:cNvPr id="11629" name="Рисунок 11628">
          <a:extLst>
            <a:ext uri="{FF2B5EF4-FFF2-40B4-BE49-F238E27FC236}">
              <a16:creationId xmlns:a16="http://schemas.microsoft.com/office/drawing/2014/main" id="{2DDB7A32-CA4E-46A8-A802-448A35BC233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4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017590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1787</xdr:row>
      <xdr:rowOff>25400</xdr:rowOff>
    </xdr:from>
    <xdr:to>
      <xdr:col>11</xdr:col>
      <xdr:colOff>571500</xdr:colOff>
      <xdr:row>1788</xdr:row>
      <xdr:rowOff>0</xdr:rowOff>
    </xdr:to>
    <xdr:pic>
      <xdr:nvPicPr>
        <xdr:cNvPr id="11631" name="Рисунок 11630">
          <a:extLst>
            <a:ext uri="{FF2B5EF4-FFF2-40B4-BE49-F238E27FC236}">
              <a16:creationId xmlns:a16="http://schemas.microsoft.com/office/drawing/2014/main" id="{DD0C71DC-419C-43E4-888F-A3C49230202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4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018162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1788</xdr:row>
      <xdr:rowOff>25400</xdr:rowOff>
    </xdr:from>
    <xdr:to>
      <xdr:col>11</xdr:col>
      <xdr:colOff>571500</xdr:colOff>
      <xdr:row>1789</xdr:row>
      <xdr:rowOff>0</xdr:rowOff>
    </xdr:to>
    <xdr:pic>
      <xdr:nvPicPr>
        <xdr:cNvPr id="11633" name="Рисунок 11632">
          <a:extLst>
            <a:ext uri="{FF2B5EF4-FFF2-40B4-BE49-F238E27FC236}">
              <a16:creationId xmlns:a16="http://schemas.microsoft.com/office/drawing/2014/main" id="{D1B932FB-FAF8-498F-9FFE-78D46BAFF55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5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018733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1789</xdr:row>
      <xdr:rowOff>25400</xdr:rowOff>
    </xdr:from>
    <xdr:to>
      <xdr:col>11</xdr:col>
      <xdr:colOff>571500</xdr:colOff>
      <xdr:row>1790</xdr:row>
      <xdr:rowOff>0</xdr:rowOff>
    </xdr:to>
    <xdr:pic>
      <xdr:nvPicPr>
        <xdr:cNvPr id="11635" name="Рисунок 11634">
          <a:extLst>
            <a:ext uri="{FF2B5EF4-FFF2-40B4-BE49-F238E27FC236}">
              <a16:creationId xmlns:a16="http://schemas.microsoft.com/office/drawing/2014/main" id="{C434BB03-65A6-4605-B286-1C88C094B27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5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019305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1790</xdr:row>
      <xdr:rowOff>25400</xdr:rowOff>
    </xdr:from>
    <xdr:to>
      <xdr:col>11</xdr:col>
      <xdr:colOff>571500</xdr:colOff>
      <xdr:row>1791</xdr:row>
      <xdr:rowOff>0</xdr:rowOff>
    </xdr:to>
    <xdr:pic>
      <xdr:nvPicPr>
        <xdr:cNvPr id="11637" name="Рисунок 11636">
          <a:extLst>
            <a:ext uri="{FF2B5EF4-FFF2-40B4-BE49-F238E27FC236}">
              <a16:creationId xmlns:a16="http://schemas.microsoft.com/office/drawing/2014/main" id="{2736F962-D07D-497C-AE1F-FBC4180AA9A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019876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1791</xdr:row>
      <xdr:rowOff>25400</xdr:rowOff>
    </xdr:from>
    <xdr:to>
      <xdr:col>11</xdr:col>
      <xdr:colOff>789940</xdr:colOff>
      <xdr:row>1792</xdr:row>
      <xdr:rowOff>0</xdr:rowOff>
    </xdr:to>
    <xdr:pic>
      <xdr:nvPicPr>
        <xdr:cNvPr id="11639" name="Рисунок 11638">
          <a:extLst>
            <a:ext uri="{FF2B5EF4-FFF2-40B4-BE49-F238E27FC236}">
              <a16:creationId xmlns:a16="http://schemas.microsoft.com/office/drawing/2014/main" id="{A0B06B91-2AB0-455A-951F-8E09222B41D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5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020448175"/>
          <a:ext cx="76454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1792</xdr:row>
      <xdr:rowOff>25400</xdr:rowOff>
    </xdr:from>
    <xdr:to>
      <xdr:col>11</xdr:col>
      <xdr:colOff>571500</xdr:colOff>
      <xdr:row>1793</xdr:row>
      <xdr:rowOff>0</xdr:rowOff>
    </xdr:to>
    <xdr:pic>
      <xdr:nvPicPr>
        <xdr:cNvPr id="11641" name="Рисунок 11640">
          <a:extLst>
            <a:ext uri="{FF2B5EF4-FFF2-40B4-BE49-F238E27FC236}">
              <a16:creationId xmlns:a16="http://schemas.microsoft.com/office/drawing/2014/main" id="{A437BBF0-28D1-45AD-AF6A-0CE550C3E85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5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021019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1793</xdr:row>
      <xdr:rowOff>25400</xdr:rowOff>
    </xdr:from>
    <xdr:to>
      <xdr:col>11</xdr:col>
      <xdr:colOff>571500</xdr:colOff>
      <xdr:row>1794</xdr:row>
      <xdr:rowOff>0</xdr:rowOff>
    </xdr:to>
    <xdr:pic>
      <xdr:nvPicPr>
        <xdr:cNvPr id="11643" name="Рисунок 11642">
          <a:extLst>
            <a:ext uri="{FF2B5EF4-FFF2-40B4-BE49-F238E27FC236}">
              <a16:creationId xmlns:a16="http://schemas.microsoft.com/office/drawing/2014/main" id="{E2E241AC-4CF4-4D7E-B13F-4D51E15851F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5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021591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1794</xdr:row>
      <xdr:rowOff>25400</xdr:rowOff>
    </xdr:from>
    <xdr:to>
      <xdr:col>11</xdr:col>
      <xdr:colOff>571500</xdr:colOff>
      <xdr:row>1795</xdr:row>
      <xdr:rowOff>0</xdr:rowOff>
    </xdr:to>
    <xdr:pic>
      <xdr:nvPicPr>
        <xdr:cNvPr id="11645" name="Рисунок 11644">
          <a:extLst>
            <a:ext uri="{FF2B5EF4-FFF2-40B4-BE49-F238E27FC236}">
              <a16:creationId xmlns:a16="http://schemas.microsoft.com/office/drawing/2014/main" id="{548B4C3A-92EA-4F8B-B528-538506B8BB1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5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022162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1795</xdr:row>
      <xdr:rowOff>25400</xdr:rowOff>
    </xdr:from>
    <xdr:to>
      <xdr:col>11</xdr:col>
      <xdr:colOff>571500</xdr:colOff>
      <xdr:row>1796</xdr:row>
      <xdr:rowOff>0</xdr:rowOff>
    </xdr:to>
    <xdr:pic>
      <xdr:nvPicPr>
        <xdr:cNvPr id="11647" name="Рисунок 11646">
          <a:extLst>
            <a:ext uri="{FF2B5EF4-FFF2-40B4-BE49-F238E27FC236}">
              <a16:creationId xmlns:a16="http://schemas.microsoft.com/office/drawing/2014/main" id="{5AA9A32E-9085-4BA4-9C5B-1577474FDD3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5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022734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1796</xdr:row>
      <xdr:rowOff>25400</xdr:rowOff>
    </xdr:from>
    <xdr:to>
      <xdr:col>11</xdr:col>
      <xdr:colOff>571500</xdr:colOff>
      <xdr:row>1797</xdr:row>
      <xdr:rowOff>0</xdr:rowOff>
    </xdr:to>
    <xdr:pic>
      <xdr:nvPicPr>
        <xdr:cNvPr id="11649" name="Рисунок 11648">
          <a:extLst>
            <a:ext uri="{FF2B5EF4-FFF2-40B4-BE49-F238E27FC236}">
              <a16:creationId xmlns:a16="http://schemas.microsoft.com/office/drawing/2014/main" id="{D9592A55-4C05-4F46-9BD1-115A7D83074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5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023305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1797</xdr:row>
      <xdr:rowOff>25400</xdr:rowOff>
    </xdr:from>
    <xdr:to>
      <xdr:col>11</xdr:col>
      <xdr:colOff>571500</xdr:colOff>
      <xdr:row>1798</xdr:row>
      <xdr:rowOff>0</xdr:rowOff>
    </xdr:to>
    <xdr:pic>
      <xdr:nvPicPr>
        <xdr:cNvPr id="11651" name="Рисунок 11650">
          <a:extLst>
            <a:ext uri="{FF2B5EF4-FFF2-40B4-BE49-F238E27FC236}">
              <a16:creationId xmlns:a16="http://schemas.microsoft.com/office/drawing/2014/main" id="{1AC2DCD9-5E8D-430A-89BB-CF302080A6C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5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023877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1798</xdr:row>
      <xdr:rowOff>25400</xdr:rowOff>
    </xdr:from>
    <xdr:to>
      <xdr:col>11</xdr:col>
      <xdr:colOff>571500</xdr:colOff>
      <xdr:row>1799</xdr:row>
      <xdr:rowOff>0</xdr:rowOff>
    </xdr:to>
    <xdr:pic>
      <xdr:nvPicPr>
        <xdr:cNvPr id="11653" name="Рисунок 11652">
          <a:extLst>
            <a:ext uri="{FF2B5EF4-FFF2-40B4-BE49-F238E27FC236}">
              <a16:creationId xmlns:a16="http://schemas.microsoft.com/office/drawing/2014/main" id="{03B0AD4F-5DF5-4E8C-9F8F-B13225EC526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6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024448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1799</xdr:row>
      <xdr:rowOff>25400</xdr:rowOff>
    </xdr:from>
    <xdr:to>
      <xdr:col>11</xdr:col>
      <xdr:colOff>571500</xdr:colOff>
      <xdr:row>1800</xdr:row>
      <xdr:rowOff>0</xdr:rowOff>
    </xdr:to>
    <xdr:pic>
      <xdr:nvPicPr>
        <xdr:cNvPr id="11655" name="Рисунок 11654">
          <a:extLst>
            <a:ext uri="{FF2B5EF4-FFF2-40B4-BE49-F238E27FC236}">
              <a16:creationId xmlns:a16="http://schemas.microsoft.com/office/drawing/2014/main" id="{B6994FF9-B1A5-43DE-9F55-BE2AE40B5FE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6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025020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1800</xdr:row>
      <xdr:rowOff>25400</xdr:rowOff>
    </xdr:from>
    <xdr:to>
      <xdr:col>11</xdr:col>
      <xdr:colOff>571500</xdr:colOff>
      <xdr:row>1801</xdr:row>
      <xdr:rowOff>0</xdr:rowOff>
    </xdr:to>
    <xdr:pic>
      <xdr:nvPicPr>
        <xdr:cNvPr id="11657" name="Рисунок 11656">
          <a:extLst>
            <a:ext uri="{FF2B5EF4-FFF2-40B4-BE49-F238E27FC236}">
              <a16:creationId xmlns:a16="http://schemas.microsoft.com/office/drawing/2014/main" id="{C00D0CFB-4237-42A2-8D1D-0BEBBFF2057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6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025591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1801</xdr:row>
      <xdr:rowOff>25400</xdr:rowOff>
    </xdr:from>
    <xdr:to>
      <xdr:col>11</xdr:col>
      <xdr:colOff>571500</xdr:colOff>
      <xdr:row>1802</xdr:row>
      <xdr:rowOff>0</xdr:rowOff>
    </xdr:to>
    <xdr:pic>
      <xdr:nvPicPr>
        <xdr:cNvPr id="11659" name="Рисунок 11658">
          <a:extLst>
            <a:ext uri="{FF2B5EF4-FFF2-40B4-BE49-F238E27FC236}">
              <a16:creationId xmlns:a16="http://schemas.microsoft.com/office/drawing/2014/main" id="{C533CFB7-BBD7-4B28-A880-6CAC3E68EBA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6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026163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1802</xdr:row>
      <xdr:rowOff>25400</xdr:rowOff>
    </xdr:from>
    <xdr:to>
      <xdr:col>11</xdr:col>
      <xdr:colOff>571500</xdr:colOff>
      <xdr:row>1803</xdr:row>
      <xdr:rowOff>0</xdr:rowOff>
    </xdr:to>
    <xdr:pic>
      <xdr:nvPicPr>
        <xdr:cNvPr id="11661" name="Рисунок 11660">
          <a:extLst>
            <a:ext uri="{FF2B5EF4-FFF2-40B4-BE49-F238E27FC236}">
              <a16:creationId xmlns:a16="http://schemas.microsoft.com/office/drawing/2014/main" id="{DFD3356D-C8F6-419A-83D2-77DBC46E916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6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026734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1803</xdr:row>
      <xdr:rowOff>25400</xdr:rowOff>
    </xdr:from>
    <xdr:to>
      <xdr:col>11</xdr:col>
      <xdr:colOff>571500</xdr:colOff>
      <xdr:row>1804</xdr:row>
      <xdr:rowOff>0</xdr:rowOff>
    </xdr:to>
    <xdr:pic>
      <xdr:nvPicPr>
        <xdr:cNvPr id="11663" name="Рисунок 11662">
          <a:extLst>
            <a:ext uri="{FF2B5EF4-FFF2-40B4-BE49-F238E27FC236}">
              <a16:creationId xmlns:a16="http://schemas.microsoft.com/office/drawing/2014/main" id="{52F0B07F-D6D5-4B86-8D68-9A7F7833BE8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6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027306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1804</xdr:row>
      <xdr:rowOff>25400</xdr:rowOff>
    </xdr:from>
    <xdr:to>
      <xdr:col>11</xdr:col>
      <xdr:colOff>571500</xdr:colOff>
      <xdr:row>1805</xdr:row>
      <xdr:rowOff>0</xdr:rowOff>
    </xdr:to>
    <xdr:pic>
      <xdr:nvPicPr>
        <xdr:cNvPr id="11665" name="Рисунок 11664">
          <a:extLst>
            <a:ext uri="{FF2B5EF4-FFF2-40B4-BE49-F238E27FC236}">
              <a16:creationId xmlns:a16="http://schemas.microsoft.com/office/drawing/2014/main" id="{E61CE391-E670-4B64-86D5-084415167A6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6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027877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1805</xdr:row>
      <xdr:rowOff>25400</xdr:rowOff>
    </xdr:from>
    <xdr:to>
      <xdr:col>11</xdr:col>
      <xdr:colOff>571500</xdr:colOff>
      <xdr:row>1806</xdr:row>
      <xdr:rowOff>0</xdr:rowOff>
    </xdr:to>
    <xdr:pic>
      <xdr:nvPicPr>
        <xdr:cNvPr id="11667" name="Рисунок 11666">
          <a:extLst>
            <a:ext uri="{FF2B5EF4-FFF2-40B4-BE49-F238E27FC236}">
              <a16:creationId xmlns:a16="http://schemas.microsoft.com/office/drawing/2014/main" id="{A6DB98BE-D5D3-477C-AF58-77CD399BC97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6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028449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1806</xdr:row>
      <xdr:rowOff>25400</xdr:rowOff>
    </xdr:from>
    <xdr:to>
      <xdr:col>11</xdr:col>
      <xdr:colOff>571500</xdr:colOff>
      <xdr:row>1807</xdr:row>
      <xdr:rowOff>0</xdr:rowOff>
    </xdr:to>
    <xdr:pic>
      <xdr:nvPicPr>
        <xdr:cNvPr id="11669" name="Рисунок 11668">
          <a:extLst>
            <a:ext uri="{FF2B5EF4-FFF2-40B4-BE49-F238E27FC236}">
              <a16:creationId xmlns:a16="http://schemas.microsoft.com/office/drawing/2014/main" id="{3C9E351B-925B-4411-A2DA-467A3535559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6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029020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1807</xdr:row>
      <xdr:rowOff>25400</xdr:rowOff>
    </xdr:from>
    <xdr:to>
      <xdr:col>11</xdr:col>
      <xdr:colOff>571500</xdr:colOff>
      <xdr:row>1808</xdr:row>
      <xdr:rowOff>0</xdr:rowOff>
    </xdr:to>
    <xdr:pic>
      <xdr:nvPicPr>
        <xdr:cNvPr id="11671" name="Рисунок 11670">
          <a:extLst>
            <a:ext uri="{FF2B5EF4-FFF2-40B4-BE49-F238E27FC236}">
              <a16:creationId xmlns:a16="http://schemas.microsoft.com/office/drawing/2014/main" id="{88F9E325-0646-42C6-93E9-C49EBDA5081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6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029592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1808</xdr:row>
      <xdr:rowOff>25400</xdr:rowOff>
    </xdr:from>
    <xdr:to>
      <xdr:col>11</xdr:col>
      <xdr:colOff>571500</xdr:colOff>
      <xdr:row>1809</xdr:row>
      <xdr:rowOff>0</xdr:rowOff>
    </xdr:to>
    <xdr:pic>
      <xdr:nvPicPr>
        <xdr:cNvPr id="11673" name="Рисунок 11672">
          <a:extLst>
            <a:ext uri="{FF2B5EF4-FFF2-40B4-BE49-F238E27FC236}">
              <a16:creationId xmlns:a16="http://schemas.microsoft.com/office/drawing/2014/main" id="{579FBDB2-25E1-4440-896B-9BCEBBD387A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7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030163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1809</xdr:row>
      <xdr:rowOff>25400</xdr:rowOff>
    </xdr:from>
    <xdr:to>
      <xdr:col>11</xdr:col>
      <xdr:colOff>571500</xdr:colOff>
      <xdr:row>1810</xdr:row>
      <xdr:rowOff>0</xdr:rowOff>
    </xdr:to>
    <xdr:pic>
      <xdr:nvPicPr>
        <xdr:cNvPr id="11675" name="Рисунок 11674">
          <a:extLst>
            <a:ext uri="{FF2B5EF4-FFF2-40B4-BE49-F238E27FC236}">
              <a16:creationId xmlns:a16="http://schemas.microsoft.com/office/drawing/2014/main" id="{93D14315-7159-4F49-BE4A-2939376A61E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7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030735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1810</xdr:row>
      <xdr:rowOff>25400</xdr:rowOff>
    </xdr:from>
    <xdr:to>
      <xdr:col>11</xdr:col>
      <xdr:colOff>571500</xdr:colOff>
      <xdr:row>1811</xdr:row>
      <xdr:rowOff>0</xdr:rowOff>
    </xdr:to>
    <xdr:pic>
      <xdr:nvPicPr>
        <xdr:cNvPr id="11677" name="Рисунок 11676">
          <a:extLst>
            <a:ext uri="{FF2B5EF4-FFF2-40B4-BE49-F238E27FC236}">
              <a16:creationId xmlns:a16="http://schemas.microsoft.com/office/drawing/2014/main" id="{FA6245F7-2FC2-4304-B529-4B18BF76391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7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031306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1811</xdr:row>
      <xdr:rowOff>25400</xdr:rowOff>
    </xdr:from>
    <xdr:to>
      <xdr:col>11</xdr:col>
      <xdr:colOff>571500</xdr:colOff>
      <xdr:row>1812</xdr:row>
      <xdr:rowOff>0</xdr:rowOff>
    </xdr:to>
    <xdr:pic>
      <xdr:nvPicPr>
        <xdr:cNvPr id="11679" name="Рисунок 11678">
          <a:extLst>
            <a:ext uri="{FF2B5EF4-FFF2-40B4-BE49-F238E27FC236}">
              <a16:creationId xmlns:a16="http://schemas.microsoft.com/office/drawing/2014/main" id="{1BD19210-2A43-4193-84EA-DBA8453FBEE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7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031878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1812</xdr:row>
      <xdr:rowOff>25400</xdr:rowOff>
    </xdr:from>
    <xdr:to>
      <xdr:col>11</xdr:col>
      <xdr:colOff>571500</xdr:colOff>
      <xdr:row>1813</xdr:row>
      <xdr:rowOff>0</xdr:rowOff>
    </xdr:to>
    <xdr:pic>
      <xdr:nvPicPr>
        <xdr:cNvPr id="11681" name="Рисунок 11680">
          <a:extLst>
            <a:ext uri="{FF2B5EF4-FFF2-40B4-BE49-F238E27FC236}">
              <a16:creationId xmlns:a16="http://schemas.microsoft.com/office/drawing/2014/main" id="{CBA60593-8A59-4FA4-B4CD-E603A8C9AA6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7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032449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1813</xdr:row>
      <xdr:rowOff>25400</xdr:rowOff>
    </xdr:from>
    <xdr:to>
      <xdr:col>11</xdr:col>
      <xdr:colOff>571500</xdr:colOff>
      <xdr:row>1814</xdr:row>
      <xdr:rowOff>0</xdr:rowOff>
    </xdr:to>
    <xdr:pic>
      <xdr:nvPicPr>
        <xdr:cNvPr id="11683" name="Рисунок 11682">
          <a:extLst>
            <a:ext uri="{FF2B5EF4-FFF2-40B4-BE49-F238E27FC236}">
              <a16:creationId xmlns:a16="http://schemas.microsoft.com/office/drawing/2014/main" id="{A3C5E9E5-38BF-40EB-8C0B-342C5623399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7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033021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1814</xdr:row>
      <xdr:rowOff>25400</xdr:rowOff>
    </xdr:from>
    <xdr:to>
      <xdr:col>11</xdr:col>
      <xdr:colOff>571500</xdr:colOff>
      <xdr:row>1815</xdr:row>
      <xdr:rowOff>0</xdr:rowOff>
    </xdr:to>
    <xdr:pic>
      <xdr:nvPicPr>
        <xdr:cNvPr id="11685" name="Рисунок 11684">
          <a:extLst>
            <a:ext uri="{FF2B5EF4-FFF2-40B4-BE49-F238E27FC236}">
              <a16:creationId xmlns:a16="http://schemas.microsoft.com/office/drawing/2014/main" id="{E4A52304-2AFE-4E6F-9B31-72DE391DB05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7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033592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1815</xdr:row>
      <xdr:rowOff>25400</xdr:rowOff>
    </xdr:from>
    <xdr:to>
      <xdr:col>11</xdr:col>
      <xdr:colOff>571500</xdr:colOff>
      <xdr:row>1816</xdr:row>
      <xdr:rowOff>0</xdr:rowOff>
    </xdr:to>
    <xdr:pic>
      <xdr:nvPicPr>
        <xdr:cNvPr id="11687" name="Рисунок 11686">
          <a:extLst>
            <a:ext uri="{FF2B5EF4-FFF2-40B4-BE49-F238E27FC236}">
              <a16:creationId xmlns:a16="http://schemas.microsoft.com/office/drawing/2014/main" id="{494E652A-14C3-4427-B407-B3A7B298057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7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034164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1816</xdr:row>
      <xdr:rowOff>25400</xdr:rowOff>
    </xdr:from>
    <xdr:to>
      <xdr:col>11</xdr:col>
      <xdr:colOff>571500</xdr:colOff>
      <xdr:row>1817</xdr:row>
      <xdr:rowOff>0</xdr:rowOff>
    </xdr:to>
    <xdr:pic>
      <xdr:nvPicPr>
        <xdr:cNvPr id="11689" name="Рисунок 11688">
          <a:extLst>
            <a:ext uri="{FF2B5EF4-FFF2-40B4-BE49-F238E27FC236}">
              <a16:creationId xmlns:a16="http://schemas.microsoft.com/office/drawing/2014/main" id="{3EE3405A-A80F-4994-8966-A0CCBB51024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7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034735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1817</xdr:row>
      <xdr:rowOff>25400</xdr:rowOff>
    </xdr:from>
    <xdr:to>
      <xdr:col>11</xdr:col>
      <xdr:colOff>571500</xdr:colOff>
      <xdr:row>1818</xdr:row>
      <xdr:rowOff>0</xdr:rowOff>
    </xdr:to>
    <xdr:pic>
      <xdr:nvPicPr>
        <xdr:cNvPr id="11691" name="Рисунок 11690">
          <a:extLst>
            <a:ext uri="{FF2B5EF4-FFF2-40B4-BE49-F238E27FC236}">
              <a16:creationId xmlns:a16="http://schemas.microsoft.com/office/drawing/2014/main" id="{8D8DCCE7-7153-40C4-89CD-ED36305EB87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7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035307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1818</xdr:row>
      <xdr:rowOff>25400</xdr:rowOff>
    </xdr:from>
    <xdr:to>
      <xdr:col>11</xdr:col>
      <xdr:colOff>571500</xdr:colOff>
      <xdr:row>1819</xdr:row>
      <xdr:rowOff>0</xdr:rowOff>
    </xdr:to>
    <xdr:pic>
      <xdr:nvPicPr>
        <xdr:cNvPr id="11693" name="Рисунок 11692">
          <a:extLst>
            <a:ext uri="{FF2B5EF4-FFF2-40B4-BE49-F238E27FC236}">
              <a16:creationId xmlns:a16="http://schemas.microsoft.com/office/drawing/2014/main" id="{971B6AFF-39AE-4C85-88E6-DEBACEAA9E6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8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035878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1819</xdr:row>
      <xdr:rowOff>25400</xdr:rowOff>
    </xdr:from>
    <xdr:to>
      <xdr:col>11</xdr:col>
      <xdr:colOff>571500</xdr:colOff>
      <xdr:row>1820</xdr:row>
      <xdr:rowOff>0</xdr:rowOff>
    </xdr:to>
    <xdr:pic>
      <xdr:nvPicPr>
        <xdr:cNvPr id="11695" name="Рисунок 11694">
          <a:extLst>
            <a:ext uri="{FF2B5EF4-FFF2-40B4-BE49-F238E27FC236}">
              <a16:creationId xmlns:a16="http://schemas.microsoft.com/office/drawing/2014/main" id="{AE514B7F-7DDF-44FA-AB67-D4F15112970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8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036450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1820</xdr:row>
      <xdr:rowOff>25400</xdr:rowOff>
    </xdr:from>
    <xdr:to>
      <xdr:col>11</xdr:col>
      <xdr:colOff>571500</xdr:colOff>
      <xdr:row>1821</xdr:row>
      <xdr:rowOff>0</xdr:rowOff>
    </xdr:to>
    <xdr:pic>
      <xdr:nvPicPr>
        <xdr:cNvPr id="11697" name="Рисунок 11696">
          <a:extLst>
            <a:ext uri="{FF2B5EF4-FFF2-40B4-BE49-F238E27FC236}">
              <a16:creationId xmlns:a16="http://schemas.microsoft.com/office/drawing/2014/main" id="{B8E9B9A8-D37D-4556-A6EA-592DAF224F3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8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037021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1821</xdr:row>
      <xdr:rowOff>25400</xdr:rowOff>
    </xdr:from>
    <xdr:to>
      <xdr:col>11</xdr:col>
      <xdr:colOff>571500</xdr:colOff>
      <xdr:row>1822</xdr:row>
      <xdr:rowOff>0</xdr:rowOff>
    </xdr:to>
    <xdr:pic>
      <xdr:nvPicPr>
        <xdr:cNvPr id="11699" name="Рисунок 11698">
          <a:extLst>
            <a:ext uri="{FF2B5EF4-FFF2-40B4-BE49-F238E27FC236}">
              <a16:creationId xmlns:a16="http://schemas.microsoft.com/office/drawing/2014/main" id="{0EAF3240-DA38-485A-97F7-36E5103C61E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8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037593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1822</xdr:row>
      <xdr:rowOff>25400</xdr:rowOff>
    </xdr:from>
    <xdr:to>
      <xdr:col>11</xdr:col>
      <xdr:colOff>571500</xdr:colOff>
      <xdr:row>1823</xdr:row>
      <xdr:rowOff>0</xdr:rowOff>
    </xdr:to>
    <xdr:pic>
      <xdr:nvPicPr>
        <xdr:cNvPr id="11701" name="Рисунок 11700">
          <a:extLst>
            <a:ext uri="{FF2B5EF4-FFF2-40B4-BE49-F238E27FC236}">
              <a16:creationId xmlns:a16="http://schemas.microsoft.com/office/drawing/2014/main" id="{EE09C075-699F-46CB-A439-6DCB53719D3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8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038164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1823</xdr:row>
      <xdr:rowOff>25400</xdr:rowOff>
    </xdr:from>
    <xdr:to>
      <xdr:col>11</xdr:col>
      <xdr:colOff>571500</xdr:colOff>
      <xdr:row>1824</xdr:row>
      <xdr:rowOff>0</xdr:rowOff>
    </xdr:to>
    <xdr:pic>
      <xdr:nvPicPr>
        <xdr:cNvPr id="11703" name="Рисунок 11702">
          <a:extLst>
            <a:ext uri="{FF2B5EF4-FFF2-40B4-BE49-F238E27FC236}">
              <a16:creationId xmlns:a16="http://schemas.microsoft.com/office/drawing/2014/main" id="{8A40F86E-F789-4619-99A3-3BB0EE7BBE6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8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038736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1824</xdr:row>
      <xdr:rowOff>25400</xdr:rowOff>
    </xdr:from>
    <xdr:to>
      <xdr:col>11</xdr:col>
      <xdr:colOff>571500</xdr:colOff>
      <xdr:row>1825</xdr:row>
      <xdr:rowOff>0</xdr:rowOff>
    </xdr:to>
    <xdr:pic>
      <xdr:nvPicPr>
        <xdr:cNvPr id="11705" name="Рисунок 11704">
          <a:extLst>
            <a:ext uri="{FF2B5EF4-FFF2-40B4-BE49-F238E27FC236}">
              <a16:creationId xmlns:a16="http://schemas.microsoft.com/office/drawing/2014/main" id="{D9C09B4F-B323-43F6-A362-4B9E29D5A5C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8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039307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1825</xdr:row>
      <xdr:rowOff>25400</xdr:rowOff>
    </xdr:from>
    <xdr:to>
      <xdr:col>11</xdr:col>
      <xdr:colOff>571500</xdr:colOff>
      <xdr:row>1826</xdr:row>
      <xdr:rowOff>0</xdr:rowOff>
    </xdr:to>
    <xdr:pic>
      <xdr:nvPicPr>
        <xdr:cNvPr id="11707" name="Рисунок 11706">
          <a:extLst>
            <a:ext uri="{FF2B5EF4-FFF2-40B4-BE49-F238E27FC236}">
              <a16:creationId xmlns:a16="http://schemas.microsoft.com/office/drawing/2014/main" id="{51BFC09D-D6DF-4ABA-B3BB-56AABAD9D03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8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039879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1826</xdr:row>
      <xdr:rowOff>25400</xdr:rowOff>
    </xdr:from>
    <xdr:to>
      <xdr:col>11</xdr:col>
      <xdr:colOff>571500</xdr:colOff>
      <xdr:row>1827</xdr:row>
      <xdr:rowOff>0</xdr:rowOff>
    </xdr:to>
    <xdr:pic>
      <xdr:nvPicPr>
        <xdr:cNvPr id="11709" name="Рисунок 11708">
          <a:extLst>
            <a:ext uri="{FF2B5EF4-FFF2-40B4-BE49-F238E27FC236}">
              <a16:creationId xmlns:a16="http://schemas.microsoft.com/office/drawing/2014/main" id="{14EC5754-46CF-4F7D-9865-0199884B296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8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040450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1827</xdr:row>
      <xdr:rowOff>25400</xdr:rowOff>
    </xdr:from>
    <xdr:to>
      <xdr:col>11</xdr:col>
      <xdr:colOff>571500</xdr:colOff>
      <xdr:row>1828</xdr:row>
      <xdr:rowOff>0</xdr:rowOff>
    </xdr:to>
    <xdr:pic>
      <xdr:nvPicPr>
        <xdr:cNvPr id="11711" name="Рисунок 11710">
          <a:extLst>
            <a:ext uri="{FF2B5EF4-FFF2-40B4-BE49-F238E27FC236}">
              <a16:creationId xmlns:a16="http://schemas.microsoft.com/office/drawing/2014/main" id="{69277C6B-B3FD-4DB3-8E67-BA21C7B36B1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8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041022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1828</xdr:row>
      <xdr:rowOff>25400</xdr:rowOff>
    </xdr:from>
    <xdr:to>
      <xdr:col>11</xdr:col>
      <xdr:colOff>571500</xdr:colOff>
      <xdr:row>1829</xdr:row>
      <xdr:rowOff>0</xdr:rowOff>
    </xdr:to>
    <xdr:pic>
      <xdr:nvPicPr>
        <xdr:cNvPr id="11713" name="Рисунок 11712">
          <a:extLst>
            <a:ext uri="{FF2B5EF4-FFF2-40B4-BE49-F238E27FC236}">
              <a16:creationId xmlns:a16="http://schemas.microsoft.com/office/drawing/2014/main" id="{0027A1A0-7828-4D02-877A-94934D095D3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9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041593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1829</xdr:row>
      <xdr:rowOff>25400</xdr:rowOff>
    </xdr:from>
    <xdr:to>
      <xdr:col>11</xdr:col>
      <xdr:colOff>571500</xdr:colOff>
      <xdr:row>1830</xdr:row>
      <xdr:rowOff>0</xdr:rowOff>
    </xdr:to>
    <xdr:pic>
      <xdr:nvPicPr>
        <xdr:cNvPr id="11715" name="Рисунок 11714">
          <a:extLst>
            <a:ext uri="{FF2B5EF4-FFF2-40B4-BE49-F238E27FC236}">
              <a16:creationId xmlns:a16="http://schemas.microsoft.com/office/drawing/2014/main" id="{B5BDEA0B-4D0F-40CD-B07B-DED212F5863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9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042165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1830</xdr:row>
      <xdr:rowOff>25400</xdr:rowOff>
    </xdr:from>
    <xdr:to>
      <xdr:col>11</xdr:col>
      <xdr:colOff>571500</xdr:colOff>
      <xdr:row>1831</xdr:row>
      <xdr:rowOff>0</xdr:rowOff>
    </xdr:to>
    <xdr:pic>
      <xdr:nvPicPr>
        <xdr:cNvPr id="11717" name="Рисунок 11716">
          <a:extLst>
            <a:ext uri="{FF2B5EF4-FFF2-40B4-BE49-F238E27FC236}">
              <a16:creationId xmlns:a16="http://schemas.microsoft.com/office/drawing/2014/main" id="{DDA2A7EA-2470-460A-B585-9D1BD110D07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9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042736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1831</xdr:row>
      <xdr:rowOff>25400</xdr:rowOff>
    </xdr:from>
    <xdr:to>
      <xdr:col>11</xdr:col>
      <xdr:colOff>571500</xdr:colOff>
      <xdr:row>1832</xdr:row>
      <xdr:rowOff>0</xdr:rowOff>
    </xdr:to>
    <xdr:pic>
      <xdr:nvPicPr>
        <xdr:cNvPr id="11719" name="Рисунок 11718">
          <a:extLst>
            <a:ext uri="{FF2B5EF4-FFF2-40B4-BE49-F238E27FC236}">
              <a16:creationId xmlns:a16="http://schemas.microsoft.com/office/drawing/2014/main" id="{8F32FAEE-4776-4A29-B58D-FB6F1089C4D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9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043308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1832</xdr:row>
      <xdr:rowOff>25400</xdr:rowOff>
    </xdr:from>
    <xdr:to>
      <xdr:col>11</xdr:col>
      <xdr:colOff>571500</xdr:colOff>
      <xdr:row>1833</xdr:row>
      <xdr:rowOff>0</xdr:rowOff>
    </xdr:to>
    <xdr:pic>
      <xdr:nvPicPr>
        <xdr:cNvPr id="11721" name="Рисунок 11720">
          <a:extLst>
            <a:ext uri="{FF2B5EF4-FFF2-40B4-BE49-F238E27FC236}">
              <a16:creationId xmlns:a16="http://schemas.microsoft.com/office/drawing/2014/main" id="{BB6B80A4-3F98-4499-A564-67FB0256762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9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043879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1833</xdr:row>
      <xdr:rowOff>25400</xdr:rowOff>
    </xdr:from>
    <xdr:to>
      <xdr:col>11</xdr:col>
      <xdr:colOff>571500</xdr:colOff>
      <xdr:row>1834</xdr:row>
      <xdr:rowOff>0</xdr:rowOff>
    </xdr:to>
    <xdr:pic>
      <xdr:nvPicPr>
        <xdr:cNvPr id="11723" name="Рисунок 11722">
          <a:extLst>
            <a:ext uri="{FF2B5EF4-FFF2-40B4-BE49-F238E27FC236}">
              <a16:creationId xmlns:a16="http://schemas.microsoft.com/office/drawing/2014/main" id="{12F4BC2D-6362-48EC-AEC2-5C518E8D128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9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044451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1834</xdr:row>
      <xdr:rowOff>25400</xdr:rowOff>
    </xdr:from>
    <xdr:to>
      <xdr:col>11</xdr:col>
      <xdr:colOff>571500</xdr:colOff>
      <xdr:row>1835</xdr:row>
      <xdr:rowOff>0</xdr:rowOff>
    </xdr:to>
    <xdr:pic>
      <xdr:nvPicPr>
        <xdr:cNvPr id="11725" name="Рисунок 11724">
          <a:extLst>
            <a:ext uri="{FF2B5EF4-FFF2-40B4-BE49-F238E27FC236}">
              <a16:creationId xmlns:a16="http://schemas.microsoft.com/office/drawing/2014/main" id="{27498987-093E-4F7E-B267-673DC2801AE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9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045022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1835</xdr:row>
      <xdr:rowOff>25400</xdr:rowOff>
    </xdr:from>
    <xdr:to>
      <xdr:col>11</xdr:col>
      <xdr:colOff>571500</xdr:colOff>
      <xdr:row>1836</xdr:row>
      <xdr:rowOff>0</xdr:rowOff>
    </xdr:to>
    <xdr:pic>
      <xdr:nvPicPr>
        <xdr:cNvPr id="11727" name="Рисунок 11726">
          <a:extLst>
            <a:ext uri="{FF2B5EF4-FFF2-40B4-BE49-F238E27FC236}">
              <a16:creationId xmlns:a16="http://schemas.microsoft.com/office/drawing/2014/main" id="{7A18F3B8-938B-4C26-8A4E-E6588D744D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9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045594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1836</xdr:row>
      <xdr:rowOff>25400</xdr:rowOff>
    </xdr:from>
    <xdr:to>
      <xdr:col>11</xdr:col>
      <xdr:colOff>571500</xdr:colOff>
      <xdr:row>1837</xdr:row>
      <xdr:rowOff>0</xdr:rowOff>
    </xdr:to>
    <xdr:pic>
      <xdr:nvPicPr>
        <xdr:cNvPr id="11729" name="Рисунок 11728">
          <a:extLst>
            <a:ext uri="{FF2B5EF4-FFF2-40B4-BE49-F238E27FC236}">
              <a16:creationId xmlns:a16="http://schemas.microsoft.com/office/drawing/2014/main" id="{CBD47F17-71A7-450D-9AE4-7605059D4AF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9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046165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1837</xdr:row>
      <xdr:rowOff>25400</xdr:rowOff>
    </xdr:from>
    <xdr:to>
      <xdr:col>11</xdr:col>
      <xdr:colOff>571500</xdr:colOff>
      <xdr:row>1838</xdr:row>
      <xdr:rowOff>0</xdr:rowOff>
    </xdr:to>
    <xdr:pic>
      <xdr:nvPicPr>
        <xdr:cNvPr id="11731" name="Рисунок 11730">
          <a:extLst>
            <a:ext uri="{FF2B5EF4-FFF2-40B4-BE49-F238E27FC236}">
              <a16:creationId xmlns:a16="http://schemas.microsoft.com/office/drawing/2014/main" id="{59E2AFA0-09FC-403B-A45F-F19A3E94DEC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79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046737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1838</xdr:row>
      <xdr:rowOff>25400</xdr:rowOff>
    </xdr:from>
    <xdr:to>
      <xdr:col>11</xdr:col>
      <xdr:colOff>571500</xdr:colOff>
      <xdr:row>1839</xdr:row>
      <xdr:rowOff>0</xdr:rowOff>
    </xdr:to>
    <xdr:pic>
      <xdr:nvPicPr>
        <xdr:cNvPr id="11733" name="Рисунок 11732">
          <a:extLst>
            <a:ext uri="{FF2B5EF4-FFF2-40B4-BE49-F238E27FC236}">
              <a16:creationId xmlns:a16="http://schemas.microsoft.com/office/drawing/2014/main" id="{4D5CE74A-C761-494C-A60D-0A2D025FD3B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0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047308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1839</xdr:row>
      <xdr:rowOff>25400</xdr:rowOff>
    </xdr:from>
    <xdr:to>
      <xdr:col>11</xdr:col>
      <xdr:colOff>571500</xdr:colOff>
      <xdr:row>1840</xdr:row>
      <xdr:rowOff>0</xdr:rowOff>
    </xdr:to>
    <xdr:pic>
      <xdr:nvPicPr>
        <xdr:cNvPr id="11735" name="Рисунок 11734">
          <a:extLst>
            <a:ext uri="{FF2B5EF4-FFF2-40B4-BE49-F238E27FC236}">
              <a16:creationId xmlns:a16="http://schemas.microsoft.com/office/drawing/2014/main" id="{816A8A40-2BCB-4490-8EF8-032ECB39D14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0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047880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1840</xdr:row>
      <xdr:rowOff>25400</xdr:rowOff>
    </xdr:from>
    <xdr:to>
      <xdr:col>11</xdr:col>
      <xdr:colOff>571500</xdr:colOff>
      <xdr:row>1841</xdr:row>
      <xdr:rowOff>0</xdr:rowOff>
    </xdr:to>
    <xdr:pic>
      <xdr:nvPicPr>
        <xdr:cNvPr id="11737" name="Рисунок 11736">
          <a:extLst>
            <a:ext uri="{FF2B5EF4-FFF2-40B4-BE49-F238E27FC236}">
              <a16:creationId xmlns:a16="http://schemas.microsoft.com/office/drawing/2014/main" id="{898BF750-C051-42F1-B494-8AF143FF334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0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048451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1841</xdr:row>
      <xdr:rowOff>25400</xdr:rowOff>
    </xdr:from>
    <xdr:to>
      <xdr:col>11</xdr:col>
      <xdr:colOff>571500</xdr:colOff>
      <xdr:row>1842</xdr:row>
      <xdr:rowOff>0</xdr:rowOff>
    </xdr:to>
    <xdr:pic>
      <xdr:nvPicPr>
        <xdr:cNvPr id="11739" name="Рисунок 11738">
          <a:extLst>
            <a:ext uri="{FF2B5EF4-FFF2-40B4-BE49-F238E27FC236}">
              <a16:creationId xmlns:a16="http://schemas.microsoft.com/office/drawing/2014/main" id="{0D92562F-59D9-4C29-B229-0B106C094B1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0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049023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1842</xdr:row>
      <xdr:rowOff>25400</xdr:rowOff>
    </xdr:from>
    <xdr:to>
      <xdr:col>11</xdr:col>
      <xdr:colOff>571500</xdr:colOff>
      <xdr:row>1843</xdr:row>
      <xdr:rowOff>0</xdr:rowOff>
    </xdr:to>
    <xdr:pic>
      <xdr:nvPicPr>
        <xdr:cNvPr id="11741" name="Рисунок 11740">
          <a:extLst>
            <a:ext uri="{FF2B5EF4-FFF2-40B4-BE49-F238E27FC236}">
              <a16:creationId xmlns:a16="http://schemas.microsoft.com/office/drawing/2014/main" id="{B9E039A5-AC03-4730-AE6A-D3E9F42AAC1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0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049594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1843</xdr:row>
      <xdr:rowOff>25400</xdr:rowOff>
    </xdr:from>
    <xdr:to>
      <xdr:col>11</xdr:col>
      <xdr:colOff>571500</xdr:colOff>
      <xdr:row>1844</xdr:row>
      <xdr:rowOff>0</xdr:rowOff>
    </xdr:to>
    <xdr:pic>
      <xdr:nvPicPr>
        <xdr:cNvPr id="11743" name="Рисунок 11742">
          <a:extLst>
            <a:ext uri="{FF2B5EF4-FFF2-40B4-BE49-F238E27FC236}">
              <a16:creationId xmlns:a16="http://schemas.microsoft.com/office/drawing/2014/main" id="{3275FA4E-B490-42ED-8B5F-FE8AD92F2AA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0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050166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1844</xdr:row>
      <xdr:rowOff>25400</xdr:rowOff>
    </xdr:from>
    <xdr:to>
      <xdr:col>11</xdr:col>
      <xdr:colOff>571500</xdr:colOff>
      <xdr:row>1845</xdr:row>
      <xdr:rowOff>0</xdr:rowOff>
    </xdr:to>
    <xdr:pic>
      <xdr:nvPicPr>
        <xdr:cNvPr id="11745" name="Рисунок 11744">
          <a:extLst>
            <a:ext uri="{FF2B5EF4-FFF2-40B4-BE49-F238E27FC236}">
              <a16:creationId xmlns:a16="http://schemas.microsoft.com/office/drawing/2014/main" id="{204CCDBC-6A20-433B-B5C2-AEF54C56F25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0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050737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1845</xdr:row>
      <xdr:rowOff>25400</xdr:rowOff>
    </xdr:from>
    <xdr:to>
      <xdr:col>11</xdr:col>
      <xdr:colOff>571500</xdr:colOff>
      <xdr:row>1846</xdr:row>
      <xdr:rowOff>0</xdr:rowOff>
    </xdr:to>
    <xdr:pic>
      <xdr:nvPicPr>
        <xdr:cNvPr id="11747" name="Рисунок 11746">
          <a:extLst>
            <a:ext uri="{FF2B5EF4-FFF2-40B4-BE49-F238E27FC236}">
              <a16:creationId xmlns:a16="http://schemas.microsoft.com/office/drawing/2014/main" id="{26F4199F-7F8B-4E54-BDEE-CE481747B32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0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051309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1846</xdr:row>
      <xdr:rowOff>25400</xdr:rowOff>
    </xdr:from>
    <xdr:to>
      <xdr:col>11</xdr:col>
      <xdr:colOff>571500</xdr:colOff>
      <xdr:row>1847</xdr:row>
      <xdr:rowOff>0</xdr:rowOff>
    </xdr:to>
    <xdr:pic>
      <xdr:nvPicPr>
        <xdr:cNvPr id="11749" name="Рисунок 11748">
          <a:extLst>
            <a:ext uri="{FF2B5EF4-FFF2-40B4-BE49-F238E27FC236}">
              <a16:creationId xmlns:a16="http://schemas.microsoft.com/office/drawing/2014/main" id="{74457FA9-13A2-45EC-8D12-DDAE777B223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0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051880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1847</xdr:row>
      <xdr:rowOff>25400</xdr:rowOff>
    </xdr:from>
    <xdr:to>
      <xdr:col>11</xdr:col>
      <xdr:colOff>571500</xdr:colOff>
      <xdr:row>1848</xdr:row>
      <xdr:rowOff>0</xdr:rowOff>
    </xdr:to>
    <xdr:pic>
      <xdr:nvPicPr>
        <xdr:cNvPr id="11751" name="Рисунок 11750">
          <a:extLst>
            <a:ext uri="{FF2B5EF4-FFF2-40B4-BE49-F238E27FC236}">
              <a16:creationId xmlns:a16="http://schemas.microsoft.com/office/drawing/2014/main" id="{3AA052BC-F39D-4218-8F9D-6FB822B03F6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0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052452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1848</xdr:row>
      <xdr:rowOff>25400</xdr:rowOff>
    </xdr:from>
    <xdr:to>
      <xdr:col>11</xdr:col>
      <xdr:colOff>571500</xdr:colOff>
      <xdr:row>1849</xdr:row>
      <xdr:rowOff>0</xdr:rowOff>
    </xdr:to>
    <xdr:pic>
      <xdr:nvPicPr>
        <xdr:cNvPr id="11753" name="Рисунок 11752">
          <a:extLst>
            <a:ext uri="{FF2B5EF4-FFF2-40B4-BE49-F238E27FC236}">
              <a16:creationId xmlns:a16="http://schemas.microsoft.com/office/drawing/2014/main" id="{544B6F49-E2BE-4F1F-B9BA-AE0605D3372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053023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1849</xdr:row>
      <xdr:rowOff>25400</xdr:rowOff>
    </xdr:from>
    <xdr:to>
      <xdr:col>11</xdr:col>
      <xdr:colOff>571500</xdr:colOff>
      <xdr:row>1850</xdr:row>
      <xdr:rowOff>0</xdr:rowOff>
    </xdr:to>
    <xdr:pic>
      <xdr:nvPicPr>
        <xdr:cNvPr id="11755" name="Рисунок 11754">
          <a:extLst>
            <a:ext uri="{FF2B5EF4-FFF2-40B4-BE49-F238E27FC236}">
              <a16:creationId xmlns:a16="http://schemas.microsoft.com/office/drawing/2014/main" id="{997329C0-57FF-4573-AE79-2A0DBBD0A07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053595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1850</xdr:row>
      <xdr:rowOff>25400</xdr:rowOff>
    </xdr:from>
    <xdr:to>
      <xdr:col>11</xdr:col>
      <xdr:colOff>571500</xdr:colOff>
      <xdr:row>1851</xdr:row>
      <xdr:rowOff>0</xdr:rowOff>
    </xdr:to>
    <xdr:pic>
      <xdr:nvPicPr>
        <xdr:cNvPr id="11757" name="Рисунок 11756">
          <a:extLst>
            <a:ext uri="{FF2B5EF4-FFF2-40B4-BE49-F238E27FC236}">
              <a16:creationId xmlns:a16="http://schemas.microsoft.com/office/drawing/2014/main" id="{CB172894-B1F9-4639-A714-C6991DBB648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054166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1851</xdr:row>
      <xdr:rowOff>25400</xdr:rowOff>
    </xdr:from>
    <xdr:to>
      <xdr:col>11</xdr:col>
      <xdr:colOff>571500</xdr:colOff>
      <xdr:row>1852</xdr:row>
      <xdr:rowOff>0</xdr:rowOff>
    </xdr:to>
    <xdr:pic>
      <xdr:nvPicPr>
        <xdr:cNvPr id="11759" name="Рисунок 11758">
          <a:extLst>
            <a:ext uri="{FF2B5EF4-FFF2-40B4-BE49-F238E27FC236}">
              <a16:creationId xmlns:a16="http://schemas.microsoft.com/office/drawing/2014/main" id="{2D997235-4F16-4993-90E0-53EB027320E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054738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1852</xdr:row>
      <xdr:rowOff>25400</xdr:rowOff>
    </xdr:from>
    <xdr:to>
      <xdr:col>11</xdr:col>
      <xdr:colOff>571500</xdr:colOff>
      <xdr:row>1853</xdr:row>
      <xdr:rowOff>0</xdr:rowOff>
    </xdr:to>
    <xdr:pic>
      <xdr:nvPicPr>
        <xdr:cNvPr id="11761" name="Рисунок 11760">
          <a:extLst>
            <a:ext uri="{FF2B5EF4-FFF2-40B4-BE49-F238E27FC236}">
              <a16:creationId xmlns:a16="http://schemas.microsoft.com/office/drawing/2014/main" id="{A3162866-EC2B-40DC-87BD-6ED6DEB18E7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055309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1853</xdr:row>
      <xdr:rowOff>25400</xdr:rowOff>
    </xdr:from>
    <xdr:to>
      <xdr:col>11</xdr:col>
      <xdr:colOff>571500</xdr:colOff>
      <xdr:row>1854</xdr:row>
      <xdr:rowOff>0</xdr:rowOff>
    </xdr:to>
    <xdr:pic>
      <xdr:nvPicPr>
        <xdr:cNvPr id="11763" name="Рисунок 11762">
          <a:extLst>
            <a:ext uri="{FF2B5EF4-FFF2-40B4-BE49-F238E27FC236}">
              <a16:creationId xmlns:a16="http://schemas.microsoft.com/office/drawing/2014/main" id="{47B13124-D3A4-4CE7-BF6D-BD855F7A7B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055881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1854</xdr:row>
      <xdr:rowOff>25400</xdr:rowOff>
    </xdr:from>
    <xdr:to>
      <xdr:col>11</xdr:col>
      <xdr:colOff>571500</xdr:colOff>
      <xdr:row>1855</xdr:row>
      <xdr:rowOff>0</xdr:rowOff>
    </xdr:to>
    <xdr:pic>
      <xdr:nvPicPr>
        <xdr:cNvPr id="11765" name="Рисунок 11764">
          <a:extLst>
            <a:ext uri="{FF2B5EF4-FFF2-40B4-BE49-F238E27FC236}">
              <a16:creationId xmlns:a16="http://schemas.microsoft.com/office/drawing/2014/main" id="{91599CD5-CCCF-4D0E-8B49-1588F0C5E66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056452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1855</xdr:row>
      <xdr:rowOff>25400</xdr:rowOff>
    </xdr:from>
    <xdr:to>
      <xdr:col>11</xdr:col>
      <xdr:colOff>571500</xdr:colOff>
      <xdr:row>1856</xdr:row>
      <xdr:rowOff>0</xdr:rowOff>
    </xdr:to>
    <xdr:pic>
      <xdr:nvPicPr>
        <xdr:cNvPr id="11767" name="Рисунок 11766">
          <a:extLst>
            <a:ext uri="{FF2B5EF4-FFF2-40B4-BE49-F238E27FC236}">
              <a16:creationId xmlns:a16="http://schemas.microsoft.com/office/drawing/2014/main" id="{92F2D98B-D1FF-4165-B84A-DE7B266F4E3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057024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1856</xdr:row>
      <xdr:rowOff>25400</xdr:rowOff>
    </xdr:from>
    <xdr:to>
      <xdr:col>11</xdr:col>
      <xdr:colOff>571500</xdr:colOff>
      <xdr:row>1857</xdr:row>
      <xdr:rowOff>0</xdr:rowOff>
    </xdr:to>
    <xdr:pic>
      <xdr:nvPicPr>
        <xdr:cNvPr id="11769" name="Рисунок 11768">
          <a:extLst>
            <a:ext uri="{FF2B5EF4-FFF2-40B4-BE49-F238E27FC236}">
              <a16:creationId xmlns:a16="http://schemas.microsoft.com/office/drawing/2014/main" id="{705BB4FA-62BE-4976-B1E5-BADBE120D6D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057595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1857</xdr:row>
      <xdr:rowOff>25400</xdr:rowOff>
    </xdr:from>
    <xdr:to>
      <xdr:col>11</xdr:col>
      <xdr:colOff>571500</xdr:colOff>
      <xdr:row>1858</xdr:row>
      <xdr:rowOff>0</xdr:rowOff>
    </xdr:to>
    <xdr:pic>
      <xdr:nvPicPr>
        <xdr:cNvPr id="11771" name="Рисунок 11770">
          <a:extLst>
            <a:ext uri="{FF2B5EF4-FFF2-40B4-BE49-F238E27FC236}">
              <a16:creationId xmlns:a16="http://schemas.microsoft.com/office/drawing/2014/main" id="{BF8C3374-C29A-45FB-B788-F3D255A099D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058167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1858</xdr:row>
      <xdr:rowOff>25400</xdr:rowOff>
    </xdr:from>
    <xdr:to>
      <xdr:col>11</xdr:col>
      <xdr:colOff>571500</xdr:colOff>
      <xdr:row>1859</xdr:row>
      <xdr:rowOff>0</xdr:rowOff>
    </xdr:to>
    <xdr:pic>
      <xdr:nvPicPr>
        <xdr:cNvPr id="11773" name="Рисунок 11772">
          <a:extLst>
            <a:ext uri="{FF2B5EF4-FFF2-40B4-BE49-F238E27FC236}">
              <a16:creationId xmlns:a16="http://schemas.microsoft.com/office/drawing/2014/main" id="{A06026FC-252D-4C93-A9E2-DC676A79F79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058738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1859</xdr:row>
      <xdr:rowOff>25400</xdr:rowOff>
    </xdr:from>
    <xdr:to>
      <xdr:col>11</xdr:col>
      <xdr:colOff>571500</xdr:colOff>
      <xdr:row>1860</xdr:row>
      <xdr:rowOff>0</xdr:rowOff>
    </xdr:to>
    <xdr:pic>
      <xdr:nvPicPr>
        <xdr:cNvPr id="11775" name="Рисунок 11774">
          <a:extLst>
            <a:ext uri="{FF2B5EF4-FFF2-40B4-BE49-F238E27FC236}">
              <a16:creationId xmlns:a16="http://schemas.microsoft.com/office/drawing/2014/main" id="{1DB7663B-526D-4FFF-8FD4-2668C8EAF44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059310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1860</xdr:row>
      <xdr:rowOff>25400</xdr:rowOff>
    </xdr:from>
    <xdr:to>
      <xdr:col>11</xdr:col>
      <xdr:colOff>571500</xdr:colOff>
      <xdr:row>1861</xdr:row>
      <xdr:rowOff>0</xdr:rowOff>
    </xdr:to>
    <xdr:pic>
      <xdr:nvPicPr>
        <xdr:cNvPr id="11777" name="Рисунок 11776">
          <a:extLst>
            <a:ext uri="{FF2B5EF4-FFF2-40B4-BE49-F238E27FC236}">
              <a16:creationId xmlns:a16="http://schemas.microsoft.com/office/drawing/2014/main" id="{5A7532F3-E9AD-4DC3-9599-E5325B111A7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059881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1861</xdr:row>
      <xdr:rowOff>25400</xdr:rowOff>
    </xdr:from>
    <xdr:to>
      <xdr:col>11</xdr:col>
      <xdr:colOff>571500</xdr:colOff>
      <xdr:row>1862</xdr:row>
      <xdr:rowOff>0</xdr:rowOff>
    </xdr:to>
    <xdr:pic>
      <xdr:nvPicPr>
        <xdr:cNvPr id="11779" name="Рисунок 11778">
          <a:extLst>
            <a:ext uri="{FF2B5EF4-FFF2-40B4-BE49-F238E27FC236}">
              <a16:creationId xmlns:a16="http://schemas.microsoft.com/office/drawing/2014/main" id="{ACE0746A-E895-4185-85CB-CA3180BEECC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060453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1862</xdr:row>
      <xdr:rowOff>25400</xdr:rowOff>
    </xdr:from>
    <xdr:to>
      <xdr:col>11</xdr:col>
      <xdr:colOff>571500</xdr:colOff>
      <xdr:row>1863</xdr:row>
      <xdr:rowOff>0</xdr:rowOff>
    </xdr:to>
    <xdr:pic>
      <xdr:nvPicPr>
        <xdr:cNvPr id="11781" name="Рисунок 11780">
          <a:extLst>
            <a:ext uri="{FF2B5EF4-FFF2-40B4-BE49-F238E27FC236}">
              <a16:creationId xmlns:a16="http://schemas.microsoft.com/office/drawing/2014/main" id="{99EE8EBE-00D7-4574-8772-EE7F5B9E6B4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061024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1863</xdr:row>
      <xdr:rowOff>25400</xdr:rowOff>
    </xdr:from>
    <xdr:to>
      <xdr:col>11</xdr:col>
      <xdr:colOff>571500</xdr:colOff>
      <xdr:row>1864</xdr:row>
      <xdr:rowOff>0</xdr:rowOff>
    </xdr:to>
    <xdr:pic>
      <xdr:nvPicPr>
        <xdr:cNvPr id="11783" name="Рисунок 11782">
          <a:extLst>
            <a:ext uri="{FF2B5EF4-FFF2-40B4-BE49-F238E27FC236}">
              <a16:creationId xmlns:a16="http://schemas.microsoft.com/office/drawing/2014/main" id="{1FFD9633-A65D-4A1B-9CAE-BD74CF3DCEE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061596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1864</xdr:row>
      <xdr:rowOff>25400</xdr:rowOff>
    </xdr:from>
    <xdr:to>
      <xdr:col>11</xdr:col>
      <xdr:colOff>571500</xdr:colOff>
      <xdr:row>1865</xdr:row>
      <xdr:rowOff>0</xdr:rowOff>
    </xdr:to>
    <xdr:pic>
      <xdr:nvPicPr>
        <xdr:cNvPr id="11785" name="Рисунок 11784">
          <a:extLst>
            <a:ext uri="{FF2B5EF4-FFF2-40B4-BE49-F238E27FC236}">
              <a16:creationId xmlns:a16="http://schemas.microsoft.com/office/drawing/2014/main" id="{AA1CE1AB-49DD-480C-A80A-FD000D472AA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062167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1865</xdr:row>
      <xdr:rowOff>25400</xdr:rowOff>
    </xdr:from>
    <xdr:to>
      <xdr:col>11</xdr:col>
      <xdr:colOff>571500</xdr:colOff>
      <xdr:row>1866</xdr:row>
      <xdr:rowOff>0</xdr:rowOff>
    </xdr:to>
    <xdr:pic>
      <xdr:nvPicPr>
        <xdr:cNvPr id="11787" name="Рисунок 11786">
          <a:extLst>
            <a:ext uri="{FF2B5EF4-FFF2-40B4-BE49-F238E27FC236}">
              <a16:creationId xmlns:a16="http://schemas.microsoft.com/office/drawing/2014/main" id="{736BE9D8-FB1B-4D49-B080-52DD5E8F45F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062739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1866</xdr:row>
      <xdr:rowOff>25400</xdr:rowOff>
    </xdr:from>
    <xdr:to>
      <xdr:col>11</xdr:col>
      <xdr:colOff>571500</xdr:colOff>
      <xdr:row>1867</xdr:row>
      <xdr:rowOff>0</xdr:rowOff>
    </xdr:to>
    <xdr:pic>
      <xdr:nvPicPr>
        <xdr:cNvPr id="11789" name="Рисунок 11788">
          <a:extLst>
            <a:ext uri="{FF2B5EF4-FFF2-40B4-BE49-F238E27FC236}">
              <a16:creationId xmlns:a16="http://schemas.microsoft.com/office/drawing/2014/main" id="{E926D444-9AE0-4D57-A8E1-4AB56F2BAE1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063310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1867</xdr:row>
      <xdr:rowOff>25400</xdr:rowOff>
    </xdr:from>
    <xdr:to>
      <xdr:col>11</xdr:col>
      <xdr:colOff>571500</xdr:colOff>
      <xdr:row>1868</xdr:row>
      <xdr:rowOff>0</xdr:rowOff>
    </xdr:to>
    <xdr:pic>
      <xdr:nvPicPr>
        <xdr:cNvPr id="11791" name="Рисунок 11790">
          <a:extLst>
            <a:ext uri="{FF2B5EF4-FFF2-40B4-BE49-F238E27FC236}">
              <a16:creationId xmlns:a16="http://schemas.microsoft.com/office/drawing/2014/main" id="{E0690809-9BC0-40B8-BAD4-AFA84A0B9CC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063882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1868</xdr:row>
      <xdr:rowOff>25400</xdr:rowOff>
    </xdr:from>
    <xdr:to>
      <xdr:col>11</xdr:col>
      <xdr:colOff>571500</xdr:colOff>
      <xdr:row>1869</xdr:row>
      <xdr:rowOff>0</xdr:rowOff>
    </xdr:to>
    <xdr:pic>
      <xdr:nvPicPr>
        <xdr:cNvPr id="11793" name="Рисунок 11792">
          <a:extLst>
            <a:ext uri="{FF2B5EF4-FFF2-40B4-BE49-F238E27FC236}">
              <a16:creationId xmlns:a16="http://schemas.microsoft.com/office/drawing/2014/main" id="{1CF7216C-01F3-496C-B17C-BA2C859CDFA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064453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1869</xdr:row>
      <xdr:rowOff>25400</xdr:rowOff>
    </xdr:from>
    <xdr:to>
      <xdr:col>11</xdr:col>
      <xdr:colOff>571500</xdr:colOff>
      <xdr:row>1870</xdr:row>
      <xdr:rowOff>0</xdr:rowOff>
    </xdr:to>
    <xdr:pic>
      <xdr:nvPicPr>
        <xdr:cNvPr id="11795" name="Рисунок 11794">
          <a:extLst>
            <a:ext uri="{FF2B5EF4-FFF2-40B4-BE49-F238E27FC236}">
              <a16:creationId xmlns:a16="http://schemas.microsoft.com/office/drawing/2014/main" id="{14E7A7F4-7ED9-4820-BA4D-9E9671426CC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3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065025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1870</xdr:row>
      <xdr:rowOff>25400</xdr:rowOff>
    </xdr:from>
    <xdr:to>
      <xdr:col>11</xdr:col>
      <xdr:colOff>571500</xdr:colOff>
      <xdr:row>1871</xdr:row>
      <xdr:rowOff>0</xdr:rowOff>
    </xdr:to>
    <xdr:pic>
      <xdr:nvPicPr>
        <xdr:cNvPr id="11797" name="Рисунок 11796">
          <a:extLst>
            <a:ext uri="{FF2B5EF4-FFF2-40B4-BE49-F238E27FC236}">
              <a16:creationId xmlns:a16="http://schemas.microsoft.com/office/drawing/2014/main" id="{1F5FB424-B553-42FE-9E46-9D4B349F0F2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3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065596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1871</xdr:row>
      <xdr:rowOff>25400</xdr:rowOff>
    </xdr:from>
    <xdr:to>
      <xdr:col>11</xdr:col>
      <xdr:colOff>571500</xdr:colOff>
      <xdr:row>1872</xdr:row>
      <xdr:rowOff>0</xdr:rowOff>
    </xdr:to>
    <xdr:pic>
      <xdr:nvPicPr>
        <xdr:cNvPr id="11799" name="Рисунок 11798">
          <a:extLst>
            <a:ext uri="{FF2B5EF4-FFF2-40B4-BE49-F238E27FC236}">
              <a16:creationId xmlns:a16="http://schemas.microsoft.com/office/drawing/2014/main" id="{64C51012-4F0D-4CD6-AB81-3BB742A80EC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3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066168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1872</xdr:row>
      <xdr:rowOff>25400</xdr:rowOff>
    </xdr:from>
    <xdr:to>
      <xdr:col>11</xdr:col>
      <xdr:colOff>571500</xdr:colOff>
      <xdr:row>1873</xdr:row>
      <xdr:rowOff>0</xdr:rowOff>
    </xdr:to>
    <xdr:pic>
      <xdr:nvPicPr>
        <xdr:cNvPr id="11801" name="Рисунок 11800">
          <a:extLst>
            <a:ext uri="{FF2B5EF4-FFF2-40B4-BE49-F238E27FC236}">
              <a16:creationId xmlns:a16="http://schemas.microsoft.com/office/drawing/2014/main" id="{0A4CE1AC-5FBF-4571-A944-4956C9E8D88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3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066739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1873</xdr:row>
      <xdr:rowOff>25400</xdr:rowOff>
    </xdr:from>
    <xdr:to>
      <xdr:col>11</xdr:col>
      <xdr:colOff>571500</xdr:colOff>
      <xdr:row>1874</xdr:row>
      <xdr:rowOff>0</xdr:rowOff>
    </xdr:to>
    <xdr:pic>
      <xdr:nvPicPr>
        <xdr:cNvPr id="11803" name="Рисунок 11802">
          <a:extLst>
            <a:ext uri="{FF2B5EF4-FFF2-40B4-BE49-F238E27FC236}">
              <a16:creationId xmlns:a16="http://schemas.microsoft.com/office/drawing/2014/main" id="{9D925279-4577-4504-B88D-ADF0D4DDDB9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3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067311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1874</xdr:row>
      <xdr:rowOff>25400</xdr:rowOff>
    </xdr:from>
    <xdr:to>
      <xdr:col>11</xdr:col>
      <xdr:colOff>571500</xdr:colOff>
      <xdr:row>1875</xdr:row>
      <xdr:rowOff>0</xdr:rowOff>
    </xdr:to>
    <xdr:pic>
      <xdr:nvPicPr>
        <xdr:cNvPr id="11805" name="Рисунок 11804">
          <a:extLst>
            <a:ext uri="{FF2B5EF4-FFF2-40B4-BE49-F238E27FC236}">
              <a16:creationId xmlns:a16="http://schemas.microsoft.com/office/drawing/2014/main" id="{0DE3C7D2-E03F-46E7-9921-4893C536222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3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067882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1875</xdr:row>
      <xdr:rowOff>25400</xdr:rowOff>
    </xdr:from>
    <xdr:to>
      <xdr:col>11</xdr:col>
      <xdr:colOff>571500</xdr:colOff>
      <xdr:row>1876</xdr:row>
      <xdr:rowOff>0</xdr:rowOff>
    </xdr:to>
    <xdr:pic>
      <xdr:nvPicPr>
        <xdr:cNvPr id="11807" name="Рисунок 11806">
          <a:extLst>
            <a:ext uri="{FF2B5EF4-FFF2-40B4-BE49-F238E27FC236}">
              <a16:creationId xmlns:a16="http://schemas.microsoft.com/office/drawing/2014/main" id="{07447EF9-9E17-4C54-ABCB-ED4E664236A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3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068454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1876</xdr:row>
      <xdr:rowOff>25400</xdr:rowOff>
    </xdr:from>
    <xdr:to>
      <xdr:col>11</xdr:col>
      <xdr:colOff>571500</xdr:colOff>
      <xdr:row>1877</xdr:row>
      <xdr:rowOff>0</xdr:rowOff>
    </xdr:to>
    <xdr:pic>
      <xdr:nvPicPr>
        <xdr:cNvPr id="11809" name="Рисунок 11808">
          <a:extLst>
            <a:ext uri="{FF2B5EF4-FFF2-40B4-BE49-F238E27FC236}">
              <a16:creationId xmlns:a16="http://schemas.microsoft.com/office/drawing/2014/main" id="{014887ED-537E-4939-9F0A-7891047D57B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3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069025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1877</xdr:row>
      <xdr:rowOff>25400</xdr:rowOff>
    </xdr:from>
    <xdr:to>
      <xdr:col>11</xdr:col>
      <xdr:colOff>571500</xdr:colOff>
      <xdr:row>1878</xdr:row>
      <xdr:rowOff>0</xdr:rowOff>
    </xdr:to>
    <xdr:pic>
      <xdr:nvPicPr>
        <xdr:cNvPr id="11811" name="Рисунок 11810">
          <a:extLst>
            <a:ext uri="{FF2B5EF4-FFF2-40B4-BE49-F238E27FC236}">
              <a16:creationId xmlns:a16="http://schemas.microsoft.com/office/drawing/2014/main" id="{B9A898B2-69D7-4EAE-8AB0-13015C16AE2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3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069597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1878</xdr:row>
      <xdr:rowOff>25400</xdr:rowOff>
    </xdr:from>
    <xdr:to>
      <xdr:col>11</xdr:col>
      <xdr:colOff>571500</xdr:colOff>
      <xdr:row>1879</xdr:row>
      <xdr:rowOff>0</xdr:rowOff>
    </xdr:to>
    <xdr:pic>
      <xdr:nvPicPr>
        <xdr:cNvPr id="11813" name="Рисунок 11812">
          <a:extLst>
            <a:ext uri="{FF2B5EF4-FFF2-40B4-BE49-F238E27FC236}">
              <a16:creationId xmlns:a16="http://schemas.microsoft.com/office/drawing/2014/main" id="{4B95E9FF-41EF-4287-8A82-00892B81642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4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070168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1879</xdr:row>
      <xdr:rowOff>25400</xdr:rowOff>
    </xdr:from>
    <xdr:to>
      <xdr:col>11</xdr:col>
      <xdr:colOff>571500</xdr:colOff>
      <xdr:row>1880</xdr:row>
      <xdr:rowOff>0</xdr:rowOff>
    </xdr:to>
    <xdr:pic>
      <xdr:nvPicPr>
        <xdr:cNvPr id="11815" name="Рисунок 11814">
          <a:extLst>
            <a:ext uri="{FF2B5EF4-FFF2-40B4-BE49-F238E27FC236}">
              <a16:creationId xmlns:a16="http://schemas.microsoft.com/office/drawing/2014/main" id="{1A78424C-A6AB-4729-AEE9-C2DB75E9CF0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4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070740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1880</xdr:row>
      <xdr:rowOff>25400</xdr:rowOff>
    </xdr:from>
    <xdr:to>
      <xdr:col>11</xdr:col>
      <xdr:colOff>571500</xdr:colOff>
      <xdr:row>1881</xdr:row>
      <xdr:rowOff>0</xdr:rowOff>
    </xdr:to>
    <xdr:pic>
      <xdr:nvPicPr>
        <xdr:cNvPr id="11817" name="Рисунок 11816">
          <a:extLst>
            <a:ext uri="{FF2B5EF4-FFF2-40B4-BE49-F238E27FC236}">
              <a16:creationId xmlns:a16="http://schemas.microsoft.com/office/drawing/2014/main" id="{E9BCB2B4-822C-4A93-814A-66B6D9EFE02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071311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1881</xdr:row>
      <xdr:rowOff>25400</xdr:rowOff>
    </xdr:from>
    <xdr:to>
      <xdr:col>11</xdr:col>
      <xdr:colOff>571500</xdr:colOff>
      <xdr:row>1882</xdr:row>
      <xdr:rowOff>0</xdr:rowOff>
    </xdr:to>
    <xdr:pic>
      <xdr:nvPicPr>
        <xdr:cNvPr id="11819" name="Рисунок 11818">
          <a:extLst>
            <a:ext uri="{FF2B5EF4-FFF2-40B4-BE49-F238E27FC236}">
              <a16:creationId xmlns:a16="http://schemas.microsoft.com/office/drawing/2014/main" id="{40FDDE34-F10A-41D8-A41E-1B151B5C334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071883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1882</xdr:row>
      <xdr:rowOff>25400</xdr:rowOff>
    </xdr:from>
    <xdr:to>
      <xdr:col>11</xdr:col>
      <xdr:colOff>571500</xdr:colOff>
      <xdr:row>1883</xdr:row>
      <xdr:rowOff>0</xdr:rowOff>
    </xdr:to>
    <xdr:pic>
      <xdr:nvPicPr>
        <xdr:cNvPr id="11821" name="Рисунок 11820">
          <a:extLst>
            <a:ext uri="{FF2B5EF4-FFF2-40B4-BE49-F238E27FC236}">
              <a16:creationId xmlns:a16="http://schemas.microsoft.com/office/drawing/2014/main" id="{711AE5D6-92D2-4B0C-9BAC-3E014B435A2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072454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1883</xdr:row>
      <xdr:rowOff>25400</xdr:rowOff>
    </xdr:from>
    <xdr:to>
      <xdr:col>11</xdr:col>
      <xdr:colOff>571500</xdr:colOff>
      <xdr:row>1884</xdr:row>
      <xdr:rowOff>0</xdr:rowOff>
    </xdr:to>
    <xdr:pic>
      <xdr:nvPicPr>
        <xdr:cNvPr id="11823" name="Рисунок 11822">
          <a:extLst>
            <a:ext uri="{FF2B5EF4-FFF2-40B4-BE49-F238E27FC236}">
              <a16:creationId xmlns:a16="http://schemas.microsoft.com/office/drawing/2014/main" id="{A2500307-9A41-41EF-AF41-5B4317A3435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4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073026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1884</xdr:row>
      <xdr:rowOff>25400</xdr:rowOff>
    </xdr:from>
    <xdr:to>
      <xdr:col>11</xdr:col>
      <xdr:colOff>571500</xdr:colOff>
      <xdr:row>1885</xdr:row>
      <xdr:rowOff>0</xdr:rowOff>
    </xdr:to>
    <xdr:pic>
      <xdr:nvPicPr>
        <xdr:cNvPr id="11825" name="Рисунок 11824">
          <a:extLst>
            <a:ext uri="{FF2B5EF4-FFF2-40B4-BE49-F238E27FC236}">
              <a16:creationId xmlns:a16="http://schemas.microsoft.com/office/drawing/2014/main" id="{5BA37D0E-3A12-49C4-BB9B-F26E1BCFAA0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4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073597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1885</xdr:row>
      <xdr:rowOff>25400</xdr:rowOff>
    </xdr:from>
    <xdr:to>
      <xdr:col>11</xdr:col>
      <xdr:colOff>571500</xdr:colOff>
      <xdr:row>1886</xdr:row>
      <xdr:rowOff>0</xdr:rowOff>
    </xdr:to>
    <xdr:pic>
      <xdr:nvPicPr>
        <xdr:cNvPr id="11827" name="Рисунок 11826">
          <a:extLst>
            <a:ext uri="{FF2B5EF4-FFF2-40B4-BE49-F238E27FC236}">
              <a16:creationId xmlns:a16="http://schemas.microsoft.com/office/drawing/2014/main" id="{38A73284-B655-4627-A9E8-111F0C1151C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4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074169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1886</xdr:row>
      <xdr:rowOff>25400</xdr:rowOff>
    </xdr:from>
    <xdr:to>
      <xdr:col>11</xdr:col>
      <xdr:colOff>571500</xdr:colOff>
      <xdr:row>1887</xdr:row>
      <xdr:rowOff>0</xdr:rowOff>
    </xdr:to>
    <xdr:pic>
      <xdr:nvPicPr>
        <xdr:cNvPr id="11829" name="Рисунок 11828">
          <a:extLst>
            <a:ext uri="{FF2B5EF4-FFF2-40B4-BE49-F238E27FC236}">
              <a16:creationId xmlns:a16="http://schemas.microsoft.com/office/drawing/2014/main" id="{D777E875-0967-4BFA-B91F-8344ACC5628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4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074740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1887</xdr:row>
      <xdr:rowOff>25400</xdr:rowOff>
    </xdr:from>
    <xdr:to>
      <xdr:col>11</xdr:col>
      <xdr:colOff>571500</xdr:colOff>
      <xdr:row>1888</xdr:row>
      <xdr:rowOff>0</xdr:rowOff>
    </xdr:to>
    <xdr:pic>
      <xdr:nvPicPr>
        <xdr:cNvPr id="11831" name="Рисунок 11830">
          <a:extLst>
            <a:ext uri="{FF2B5EF4-FFF2-40B4-BE49-F238E27FC236}">
              <a16:creationId xmlns:a16="http://schemas.microsoft.com/office/drawing/2014/main" id="{6C5E22D3-C40C-49A9-85C5-746BA29EC94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4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075312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1888</xdr:row>
      <xdr:rowOff>25400</xdr:rowOff>
    </xdr:from>
    <xdr:to>
      <xdr:col>11</xdr:col>
      <xdr:colOff>571500</xdr:colOff>
      <xdr:row>1889</xdr:row>
      <xdr:rowOff>0</xdr:rowOff>
    </xdr:to>
    <xdr:pic>
      <xdr:nvPicPr>
        <xdr:cNvPr id="11833" name="Рисунок 11832">
          <a:extLst>
            <a:ext uri="{FF2B5EF4-FFF2-40B4-BE49-F238E27FC236}">
              <a16:creationId xmlns:a16="http://schemas.microsoft.com/office/drawing/2014/main" id="{9340A59F-EEA2-45BB-8AE7-98A59FB5EB1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5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075883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1889</xdr:row>
      <xdr:rowOff>25400</xdr:rowOff>
    </xdr:from>
    <xdr:to>
      <xdr:col>11</xdr:col>
      <xdr:colOff>571500</xdr:colOff>
      <xdr:row>1890</xdr:row>
      <xdr:rowOff>0</xdr:rowOff>
    </xdr:to>
    <xdr:pic>
      <xdr:nvPicPr>
        <xdr:cNvPr id="11835" name="Рисунок 11834">
          <a:extLst>
            <a:ext uri="{FF2B5EF4-FFF2-40B4-BE49-F238E27FC236}">
              <a16:creationId xmlns:a16="http://schemas.microsoft.com/office/drawing/2014/main" id="{6419577D-0D33-404D-AAAA-DEB16269834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5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076455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1890</xdr:row>
      <xdr:rowOff>25400</xdr:rowOff>
    </xdr:from>
    <xdr:to>
      <xdr:col>11</xdr:col>
      <xdr:colOff>571500</xdr:colOff>
      <xdr:row>1891</xdr:row>
      <xdr:rowOff>0</xdr:rowOff>
    </xdr:to>
    <xdr:pic>
      <xdr:nvPicPr>
        <xdr:cNvPr id="11837" name="Рисунок 11836">
          <a:extLst>
            <a:ext uri="{FF2B5EF4-FFF2-40B4-BE49-F238E27FC236}">
              <a16:creationId xmlns:a16="http://schemas.microsoft.com/office/drawing/2014/main" id="{0C2C3321-3FFB-48DF-926B-3855E216AB2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077026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1891</xdr:row>
      <xdr:rowOff>25400</xdr:rowOff>
    </xdr:from>
    <xdr:to>
      <xdr:col>11</xdr:col>
      <xdr:colOff>571500</xdr:colOff>
      <xdr:row>1892</xdr:row>
      <xdr:rowOff>0</xdr:rowOff>
    </xdr:to>
    <xdr:pic>
      <xdr:nvPicPr>
        <xdr:cNvPr id="11839" name="Рисунок 11838">
          <a:extLst>
            <a:ext uri="{FF2B5EF4-FFF2-40B4-BE49-F238E27FC236}">
              <a16:creationId xmlns:a16="http://schemas.microsoft.com/office/drawing/2014/main" id="{4DA27370-2889-4CD9-8354-57484F25984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5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077598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1892</xdr:row>
      <xdr:rowOff>25400</xdr:rowOff>
    </xdr:from>
    <xdr:to>
      <xdr:col>11</xdr:col>
      <xdr:colOff>571500</xdr:colOff>
      <xdr:row>1893</xdr:row>
      <xdr:rowOff>0</xdr:rowOff>
    </xdr:to>
    <xdr:pic>
      <xdr:nvPicPr>
        <xdr:cNvPr id="11841" name="Рисунок 11840">
          <a:extLst>
            <a:ext uri="{FF2B5EF4-FFF2-40B4-BE49-F238E27FC236}">
              <a16:creationId xmlns:a16="http://schemas.microsoft.com/office/drawing/2014/main" id="{526D6F80-B355-45E9-AE54-695D7816ADB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5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078169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1893</xdr:row>
      <xdr:rowOff>25400</xdr:rowOff>
    </xdr:from>
    <xdr:to>
      <xdr:col>11</xdr:col>
      <xdr:colOff>571500</xdr:colOff>
      <xdr:row>1894</xdr:row>
      <xdr:rowOff>0</xdr:rowOff>
    </xdr:to>
    <xdr:pic>
      <xdr:nvPicPr>
        <xdr:cNvPr id="11843" name="Рисунок 11842">
          <a:extLst>
            <a:ext uri="{FF2B5EF4-FFF2-40B4-BE49-F238E27FC236}">
              <a16:creationId xmlns:a16="http://schemas.microsoft.com/office/drawing/2014/main" id="{CB9C40B0-F822-4D0A-9ABD-406DB6ABC3A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5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078741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1894</xdr:row>
      <xdr:rowOff>25400</xdr:rowOff>
    </xdr:from>
    <xdr:to>
      <xdr:col>11</xdr:col>
      <xdr:colOff>571500</xdr:colOff>
      <xdr:row>1895</xdr:row>
      <xdr:rowOff>0</xdr:rowOff>
    </xdr:to>
    <xdr:pic>
      <xdr:nvPicPr>
        <xdr:cNvPr id="11845" name="Рисунок 11844">
          <a:extLst>
            <a:ext uri="{FF2B5EF4-FFF2-40B4-BE49-F238E27FC236}">
              <a16:creationId xmlns:a16="http://schemas.microsoft.com/office/drawing/2014/main" id="{035ADE22-D619-4278-B4CA-995DF0D811A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5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079312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1895</xdr:row>
      <xdr:rowOff>25400</xdr:rowOff>
    </xdr:from>
    <xdr:to>
      <xdr:col>11</xdr:col>
      <xdr:colOff>571500</xdr:colOff>
      <xdr:row>1896</xdr:row>
      <xdr:rowOff>0</xdr:rowOff>
    </xdr:to>
    <xdr:pic>
      <xdr:nvPicPr>
        <xdr:cNvPr id="11847" name="Рисунок 11846">
          <a:extLst>
            <a:ext uri="{FF2B5EF4-FFF2-40B4-BE49-F238E27FC236}">
              <a16:creationId xmlns:a16="http://schemas.microsoft.com/office/drawing/2014/main" id="{A41D53BC-4237-472A-9713-363080382D1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5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079884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1896</xdr:row>
      <xdr:rowOff>25400</xdr:rowOff>
    </xdr:from>
    <xdr:to>
      <xdr:col>11</xdr:col>
      <xdr:colOff>571500</xdr:colOff>
      <xdr:row>1897</xdr:row>
      <xdr:rowOff>0</xdr:rowOff>
    </xdr:to>
    <xdr:pic>
      <xdr:nvPicPr>
        <xdr:cNvPr id="11849" name="Рисунок 11848">
          <a:extLst>
            <a:ext uri="{FF2B5EF4-FFF2-40B4-BE49-F238E27FC236}">
              <a16:creationId xmlns:a16="http://schemas.microsoft.com/office/drawing/2014/main" id="{5B27ECA4-1908-47C2-8253-A19A1E06C28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5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080455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1897</xdr:row>
      <xdr:rowOff>25400</xdr:rowOff>
    </xdr:from>
    <xdr:to>
      <xdr:col>11</xdr:col>
      <xdr:colOff>571500</xdr:colOff>
      <xdr:row>1898</xdr:row>
      <xdr:rowOff>0</xdr:rowOff>
    </xdr:to>
    <xdr:pic>
      <xdr:nvPicPr>
        <xdr:cNvPr id="11851" name="Рисунок 11850">
          <a:extLst>
            <a:ext uri="{FF2B5EF4-FFF2-40B4-BE49-F238E27FC236}">
              <a16:creationId xmlns:a16="http://schemas.microsoft.com/office/drawing/2014/main" id="{96D394A5-AF7B-49EC-9989-F21F5717BA8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5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081027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1898</xdr:row>
      <xdr:rowOff>25400</xdr:rowOff>
    </xdr:from>
    <xdr:to>
      <xdr:col>11</xdr:col>
      <xdr:colOff>571500</xdr:colOff>
      <xdr:row>1899</xdr:row>
      <xdr:rowOff>0</xdr:rowOff>
    </xdr:to>
    <xdr:pic>
      <xdr:nvPicPr>
        <xdr:cNvPr id="11853" name="Рисунок 11852">
          <a:extLst>
            <a:ext uri="{FF2B5EF4-FFF2-40B4-BE49-F238E27FC236}">
              <a16:creationId xmlns:a16="http://schemas.microsoft.com/office/drawing/2014/main" id="{7B2F05D7-B3FE-4285-B37A-27CADE4F7A1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6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081598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1899</xdr:row>
      <xdr:rowOff>25400</xdr:rowOff>
    </xdr:from>
    <xdr:to>
      <xdr:col>11</xdr:col>
      <xdr:colOff>571500</xdr:colOff>
      <xdr:row>1900</xdr:row>
      <xdr:rowOff>0</xdr:rowOff>
    </xdr:to>
    <xdr:pic>
      <xdr:nvPicPr>
        <xdr:cNvPr id="11855" name="Рисунок 11854">
          <a:extLst>
            <a:ext uri="{FF2B5EF4-FFF2-40B4-BE49-F238E27FC236}">
              <a16:creationId xmlns:a16="http://schemas.microsoft.com/office/drawing/2014/main" id="{8D40EC9C-FB6E-4F71-BDC1-5A62E3E7760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6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082170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1900</xdr:row>
      <xdr:rowOff>25400</xdr:rowOff>
    </xdr:from>
    <xdr:to>
      <xdr:col>11</xdr:col>
      <xdr:colOff>571500</xdr:colOff>
      <xdr:row>1901</xdr:row>
      <xdr:rowOff>0</xdr:rowOff>
    </xdr:to>
    <xdr:pic>
      <xdr:nvPicPr>
        <xdr:cNvPr id="11857" name="Рисунок 11856">
          <a:extLst>
            <a:ext uri="{FF2B5EF4-FFF2-40B4-BE49-F238E27FC236}">
              <a16:creationId xmlns:a16="http://schemas.microsoft.com/office/drawing/2014/main" id="{84096AF8-2EAC-48BF-89A1-F147E302513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6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082741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1901</xdr:row>
      <xdr:rowOff>25400</xdr:rowOff>
    </xdr:from>
    <xdr:to>
      <xdr:col>11</xdr:col>
      <xdr:colOff>571500</xdr:colOff>
      <xdr:row>1902</xdr:row>
      <xdr:rowOff>0</xdr:rowOff>
    </xdr:to>
    <xdr:pic>
      <xdr:nvPicPr>
        <xdr:cNvPr id="11859" name="Рисунок 11858">
          <a:extLst>
            <a:ext uri="{FF2B5EF4-FFF2-40B4-BE49-F238E27FC236}">
              <a16:creationId xmlns:a16="http://schemas.microsoft.com/office/drawing/2014/main" id="{DE30D0F7-444D-49FE-8B92-1B200BED96C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6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083313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1902</xdr:row>
      <xdr:rowOff>25400</xdr:rowOff>
    </xdr:from>
    <xdr:to>
      <xdr:col>11</xdr:col>
      <xdr:colOff>571500</xdr:colOff>
      <xdr:row>1903</xdr:row>
      <xdr:rowOff>0</xdr:rowOff>
    </xdr:to>
    <xdr:pic>
      <xdr:nvPicPr>
        <xdr:cNvPr id="11861" name="Рисунок 11860">
          <a:extLst>
            <a:ext uri="{FF2B5EF4-FFF2-40B4-BE49-F238E27FC236}">
              <a16:creationId xmlns:a16="http://schemas.microsoft.com/office/drawing/2014/main" id="{7842AD02-99F7-4293-9B48-835AC7E5792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6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083884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1903</xdr:row>
      <xdr:rowOff>25400</xdr:rowOff>
    </xdr:from>
    <xdr:to>
      <xdr:col>11</xdr:col>
      <xdr:colOff>571500</xdr:colOff>
      <xdr:row>1904</xdr:row>
      <xdr:rowOff>0</xdr:rowOff>
    </xdr:to>
    <xdr:pic>
      <xdr:nvPicPr>
        <xdr:cNvPr id="11863" name="Рисунок 11862">
          <a:extLst>
            <a:ext uri="{FF2B5EF4-FFF2-40B4-BE49-F238E27FC236}">
              <a16:creationId xmlns:a16="http://schemas.microsoft.com/office/drawing/2014/main" id="{78BDE677-EC7C-4577-A49F-0956FBA7AC6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6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084456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1904</xdr:row>
      <xdr:rowOff>25400</xdr:rowOff>
    </xdr:from>
    <xdr:to>
      <xdr:col>11</xdr:col>
      <xdr:colOff>571500</xdr:colOff>
      <xdr:row>1905</xdr:row>
      <xdr:rowOff>0</xdr:rowOff>
    </xdr:to>
    <xdr:pic>
      <xdr:nvPicPr>
        <xdr:cNvPr id="11865" name="Рисунок 11864">
          <a:extLst>
            <a:ext uri="{FF2B5EF4-FFF2-40B4-BE49-F238E27FC236}">
              <a16:creationId xmlns:a16="http://schemas.microsoft.com/office/drawing/2014/main" id="{B569296B-88FF-4C74-A47A-2DF421724A8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6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085027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1905</xdr:row>
      <xdr:rowOff>25400</xdr:rowOff>
    </xdr:from>
    <xdr:to>
      <xdr:col>11</xdr:col>
      <xdr:colOff>571500</xdr:colOff>
      <xdr:row>1906</xdr:row>
      <xdr:rowOff>0</xdr:rowOff>
    </xdr:to>
    <xdr:pic>
      <xdr:nvPicPr>
        <xdr:cNvPr id="11867" name="Рисунок 11866">
          <a:extLst>
            <a:ext uri="{FF2B5EF4-FFF2-40B4-BE49-F238E27FC236}">
              <a16:creationId xmlns:a16="http://schemas.microsoft.com/office/drawing/2014/main" id="{71946DF9-FB53-423D-BF75-9D82FF90D5E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6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085599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1906</xdr:row>
      <xdr:rowOff>25400</xdr:rowOff>
    </xdr:from>
    <xdr:to>
      <xdr:col>11</xdr:col>
      <xdr:colOff>571500</xdr:colOff>
      <xdr:row>1907</xdr:row>
      <xdr:rowOff>0</xdr:rowOff>
    </xdr:to>
    <xdr:pic>
      <xdr:nvPicPr>
        <xdr:cNvPr id="11869" name="Рисунок 11868">
          <a:extLst>
            <a:ext uri="{FF2B5EF4-FFF2-40B4-BE49-F238E27FC236}">
              <a16:creationId xmlns:a16="http://schemas.microsoft.com/office/drawing/2014/main" id="{3C70D1D1-CEDD-4991-AF7E-259D1BEAD3F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6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086170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1907</xdr:row>
      <xdr:rowOff>25400</xdr:rowOff>
    </xdr:from>
    <xdr:to>
      <xdr:col>11</xdr:col>
      <xdr:colOff>571500</xdr:colOff>
      <xdr:row>1908</xdr:row>
      <xdr:rowOff>0</xdr:rowOff>
    </xdr:to>
    <xdr:pic>
      <xdr:nvPicPr>
        <xdr:cNvPr id="11871" name="Рисунок 11870">
          <a:extLst>
            <a:ext uri="{FF2B5EF4-FFF2-40B4-BE49-F238E27FC236}">
              <a16:creationId xmlns:a16="http://schemas.microsoft.com/office/drawing/2014/main" id="{B7E5CF80-51C3-4DA7-A598-D0A1590C113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6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086742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1908</xdr:row>
      <xdr:rowOff>25400</xdr:rowOff>
    </xdr:from>
    <xdr:to>
      <xdr:col>11</xdr:col>
      <xdr:colOff>571500</xdr:colOff>
      <xdr:row>1909</xdr:row>
      <xdr:rowOff>0</xdr:rowOff>
    </xdr:to>
    <xdr:pic>
      <xdr:nvPicPr>
        <xdr:cNvPr id="11873" name="Рисунок 11872">
          <a:extLst>
            <a:ext uri="{FF2B5EF4-FFF2-40B4-BE49-F238E27FC236}">
              <a16:creationId xmlns:a16="http://schemas.microsoft.com/office/drawing/2014/main" id="{5FF032B0-1218-4387-83A3-06E7F4FD4E3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7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087313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1909</xdr:row>
      <xdr:rowOff>25400</xdr:rowOff>
    </xdr:from>
    <xdr:to>
      <xdr:col>11</xdr:col>
      <xdr:colOff>571500</xdr:colOff>
      <xdr:row>1910</xdr:row>
      <xdr:rowOff>0</xdr:rowOff>
    </xdr:to>
    <xdr:pic>
      <xdr:nvPicPr>
        <xdr:cNvPr id="11875" name="Рисунок 11874">
          <a:extLst>
            <a:ext uri="{FF2B5EF4-FFF2-40B4-BE49-F238E27FC236}">
              <a16:creationId xmlns:a16="http://schemas.microsoft.com/office/drawing/2014/main" id="{E0947B44-219E-427A-B7A7-4FCA6B3B88F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7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087885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1910</xdr:row>
      <xdr:rowOff>25400</xdr:rowOff>
    </xdr:from>
    <xdr:to>
      <xdr:col>11</xdr:col>
      <xdr:colOff>571500</xdr:colOff>
      <xdr:row>1911</xdr:row>
      <xdr:rowOff>0</xdr:rowOff>
    </xdr:to>
    <xdr:pic>
      <xdr:nvPicPr>
        <xdr:cNvPr id="11877" name="Рисунок 11876">
          <a:extLst>
            <a:ext uri="{FF2B5EF4-FFF2-40B4-BE49-F238E27FC236}">
              <a16:creationId xmlns:a16="http://schemas.microsoft.com/office/drawing/2014/main" id="{4B511781-B38B-4E31-8526-D66DA9707DA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7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088456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1911</xdr:row>
      <xdr:rowOff>25400</xdr:rowOff>
    </xdr:from>
    <xdr:to>
      <xdr:col>11</xdr:col>
      <xdr:colOff>571500</xdr:colOff>
      <xdr:row>1912</xdr:row>
      <xdr:rowOff>0</xdr:rowOff>
    </xdr:to>
    <xdr:pic>
      <xdr:nvPicPr>
        <xdr:cNvPr id="11879" name="Рисунок 11878">
          <a:extLst>
            <a:ext uri="{FF2B5EF4-FFF2-40B4-BE49-F238E27FC236}">
              <a16:creationId xmlns:a16="http://schemas.microsoft.com/office/drawing/2014/main" id="{1F6C59BD-7980-45E4-9D01-0EF4B0FBAEF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7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089028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1912</xdr:row>
      <xdr:rowOff>25400</xdr:rowOff>
    </xdr:from>
    <xdr:to>
      <xdr:col>11</xdr:col>
      <xdr:colOff>571500</xdr:colOff>
      <xdr:row>1913</xdr:row>
      <xdr:rowOff>0</xdr:rowOff>
    </xdr:to>
    <xdr:pic>
      <xdr:nvPicPr>
        <xdr:cNvPr id="11881" name="Рисунок 11880">
          <a:extLst>
            <a:ext uri="{FF2B5EF4-FFF2-40B4-BE49-F238E27FC236}">
              <a16:creationId xmlns:a16="http://schemas.microsoft.com/office/drawing/2014/main" id="{FBDE4E77-29EC-47CE-B3A2-18FA074FAFC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7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089599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1913</xdr:row>
      <xdr:rowOff>25400</xdr:rowOff>
    </xdr:from>
    <xdr:to>
      <xdr:col>11</xdr:col>
      <xdr:colOff>571500</xdr:colOff>
      <xdr:row>1914</xdr:row>
      <xdr:rowOff>0</xdr:rowOff>
    </xdr:to>
    <xdr:pic>
      <xdr:nvPicPr>
        <xdr:cNvPr id="11883" name="Рисунок 11882">
          <a:extLst>
            <a:ext uri="{FF2B5EF4-FFF2-40B4-BE49-F238E27FC236}">
              <a16:creationId xmlns:a16="http://schemas.microsoft.com/office/drawing/2014/main" id="{32CE9C2A-8CD5-4FD7-AFB9-37771E17A41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7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090171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1914</xdr:row>
      <xdr:rowOff>25400</xdr:rowOff>
    </xdr:from>
    <xdr:to>
      <xdr:col>11</xdr:col>
      <xdr:colOff>571500</xdr:colOff>
      <xdr:row>1915</xdr:row>
      <xdr:rowOff>0</xdr:rowOff>
    </xdr:to>
    <xdr:pic>
      <xdr:nvPicPr>
        <xdr:cNvPr id="11885" name="Рисунок 11884">
          <a:extLst>
            <a:ext uri="{FF2B5EF4-FFF2-40B4-BE49-F238E27FC236}">
              <a16:creationId xmlns:a16="http://schemas.microsoft.com/office/drawing/2014/main" id="{BA54737A-82BF-4AC9-A58A-63A9880F749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7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090742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1915</xdr:row>
      <xdr:rowOff>25400</xdr:rowOff>
    </xdr:from>
    <xdr:to>
      <xdr:col>11</xdr:col>
      <xdr:colOff>571500</xdr:colOff>
      <xdr:row>1916</xdr:row>
      <xdr:rowOff>0</xdr:rowOff>
    </xdr:to>
    <xdr:pic>
      <xdr:nvPicPr>
        <xdr:cNvPr id="11887" name="Рисунок 11886">
          <a:extLst>
            <a:ext uri="{FF2B5EF4-FFF2-40B4-BE49-F238E27FC236}">
              <a16:creationId xmlns:a16="http://schemas.microsoft.com/office/drawing/2014/main" id="{41545125-B695-4216-9047-25439BAEAC6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7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091314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1916</xdr:row>
      <xdr:rowOff>25400</xdr:rowOff>
    </xdr:from>
    <xdr:to>
      <xdr:col>11</xdr:col>
      <xdr:colOff>571500</xdr:colOff>
      <xdr:row>1917</xdr:row>
      <xdr:rowOff>0</xdr:rowOff>
    </xdr:to>
    <xdr:pic>
      <xdr:nvPicPr>
        <xdr:cNvPr id="11889" name="Рисунок 11888">
          <a:extLst>
            <a:ext uri="{FF2B5EF4-FFF2-40B4-BE49-F238E27FC236}">
              <a16:creationId xmlns:a16="http://schemas.microsoft.com/office/drawing/2014/main" id="{97E791EE-35CB-46F1-8B46-17A02B26944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7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091885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1917</xdr:row>
      <xdr:rowOff>25400</xdr:rowOff>
    </xdr:from>
    <xdr:to>
      <xdr:col>11</xdr:col>
      <xdr:colOff>571500</xdr:colOff>
      <xdr:row>1918</xdr:row>
      <xdr:rowOff>0</xdr:rowOff>
    </xdr:to>
    <xdr:pic>
      <xdr:nvPicPr>
        <xdr:cNvPr id="11891" name="Рисунок 11890">
          <a:extLst>
            <a:ext uri="{FF2B5EF4-FFF2-40B4-BE49-F238E27FC236}">
              <a16:creationId xmlns:a16="http://schemas.microsoft.com/office/drawing/2014/main" id="{6BE381A9-567F-4BF9-8D97-F1EE801C09C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7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092457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1918</xdr:row>
      <xdr:rowOff>25400</xdr:rowOff>
    </xdr:from>
    <xdr:to>
      <xdr:col>11</xdr:col>
      <xdr:colOff>571500</xdr:colOff>
      <xdr:row>1919</xdr:row>
      <xdr:rowOff>0</xdr:rowOff>
    </xdr:to>
    <xdr:pic>
      <xdr:nvPicPr>
        <xdr:cNvPr id="11893" name="Рисунок 11892">
          <a:extLst>
            <a:ext uri="{FF2B5EF4-FFF2-40B4-BE49-F238E27FC236}">
              <a16:creationId xmlns:a16="http://schemas.microsoft.com/office/drawing/2014/main" id="{511AE067-2931-46AB-881E-A6FA0171758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8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093028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1919</xdr:row>
      <xdr:rowOff>25400</xdr:rowOff>
    </xdr:from>
    <xdr:to>
      <xdr:col>11</xdr:col>
      <xdr:colOff>571500</xdr:colOff>
      <xdr:row>1920</xdr:row>
      <xdr:rowOff>0</xdr:rowOff>
    </xdr:to>
    <xdr:pic>
      <xdr:nvPicPr>
        <xdr:cNvPr id="11895" name="Рисунок 11894">
          <a:extLst>
            <a:ext uri="{FF2B5EF4-FFF2-40B4-BE49-F238E27FC236}">
              <a16:creationId xmlns:a16="http://schemas.microsoft.com/office/drawing/2014/main" id="{DA4AE4DD-35ED-4234-B927-D2268FF96D8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8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093600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1920</xdr:row>
      <xdr:rowOff>25400</xdr:rowOff>
    </xdr:from>
    <xdr:to>
      <xdr:col>11</xdr:col>
      <xdr:colOff>571500</xdr:colOff>
      <xdr:row>1921</xdr:row>
      <xdr:rowOff>0</xdr:rowOff>
    </xdr:to>
    <xdr:pic>
      <xdr:nvPicPr>
        <xdr:cNvPr id="11897" name="Рисунок 11896">
          <a:extLst>
            <a:ext uri="{FF2B5EF4-FFF2-40B4-BE49-F238E27FC236}">
              <a16:creationId xmlns:a16="http://schemas.microsoft.com/office/drawing/2014/main" id="{365BF914-B626-4AE4-AAE7-1B004D88AD8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8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094171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1921</xdr:row>
      <xdr:rowOff>25400</xdr:rowOff>
    </xdr:from>
    <xdr:to>
      <xdr:col>11</xdr:col>
      <xdr:colOff>571500</xdr:colOff>
      <xdr:row>1922</xdr:row>
      <xdr:rowOff>0</xdr:rowOff>
    </xdr:to>
    <xdr:pic>
      <xdr:nvPicPr>
        <xdr:cNvPr id="11899" name="Рисунок 11898">
          <a:extLst>
            <a:ext uri="{FF2B5EF4-FFF2-40B4-BE49-F238E27FC236}">
              <a16:creationId xmlns:a16="http://schemas.microsoft.com/office/drawing/2014/main" id="{32D026BC-289A-46F4-832B-12A88C0375E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8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094743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1922</xdr:row>
      <xdr:rowOff>25400</xdr:rowOff>
    </xdr:from>
    <xdr:to>
      <xdr:col>11</xdr:col>
      <xdr:colOff>571500</xdr:colOff>
      <xdr:row>1923</xdr:row>
      <xdr:rowOff>0</xdr:rowOff>
    </xdr:to>
    <xdr:pic>
      <xdr:nvPicPr>
        <xdr:cNvPr id="11901" name="Рисунок 11900">
          <a:extLst>
            <a:ext uri="{FF2B5EF4-FFF2-40B4-BE49-F238E27FC236}">
              <a16:creationId xmlns:a16="http://schemas.microsoft.com/office/drawing/2014/main" id="{C28E22C4-3A4D-4DC6-85A0-15793BB284D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8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095314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1923</xdr:row>
      <xdr:rowOff>25400</xdr:rowOff>
    </xdr:from>
    <xdr:to>
      <xdr:col>11</xdr:col>
      <xdr:colOff>571500</xdr:colOff>
      <xdr:row>1924</xdr:row>
      <xdr:rowOff>0</xdr:rowOff>
    </xdr:to>
    <xdr:pic>
      <xdr:nvPicPr>
        <xdr:cNvPr id="11903" name="Рисунок 11902">
          <a:extLst>
            <a:ext uri="{FF2B5EF4-FFF2-40B4-BE49-F238E27FC236}">
              <a16:creationId xmlns:a16="http://schemas.microsoft.com/office/drawing/2014/main" id="{CC0A5FE8-D318-4753-9A8F-2C3482D0DB5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8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095886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1924</xdr:row>
      <xdr:rowOff>25400</xdr:rowOff>
    </xdr:from>
    <xdr:to>
      <xdr:col>11</xdr:col>
      <xdr:colOff>571500</xdr:colOff>
      <xdr:row>1925</xdr:row>
      <xdr:rowOff>0</xdr:rowOff>
    </xdr:to>
    <xdr:pic>
      <xdr:nvPicPr>
        <xdr:cNvPr id="11905" name="Рисунок 11904">
          <a:extLst>
            <a:ext uri="{FF2B5EF4-FFF2-40B4-BE49-F238E27FC236}">
              <a16:creationId xmlns:a16="http://schemas.microsoft.com/office/drawing/2014/main" id="{4D06EBEB-200B-4BBD-8580-159A6C4CA02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8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096457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1925</xdr:row>
      <xdr:rowOff>25400</xdr:rowOff>
    </xdr:from>
    <xdr:to>
      <xdr:col>11</xdr:col>
      <xdr:colOff>571500</xdr:colOff>
      <xdr:row>1926</xdr:row>
      <xdr:rowOff>0</xdr:rowOff>
    </xdr:to>
    <xdr:pic>
      <xdr:nvPicPr>
        <xdr:cNvPr id="11907" name="Рисунок 11906">
          <a:extLst>
            <a:ext uri="{FF2B5EF4-FFF2-40B4-BE49-F238E27FC236}">
              <a16:creationId xmlns:a16="http://schemas.microsoft.com/office/drawing/2014/main" id="{C10B0AC6-08E0-480E-A5F1-A4676E3F439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8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097029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1926</xdr:row>
      <xdr:rowOff>25400</xdr:rowOff>
    </xdr:from>
    <xdr:to>
      <xdr:col>11</xdr:col>
      <xdr:colOff>571500</xdr:colOff>
      <xdr:row>1927</xdr:row>
      <xdr:rowOff>0</xdr:rowOff>
    </xdr:to>
    <xdr:pic>
      <xdr:nvPicPr>
        <xdr:cNvPr id="11909" name="Рисунок 11908">
          <a:extLst>
            <a:ext uri="{FF2B5EF4-FFF2-40B4-BE49-F238E27FC236}">
              <a16:creationId xmlns:a16="http://schemas.microsoft.com/office/drawing/2014/main" id="{CF9A2F12-733E-4E33-B0B2-41876EDBE9D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8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097600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1927</xdr:row>
      <xdr:rowOff>25400</xdr:rowOff>
    </xdr:from>
    <xdr:to>
      <xdr:col>11</xdr:col>
      <xdr:colOff>571500</xdr:colOff>
      <xdr:row>1928</xdr:row>
      <xdr:rowOff>0</xdr:rowOff>
    </xdr:to>
    <xdr:pic>
      <xdr:nvPicPr>
        <xdr:cNvPr id="11911" name="Рисунок 11910">
          <a:extLst>
            <a:ext uri="{FF2B5EF4-FFF2-40B4-BE49-F238E27FC236}">
              <a16:creationId xmlns:a16="http://schemas.microsoft.com/office/drawing/2014/main" id="{9D8FF4FC-5C7F-49F4-AC9A-AC7A6A27DFA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8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098172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1928</xdr:row>
      <xdr:rowOff>25400</xdr:rowOff>
    </xdr:from>
    <xdr:to>
      <xdr:col>11</xdr:col>
      <xdr:colOff>571500</xdr:colOff>
      <xdr:row>1929</xdr:row>
      <xdr:rowOff>0</xdr:rowOff>
    </xdr:to>
    <xdr:pic>
      <xdr:nvPicPr>
        <xdr:cNvPr id="11913" name="Рисунок 11912">
          <a:extLst>
            <a:ext uri="{FF2B5EF4-FFF2-40B4-BE49-F238E27FC236}">
              <a16:creationId xmlns:a16="http://schemas.microsoft.com/office/drawing/2014/main" id="{3B00C4FC-7818-4DD6-B700-7CF9E04B31E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9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098743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1929</xdr:row>
      <xdr:rowOff>25400</xdr:rowOff>
    </xdr:from>
    <xdr:to>
      <xdr:col>11</xdr:col>
      <xdr:colOff>571500</xdr:colOff>
      <xdr:row>1930</xdr:row>
      <xdr:rowOff>0</xdr:rowOff>
    </xdr:to>
    <xdr:pic>
      <xdr:nvPicPr>
        <xdr:cNvPr id="11915" name="Рисунок 11914">
          <a:extLst>
            <a:ext uri="{FF2B5EF4-FFF2-40B4-BE49-F238E27FC236}">
              <a16:creationId xmlns:a16="http://schemas.microsoft.com/office/drawing/2014/main" id="{E38A723B-6532-4DE8-984C-78E13AEAD70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9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099315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1930</xdr:row>
      <xdr:rowOff>25400</xdr:rowOff>
    </xdr:from>
    <xdr:to>
      <xdr:col>11</xdr:col>
      <xdr:colOff>571500</xdr:colOff>
      <xdr:row>1931</xdr:row>
      <xdr:rowOff>0</xdr:rowOff>
    </xdr:to>
    <xdr:pic>
      <xdr:nvPicPr>
        <xdr:cNvPr id="11917" name="Рисунок 11916">
          <a:extLst>
            <a:ext uri="{FF2B5EF4-FFF2-40B4-BE49-F238E27FC236}">
              <a16:creationId xmlns:a16="http://schemas.microsoft.com/office/drawing/2014/main" id="{3ED68B5B-F0D6-418F-93E0-43C5583F9FA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9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099886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1931</xdr:row>
      <xdr:rowOff>25400</xdr:rowOff>
    </xdr:from>
    <xdr:to>
      <xdr:col>11</xdr:col>
      <xdr:colOff>571500</xdr:colOff>
      <xdr:row>1932</xdr:row>
      <xdr:rowOff>0</xdr:rowOff>
    </xdr:to>
    <xdr:pic>
      <xdr:nvPicPr>
        <xdr:cNvPr id="11919" name="Рисунок 11918">
          <a:extLst>
            <a:ext uri="{FF2B5EF4-FFF2-40B4-BE49-F238E27FC236}">
              <a16:creationId xmlns:a16="http://schemas.microsoft.com/office/drawing/2014/main" id="{FBAAED1D-A662-47C6-A90E-818BFF769B3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9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100458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1932</xdr:row>
      <xdr:rowOff>25400</xdr:rowOff>
    </xdr:from>
    <xdr:to>
      <xdr:col>11</xdr:col>
      <xdr:colOff>571500</xdr:colOff>
      <xdr:row>1933</xdr:row>
      <xdr:rowOff>0</xdr:rowOff>
    </xdr:to>
    <xdr:pic>
      <xdr:nvPicPr>
        <xdr:cNvPr id="11921" name="Рисунок 11920">
          <a:extLst>
            <a:ext uri="{FF2B5EF4-FFF2-40B4-BE49-F238E27FC236}">
              <a16:creationId xmlns:a16="http://schemas.microsoft.com/office/drawing/2014/main" id="{EF5D5A3D-B439-4E6D-9F0D-E564AB1CBA6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9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101029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1933</xdr:row>
      <xdr:rowOff>25400</xdr:rowOff>
    </xdr:from>
    <xdr:to>
      <xdr:col>11</xdr:col>
      <xdr:colOff>571500</xdr:colOff>
      <xdr:row>1934</xdr:row>
      <xdr:rowOff>0</xdr:rowOff>
    </xdr:to>
    <xdr:pic>
      <xdr:nvPicPr>
        <xdr:cNvPr id="11923" name="Рисунок 11922">
          <a:extLst>
            <a:ext uri="{FF2B5EF4-FFF2-40B4-BE49-F238E27FC236}">
              <a16:creationId xmlns:a16="http://schemas.microsoft.com/office/drawing/2014/main" id="{DC1B3419-D171-49A6-B643-14FA901A560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9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101601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1934</xdr:row>
      <xdr:rowOff>25400</xdr:rowOff>
    </xdr:from>
    <xdr:to>
      <xdr:col>11</xdr:col>
      <xdr:colOff>571500</xdr:colOff>
      <xdr:row>1935</xdr:row>
      <xdr:rowOff>0</xdr:rowOff>
    </xdr:to>
    <xdr:pic>
      <xdr:nvPicPr>
        <xdr:cNvPr id="11925" name="Рисунок 11924">
          <a:extLst>
            <a:ext uri="{FF2B5EF4-FFF2-40B4-BE49-F238E27FC236}">
              <a16:creationId xmlns:a16="http://schemas.microsoft.com/office/drawing/2014/main" id="{6CF884A0-E764-4C35-BF33-54603C0C929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9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102172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1935</xdr:row>
      <xdr:rowOff>25400</xdr:rowOff>
    </xdr:from>
    <xdr:to>
      <xdr:col>11</xdr:col>
      <xdr:colOff>571500</xdr:colOff>
      <xdr:row>1936</xdr:row>
      <xdr:rowOff>0</xdr:rowOff>
    </xdr:to>
    <xdr:pic>
      <xdr:nvPicPr>
        <xdr:cNvPr id="11927" name="Рисунок 11926">
          <a:extLst>
            <a:ext uri="{FF2B5EF4-FFF2-40B4-BE49-F238E27FC236}">
              <a16:creationId xmlns:a16="http://schemas.microsoft.com/office/drawing/2014/main" id="{8BA1FA29-C93D-4D91-86E2-2D8D4BC92EC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9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102744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1936</xdr:row>
      <xdr:rowOff>25400</xdr:rowOff>
    </xdr:from>
    <xdr:to>
      <xdr:col>11</xdr:col>
      <xdr:colOff>571500</xdr:colOff>
      <xdr:row>1937</xdr:row>
      <xdr:rowOff>0</xdr:rowOff>
    </xdr:to>
    <xdr:pic>
      <xdr:nvPicPr>
        <xdr:cNvPr id="11929" name="Рисунок 11928">
          <a:extLst>
            <a:ext uri="{FF2B5EF4-FFF2-40B4-BE49-F238E27FC236}">
              <a16:creationId xmlns:a16="http://schemas.microsoft.com/office/drawing/2014/main" id="{1DAD144F-E802-4FF3-BABB-E7E42D02C2A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9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103315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1937</xdr:row>
      <xdr:rowOff>25400</xdr:rowOff>
    </xdr:from>
    <xdr:to>
      <xdr:col>11</xdr:col>
      <xdr:colOff>571500</xdr:colOff>
      <xdr:row>1938</xdr:row>
      <xdr:rowOff>0</xdr:rowOff>
    </xdr:to>
    <xdr:pic>
      <xdr:nvPicPr>
        <xdr:cNvPr id="11931" name="Рисунок 11930">
          <a:extLst>
            <a:ext uri="{FF2B5EF4-FFF2-40B4-BE49-F238E27FC236}">
              <a16:creationId xmlns:a16="http://schemas.microsoft.com/office/drawing/2014/main" id="{D5616A48-6955-4F56-82D9-51B7BC40B08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89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103887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1938</xdr:row>
      <xdr:rowOff>25400</xdr:rowOff>
    </xdr:from>
    <xdr:to>
      <xdr:col>11</xdr:col>
      <xdr:colOff>571500</xdr:colOff>
      <xdr:row>1939</xdr:row>
      <xdr:rowOff>0</xdr:rowOff>
    </xdr:to>
    <xdr:pic>
      <xdr:nvPicPr>
        <xdr:cNvPr id="11933" name="Рисунок 11932">
          <a:extLst>
            <a:ext uri="{FF2B5EF4-FFF2-40B4-BE49-F238E27FC236}">
              <a16:creationId xmlns:a16="http://schemas.microsoft.com/office/drawing/2014/main" id="{E3483AE9-D269-4B19-98F5-4EB3C4A8F6B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0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104458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1939</xdr:row>
      <xdr:rowOff>25400</xdr:rowOff>
    </xdr:from>
    <xdr:to>
      <xdr:col>11</xdr:col>
      <xdr:colOff>571500</xdr:colOff>
      <xdr:row>1940</xdr:row>
      <xdr:rowOff>0</xdr:rowOff>
    </xdr:to>
    <xdr:pic>
      <xdr:nvPicPr>
        <xdr:cNvPr id="11935" name="Рисунок 11934">
          <a:extLst>
            <a:ext uri="{FF2B5EF4-FFF2-40B4-BE49-F238E27FC236}">
              <a16:creationId xmlns:a16="http://schemas.microsoft.com/office/drawing/2014/main" id="{DBB537CC-F176-45F9-B65D-722875109EA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0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105030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1940</xdr:row>
      <xdr:rowOff>25400</xdr:rowOff>
    </xdr:from>
    <xdr:to>
      <xdr:col>11</xdr:col>
      <xdr:colOff>571500</xdr:colOff>
      <xdr:row>1941</xdr:row>
      <xdr:rowOff>0</xdr:rowOff>
    </xdr:to>
    <xdr:pic>
      <xdr:nvPicPr>
        <xdr:cNvPr id="11937" name="Рисунок 11936">
          <a:extLst>
            <a:ext uri="{FF2B5EF4-FFF2-40B4-BE49-F238E27FC236}">
              <a16:creationId xmlns:a16="http://schemas.microsoft.com/office/drawing/2014/main" id="{3558B146-9D67-4556-870A-DB47F5F838F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0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105601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1941</xdr:row>
      <xdr:rowOff>25400</xdr:rowOff>
    </xdr:from>
    <xdr:to>
      <xdr:col>11</xdr:col>
      <xdr:colOff>571500</xdr:colOff>
      <xdr:row>1942</xdr:row>
      <xdr:rowOff>0</xdr:rowOff>
    </xdr:to>
    <xdr:pic>
      <xdr:nvPicPr>
        <xdr:cNvPr id="11939" name="Рисунок 11938">
          <a:extLst>
            <a:ext uri="{FF2B5EF4-FFF2-40B4-BE49-F238E27FC236}">
              <a16:creationId xmlns:a16="http://schemas.microsoft.com/office/drawing/2014/main" id="{9C71FC6E-033E-4E14-8625-C46720E7629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0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106173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1942</xdr:row>
      <xdr:rowOff>25400</xdr:rowOff>
    </xdr:from>
    <xdr:to>
      <xdr:col>11</xdr:col>
      <xdr:colOff>571500</xdr:colOff>
      <xdr:row>1943</xdr:row>
      <xdr:rowOff>0</xdr:rowOff>
    </xdr:to>
    <xdr:pic>
      <xdr:nvPicPr>
        <xdr:cNvPr id="11941" name="Рисунок 11940">
          <a:extLst>
            <a:ext uri="{FF2B5EF4-FFF2-40B4-BE49-F238E27FC236}">
              <a16:creationId xmlns:a16="http://schemas.microsoft.com/office/drawing/2014/main" id="{101BC83C-2BBB-4312-9505-5C3631D5BB0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0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106744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1943</xdr:row>
      <xdr:rowOff>25400</xdr:rowOff>
    </xdr:from>
    <xdr:to>
      <xdr:col>11</xdr:col>
      <xdr:colOff>571500</xdr:colOff>
      <xdr:row>1944</xdr:row>
      <xdr:rowOff>0</xdr:rowOff>
    </xdr:to>
    <xdr:pic>
      <xdr:nvPicPr>
        <xdr:cNvPr id="11943" name="Рисунок 11942">
          <a:extLst>
            <a:ext uri="{FF2B5EF4-FFF2-40B4-BE49-F238E27FC236}">
              <a16:creationId xmlns:a16="http://schemas.microsoft.com/office/drawing/2014/main" id="{3FF9ECA0-4996-4824-94FD-43699C5CDF1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0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107316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1944</xdr:row>
      <xdr:rowOff>25400</xdr:rowOff>
    </xdr:from>
    <xdr:to>
      <xdr:col>11</xdr:col>
      <xdr:colOff>571500</xdr:colOff>
      <xdr:row>1945</xdr:row>
      <xdr:rowOff>0</xdr:rowOff>
    </xdr:to>
    <xdr:pic>
      <xdr:nvPicPr>
        <xdr:cNvPr id="11945" name="Рисунок 11944">
          <a:extLst>
            <a:ext uri="{FF2B5EF4-FFF2-40B4-BE49-F238E27FC236}">
              <a16:creationId xmlns:a16="http://schemas.microsoft.com/office/drawing/2014/main" id="{5FFD2DCC-662D-4CC8-8133-BBB619F111B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0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107887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1945</xdr:row>
      <xdr:rowOff>25400</xdr:rowOff>
    </xdr:from>
    <xdr:to>
      <xdr:col>11</xdr:col>
      <xdr:colOff>571500</xdr:colOff>
      <xdr:row>1946</xdr:row>
      <xdr:rowOff>0</xdr:rowOff>
    </xdr:to>
    <xdr:pic>
      <xdr:nvPicPr>
        <xdr:cNvPr id="11947" name="Рисунок 11946">
          <a:extLst>
            <a:ext uri="{FF2B5EF4-FFF2-40B4-BE49-F238E27FC236}">
              <a16:creationId xmlns:a16="http://schemas.microsoft.com/office/drawing/2014/main" id="{270D7892-1352-4789-A8FE-91ACFD419D0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0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108459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1946</xdr:row>
      <xdr:rowOff>25400</xdr:rowOff>
    </xdr:from>
    <xdr:to>
      <xdr:col>11</xdr:col>
      <xdr:colOff>571500</xdr:colOff>
      <xdr:row>1947</xdr:row>
      <xdr:rowOff>0</xdr:rowOff>
    </xdr:to>
    <xdr:pic>
      <xdr:nvPicPr>
        <xdr:cNvPr id="11949" name="Рисунок 11948">
          <a:extLst>
            <a:ext uri="{FF2B5EF4-FFF2-40B4-BE49-F238E27FC236}">
              <a16:creationId xmlns:a16="http://schemas.microsoft.com/office/drawing/2014/main" id="{2E4827BE-F196-4469-96A5-E0BE2B9E84D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0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109030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1947</xdr:row>
      <xdr:rowOff>25400</xdr:rowOff>
    </xdr:from>
    <xdr:to>
      <xdr:col>11</xdr:col>
      <xdr:colOff>571500</xdr:colOff>
      <xdr:row>1948</xdr:row>
      <xdr:rowOff>0</xdr:rowOff>
    </xdr:to>
    <xdr:pic>
      <xdr:nvPicPr>
        <xdr:cNvPr id="11951" name="Рисунок 11950">
          <a:extLst>
            <a:ext uri="{FF2B5EF4-FFF2-40B4-BE49-F238E27FC236}">
              <a16:creationId xmlns:a16="http://schemas.microsoft.com/office/drawing/2014/main" id="{2F281EFB-5AAA-48E8-B506-BF40ECC3572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0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109602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1948</xdr:row>
      <xdr:rowOff>25400</xdr:rowOff>
    </xdr:from>
    <xdr:to>
      <xdr:col>11</xdr:col>
      <xdr:colOff>571500</xdr:colOff>
      <xdr:row>1949</xdr:row>
      <xdr:rowOff>0</xdr:rowOff>
    </xdr:to>
    <xdr:pic>
      <xdr:nvPicPr>
        <xdr:cNvPr id="11953" name="Рисунок 11952">
          <a:extLst>
            <a:ext uri="{FF2B5EF4-FFF2-40B4-BE49-F238E27FC236}">
              <a16:creationId xmlns:a16="http://schemas.microsoft.com/office/drawing/2014/main" id="{01A460B9-AD24-47F5-9473-C356FAB35F3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110173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1949</xdr:row>
      <xdr:rowOff>25400</xdr:rowOff>
    </xdr:from>
    <xdr:to>
      <xdr:col>11</xdr:col>
      <xdr:colOff>571500</xdr:colOff>
      <xdr:row>1950</xdr:row>
      <xdr:rowOff>0</xdr:rowOff>
    </xdr:to>
    <xdr:pic>
      <xdr:nvPicPr>
        <xdr:cNvPr id="11955" name="Рисунок 11954">
          <a:extLst>
            <a:ext uri="{FF2B5EF4-FFF2-40B4-BE49-F238E27FC236}">
              <a16:creationId xmlns:a16="http://schemas.microsoft.com/office/drawing/2014/main" id="{CE254F26-5999-4F6C-85F4-22DCCEC8D5A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110745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1950</xdr:row>
      <xdr:rowOff>25400</xdr:rowOff>
    </xdr:from>
    <xdr:to>
      <xdr:col>11</xdr:col>
      <xdr:colOff>571500</xdr:colOff>
      <xdr:row>1951</xdr:row>
      <xdr:rowOff>0</xdr:rowOff>
    </xdr:to>
    <xdr:pic>
      <xdr:nvPicPr>
        <xdr:cNvPr id="11957" name="Рисунок 11956">
          <a:extLst>
            <a:ext uri="{FF2B5EF4-FFF2-40B4-BE49-F238E27FC236}">
              <a16:creationId xmlns:a16="http://schemas.microsoft.com/office/drawing/2014/main" id="{9CC96C98-7EE8-4F40-80F3-97B6F1ADAA1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111316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1951</xdr:row>
      <xdr:rowOff>25400</xdr:rowOff>
    </xdr:from>
    <xdr:to>
      <xdr:col>11</xdr:col>
      <xdr:colOff>571500</xdr:colOff>
      <xdr:row>1952</xdr:row>
      <xdr:rowOff>0</xdr:rowOff>
    </xdr:to>
    <xdr:pic>
      <xdr:nvPicPr>
        <xdr:cNvPr id="11959" name="Рисунок 11958">
          <a:extLst>
            <a:ext uri="{FF2B5EF4-FFF2-40B4-BE49-F238E27FC236}">
              <a16:creationId xmlns:a16="http://schemas.microsoft.com/office/drawing/2014/main" id="{E11FA5EA-9477-4D87-A168-FF8A4203CDA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111888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1952</xdr:row>
      <xdr:rowOff>25400</xdr:rowOff>
    </xdr:from>
    <xdr:to>
      <xdr:col>11</xdr:col>
      <xdr:colOff>571500</xdr:colOff>
      <xdr:row>1953</xdr:row>
      <xdr:rowOff>0</xdr:rowOff>
    </xdr:to>
    <xdr:pic>
      <xdr:nvPicPr>
        <xdr:cNvPr id="11961" name="Рисунок 11960">
          <a:extLst>
            <a:ext uri="{FF2B5EF4-FFF2-40B4-BE49-F238E27FC236}">
              <a16:creationId xmlns:a16="http://schemas.microsoft.com/office/drawing/2014/main" id="{8F8EEF64-F6F1-4012-B1EE-FEAAA593457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112459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1953</xdr:row>
      <xdr:rowOff>25400</xdr:rowOff>
    </xdr:from>
    <xdr:to>
      <xdr:col>11</xdr:col>
      <xdr:colOff>571500</xdr:colOff>
      <xdr:row>1954</xdr:row>
      <xdr:rowOff>0</xdr:rowOff>
    </xdr:to>
    <xdr:pic>
      <xdr:nvPicPr>
        <xdr:cNvPr id="11963" name="Рисунок 11962">
          <a:extLst>
            <a:ext uri="{FF2B5EF4-FFF2-40B4-BE49-F238E27FC236}">
              <a16:creationId xmlns:a16="http://schemas.microsoft.com/office/drawing/2014/main" id="{70276D4B-30B3-426D-80AA-77BBCC5EC2E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113031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1954</xdr:row>
      <xdr:rowOff>25400</xdr:rowOff>
    </xdr:from>
    <xdr:to>
      <xdr:col>11</xdr:col>
      <xdr:colOff>571500</xdr:colOff>
      <xdr:row>1955</xdr:row>
      <xdr:rowOff>0</xdr:rowOff>
    </xdr:to>
    <xdr:pic>
      <xdr:nvPicPr>
        <xdr:cNvPr id="11965" name="Рисунок 11964">
          <a:extLst>
            <a:ext uri="{FF2B5EF4-FFF2-40B4-BE49-F238E27FC236}">
              <a16:creationId xmlns:a16="http://schemas.microsoft.com/office/drawing/2014/main" id="{E9C45827-5793-4A57-8CDC-DCAAE4E05D1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113602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1955</xdr:row>
      <xdr:rowOff>25400</xdr:rowOff>
    </xdr:from>
    <xdr:to>
      <xdr:col>11</xdr:col>
      <xdr:colOff>571500</xdr:colOff>
      <xdr:row>1956</xdr:row>
      <xdr:rowOff>0</xdr:rowOff>
    </xdr:to>
    <xdr:pic>
      <xdr:nvPicPr>
        <xdr:cNvPr id="11967" name="Рисунок 11966">
          <a:extLst>
            <a:ext uri="{FF2B5EF4-FFF2-40B4-BE49-F238E27FC236}">
              <a16:creationId xmlns:a16="http://schemas.microsoft.com/office/drawing/2014/main" id="{FC0426DD-AF6F-4CA7-8C9B-3B43A8433B6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114174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1956</xdr:row>
      <xdr:rowOff>25400</xdr:rowOff>
    </xdr:from>
    <xdr:to>
      <xdr:col>11</xdr:col>
      <xdr:colOff>571500</xdr:colOff>
      <xdr:row>1957</xdr:row>
      <xdr:rowOff>0</xdr:rowOff>
    </xdr:to>
    <xdr:pic>
      <xdr:nvPicPr>
        <xdr:cNvPr id="11969" name="Рисунок 11968">
          <a:extLst>
            <a:ext uri="{FF2B5EF4-FFF2-40B4-BE49-F238E27FC236}">
              <a16:creationId xmlns:a16="http://schemas.microsoft.com/office/drawing/2014/main" id="{59DE75C1-6E86-41C4-A90A-F605F65F1DE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114745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1957</xdr:row>
      <xdr:rowOff>25400</xdr:rowOff>
    </xdr:from>
    <xdr:to>
      <xdr:col>11</xdr:col>
      <xdr:colOff>571500</xdr:colOff>
      <xdr:row>1958</xdr:row>
      <xdr:rowOff>0</xdr:rowOff>
    </xdr:to>
    <xdr:pic>
      <xdr:nvPicPr>
        <xdr:cNvPr id="11971" name="Рисунок 11970">
          <a:extLst>
            <a:ext uri="{FF2B5EF4-FFF2-40B4-BE49-F238E27FC236}">
              <a16:creationId xmlns:a16="http://schemas.microsoft.com/office/drawing/2014/main" id="{CEC67E23-A870-4CA8-913D-975B654185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115317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1958</xdr:row>
      <xdr:rowOff>25400</xdr:rowOff>
    </xdr:from>
    <xdr:to>
      <xdr:col>11</xdr:col>
      <xdr:colOff>571500</xdr:colOff>
      <xdr:row>1959</xdr:row>
      <xdr:rowOff>0</xdr:rowOff>
    </xdr:to>
    <xdr:pic>
      <xdr:nvPicPr>
        <xdr:cNvPr id="11973" name="Рисунок 11972">
          <a:extLst>
            <a:ext uri="{FF2B5EF4-FFF2-40B4-BE49-F238E27FC236}">
              <a16:creationId xmlns:a16="http://schemas.microsoft.com/office/drawing/2014/main" id="{06B05B56-3E72-4A68-9894-38E2C9237F1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115888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1959</xdr:row>
      <xdr:rowOff>25400</xdr:rowOff>
    </xdr:from>
    <xdr:to>
      <xdr:col>11</xdr:col>
      <xdr:colOff>571500</xdr:colOff>
      <xdr:row>1960</xdr:row>
      <xdr:rowOff>0</xdr:rowOff>
    </xdr:to>
    <xdr:pic>
      <xdr:nvPicPr>
        <xdr:cNvPr id="11975" name="Рисунок 11974">
          <a:extLst>
            <a:ext uri="{FF2B5EF4-FFF2-40B4-BE49-F238E27FC236}">
              <a16:creationId xmlns:a16="http://schemas.microsoft.com/office/drawing/2014/main" id="{1B437C8F-6BE3-4FE1-9921-125FF267651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116460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1960</xdr:row>
      <xdr:rowOff>25400</xdr:rowOff>
    </xdr:from>
    <xdr:to>
      <xdr:col>11</xdr:col>
      <xdr:colOff>571500</xdr:colOff>
      <xdr:row>1961</xdr:row>
      <xdr:rowOff>0</xdr:rowOff>
    </xdr:to>
    <xdr:pic>
      <xdr:nvPicPr>
        <xdr:cNvPr id="11977" name="Рисунок 11976">
          <a:extLst>
            <a:ext uri="{FF2B5EF4-FFF2-40B4-BE49-F238E27FC236}">
              <a16:creationId xmlns:a16="http://schemas.microsoft.com/office/drawing/2014/main" id="{0B40E2B5-8F6C-440C-8A77-B2362931C06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117031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1961</xdr:row>
      <xdr:rowOff>25400</xdr:rowOff>
    </xdr:from>
    <xdr:to>
      <xdr:col>11</xdr:col>
      <xdr:colOff>571500</xdr:colOff>
      <xdr:row>1962</xdr:row>
      <xdr:rowOff>0</xdr:rowOff>
    </xdr:to>
    <xdr:pic>
      <xdr:nvPicPr>
        <xdr:cNvPr id="11979" name="Рисунок 11978">
          <a:extLst>
            <a:ext uri="{FF2B5EF4-FFF2-40B4-BE49-F238E27FC236}">
              <a16:creationId xmlns:a16="http://schemas.microsoft.com/office/drawing/2014/main" id="{07E04A54-C59E-49DA-902C-B7E1AE4E2EB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117603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1962</xdr:row>
      <xdr:rowOff>25400</xdr:rowOff>
    </xdr:from>
    <xdr:to>
      <xdr:col>11</xdr:col>
      <xdr:colOff>571500</xdr:colOff>
      <xdr:row>1963</xdr:row>
      <xdr:rowOff>0</xdr:rowOff>
    </xdr:to>
    <xdr:pic>
      <xdr:nvPicPr>
        <xdr:cNvPr id="11981" name="Рисунок 11980">
          <a:extLst>
            <a:ext uri="{FF2B5EF4-FFF2-40B4-BE49-F238E27FC236}">
              <a16:creationId xmlns:a16="http://schemas.microsoft.com/office/drawing/2014/main" id="{032B5DC2-F614-4B28-9D53-5AE69CF5D34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118174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1963</xdr:row>
      <xdr:rowOff>25400</xdr:rowOff>
    </xdr:from>
    <xdr:to>
      <xdr:col>11</xdr:col>
      <xdr:colOff>571500</xdr:colOff>
      <xdr:row>1964</xdr:row>
      <xdr:rowOff>0</xdr:rowOff>
    </xdr:to>
    <xdr:pic>
      <xdr:nvPicPr>
        <xdr:cNvPr id="11983" name="Рисунок 11982">
          <a:extLst>
            <a:ext uri="{FF2B5EF4-FFF2-40B4-BE49-F238E27FC236}">
              <a16:creationId xmlns:a16="http://schemas.microsoft.com/office/drawing/2014/main" id="{C03BAFF0-A084-4541-8F69-DDA51B183DC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118746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1964</xdr:row>
      <xdr:rowOff>25400</xdr:rowOff>
    </xdr:from>
    <xdr:to>
      <xdr:col>11</xdr:col>
      <xdr:colOff>571500</xdr:colOff>
      <xdr:row>1965</xdr:row>
      <xdr:rowOff>0</xdr:rowOff>
    </xdr:to>
    <xdr:pic>
      <xdr:nvPicPr>
        <xdr:cNvPr id="11985" name="Рисунок 11984">
          <a:extLst>
            <a:ext uri="{FF2B5EF4-FFF2-40B4-BE49-F238E27FC236}">
              <a16:creationId xmlns:a16="http://schemas.microsoft.com/office/drawing/2014/main" id="{A5A89C77-5FDA-4809-94AC-0A10452001E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119317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1965</xdr:row>
      <xdr:rowOff>25400</xdr:rowOff>
    </xdr:from>
    <xdr:to>
      <xdr:col>11</xdr:col>
      <xdr:colOff>571500</xdr:colOff>
      <xdr:row>1966</xdr:row>
      <xdr:rowOff>0</xdr:rowOff>
    </xdr:to>
    <xdr:pic>
      <xdr:nvPicPr>
        <xdr:cNvPr id="11987" name="Рисунок 11986">
          <a:extLst>
            <a:ext uri="{FF2B5EF4-FFF2-40B4-BE49-F238E27FC236}">
              <a16:creationId xmlns:a16="http://schemas.microsoft.com/office/drawing/2014/main" id="{2F11E3BE-F3C1-468E-A1FE-D8FE5303B85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119889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1966</xdr:row>
      <xdr:rowOff>25400</xdr:rowOff>
    </xdr:from>
    <xdr:to>
      <xdr:col>11</xdr:col>
      <xdr:colOff>571500</xdr:colOff>
      <xdr:row>1967</xdr:row>
      <xdr:rowOff>0</xdr:rowOff>
    </xdr:to>
    <xdr:pic>
      <xdr:nvPicPr>
        <xdr:cNvPr id="11989" name="Рисунок 11988">
          <a:extLst>
            <a:ext uri="{FF2B5EF4-FFF2-40B4-BE49-F238E27FC236}">
              <a16:creationId xmlns:a16="http://schemas.microsoft.com/office/drawing/2014/main" id="{F77DF73B-AB28-4801-8AFA-B300BEFF9A6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120460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1967</xdr:row>
      <xdr:rowOff>25400</xdr:rowOff>
    </xdr:from>
    <xdr:to>
      <xdr:col>11</xdr:col>
      <xdr:colOff>571500</xdr:colOff>
      <xdr:row>1968</xdr:row>
      <xdr:rowOff>0</xdr:rowOff>
    </xdr:to>
    <xdr:pic>
      <xdr:nvPicPr>
        <xdr:cNvPr id="11991" name="Рисунок 11990">
          <a:extLst>
            <a:ext uri="{FF2B5EF4-FFF2-40B4-BE49-F238E27FC236}">
              <a16:creationId xmlns:a16="http://schemas.microsoft.com/office/drawing/2014/main" id="{9DD9D621-E416-4A31-A986-411446F2497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121032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1968</xdr:row>
      <xdr:rowOff>25400</xdr:rowOff>
    </xdr:from>
    <xdr:to>
      <xdr:col>11</xdr:col>
      <xdr:colOff>571500</xdr:colOff>
      <xdr:row>1969</xdr:row>
      <xdr:rowOff>0</xdr:rowOff>
    </xdr:to>
    <xdr:pic>
      <xdr:nvPicPr>
        <xdr:cNvPr id="11993" name="Рисунок 11992">
          <a:extLst>
            <a:ext uri="{FF2B5EF4-FFF2-40B4-BE49-F238E27FC236}">
              <a16:creationId xmlns:a16="http://schemas.microsoft.com/office/drawing/2014/main" id="{56874A69-262C-4649-834E-322F89EE442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121603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1969</xdr:row>
      <xdr:rowOff>25400</xdr:rowOff>
    </xdr:from>
    <xdr:to>
      <xdr:col>11</xdr:col>
      <xdr:colOff>571500</xdr:colOff>
      <xdr:row>1970</xdr:row>
      <xdr:rowOff>0</xdr:rowOff>
    </xdr:to>
    <xdr:pic>
      <xdr:nvPicPr>
        <xdr:cNvPr id="11995" name="Рисунок 11994">
          <a:extLst>
            <a:ext uri="{FF2B5EF4-FFF2-40B4-BE49-F238E27FC236}">
              <a16:creationId xmlns:a16="http://schemas.microsoft.com/office/drawing/2014/main" id="{E5BBB042-1D95-4D80-B4B2-9C77776F7D7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3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122175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1970</xdr:row>
      <xdr:rowOff>25400</xdr:rowOff>
    </xdr:from>
    <xdr:to>
      <xdr:col>11</xdr:col>
      <xdr:colOff>571500</xdr:colOff>
      <xdr:row>1971</xdr:row>
      <xdr:rowOff>0</xdr:rowOff>
    </xdr:to>
    <xdr:pic>
      <xdr:nvPicPr>
        <xdr:cNvPr id="11997" name="Рисунок 11996">
          <a:extLst>
            <a:ext uri="{FF2B5EF4-FFF2-40B4-BE49-F238E27FC236}">
              <a16:creationId xmlns:a16="http://schemas.microsoft.com/office/drawing/2014/main" id="{BA80B2D1-10BC-4AA6-B5AA-2CA26B64D94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3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122746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1971</xdr:row>
      <xdr:rowOff>25400</xdr:rowOff>
    </xdr:from>
    <xdr:to>
      <xdr:col>11</xdr:col>
      <xdr:colOff>571500</xdr:colOff>
      <xdr:row>1972</xdr:row>
      <xdr:rowOff>0</xdr:rowOff>
    </xdr:to>
    <xdr:pic>
      <xdr:nvPicPr>
        <xdr:cNvPr id="11999" name="Рисунок 11998">
          <a:extLst>
            <a:ext uri="{FF2B5EF4-FFF2-40B4-BE49-F238E27FC236}">
              <a16:creationId xmlns:a16="http://schemas.microsoft.com/office/drawing/2014/main" id="{CCF31582-8480-4CC7-8B33-1DD1E6D1AF9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3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123318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1972</xdr:row>
      <xdr:rowOff>25400</xdr:rowOff>
    </xdr:from>
    <xdr:to>
      <xdr:col>11</xdr:col>
      <xdr:colOff>571500</xdr:colOff>
      <xdr:row>1973</xdr:row>
      <xdr:rowOff>0</xdr:rowOff>
    </xdr:to>
    <xdr:pic>
      <xdr:nvPicPr>
        <xdr:cNvPr id="12001" name="Рисунок 12000">
          <a:extLst>
            <a:ext uri="{FF2B5EF4-FFF2-40B4-BE49-F238E27FC236}">
              <a16:creationId xmlns:a16="http://schemas.microsoft.com/office/drawing/2014/main" id="{A618DBDB-8935-47B0-897D-E7BF654269C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3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123889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1973</xdr:row>
      <xdr:rowOff>25400</xdr:rowOff>
    </xdr:from>
    <xdr:to>
      <xdr:col>11</xdr:col>
      <xdr:colOff>571500</xdr:colOff>
      <xdr:row>1974</xdr:row>
      <xdr:rowOff>0</xdr:rowOff>
    </xdr:to>
    <xdr:pic>
      <xdr:nvPicPr>
        <xdr:cNvPr id="12003" name="Рисунок 12002">
          <a:extLst>
            <a:ext uri="{FF2B5EF4-FFF2-40B4-BE49-F238E27FC236}">
              <a16:creationId xmlns:a16="http://schemas.microsoft.com/office/drawing/2014/main" id="{7728E1AD-37D7-4C70-B365-7E3590A5351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3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124461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1974</xdr:row>
      <xdr:rowOff>25400</xdr:rowOff>
    </xdr:from>
    <xdr:to>
      <xdr:col>11</xdr:col>
      <xdr:colOff>571500</xdr:colOff>
      <xdr:row>1975</xdr:row>
      <xdr:rowOff>0</xdr:rowOff>
    </xdr:to>
    <xdr:pic>
      <xdr:nvPicPr>
        <xdr:cNvPr id="12005" name="Рисунок 12004">
          <a:extLst>
            <a:ext uri="{FF2B5EF4-FFF2-40B4-BE49-F238E27FC236}">
              <a16:creationId xmlns:a16="http://schemas.microsoft.com/office/drawing/2014/main" id="{58E2C4D5-931B-4BFA-9B57-01B7CAAD3B8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3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125032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1975</xdr:row>
      <xdr:rowOff>25400</xdr:rowOff>
    </xdr:from>
    <xdr:to>
      <xdr:col>11</xdr:col>
      <xdr:colOff>571500</xdr:colOff>
      <xdr:row>1976</xdr:row>
      <xdr:rowOff>0</xdr:rowOff>
    </xdr:to>
    <xdr:pic>
      <xdr:nvPicPr>
        <xdr:cNvPr id="12007" name="Рисунок 12006">
          <a:extLst>
            <a:ext uri="{FF2B5EF4-FFF2-40B4-BE49-F238E27FC236}">
              <a16:creationId xmlns:a16="http://schemas.microsoft.com/office/drawing/2014/main" id="{EE56FA8B-7687-4F2B-BD2E-54E95091547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3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125604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1976</xdr:row>
      <xdr:rowOff>25400</xdr:rowOff>
    </xdr:from>
    <xdr:to>
      <xdr:col>11</xdr:col>
      <xdr:colOff>571500</xdr:colOff>
      <xdr:row>1977</xdr:row>
      <xdr:rowOff>0</xdr:rowOff>
    </xdr:to>
    <xdr:pic>
      <xdr:nvPicPr>
        <xdr:cNvPr id="12009" name="Рисунок 12008">
          <a:extLst>
            <a:ext uri="{FF2B5EF4-FFF2-40B4-BE49-F238E27FC236}">
              <a16:creationId xmlns:a16="http://schemas.microsoft.com/office/drawing/2014/main" id="{61E1E407-E67A-4DA0-B989-193A39CF795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3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126175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1977</xdr:row>
      <xdr:rowOff>25400</xdr:rowOff>
    </xdr:from>
    <xdr:to>
      <xdr:col>11</xdr:col>
      <xdr:colOff>571500</xdr:colOff>
      <xdr:row>1978</xdr:row>
      <xdr:rowOff>0</xdr:rowOff>
    </xdr:to>
    <xdr:pic>
      <xdr:nvPicPr>
        <xdr:cNvPr id="12011" name="Рисунок 12010">
          <a:extLst>
            <a:ext uri="{FF2B5EF4-FFF2-40B4-BE49-F238E27FC236}">
              <a16:creationId xmlns:a16="http://schemas.microsoft.com/office/drawing/2014/main" id="{9E3FF0C1-581F-49B6-9ECB-E3933C8A330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3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126747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1978</xdr:row>
      <xdr:rowOff>25400</xdr:rowOff>
    </xdr:from>
    <xdr:to>
      <xdr:col>11</xdr:col>
      <xdr:colOff>571500</xdr:colOff>
      <xdr:row>1979</xdr:row>
      <xdr:rowOff>0</xdr:rowOff>
    </xdr:to>
    <xdr:pic>
      <xdr:nvPicPr>
        <xdr:cNvPr id="12013" name="Рисунок 12012">
          <a:extLst>
            <a:ext uri="{FF2B5EF4-FFF2-40B4-BE49-F238E27FC236}">
              <a16:creationId xmlns:a16="http://schemas.microsoft.com/office/drawing/2014/main" id="{1E813EE0-056C-4F4A-9532-B97288C65D2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4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127318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1979</xdr:row>
      <xdr:rowOff>25400</xdr:rowOff>
    </xdr:from>
    <xdr:to>
      <xdr:col>11</xdr:col>
      <xdr:colOff>571500</xdr:colOff>
      <xdr:row>1980</xdr:row>
      <xdr:rowOff>0</xdr:rowOff>
    </xdr:to>
    <xdr:pic>
      <xdr:nvPicPr>
        <xdr:cNvPr id="12015" name="Рисунок 12014">
          <a:extLst>
            <a:ext uri="{FF2B5EF4-FFF2-40B4-BE49-F238E27FC236}">
              <a16:creationId xmlns:a16="http://schemas.microsoft.com/office/drawing/2014/main" id="{97BC1D8B-B842-4C11-82E2-F312DD42B9F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4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127890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1980</xdr:row>
      <xdr:rowOff>25400</xdr:rowOff>
    </xdr:from>
    <xdr:to>
      <xdr:col>11</xdr:col>
      <xdr:colOff>571500</xdr:colOff>
      <xdr:row>1981</xdr:row>
      <xdr:rowOff>0</xdr:rowOff>
    </xdr:to>
    <xdr:pic>
      <xdr:nvPicPr>
        <xdr:cNvPr id="12017" name="Рисунок 12016">
          <a:extLst>
            <a:ext uri="{FF2B5EF4-FFF2-40B4-BE49-F238E27FC236}">
              <a16:creationId xmlns:a16="http://schemas.microsoft.com/office/drawing/2014/main" id="{1B6ED109-88EE-44F4-A4CF-1F27AE7A355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128461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1981</xdr:row>
      <xdr:rowOff>25400</xdr:rowOff>
    </xdr:from>
    <xdr:to>
      <xdr:col>11</xdr:col>
      <xdr:colOff>571500</xdr:colOff>
      <xdr:row>1982</xdr:row>
      <xdr:rowOff>0</xdr:rowOff>
    </xdr:to>
    <xdr:pic>
      <xdr:nvPicPr>
        <xdr:cNvPr id="12019" name="Рисунок 12018">
          <a:extLst>
            <a:ext uri="{FF2B5EF4-FFF2-40B4-BE49-F238E27FC236}">
              <a16:creationId xmlns:a16="http://schemas.microsoft.com/office/drawing/2014/main" id="{FC807ACC-D690-476B-A9B5-DB28A5E63CD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129033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1982</xdr:row>
      <xdr:rowOff>25400</xdr:rowOff>
    </xdr:from>
    <xdr:to>
      <xdr:col>11</xdr:col>
      <xdr:colOff>571500</xdr:colOff>
      <xdr:row>1983</xdr:row>
      <xdr:rowOff>0</xdr:rowOff>
    </xdr:to>
    <xdr:pic>
      <xdr:nvPicPr>
        <xdr:cNvPr id="12021" name="Рисунок 12020">
          <a:extLst>
            <a:ext uri="{FF2B5EF4-FFF2-40B4-BE49-F238E27FC236}">
              <a16:creationId xmlns:a16="http://schemas.microsoft.com/office/drawing/2014/main" id="{9FC43DC3-262E-489B-AEC7-A4AA0982DFF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129604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1983</xdr:row>
      <xdr:rowOff>25400</xdr:rowOff>
    </xdr:from>
    <xdr:to>
      <xdr:col>11</xdr:col>
      <xdr:colOff>571500</xdr:colOff>
      <xdr:row>1984</xdr:row>
      <xdr:rowOff>0</xdr:rowOff>
    </xdr:to>
    <xdr:pic>
      <xdr:nvPicPr>
        <xdr:cNvPr id="12023" name="Рисунок 12022">
          <a:extLst>
            <a:ext uri="{FF2B5EF4-FFF2-40B4-BE49-F238E27FC236}">
              <a16:creationId xmlns:a16="http://schemas.microsoft.com/office/drawing/2014/main" id="{44E6D6B1-162A-4502-BC76-A13FC6E7997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4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130176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1984</xdr:row>
      <xdr:rowOff>25400</xdr:rowOff>
    </xdr:from>
    <xdr:to>
      <xdr:col>11</xdr:col>
      <xdr:colOff>571500</xdr:colOff>
      <xdr:row>1985</xdr:row>
      <xdr:rowOff>0</xdr:rowOff>
    </xdr:to>
    <xdr:pic>
      <xdr:nvPicPr>
        <xdr:cNvPr id="12025" name="Рисунок 12024">
          <a:extLst>
            <a:ext uri="{FF2B5EF4-FFF2-40B4-BE49-F238E27FC236}">
              <a16:creationId xmlns:a16="http://schemas.microsoft.com/office/drawing/2014/main" id="{5F23CCD1-5E47-4C50-BF04-740EF0D1281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4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130747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1985</xdr:row>
      <xdr:rowOff>25400</xdr:rowOff>
    </xdr:from>
    <xdr:to>
      <xdr:col>11</xdr:col>
      <xdr:colOff>571500</xdr:colOff>
      <xdr:row>1986</xdr:row>
      <xdr:rowOff>0</xdr:rowOff>
    </xdr:to>
    <xdr:pic>
      <xdr:nvPicPr>
        <xdr:cNvPr id="12027" name="Рисунок 12026">
          <a:extLst>
            <a:ext uri="{FF2B5EF4-FFF2-40B4-BE49-F238E27FC236}">
              <a16:creationId xmlns:a16="http://schemas.microsoft.com/office/drawing/2014/main" id="{72E447EB-3351-49B7-864E-1C740AA8738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4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131319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1986</xdr:row>
      <xdr:rowOff>25400</xdr:rowOff>
    </xdr:from>
    <xdr:to>
      <xdr:col>11</xdr:col>
      <xdr:colOff>571500</xdr:colOff>
      <xdr:row>1987</xdr:row>
      <xdr:rowOff>0</xdr:rowOff>
    </xdr:to>
    <xdr:pic>
      <xdr:nvPicPr>
        <xdr:cNvPr id="12029" name="Рисунок 12028">
          <a:extLst>
            <a:ext uri="{FF2B5EF4-FFF2-40B4-BE49-F238E27FC236}">
              <a16:creationId xmlns:a16="http://schemas.microsoft.com/office/drawing/2014/main" id="{499F2256-3F8E-4D0E-830A-61A206AE614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4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131890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1987</xdr:row>
      <xdr:rowOff>25400</xdr:rowOff>
    </xdr:from>
    <xdr:to>
      <xdr:col>11</xdr:col>
      <xdr:colOff>571500</xdr:colOff>
      <xdr:row>1988</xdr:row>
      <xdr:rowOff>0</xdr:rowOff>
    </xdr:to>
    <xdr:pic>
      <xdr:nvPicPr>
        <xdr:cNvPr id="12031" name="Рисунок 12030">
          <a:extLst>
            <a:ext uri="{FF2B5EF4-FFF2-40B4-BE49-F238E27FC236}">
              <a16:creationId xmlns:a16="http://schemas.microsoft.com/office/drawing/2014/main" id="{B6096660-4B15-45BC-B8E7-9EEF9E463D0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4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132462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1988</xdr:row>
      <xdr:rowOff>25400</xdr:rowOff>
    </xdr:from>
    <xdr:to>
      <xdr:col>11</xdr:col>
      <xdr:colOff>571500</xdr:colOff>
      <xdr:row>1989</xdr:row>
      <xdr:rowOff>0</xdr:rowOff>
    </xdr:to>
    <xdr:pic>
      <xdr:nvPicPr>
        <xdr:cNvPr id="12033" name="Рисунок 12032">
          <a:extLst>
            <a:ext uri="{FF2B5EF4-FFF2-40B4-BE49-F238E27FC236}">
              <a16:creationId xmlns:a16="http://schemas.microsoft.com/office/drawing/2014/main" id="{84DE782F-41D6-4BAF-9202-E2712E131B9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5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133033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1989</xdr:row>
      <xdr:rowOff>25400</xdr:rowOff>
    </xdr:from>
    <xdr:to>
      <xdr:col>11</xdr:col>
      <xdr:colOff>571500</xdr:colOff>
      <xdr:row>1990</xdr:row>
      <xdr:rowOff>0</xdr:rowOff>
    </xdr:to>
    <xdr:pic>
      <xdr:nvPicPr>
        <xdr:cNvPr id="12035" name="Рисунок 12034">
          <a:extLst>
            <a:ext uri="{FF2B5EF4-FFF2-40B4-BE49-F238E27FC236}">
              <a16:creationId xmlns:a16="http://schemas.microsoft.com/office/drawing/2014/main" id="{650D64C1-4828-4084-8326-B3AFC0D761F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5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133605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1990</xdr:row>
      <xdr:rowOff>25400</xdr:rowOff>
    </xdr:from>
    <xdr:to>
      <xdr:col>11</xdr:col>
      <xdr:colOff>571500</xdr:colOff>
      <xdr:row>1991</xdr:row>
      <xdr:rowOff>0</xdr:rowOff>
    </xdr:to>
    <xdr:pic>
      <xdr:nvPicPr>
        <xdr:cNvPr id="12037" name="Рисунок 12036">
          <a:extLst>
            <a:ext uri="{FF2B5EF4-FFF2-40B4-BE49-F238E27FC236}">
              <a16:creationId xmlns:a16="http://schemas.microsoft.com/office/drawing/2014/main" id="{0FF9388E-515A-48BF-9827-D001206DE0A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134176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1991</xdr:row>
      <xdr:rowOff>25400</xdr:rowOff>
    </xdr:from>
    <xdr:to>
      <xdr:col>11</xdr:col>
      <xdr:colOff>571500</xdr:colOff>
      <xdr:row>1992</xdr:row>
      <xdr:rowOff>0</xdr:rowOff>
    </xdr:to>
    <xdr:pic>
      <xdr:nvPicPr>
        <xdr:cNvPr id="12039" name="Рисунок 12038">
          <a:extLst>
            <a:ext uri="{FF2B5EF4-FFF2-40B4-BE49-F238E27FC236}">
              <a16:creationId xmlns:a16="http://schemas.microsoft.com/office/drawing/2014/main" id="{68F8D611-7325-453E-88B8-C129E5B84AE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5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134748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1992</xdr:row>
      <xdr:rowOff>25400</xdr:rowOff>
    </xdr:from>
    <xdr:to>
      <xdr:col>11</xdr:col>
      <xdr:colOff>571500</xdr:colOff>
      <xdr:row>1993</xdr:row>
      <xdr:rowOff>0</xdr:rowOff>
    </xdr:to>
    <xdr:pic>
      <xdr:nvPicPr>
        <xdr:cNvPr id="12041" name="Рисунок 12040">
          <a:extLst>
            <a:ext uri="{FF2B5EF4-FFF2-40B4-BE49-F238E27FC236}">
              <a16:creationId xmlns:a16="http://schemas.microsoft.com/office/drawing/2014/main" id="{7AD61FB8-DC3A-4A05-A246-9212E73BE0A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5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135319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1993</xdr:row>
      <xdr:rowOff>25400</xdr:rowOff>
    </xdr:from>
    <xdr:to>
      <xdr:col>11</xdr:col>
      <xdr:colOff>571500</xdr:colOff>
      <xdr:row>1994</xdr:row>
      <xdr:rowOff>0</xdr:rowOff>
    </xdr:to>
    <xdr:pic>
      <xdr:nvPicPr>
        <xdr:cNvPr id="12043" name="Рисунок 12042">
          <a:extLst>
            <a:ext uri="{FF2B5EF4-FFF2-40B4-BE49-F238E27FC236}">
              <a16:creationId xmlns:a16="http://schemas.microsoft.com/office/drawing/2014/main" id="{E5500D0E-40A7-4424-B4CF-9AC30872495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5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135891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1994</xdr:row>
      <xdr:rowOff>25400</xdr:rowOff>
    </xdr:from>
    <xdr:to>
      <xdr:col>11</xdr:col>
      <xdr:colOff>571500</xdr:colOff>
      <xdr:row>1995</xdr:row>
      <xdr:rowOff>0</xdr:rowOff>
    </xdr:to>
    <xdr:pic>
      <xdr:nvPicPr>
        <xdr:cNvPr id="12045" name="Рисунок 12044">
          <a:extLst>
            <a:ext uri="{FF2B5EF4-FFF2-40B4-BE49-F238E27FC236}">
              <a16:creationId xmlns:a16="http://schemas.microsoft.com/office/drawing/2014/main" id="{0FC1CE37-637F-4481-8658-528C7D74A3B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5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136462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1995</xdr:row>
      <xdr:rowOff>25400</xdr:rowOff>
    </xdr:from>
    <xdr:to>
      <xdr:col>11</xdr:col>
      <xdr:colOff>571500</xdr:colOff>
      <xdr:row>1996</xdr:row>
      <xdr:rowOff>0</xdr:rowOff>
    </xdr:to>
    <xdr:pic>
      <xdr:nvPicPr>
        <xdr:cNvPr id="12047" name="Рисунок 12046">
          <a:extLst>
            <a:ext uri="{FF2B5EF4-FFF2-40B4-BE49-F238E27FC236}">
              <a16:creationId xmlns:a16="http://schemas.microsoft.com/office/drawing/2014/main" id="{E7148663-0F05-4BFE-A8D7-C983B4AE384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5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137034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1996</xdr:row>
      <xdr:rowOff>25400</xdr:rowOff>
    </xdr:from>
    <xdr:to>
      <xdr:col>11</xdr:col>
      <xdr:colOff>571500</xdr:colOff>
      <xdr:row>1997</xdr:row>
      <xdr:rowOff>0</xdr:rowOff>
    </xdr:to>
    <xdr:pic>
      <xdr:nvPicPr>
        <xdr:cNvPr id="12049" name="Рисунок 12048">
          <a:extLst>
            <a:ext uri="{FF2B5EF4-FFF2-40B4-BE49-F238E27FC236}">
              <a16:creationId xmlns:a16="http://schemas.microsoft.com/office/drawing/2014/main" id="{94F5801B-D04C-4D45-9140-29F7C9B137C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5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137605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1997</xdr:row>
      <xdr:rowOff>25400</xdr:rowOff>
    </xdr:from>
    <xdr:to>
      <xdr:col>11</xdr:col>
      <xdr:colOff>571500</xdr:colOff>
      <xdr:row>1998</xdr:row>
      <xdr:rowOff>0</xdr:rowOff>
    </xdr:to>
    <xdr:pic>
      <xdr:nvPicPr>
        <xdr:cNvPr id="12051" name="Рисунок 12050">
          <a:extLst>
            <a:ext uri="{FF2B5EF4-FFF2-40B4-BE49-F238E27FC236}">
              <a16:creationId xmlns:a16="http://schemas.microsoft.com/office/drawing/2014/main" id="{7F215153-62D9-44DA-883A-783D34E3DD1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5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138177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1998</xdr:row>
      <xdr:rowOff>25400</xdr:rowOff>
    </xdr:from>
    <xdr:to>
      <xdr:col>11</xdr:col>
      <xdr:colOff>571500</xdr:colOff>
      <xdr:row>1999</xdr:row>
      <xdr:rowOff>0</xdr:rowOff>
    </xdr:to>
    <xdr:pic>
      <xdr:nvPicPr>
        <xdr:cNvPr id="12053" name="Рисунок 12052">
          <a:extLst>
            <a:ext uri="{FF2B5EF4-FFF2-40B4-BE49-F238E27FC236}">
              <a16:creationId xmlns:a16="http://schemas.microsoft.com/office/drawing/2014/main" id="{EFF0AB6B-446D-4A09-A7B9-0213EFCAC4B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6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138748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1999</xdr:row>
      <xdr:rowOff>25400</xdr:rowOff>
    </xdr:from>
    <xdr:to>
      <xdr:col>11</xdr:col>
      <xdr:colOff>571500</xdr:colOff>
      <xdr:row>2000</xdr:row>
      <xdr:rowOff>0</xdr:rowOff>
    </xdr:to>
    <xdr:pic>
      <xdr:nvPicPr>
        <xdr:cNvPr id="12055" name="Рисунок 12054">
          <a:extLst>
            <a:ext uri="{FF2B5EF4-FFF2-40B4-BE49-F238E27FC236}">
              <a16:creationId xmlns:a16="http://schemas.microsoft.com/office/drawing/2014/main" id="{7C79DB96-DF80-4392-A1DE-4674D04745F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6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139320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2000</xdr:row>
      <xdr:rowOff>25400</xdr:rowOff>
    </xdr:from>
    <xdr:to>
      <xdr:col>11</xdr:col>
      <xdr:colOff>571500</xdr:colOff>
      <xdr:row>2001</xdr:row>
      <xdr:rowOff>0</xdr:rowOff>
    </xdr:to>
    <xdr:pic>
      <xdr:nvPicPr>
        <xdr:cNvPr id="12057" name="Рисунок 12056">
          <a:extLst>
            <a:ext uri="{FF2B5EF4-FFF2-40B4-BE49-F238E27FC236}">
              <a16:creationId xmlns:a16="http://schemas.microsoft.com/office/drawing/2014/main" id="{E4879677-6C28-4443-B30A-FDA523FB7CF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6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139891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2001</xdr:row>
      <xdr:rowOff>25400</xdr:rowOff>
    </xdr:from>
    <xdr:to>
      <xdr:col>11</xdr:col>
      <xdr:colOff>571500</xdr:colOff>
      <xdr:row>2002</xdr:row>
      <xdr:rowOff>0</xdr:rowOff>
    </xdr:to>
    <xdr:pic>
      <xdr:nvPicPr>
        <xdr:cNvPr id="12059" name="Рисунок 12058">
          <a:extLst>
            <a:ext uri="{FF2B5EF4-FFF2-40B4-BE49-F238E27FC236}">
              <a16:creationId xmlns:a16="http://schemas.microsoft.com/office/drawing/2014/main" id="{91136553-ECED-4C96-9363-04B5F3E5228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6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140463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2002</xdr:row>
      <xdr:rowOff>25400</xdr:rowOff>
    </xdr:from>
    <xdr:to>
      <xdr:col>11</xdr:col>
      <xdr:colOff>571500</xdr:colOff>
      <xdr:row>2003</xdr:row>
      <xdr:rowOff>0</xdr:rowOff>
    </xdr:to>
    <xdr:pic>
      <xdr:nvPicPr>
        <xdr:cNvPr id="12061" name="Рисунок 12060">
          <a:extLst>
            <a:ext uri="{FF2B5EF4-FFF2-40B4-BE49-F238E27FC236}">
              <a16:creationId xmlns:a16="http://schemas.microsoft.com/office/drawing/2014/main" id="{278607DA-75BD-4784-ADBD-893776126B2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6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141034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2003</xdr:row>
      <xdr:rowOff>25400</xdr:rowOff>
    </xdr:from>
    <xdr:to>
      <xdr:col>11</xdr:col>
      <xdr:colOff>571500</xdr:colOff>
      <xdr:row>2004</xdr:row>
      <xdr:rowOff>0</xdr:rowOff>
    </xdr:to>
    <xdr:pic>
      <xdr:nvPicPr>
        <xdr:cNvPr id="12063" name="Рисунок 12062">
          <a:extLst>
            <a:ext uri="{FF2B5EF4-FFF2-40B4-BE49-F238E27FC236}">
              <a16:creationId xmlns:a16="http://schemas.microsoft.com/office/drawing/2014/main" id="{08CDE65E-76A2-4B8C-A5AA-18A7962DD4F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6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141606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2004</xdr:row>
      <xdr:rowOff>25400</xdr:rowOff>
    </xdr:from>
    <xdr:to>
      <xdr:col>11</xdr:col>
      <xdr:colOff>571500</xdr:colOff>
      <xdr:row>2005</xdr:row>
      <xdr:rowOff>0</xdr:rowOff>
    </xdr:to>
    <xdr:pic>
      <xdr:nvPicPr>
        <xdr:cNvPr id="12065" name="Рисунок 12064">
          <a:extLst>
            <a:ext uri="{FF2B5EF4-FFF2-40B4-BE49-F238E27FC236}">
              <a16:creationId xmlns:a16="http://schemas.microsoft.com/office/drawing/2014/main" id="{B8834162-4E54-46F5-98B5-D0016D22EE9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6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142177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2005</xdr:row>
      <xdr:rowOff>25400</xdr:rowOff>
    </xdr:from>
    <xdr:to>
      <xdr:col>11</xdr:col>
      <xdr:colOff>571500</xdr:colOff>
      <xdr:row>2006</xdr:row>
      <xdr:rowOff>0</xdr:rowOff>
    </xdr:to>
    <xdr:pic>
      <xdr:nvPicPr>
        <xdr:cNvPr id="12067" name="Рисунок 12066">
          <a:extLst>
            <a:ext uri="{FF2B5EF4-FFF2-40B4-BE49-F238E27FC236}">
              <a16:creationId xmlns:a16="http://schemas.microsoft.com/office/drawing/2014/main" id="{2142DE19-F4E6-4A6F-BDBA-8D980732C69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6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142749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2006</xdr:row>
      <xdr:rowOff>25400</xdr:rowOff>
    </xdr:from>
    <xdr:to>
      <xdr:col>11</xdr:col>
      <xdr:colOff>571500</xdr:colOff>
      <xdr:row>2007</xdr:row>
      <xdr:rowOff>0</xdr:rowOff>
    </xdr:to>
    <xdr:pic>
      <xdr:nvPicPr>
        <xdr:cNvPr id="12069" name="Рисунок 12068">
          <a:extLst>
            <a:ext uri="{FF2B5EF4-FFF2-40B4-BE49-F238E27FC236}">
              <a16:creationId xmlns:a16="http://schemas.microsoft.com/office/drawing/2014/main" id="{D86743AF-7369-447D-8611-7B00ADC35C3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6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143320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2007</xdr:row>
      <xdr:rowOff>25400</xdr:rowOff>
    </xdr:from>
    <xdr:to>
      <xdr:col>11</xdr:col>
      <xdr:colOff>571500</xdr:colOff>
      <xdr:row>2008</xdr:row>
      <xdr:rowOff>0</xdr:rowOff>
    </xdr:to>
    <xdr:pic>
      <xdr:nvPicPr>
        <xdr:cNvPr id="12071" name="Рисунок 12070">
          <a:extLst>
            <a:ext uri="{FF2B5EF4-FFF2-40B4-BE49-F238E27FC236}">
              <a16:creationId xmlns:a16="http://schemas.microsoft.com/office/drawing/2014/main" id="{EBA69BFF-890B-49F2-ADE9-799ED30E2F5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6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143892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2008</xdr:row>
      <xdr:rowOff>25400</xdr:rowOff>
    </xdr:from>
    <xdr:to>
      <xdr:col>11</xdr:col>
      <xdr:colOff>571500</xdr:colOff>
      <xdr:row>2009</xdr:row>
      <xdr:rowOff>0</xdr:rowOff>
    </xdr:to>
    <xdr:pic>
      <xdr:nvPicPr>
        <xdr:cNvPr id="12073" name="Рисунок 12072">
          <a:extLst>
            <a:ext uri="{FF2B5EF4-FFF2-40B4-BE49-F238E27FC236}">
              <a16:creationId xmlns:a16="http://schemas.microsoft.com/office/drawing/2014/main" id="{E5261714-6FDB-4A64-B56E-C3C4499CE96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7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144463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2009</xdr:row>
      <xdr:rowOff>25400</xdr:rowOff>
    </xdr:from>
    <xdr:to>
      <xdr:col>11</xdr:col>
      <xdr:colOff>571500</xdr:colOff>
      <xdr:row>2010</xdr:row>
      <xdr:rowOff>0</xdr:rowOff>
    </xdr:to>
    <xdr:pic>
      <xdr:nvPicPr>
        <xdr:cNvPr id="12075" name="Рисунок 12074">
          <a:extLst>
            <a:ext uri="{FF2B5EF4-FFF2-40B4-BE49-F238E27FC236}">
              <a16:creationId xmlns:a16="http://schemas.microsoft.com/office/drawing/2014/main" id="{8F399240-98F3-4646-B904-5D762AF6C0D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7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145035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2010</xdr:row>
      <xdr:rowOff>25400</xdr:rowOff>
    </xdr:from>
    <xdr:to>
      <xdr:col>11</xdr:col>
      <xdr:colOff>571500</xdr:colOff>
      <xdr:row>2011</xdr:row>
      <xdr:rowOff>0</xdr:rowOff>
    </xdr:to>
    <xdr:pic>
      <xdr:nvPicPr>
        <xdr:cNvPr id="12077" name="Рисунок 12076">
          <a:extLst>
            <a:ext uri="{FF2B5EF4-FFF2-40B4-BE49-F238E27FC236}">
              <a16:creationId xmlns:a16="http://schemas.microsoft.com/office/drawing/2014/main" id="{90641CD4-BAAD-42B7-AC91-4102AAFCC49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7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145606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2011</xdr:row>
      <xdr:rowOff>25400</xdr:rowOff>
    </xdr:from>
    <xdr:to>
      <xdr:col>11</xdr:col>
      <xdr:colOff>571500</xdr:colOff>
      <xdr:row>2012</xdr:row>
      <xdr:rowOff>0</xdr:rowOff>
    </xdr:to>
    <xdr:pic>
      <xdr:nvPicPr>
        <xdr:cNvPr id="12079" name="Рисунок 12078">
          <a:extLst>
            <a:ext uri="{FF2B5EF4-FFF2-40B4-BE49-F238E27FC236}">
              <a16:creationId xmlns:a16="http://schemas.microsoft.com/office/drawing/2014/main" id="{1FECC56E-B805-4AE8-9C87-9E4529C7A13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7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146178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2012</xdr:row>
      <xdr:rowOff>25400</xdr:rowOff>
    </xdr:from>
    <xdr:to>
      <xdr:col>11</xdr:col>
      <xdr:colOff>571500</xdr:colOff>
      <xdr:row>2013</xdr:row>
      <xdr:rowOff>0</xdr:rowOff>
    </xdr:to>
    <xdr:pic>
      <xdr:nvPicPr>
        <xdr:cNvPr id="12081" name="Рисунок 12080">
          <a:extLst>
            <a:ext uri="{FF2B5EF4-FFF2-40B4-BE49-F238E27FC236}">
              <a16:creationId xmlns:a16="http://schemas.microsoft.com/office/drawing/2014/main" id="{1540CB6F-E794-47EF-90A8-02B52EC0193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7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146749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2013</xdr:row>
      <xdr:rowOff>25400</xdr:rowOff>
    </xdr:from>
    <xdr:to>
      <xdr:col>11</xdr:col>
      <xdr:colOff>571500</xdr:colOff>
      <xdr:row>2014</xdr:row>
      <xdr:rowOff>0</xdr:rowOff>
    </xdr:to>
    <xdr:pic>
      <xdr:nvPicPr>
        <xdr:cNvPr id="12083" name="Рисунок 12082">
          <a:extLst>
            <a:ext uri="{FF2B5EF4-FFF2-40B4-BE49-F238E27FC236}">
              <a16:creationId xmlns:a16="http://schemas.microsoft.com/office/drawing/2014/main" id="{E75D6FE2-CFA1-4FA4-9451-05FC3957C29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7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147321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2014</xdr:row>
      <xdr:rowOff>25400</xdr:rowOff>
    </xdr:from>
    <xdr:to>
      <xdr:col>11</xdr:col>
      <xdr:colOff>571500</xdr:colOff>
      <xdr:row>2015</xdr:row>
      <xdr:rowOff>0</xdr:rowOff>
    </xdr:to>
    <xdr:pic>
      <xdr:nvPicPr>
        <xdr:cNvPr id="12085" name="Рисунок 12084">
          <a:extLst>
            <a:ext uri="{FF2B5EF4-FFF2-40B4-BE49-F238E27FC236}">
              <a16:creationId xmlns:a16="http://schemas.microsoft.com/office/drawing/2014/main" id="{C768F588-5395-43FA-A8B9-9F172FEB960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7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147892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2015</xdr:row>
      <xdr:rowOff>25400</xdr:rowOff>
    </xdr:from>
    <xdr:to>
      <xdr:col>11</xdr:col>
      <xdr:colOff>571500</xdr:colOff>
      <xdr:row>2016</xdr:row>
      <xdr:rowOff>0</xdr:rowOff>
    </xdr:to>
    <xdr:pic>
      <xdr:nvPicPr>
        <xdr:cNvPr id="12087" name="Рисунок 12086">
          <a:extLst>
            <a:ext uri="{FF2B5EF4-FFF2-40B4-BE49-F238E27FC236}">
              <a16:creationId xmlns:a16="http://schemas.microsoft.com/office/drawing/2014/main" id="{991BF638-A551-451F-B1CE-5D25D93A976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7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148464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2016</xdr:row>
      <xdr:rowOff>25400</xdr:rowOff>
    </xdr:from>
    <xdr:to>
      <xdr:col>11</xdr:col>
      <xdr:colOff>571500</xdr:colOff>
      <xdr:row>2017</xdr:row>
      <xdr:rowOff>0</xdr:rowOff>
    </xdr:to>
    <xdr:pic>
      <xdr:nvPicPr>
        <xdr:cNvPr id="12089" name="Рисунок 12088">
          <a:extLst>
            <a:ext uri="{FF2B5EF4-FFF2-40B4-BE49-F238E27FC236}">
              <a16:creationId xmlns:a16="http://schemas.microsoft.com/office/drawing/2014/main" id="{2A3BC352-7C05-4E21-9713-BEDF01D1B92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7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149035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2017</xdr:row>
      <xdr:rowOff>25400</xdr:rowOff>
    </xdr:from>
    <xdr:to>
      <xdr:col>11</xdr:col>
      <xdr:colOff>571500</xdr:colOff>
      <xdr:row>2018</xdr:row>
      <xdr:rowOff>0</xdr:rowOff>
    </xdr:to>
    <xdr:pic>
      <xdr:nvPicPr>
        <xdr:cNvPr id="12091" name="Рисунок 12090">
          <a:extLst>
            <a:ext uri="{FF2B5EF4-FFF2-40B4-BE49-F238E27FC236}">
              <a16:creationId xmlns:a16="http://schemas.microsoft.com/office/drawing/2014/main" id="{C57EF8B4-FCFC-44E4-8A0D-4BF8BF996A7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7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149607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2018</xdr:row>
      <xdr:rowOff>25400</xdr:rowOff>
    </xdr:from>
    <xdr:to>
      <xdr:col>11</xdr:col>
      <xdr:colOff>571500</xdr:colOff>
      <xdr:row>2019</xdr:row>
      <xdr:rowOff>0</xdr:rowOff>
    </xdr:to>
    <xdr:pic>
      <xdr:nvPicPr>
        <xdr:cNvPr id="12093" name="Рисунок 12092">
          <a:extLst>
            <a:ext uri="{FF2B5EF4-FFF2-40B4-BE49-F238E27FC236}">
              <a16:creationId xmlns:a16="http://schemas.microsoft.com/office/drawing/2014/main" id="{C7D80189-7A68-4201-B4EA-C0C41BD9165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8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150178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2019</xdr:row>
      <xdr:rowOff>25400</xdr:rowOff>
    </xdr:from>
    <xdr:to>
      <xdr:col>11</xdr:col>
      <xdr:colOff>571500</xdr:colOff>
      <xdr:row>2020</xdr:row>
      <xdr:rowOff>0</xdr:rowOff>
    </xdr:to>
    <xdr:pic>
      <xdr:nvPicPr>
        <xdr:cNvPr id="12095" name="Рисунок 12094">
          <a:extLst>
            <a:ext uri="{FF2B5EF4-FFF2-40B4-BE49-F238E27FC236}">
              <a16:creationId xmlns:a16="http://schemas.microsoft.com/office/drawing/2014/main" id="{C5C0D358-A2E3-454C-978F-458CDC9DBF6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8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150750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2020</xdr:row>
      <xdr:rowOff>25400</xdr:rowOff>
    </xdr:from>
    <xdr:to>
      <xdr:col>11</xdr:col>
      <xdr:colOff>571500</xdr:colOff>
      <xdr:row>2021</xdr:row>
      <xdr:rowOff>0</xdr:rowOff>
    </xdr:to>
    <xdr:pic>
      <xdr:nvPicPr>
        <xdr:cNvPr id="12097" name="Рисунок 12096">
          <a:extLst>
            <a:ext uri="{FF2B5EF4-FFF2-40B4-BE49-F238E27FC236}">
              <a16:creationId xmlns:a16="http://schemas.microsoft.com/office/drawing/2014/main" id="{3CD96E0E-4D32-4361-A4DF-6226849EABD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8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151321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2021</xdr:row>
      <xdr:rowOff>25400</xdr:rowOff>
    </xdr:from>
    <xdr:to>
      <xdr:col>11</xdr:col>
      <xdr:colOff>571500</xdr:colOff>
      <xdr:row>2022</xdr:row>
      <xdr:rowOff>0</xdr:rowOff>
    </xdr:to>
    <xdr:pic>
      <xdr:nvPicPr>
        <xdr:cNvPr id="12099" name="Рисунок 12098">
          <a:extLst>
            <a:ext uri="{FF2B5EF4-FFF2-40B4-BE49-F238E27FC236}">
              <a16:creationId xmlns:a16="http://schemas.microsoft.com/office/drawing/2014/main" id="{3ABC8DFE-4EC5-4983-B907-1DAD95B627F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8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151893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2022</xdr:row>
      <xdr:rowOff>25400</xdr:rowOff>
    </xdr:from>
    <xdr:to>
      <xdr:col>11</xdr:col>
      <xdr:colOff>571500</xdr:colOff>
      <xdr:row>2023</xdr:row>
      <xdr:rowOff>0</xdr:rowOff>
    </xdr:to>
    <xdr:pic>
      <xdr:nvPicPr>
        <xdr:cNvPr id="12101" name="Рисунок 12100">
          <a:extLst>
            <a:ext uri="{FF2B5EF4-FFF2-40B4-BE49-F238E27FC236}">
              <a16:creationId xmlns:a16="http://schemas.microsoft.com/office/drawing/2014/main" id="{DDBAC5CE-E4B3-4842-B6BA-6DB4C7A90B4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8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152464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2023</xdr:row>
      <xdr:rowOff>25400</xdr:rowOff>
    </xdr:from>
    <xdr:to>
      <xdr:col>11</xdr:col>
      <xdr:colOff>571500</xdr:colOff>
      <xdr:row>2024</xdr:row>
      <xdr:rowOff>0</xdr:rowOff>
    </xdr:to>
    <xdr:pic>
      <xdr:nvPicPr>
        <xdr:cNvPr id="12103" name="Рисунок 12102">
          <a:extLst>
            <a:ext uri="{FF2B5EF4-FFF2-40B4-BE49-F238E27FC236}">
              <a16:creationId xmlns:a16="http://schemas.microsoft.com/office/drawing/2014/main" id="{D0DBB79D-FEDD-4D14-B9D7-A96719781CF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8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153036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2024</xdr:row>
      <xdr:rowOff>25400</xdr:rowOff>
    </xdr:from>
    <xdr:to>
      <xdr:col>11</xdr:col>
      <xdr:colOff>571500</xdr:colOff>
      <xdr:row>2025</xdr:row>
      <xdr:rowOff>0</xdr:rowOff>
    </xdr:to>
    <xdr:pic>
      <xdr:nvPicPr>
        <xdr:cNvPr id="12105" name="Рисунок 12104">
          <a:extLst>
            <a:ext uri="{FF2B5EF4-FFF2-40B4-BE49-F238E27FC236}">
              <a16:creationId xmlns:a16="http://schemas.microsoft.com/office/drawing/2014/main" id="{5D028A12-8AC4-4BE3-BAAD-CC34BAEAC6A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8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153607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2025</xdr:row>
      <xdr:rowOff>25400</xdr:rowOff>
    </xdr:from>
    <xdr:to>
      <xdr:col>11</xdr:col>
      <xdr:colOff>571500</xdr:colOff>
      <xdr:row>2026</xdr:row>
      <xdr:rowOff>0</xdr:rowOff>
    </xdr:to>
    <xdr:pic>
      <xdr:nvPicPr>
        <xdr:cNvPr id="12107" name="Рисунок 12106">
          <a:extLst>
            <a:ext uri="{FF2B5EF4-FFF2-40B4-BE49-F238E27FC236}">
              <a16:creationId xmlns:a16="http://schemas.microsoft.com/office/drawing/2014/main" id="{8B2F8085-4EAF-434D-9253-AA0689D035F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8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154179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2026</xdr:row>
      <xdr:rowOff>25400</xdr:rowOff>
    </xdr:from>
    <xdr:to>
      <xdr:col>11</xdr:col>
      <xdr:colOff>571500</xdr:colOff>
      <xdr:row>2027</xdr:row>
      <xdr:rowOff>0</xdr:rowOff>
    </xdr:to>
    <xdr:pic>
      <xdr:nvPicPr>
        <xdr:cNvPr id="12109" name="Рисунок 12108">
          <a:extLst>
            <a:ext uri="{FF2B5EF4-FFF2-40B4-BE49-F238E27FC236}">
              <a16:creationId xmlns:a16="http://schemas.microsoft.com/office/drawing/2014/main" id="{FA370C9B-7EF7-4541-9D04-7575E6E5F67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8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154750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2027</xdr:row>
      <xdr:rowOff>25400</xdr:rowOff>
    </xdr:from>
    <xdr:to>
      <xdr:col>11</xdr:col>
      <xdr:colOff>571500</xdr:colOff>
      <xdr:row>2028</xdr:row>
      <xdr:rowOff>0</xdr:rowOff>
    </xdr:to>
    <xdr:pic>
      <xdr:nvPicPr>
        <xdr:cNvPr id="12111" name="Рисунок 12110">
          <a:extLst>
            <a:ext uri="{FF2B5EF4-FFF2-40B4-BE49-F238E27FC236}">
              <a16:creationId xmlns:a16="http://schemas.microsoft.com/office/drawing/2014/main" id="{4EE485E0-E224-43EA-AC12-9338AA645F3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8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155322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2028</xdr:row>
      <xdr:rowOff>25400</xdr:rowOff>
    </xdr:from>
    <xdr:to>
      <xdr:col>11</xdr:col>
      <xdr:colOff>571500</xdr:colOff>
      <xdr:row>2029</xdr:row>
      <xdr:rowOff>0</xdr:rowOff>
    </xdr:to>
    <xdr:pic>
      <xdr:nvPicPr>
        <xdr:cNvPr id="12113" name="Рисунок 12112">
          <a:extLst>
            <a:ext uri="{FF2B5EF4-FFF2-40B4-BE49-F238E27FC236}">
              <a16:creationId xmlns:a16="http://schemas.microsoft.com/office/drawing/2014/main" id="{44B0D795-533A-4267-B164-538404D9341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9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155893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2029</xdr:row>
      <xdr:rowOff>25400</xdr:rowOff>
    </xdr:from>
    <xdr:to>
      <xdr:col>11</xdr:col>
      <xdr:colOff>571500</xdr:colOff>
      <xdr:row>2030</xdr:row>
      <xdr:rowOff>0</xdr:rowOff>
    </xdr:to>
    <xdr:pic>
      <xdr:nvPicPr>
        <xdr:cNvPr id="12115" name="Рисунок 12114">
          <a:extLst>
            <a:ext uri="{FF2B5EF4-FFF2-40B4-BE49-F238E27FC236}">
              <a16:creationId xmlns:a16="http://schemas.microsoft.com/office/drawing/2014/main" id="{E1413516-16FF-4613-B713-CE0810A7BB3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9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156465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2030</xdr:row>
      <xdr:rowOff>25400</xdr:rowOff>
    </xdr:from>
    <xdr:to>
      <xdr:col>11</xdr:col>
      <xdr:colOff>571500</xdr:colOff>
      <xdr:row>2031</xdr:row>
      <xdr:rowOff>0</xdr:rowOff>
    </xdr:to>
    <xdr:pic>
      <xdr:nvPicPr>
        <xdr:cNvPr id="12117" name="Рисунок 12116">
          <a:extLst>
            <a:ext uri="{FF2B5EF4-FFF2-40B4-BE49-F238E27FC236}">
              <a16:creationId xmlns:a16="http://schemas.microsoft.com/office/drawing/2014/main" id="{7FA4D1D3-A711-4D52-A96F-0360993687C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9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157036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2031</xdr:row>
      <xdr:rowOff>25400</xdr:rowOff>
    </xdr:from>
    <xdr:to>
      <xdr:col>11</xdr:col>
      <xdr:colOff>571500</xdr:colOff>
      <xdr:row>2032</xdr:row>
      <xdr:rowOff>0</xdr:rowOff>
    </xdr:to>
    <xdr:pic>
      <xdr:nvPicPr>
        <xdr:cNvPr id="12119" name="Рисунок 12118">
          <a:extLst>
            <a:ext uri="{FF2B5EF4-FFF2-40B4-BE49-F238E27FC236}">
              <a16:creationId xmlns:a16="http://schemas.microsoft.com/office/drawing/2014/main" id="{92FFA684-48DE-440E-B781-99D1E7BB5CD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9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157608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2032</xdr:row>
      <xdr:rowOff>25400</xdr:rowOff>
    </xdr:from>
    <xdr:to>
      <xdr:col>11</xdr:col>
      <xdr:colOff>571500</xdr:colOff>
      <xdr:row>2033</xdr:row>
      <xdr:rowOff>0</xdr:rowOff>
    </xdr:to>
    <xdr:pic>
      <xdr:nvPicPr>
        <xdr:cNvPr id="12121" name="Рисунок 12120">
          <a:extLst>
            <a:ext uri="{FF2B5EF4-FFF2-40B4-BE49-F238E27FC236}">
              <a16:creationId xmlns:a16="http://schemas.microsoft.com/office/drawing/2014/main" id="{0D53445A-1C06-4B88-B7FB-449F8877639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9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158179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2033</xdr:row>
      <xdr:rowOff>25400</xdr:rowOff>
    </xdr:from>
    <xdr:to>
      <xdr:col>11</xdr:col>
      <xdr:colOff>571500</xdr:colOff>
      <xdr:row>2034</xdr:row>
      <xdr:rowOff>0</xdr:rowOff>
    </xdr:to>
    <xdr:pic>
      <xdr:nvPicPr>
        <xdr:cNvPr id="12123" name="Рисунок 12122">
          <a:extLst>
            <a:ext uri="{FF2B5EF4-FFF2-40B4-BE49-F238E27FC236}">
              <a16:creationId xmlns:a16="http://schemas.microsoft.com/office/drawing/2014/main" id="{B080CA68-CDE5-4779-B037-50B34F4B9C1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9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158751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2034</xdr:row>
      <xdr:rowOff>25400</xdr:rowOff>
    </xdr:from>
    <xdr:to>
      <xdr:col>11</xdr:col>
      <xdr:colOff>571500</xdr:colOff>
      <xdr:row>2035</xdr:row>
      <xdr:rowOff>0</xdr:rowOff>
    </xdr:to>
    <xdr:pic>
      <xdr:nvPicPr>
        <xdr:cNvPr id="12125" name="Рисунок 12124">
          <a:extLst>
            <a:ext uri="{FF2B5EF4-FFF2-40B4-BE49-F238E27FC236}">
              <a16:creationId xmlns:a16="http://schemas.microsoft.com/office/drawing/2014/main" id="{2D93F330-E8C0-4945-A00E-472FB49D125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9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159322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2035</xdr:row>
      <xdr:rowOff>25400</xdr:rowOff>
    </xdr:from>
    <xdr:to>
      <xdr:col>11</xdr:col>
      <xdr:colOff>571500</xdr:colOff>
      <xdr:row>2036</xdr:row>
      <xdr:rowOff>0</xdr:rowOff>
    </xdr:to>
    <xdr:pic>
      <xdr:nvPicPr>
        <xdr:cNvPr id="12127" name="Рисунок 12126">
          <a:extLst>
            <a:ext uri="{FF2B5EF4-FFF2-40B4-BE49-F238E27FC236}">
              <a16:creationId xmlns:a16="http://schemas.microsoft.com/office/drawing/2014/main" id="{8BC1B6AD-D6F1-41A9-BE00-22CA82B94CB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9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159894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2036</xdr:row>
      <xdr:rowOff>25400</xdr:rowOff>
    </xdr:from>
    <xdr:to>
      <xdr:col>11</xdr:col>
      <xdr:colOff>571500</xdr:colOff>
      <xdr:row>2037</xdr:row>
      <xdr:rowOff>0</xdr:rowOff>
    </xdr:to>
    <xdr:pic>
      <xdr:nvPicPr>
        <xdr:cNvPr id="12129" name="Рисунок 12128">
          <a:extLst>
            <a:ext uri="{FF2B5EF4-FFF2-40B4-BE49-F238E27FC236}">
              <a16:creationId xmlns:a16="http://schemas.microsoft.com/office/drawing/2014/main" id="{2646EE4F-948A-4E36-8D88-AB2586E7958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9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160465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2037</xdr:row>
      <xdr:rowOff>25400</xdr:rowOff>
    </xdr:from>
    <xdr:to>
      <xdr:col>11</xdr:col>
      <xdr:colOff>571500</xdr:colOff>
      <xdr:row>2038</xdr:row>
      <xdr:rowOff>0</xdr:rowOff>
    </xdr:to>
    <xdr:pic>
      <xdr:nvPicPr>
        <xdr:cNvPr id="12131" name="Рисунок 12130">
          <a:extLst>
            <a:ext uri="{FF2B5EF4-FFF2-40B4-BE49-F238E27FC236}">
              <a16:creationId xmlns:a16="http://schemas.microsoft.com/office/drawing/2014/main" id="{8501E370-C579-4A99-9180-BC9556ABE63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199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161037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2038</xdr:row>
      <xdr:rowOff>25400</xdr:rowOff>
    </xdr:from>
    <xdr:to>
      <xdr:col>11</xdr:col>
      <xdr:colOff>571500</xdr:colOff>
      <xdr:row>2039</xdr:row>
      <xdr:rowOff>0</xdr:rowOff>
    </xdr:to>
    <xdr:pic>
      <xdr:nvPicPr>
        <xdr:cNvPr id="12133" name="Рисунок 12132">
          <a:extLst>
            <a:ext uri="{FF2B5EF4-FFF2-40B4-BE49-F238E27FC236}">
              <a16:creationId xmlns:a16="http://schemas.microsoft.com/office/drawing/2014/main" id="{4EC8294C-F7CD-4BF1-BA90-9A4E3DB13EE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0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161608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2039</xdr:row>
      <xdr:rowOff>25400</xdr:rowOff>
    </xdr:from>
    <xdr:to>
      <xdr:col>11</xdr:col>
      <xdr:colOff>571500</xdr:colOff>
      <xdr:row>2040</xdr:row>
      <xdr:rowOff>0</xdr:rowOff>
    </xdr:to>
    <xdr:pic>
      <xdr:nvPicPr>
        <xdr:cNvPr id="12135" name="Рисунок 12134">
          <a:extLst>
            <a:ext uri="{FF2B5EF4-FFF2-40B4-BE49-F238E27FC236}">
              <a16:creationId xmlns:a16="http://schemas.microsoft.com/office/drawing/2014/main" id="{5638F2F5-6674-4FDD-92FD-EF640CED89B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0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162180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2040</xdr:row>
      <xdr:rowOff>25400</xdr:rowOff>
    </xdr:from>
    <xdr:to>
      <xdr:col>11</xdr:col>
      <xdr:colOff>571500</xdr:colOff>
      <xdr:row>2041</xdr:row>
      <xdr:rowOff>0</xdr:rowOff>
    </xdr:to>
    <xdr:pic>
      <xdr:nvPicPr>
        <xdr:cNvPr id="12137" name="Рисунок 12136">
          <a:extLst>
            <a:ext uri="{FF2B5EF4-FFF2-40B4-BE49-F238E27FC236}">
              <a16:creationId xmlns:a16="http://schemas.microsoft.com/office/drawing/2014/main" id="{7FFFA2AF-FCF6-482D-BAE3-23F05A2E331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0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162751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2041</xdr:row>
      <xdr:rowOff>25400</xdr:rowOff>
    </xdr:from>
    <xdr:to>
      <xdr:col>11</xdr:col>
      <xdr:colOff>789940</xdr:colOff>
      <xdr:row>2042</xdr:row>
      <xdr:rowOff>0</xdr:rowOff>
    </xdr:to>
    <xdr:pic>
      <xdr:nvPicPr>
        <xdr:cNvPr id="12139" name="Рисунок 12138">
          <a:extLst>
            <a:ext uri="{FF2B5EF4-FFF2-40B4-BE49-F238E27FC236}">
              <a16:creationId xmlns:a16="http://schemas.microsoft.com/office/drawing/2014/main" id="{70BC2C7F-FE1D-4DBA-8D88-EDEF135B6D4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0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163323175"/>
          <a:ext cx="76454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2042</xdr:row>
      <xdr:rowOff>25400</xdr:rowOff>
    </xdr:from>
    <xdr:to>
      <xdr:col>11</xdr:col>
      <xdr:colOff>571500</xdr:colOff>
      <xdr:row>2043</xdr:row>
      <xdr:rowOff>0</xdr:rowOff>
    </xdr:to>
    <xdr:pic>
      <xdr:nvPicPr>
        <xdr:cNvPr id="12141" name="Рисунок 12140">
          <a:extLst>
            <a:ext uri="{FF2B5EF4-FFF2-40B4-BE49-F238E27FC236}">
              <a16:creationId xmlns:a16="http://schemas.microsoft.com/office/drawing/2014/main" id="{82E1C448-A8EB-469E-89F6-B5F6375CE39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0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163894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2043</xdr:row>
      <xdr:rowOff>25400</xdr:rowOff>
    </xdr:from>
    <xdr:to>
      <xdr:col>11</xdr:col>
      <xdr:colOff>571500</xdr:colOff>
      <xdr:row>2044</xdr:row>
      <xdr:rowOff>0</xdr:rowOff>
    </xdr:to>
    <xdr:pic>
      <xdr:nvPicPr>
        <xdr:cNvPr id="12143" name="Рисунок 12142">
          <a:extLst>
            <a:ext uri="{FF2B5EF4-FFF2-40B4-BE49-F238E27FC236}">
              <a16:creationId xmlns:a16="http://schemas.microsoft.com/office/drawing/2014/main" id="{8C65B496-F15F-4618-B495-D9D813DF0E0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0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164466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2044</xdr:row>
      <xdr:rowOff>25400</xdr:rowOff>
    </xdr:from>
    <xdr:to>
      <xdr:col>11</xdr:col>
      <xdr:colOff>571500</xdr:colOff>
      <xdr:row>2045</xdr:row>
      <xdr:rowOff>0</xdr:rowOff>
    </xdr:to>
    <xdr:pic>
      <xdr:nvPicPr>
        <xdr:cNvPr id="12145" name="Рисунок 12144">
          <a:extLst>
            <a:ext uri="{FF2B5EF4-FFF2-40B4-BE49-F238E27FC236}">
              <a16:creationId xmlns:a16="http://schemas.microsoft.com/office/drawing/2014/main" id="{8C451664-82EF-416B-B391-569ACEDA107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0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165037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2045</xdr:row>
      <xdr:rowOff>25400</xdr:rowOff>
    </xdr:from>
    <xdr:to>
      <xdr:col>11</xdr:col>
      <xdr:colOff>571500</xdr:colOff>
      <xdr:row>2046</xdr:row>
      <xdr:rowOff>0</xdr:rowOff>
    </xdr:to>
    <xdr:pic>
      <xdr:nvPicPr>
        <xdr:cNvPr id="12147" name="Рисунок 12146">
          <a:extLst>
            <a:ext uri="{FF2B5EF4-FFF2-40B4-BE49-F238E27FC236}">
              <a16:creationId xmlns:a16="http://schemas.microsoft.com/office/drawing/2014/main" id="{011F1713-7C56-4EA1-A444-CA999A4CBF1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0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165609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2046</xdr:row>
      <xdr:rowOff>25400</xdr:rowOff>
    </xdr:from>
    <xdr:to>
      <xdr:col>11</xdr:col>
      <xdr:colOff>571500</xdr:colOff>
      <xdr:row>2047</xdr:row>
      <xdr:rowOff>0</xdr:rowOff>
    </xdr:to>
    <xdr:pic>
      <xdr:nvPicPr>
        <xdr:cNvPr id="12149" name="Рисунок 12148">
          <a:extLst>
            <a:ext uri="{FF2B5EF4-FFF2-40B4-BE49-F238E27FC236}">
              <a16:creationId xmlns:a16="http://schemas.microsoft.com/office/drawing/2014/main" id="{7233951A-F5B4-4528-B84E-D43AD9A8A57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0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166180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2047</xdr:row>
      <xdr:rowOff>25400</xdr:rowOff>
    </xdr:from>
    <xdr:to>
      <xdr:col>11</xdr:col>
      <xdr:colOff>571500</xdr:colOff>
      <xdr:row>2048</xdr:row>
      <xdr:rowOff>0</xdr:rowOff>
    </xdr:to>
    <xdr:pic>
      <xdr:nvPicPr>
        <xdr:cNvPr id="12151" name="Рисунок 12150">
          <a:extLst>
            <a:ext uri="{FF2B5EF4-FFF2-40B4-BE49-F238E27FC236}">
              <a16:creationId xmlns:a16="http://schemas.microsoft.com/office/drawing/2014/main" id="{4E70AC69-21A0-478E-A1FB-EA7B505207C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0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166752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2048</xdr:row>
      <xdr:rowOff>25400</xdr:rowOff>
    </xdr:from>
    <xdr:to>
      <xdr:col>11</xdr:col>
      <xdr:colOff>571500</xdr:colOff>
      <xdr:row>2049</xdr:row>
      <xdr:rowOff>0</xdr:rowOff>
    </xdr:to>
    <xdr:pic>
      <xdr:nvPicPr>
        <xdr:cNvPr id="12153" name="Рисунок 12152">
          <a:extLst>
            <a:ext uri="{FF2B5EF4-FFF2-40B4-BE49-F238E27FC236}">
              <a16:creationId xmlns:a16="http://schemas.microsoft.com/office/drawing/2014/main" id="{C3F760C7-C827-495E-96DA-78418F5003C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167323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2049</xdr:row>
      <xdr:rowOff>25400</xdr:rowOff>
    </xdr:from>
    <xdr:to>
      <xdr:col>11</xdr:col>
      <xdr:colOff>571500</xdr:colOff>
      <xdr:row>2050</xdr:row>
      <xdr:rowOff>0</xdr:rowOff>
    </xdr:to>
    <xdr:pic>
      <xdr:nvPicPr>
        <xdr:cNvPr id="12155" name="Рисунок 12154">
          <a:extLst>
            <a:ext uri="{FF2B5EF4-FFF2-40B4-BE49-F238E27FC236}">
              <a16:creationId xmlns:a16="http://schemas.microsoft.com/office/drawing/2014/main" id="{9EFDFB0F-42CA-4B8C-AB49-D073ADB4C0C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167895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2050</xdr:row>
      <xdr:rowOff>25400</xdr:rowOff>
    </xdr:from>
    <xdr:to>
      <xdr:col>11</xdr:col>
      <xdr:colOff>571500</xdr:colOff>
      <xdr:row>2051</xdr:row>
      <xdr:rowOff>0</xdr:rowOff>
    </xdr:to>
    <xdr:pic>
      <xdr:nvPicPr>
        <xdr:cNvPr id="12157" name="Рисунок 12156">
          <a:extLst>
            <a:ext uri="{FF2B5EF4-FFF2-40B4-BE49-F238E27FC236}">
              <a16:creationId xmlns:a16="http://schemas.microsoft.com/office/drawing/2014/main" id="{BF60B08A-8702-43DE-8265-4BC32A823E9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168466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2051</xdr:row>
      <xdr:rowOff>25400</xdr:rowOff>
    </xdr:from>
    <xdr:to>
      <xdr:col>11</xdr:col>
      <xdr:colOff>571500</xdr:colOff>
      <xdr:row>2052</xdr:row>
      <xdr:rowOff>0</xdr:rowOff>
    </xdr:to>
    <xdr:pic>
      <xdr:nvPicPr>
        <xdr:cNvPr id="12159" name="Рисунок 12158">
          <a:extLst>
            <a:ext uri="{FF2B5EF4-FFF2-40B4-BE49-F238E27FC236}">
              <a16:creationId xmlns:a16="http://schemas.microsoft.com/office/drawing/2014/main" id="{D943F295-A4D8-4626-AFF5-1E24BA8F150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169038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2052</xdr:row>
      <xdr:rowOff>25400</xdr:rowOff>
    </xdr:from>
    <xdr:to>
      <xdr:col>11</xdr:col>
      <xdr:colOff>571500</xdr:colOff>
      <xdr:row>2053</xdr:row>
      <xdr:rowOff>0</xdr:rowOff>
    </xdr:to>
    <xdr:pic>
      <xdr:nvPicPr>
        <xdr:cNvPr id="12161" name="Рисунок 12160">
          <a:extLst>
            <a:ext uri="{FF2B5EF4-FFF2-40B4-BE49-F238E27FC236}">
              <a16:creationId xmlns:a16="http://schemas.microsoft.com/office/drawing/2014/main" id="{EF2AA313-B90E-4F9D-A55D-A5408C773F3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169609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2053</xdr:row>
      <xdr:rowOff>25400</xdr:rowOff>
    </xdr:from>
    <xdr:to>
      <xdr:col>11</xdr:col>
      <xdr:colOff>571500</xdr:colOff>
      <xdr:row>2054</xdr:row>
      <xdr:rowOff>0</xdr:rowOff>
    </xdr:to>
    <xdr:pic>
      <xdr:nvPicPr>
        <xdr:cNvPr id="12163" name="Рисунок 12162">
          <a:extLst>
            <a:ext uri="{FF2B5EF4-FFF2-40B4-BE49-F238E27FC236}">
              <a16:creationId xmlns:a16="http://schemas.microsoft.com/office/drawing/2014/main" id="{57A66725-1E59-46CC-BC5B-1BB1990A8B3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170181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2054</xdr:row>
      <xdr:rowOff>25400</xdr:rowOff>
    </xdr:from>
    <xdr:to>
      <xdr:col>11</xdr:col>
      <xdr:colOff>571500</xdr:colOff>
      <xdr:row>2055</xdr:row>
      <xdr:rowOff>0</xdr:rowOff>
    </xdr:to>
    <xdr:pic>
      <xdr:nvPicPr>
        <xdr:cNvPr id="12165" name="Рисунок 12164">
          <a:extLst>
            <a:ext uri="{FF2B5EF4-FFF2-40B4-BE49-F238E27FC236}">
              <a16:creationId xmlns:a16="http://schemas.microsoft.com/office/drawing/2014/main" id="{8F5894A7-E66F-4934-A703-D00667C6F97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170752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2055</xdr:row>
      <xdr:rowOff>25400</xdr:rowOff>
    </xdr:from>
    <xdr:to>
      <xdr:col>11</xdr:col>
      <xdr:colOff>571500</xdr:colOff>
      <xdr:row>2056</xdr:row>
      <xdr:rowOff>0</xdr:rowOff>
    </xdr:to>
    <xdr:pic>
      <xdr:nvPicPr>
        <xdr:cNvPr id="12167" name="Рисунок 12166">
          <a:extLst>
            <a:ext uri="{FF2B5EF4-FFF2-40B4-BE49-F238E27FC236}">
              <a16:creationId xmlns:a16="http://schemas.microsoft.com/office/drawing/2014/main" id="{21AF9B80-A28C-4453-9256-8BA1ADBC39F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171324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2056</xdr:row>
      <xdr:rowOff>25400</xdr:rowOff>
    </xdr:from>
    <xdr:to>
      <xdr:col>11</xdr:col>
      <xdr:colOff>571500</xdr:colOff>
      <xdr:row>2057</xdr:row>
      <xdr:rowOff>0</xdr:rowOff>
    </xdr:to>
    <xdr:pic>
      <xdr:nvPicPr>
        <xdr:cNvPr id="12169" name="Рисунок 12168">
          <a:extLst>
            <a:ext uri="{FF2B5EF4-FFF2-40B4-BE49-F238E27FC236}">
              <a16:creationId xmlns:a16="http://schemas.microsoft.com/office/drawing/2014/main" id="{CEBEB2B4-8089-4E7F-9E29-CEC54595F74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171895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2057</xdr:row>
      <xdr:rowOff>25400</xdr:rowOff>
    </xdr:from>
    <xdr:to>
      <xdr:col>11</xdr:col>
      <xdr:colOff>571500</xdr:colOff>
      <xdr:row>2058</xdr:row>
      <xdr:rowOff>0</xdr:rowOff>
    </xdr:to>
    <xdr:pic>
      <xdr:nvPicPr>
        <xdr:cNvPr id="12171" name="Рисунок 12170">
          <a:extLst>
            <a:ext uri="{FF2B5EF4-FFF2-40B4-BE49-F238E27FC236}">
              <a16:creationId xmlns:a16="http://schemas.microsoft.com/office/drawing/2014/main" id="{60B6C484-FA61-434C-B41C-B390130B6C3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172467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2058</xdr:row>
      <xdr:rowOff>25400</xdr:rowOff>
    </xdr:from>
    <xdr:to>
      <xdr:col>11</xdr:col>
      <xdr:colOff>571500</xdr:colOff>
      <xdr:row>2059</xdr:row>
      <xdr:rowOff>0</xdr:rowOff>
    </xdr:to>
    <xdr:pic>
      <xdr:nvPicPr>
        <xdr:cNvPr id="12173" name="Рисунок 12172">
          <a:extLst>
            <a:ext uri="{FF2B5EF4-FFF2-40B4-BE49-F238E27FC236}">
              <a16:creationId xmlns:a16="http://schemas.microsoft.com/office/drawing/2014/main" id="{BB88C4AA-738A-4D24-A596-9098F6326C9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173038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2059</xdr:row>
      <xdr:rowOff>25400</xdr:rowOff>
    </xdr:from>
    <xdr:to>
      <xdr:col>11</xdr:col>
      <xdr:colOff>571500</xdr:colOff>
      <xdr:row>2060</xdr:row>
      <xdr:rowOff>0</xdr:rowOff>
    </xdr:to>
    <xdr:pic>
      <xdr:nvPicPr>
        <xdr:cNvPr id="12175" name="Рисунок 12174">
          <a:extLst>
            <a:ext uri="{FF2B5EF4-FFF2-40B4-BE49-F238E27FC236}">
              <a16:creationId xmlns:a16="http://schemas.microsoft.com/office/drawing/2014/main" id="{AE553E92-E872-494C-80FE-3043D2D8CA9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173610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2060</xdr:row>
      <xdr:rowOff>25400</xdr:rowOff>
    </xdr:from>
    <xdr:to>
      <xdr:col>11</xdr:col>
      <xdr:colOff>571500</xdr:colOff>
      <xdr:row>2061</xdr:row>
      <xdr:rowOff>0</xdr:rowOff>
    </xdr:to>
    <xdr:pic>
      <xdr:nvPicPr>
        <xdr:cNvPr id="12177" name="Рисунок 12176">
          <a:extLst>
            <a:ext uri="{FF2B5EF4-FFF2-40B4-BE49-F238E27FC236}">
              <a16:creationId xmlns:a16="http://schemas.microsoft.com/office/drawing/2014/main" id="{F6D1FCE9-E7AB-45D2-9B4F-5C6DFF4E901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174181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2061</xdr:row>
      <xdr:rowOff>25400</xdr:rowOff>
    </xdr:from>
    <xdr:to>
      <xdr:col>11</xdr:col>
      <xdr:colOff>571500</xdr:colOff>
      <xdr:row>2062</xdr:row>
      <xdr:rowOff>0</xdr:rowOff>
    </xdr:to>
    <xdr:pic>
      <xdr:nvPicPr>
        <xdr:cNvPr id="12179" name="Рисунок 12178">
          <a:extLst>
            <a:ext uri="{FF2B5EF4-FFF2-40B4-BE49-F238E27FC236}">
              <a16:creationId xmlns:a16="http://schemas.microsoft.com/office/drawing/2014/main" id="{50893459-10ED-48BE-A1B1-04F1F821B1E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174753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2062</xdr:row>
      <xdr:rowOff>25400</xdr:rowOff>
    </xdr:from>
    <xdr:to>
      <xdr:col>11</xdr:col>
      <xdr:colOff>571500</xdr:colOff>
      <xdr:row>2063</xdr:row>
      <xdr:rowOff>0</xdr:rowOff>
    </xdr:to>
    <xdr:pic>
      <xdr:nvPicPr>
        <xdr:cNvPr id="12181" name="Рисунок 12180">
          <a:extLst>
            <a:ext uri="{FF2B5EF4-FFF2-40B4-BE49-F238E27FC236}">
              <a16:creationId xmlns:a16="http://schemas.microsoft.com/office/drawing/2014/main" id="{4325A0A7-AB2B-4824-83F9-A50A32EE5B6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175324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2063</xdr:row>
      <xdr:rowOff>25400</xdr:rowOff>
    </xdr:from>
    <xdr:to>
      <xdr:col>11</xdr:col>
      <xdr:colOff>571500</xdr:colOff>
      <xdr:row>2064</xdr:row>
      <xdr:rowOff>0</xdr:rowOff>
    </xdr:to>
    <xdr:pic>
      <xdr:nvPicPr>
        <xdr:cNvPr id="12183" name="Рисунок 12182">
          <a:extLst>
            <a:ext uri="{FF2B5EF4-FFF2-40B4-BE49-F238E27FC236}">
              <a16:creationId xmlns:a16="http://schemas.microsoft.com/office/drawing/2014/main" id="{C739C519-2975-463E-8FE1-3F9C45D2580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175896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2064</xdr:row>
      <xdr:rowOff>25400</xdr:rowOff>
    </xdr:from>
    <xdr:to>
      <xdr:col>11</xdr:col>
      <xdr:colOff>571500</xdr:colOff>
      <xdr:row>2065</xdr:row>
      <xdr:rowOff>0</xdr:rowOff>
    </xdr:to>
    <xdr:pic>
      <xdr:nvPicPr>
        <xdr:cNvPr id="12185" name="Рисунок 12184">
          <a:extLst>
            <a:ext uri="{FF2B5EF4-FFF2-40B4-BE49-F238E27FC236}">
              <a16:creationId xmlns:a16="http://schemas.microsoft.com/office/drawing/2014/main" id="{C51ADCC4-C01B-40D1-B749-5184E30ED7E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176467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2065</xdr:row>
      <xdr:rowOff>25400</xdr:rowOff>
    </xdr:from>
    <xdr:to>
      <xdr:col>11</xdr:col>
      <xdr:colOff>571500</xdr:colOff>
      <xdr:row>2066</xdr:row>
      <xdr:rowOff>0</xdr:rowOff>
    </xdr:to>
    <xdr:pic>
      <xdr:nvPicPr>
        <xdr:cNvPr id="12187" name="Рисунок 12186">
          <a:extLst>
            <a:ext uri="{FF2B5EF4-FFF2-40B4-BE49-F238E27FC236}">
              <a16:creationId xmlns:a16="http://schemas.microsoft.com/office/drawing/2014/main" id="{36C93A83-EC2B-4F86-B1AB-E1440F3DBD7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177039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2066</xdr:row>
      <xdr:rowOff>25400</xdr:rowOff>
    </xdr:from>
    <xdr:to>
      <xdr:col>11</xdr:col>
      <xdr:colOff>571500</xdr:colOff>
      <xdr:row>2067</xdr:row>
      <xdr:rowOff>0</xdr:rowOff>
    </xdr:to>
    <xdr:pic>
      <xdr:nvPicPr>
        <xdr:cNvPr id="12189" name="Рисунок 12188">
          <a:extLst>
            <a:ext uri="{FF2B5EF4-FFF2-40B4-BE49-F238E27FC236}">
              <a16:creationId xmlns:a16="http://schemas.microsoft.com/office/drawing/2014/main" id="{C5DF5A87-D832-4E0D-BD54-4DCEE841B94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177610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2067</xdr:row>
      <xdr:rowOff>25400</xdr:rowOff>
    </xdr:from>
    <xdr:to>
      <xdr:col>11</xdr:col>
      <xdr:colOff>571500</xdr:colOff>
      <xdr:row>2068</xdr:row>
      <xdr:rowOff>0</xdr:rowOff>
    </xdr:to>
    <xdr:pic>
      <xdr:nvPicPr>
        <xdr:cNvPr id="12191" name="Рисунок 12190">
          <a:extLst>
            <a:ext uri="{FF2B5EF4-FFF2-40B4-BE49-F238E27FC236}">
              <a16:creationId xmlns:a16="http://schemas.microsoft.com/office/drawing/2014/main" id="{953E6EFA-D55F-4EF0-9AD4-21DE3754C94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178182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2068</xdr:row>
      <xdr:rowOff>25400</xdr:rowOff>
    </xdr:from>
    <xdr:to>
      <xdr:col>11</xdr:col>
      <xdr:colOff>571500</xdr:colOff>
      <xdr:row>2069</xdr:row>
      <xdr:rowOff>0</xdr:rowOff>
    </xdr:to>
    <xdr:pic>
      <xdr:nvPicPr>
        <xdr:cNvPr id="12193" name="Рисунок 12192">
          <a:extLst>
            <a:ext uri="{FF2B5EF4-FFF2-40B4-BE49-F238E27FC236}">
              <a16:creationId xmlns:a16="http://schemas.microsoft.com/office/drawing/2014/main" id="{472C663E-96F3-4172-8F89-D414D2BE2A4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178753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2069</xdr:row>
      <xdr:rowOff>25400</xdr:rowOff>
    </xdr:from>
    <xdr:to>
      <xdr:col>11</xdr:col>
      <xdr:colOff>571500</xdr:colOff>
      <xdr:row>2070</xdr:row>
      <xdr:rowOff>0</xdr:rowOff>
    </xdr:to>
    <xdr:pic>
      <xdr:nvPicPr>
        <xdr:cNvPr id="12195" name="Рисунок 12194">
          <a:extLst>
            <a:ext uri="{FF2B5EF4-FFF2-40B4-BE49-F238E27FC236}">
              <a16:creationId xmlns:a16="http://schemas.microsoft.com/office/drawing/2014/main" id="{A8F92A96-7008-4838-9411-4954856B53B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3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179325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2070</xdr:row>
      <xdr:rowOff>25400</xdr:rowOff>
    </xdr:from>
    <xdr:to>
      <xdr:col>11</xdr:col>
      <xdr:colOff>571500</xdr:colOff>
      <xdr:row>2071</xdr:row>
      <xdr:rowOff>0</xdr:rowOff>
    </xdr:to>
    <xdr:pic>
      <xdr:nvPicPr>
        <xdr:cNvPr id="12197" name="Рисунок 12196">
          <a:extLst>
            <a:ext uri="{FF2B5EF4-FFF2-40B4-BE49-F238E27FC236}">
              <a16:creationId xmlns:a16="http://schemas.microsoft.com/office/drawing/2014/main" id="{AE751F62-2C95-44F3-B14F-EBF1C84D26C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3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179896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2071</xdr:row>
      <xdr:rowOff>25400</xdr:rowOff>
    </xdr:from>
    <xdr:to>
      <xdr:col>11</xdr:col>
      <xdr:colOff>571500</xdr:colOff>
      <xdr:row>2072</xdr:row>
      <xdr:rowOff>0</xdr:rowOff>
    </xdr:to>
    <xdr:pic>
      <xdr:nvPicPr>
        <xdr:cNvPr id="12199" name="Рисунок 12198">
          <a:extLst>
            <a:ext uri="{FF2B5EF4-FFF2-40B4-BE49-F238E27FC236}">
              <a16:creationId xmlns:a16="http://schemas.microsoft.com/office/drawing/2014/main" id="{41187346-6E67-48DC-B181-28AA7A07796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3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180468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2072</xdr:row>
      <xdr:rowOff>25400</xdr:rowOff>
    </xdr:from>
    <xdr:to>
      <xdr:col>11</xdr:col>
      <xdr:colOff>571500</xdr:colOff>
      <xdr:row>2073</xdr:row>
      <xdr:rowOff>0</xdr:rowOff>
    </xdr:to>
    <xdr:pic>
      <xdr:nvPicPr>
        <xdr:cNvPr id="12201" name="Рисунок 12200">
          <a:extLst>
            <a:ext uri="{FF2B5EF4-FFF2-40B4-BE49-F238E27FC236}">
              <a16:creationId xmlns:a16="http://schemas.microsoft.com/office/drawing/2014/main" id="{58D9906F-B908-4694-94CD-551C4B56048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3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181039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2073</xdr:row>
      <xdr:rowOff>25400</xdr:rowOff>
    </xdr:from>
    <xdr:to>
      <xdr:col>11</xdr:col>
      <xdr:colOff>571500</xdr:colOff>
      <xdr:row>2074</xdr:row>
      <xdr:rowOff>0</xdr:rowOff>
    </xdr:to>
    <xdr:pic>
      <xdr:nvPicPr>
        <xdr:cNvPr id="12203" name="Рисунок 12202">
          <a:extLst>
            <a:ext uri="{FF2B5EF4-FFF2-40B4-BE49-F238E27FC236}">
              <a16:creationId xmlns:a16="http://schemas.microsoft.com/office/drawing/2014/main" id="{ED769CD6-7D9D-4F78-9F5C-C47065708D7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3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181611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2074</xdr:row>
      <xdr:rowOff>25400</xdr:rowOff>
    </xdr:from>
    <xdr:to>
      <xdr:col>11</xdr:col>
      <xdr:colOff>571500</xdr:colOff>
      <xdr:row>2075</xdr:row>
      <xdr:rowOff>0</xdr:rowOff>
    </xdr:to>
    <xdr:pic>
      <xdr:nvPicPr>
        <xdr:cNvPr id="12205" name="Рисунок 12204">
          <a:extLst>
            <a:ext uri="{FF2B5EF4-FFF2-40B4-BE49-F238E27FC236}">
              <a16:creationId xmlns:a16="http://schemas.microsoft.com/office/drawing/2014/main" id="{CFB1D0B1-4757-4FDD-851B-3ED9813F6AB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3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182182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2075</xdr:row>
      <xdr:rowOff>25400</xdr:rowOff>
    </xdr:from>
    <xdr:to>
      <xdr:col>11</xdr:col>
      <xdr:colOff>571500</xdr:colOff>
      <xdr:row>2076</xdr:row>
      <xdr:rowOff>0</xdr:rowOff>
    </xdr:to>
    <xdr:pic>
      <xdr:nvPicPr>
        <xdr:cNvPr id="12207" name="Рисунок 12206">
          <a:extLst>
            <a:ext uri="{FF2B5EF4-FFF2-40B4-BE49-F238E27FC236}">
              <a16:creationId xmlns:a16="http://schemas.microsoft.com/office/drawing/2014/main" id="{B824D407-D201-47C7-9D0D-378488345AF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3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182754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2076</xdr:row>
      <xdr:rowOff>25400</xdr:rowOff>
    </xdr:from>
    <xdr:to>
      <xdr:col>11</xdr:col>
      <xdr:colOff>571500</xdr:colOff>
      <xdr:row>2077</xdr:row>
      <xdr:rowOff>0</xdr:rowOff>
    </xdr:to>
    <xdr:pic>
      <xdr:nvPicPr>
        <xdr:cNvPr id="12209" name="Рисунок 12208">
          <a:extLst>
            <a:ext uri="{FF2B5EF4-FFF2-40B4-BE49-F238E27FC236}">
              <a16:creationId xmlns:a16="http://schemas.microsoft.com/office/drawing/2014/main" id="{F888F284-6C5F-4A72-8512-1B62DFB8AFC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3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183325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2077</xdr:row>
      <xdr:rowOff>25400</xdr:rowOff>
    </xdr:from>
    <xdr:to>
      <xdr:col>11</xdr:col>
      <xdr:colOff>571500</xdr:colOff>
      <xdr:row>2078</xdr:row>
      <xdr:rowOff>0</xdr:rowOff>
    </xdr:to>
    <xdr:pic>
      <xdr:nvPicPr>
        <xdr:cNvPr id="12211" name="Рисунок 12210">
          <a:extLst>
            <a:ext uri="{FF2B5EF4-FFF2-40B4-BE49-F238E27FC236}">
              <a16:creationId xmlns:a16="http://schemas.microsoft.com/office/drawing/2014/main" id="{BAEAB35A-E3A6-4A04-A91F-EB0AF3D6FCB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3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183897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2078</xdr:row>
      <xdr:rowOff>25400</xdr:rowOff>
    </xdr:from>
    <xdr:to>
      <xdr:col>11</xdr:col>
      <xdr:colOff>571500</xdr:colOff>
      <xdr:row>2079</xdr:row>
      <xdr:rowOff>0</xdr:rowOff>
    </xdr:to>
    <xdr:pic>
      <xdr:nvPicPr>
        <xdr:cNvPr id="12213" name="Рисунок 12212">
          <a:extLst>
            <a:ext uri="{FF2B5EF4-FFF2-40B4-BE49-F238E27FC236}">
              <a16:creationId xmlns:a16="http://schemas.microsoft.com/office/drawing/2014/main" id="{1CDBD7A7-2634-4727-A895-1054A898053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4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184468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2079</xdr:row>
      <xdr:rowOff>25400</xdr:rowOff>
    </xdr:from>
    <xdr:to>
      <xdr:col>11</xdr:col>
      <xdr:colOff>571500</xdr:colOff>
      <xdr:row>2080</xdr:row>
      <xdr:rowOff>0</xdr:rowOff>
    </xdr:to>
    <xdr:pic>
      <xdr:nvPicPr>
        <xdr:cNvPr id="12215" name="Рисунок 12214">
          <a:extLst>
            <a:ext uri="{FF2B5EF4-FFF2-40B4-BE49-F238E27FC236}">
              <a16:creationId xmlns:a16="http://schemas.microsoft.com/office/drawing/2014/main" id="{2FBA805B-FAC2-4238-8B97-B8B1BF9250B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4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185040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2080</xdr:row>
      <xdr:rowOff>25400</xdr:rowOff>
    </xdr:from>
    <xdr:to>
      <xdr:col>11</xdr:col>
      <xdr:colOff>571500</xdr:colOff>
      <xdr:row>2081</xdr:row>
      <xdr:rowOff>0</xdr:rowOff>
    </xdr:to>
    <xdr:pic>
      <xdr:nvPicPr>
        <xdr:cNvPr id="12217" name="Рисунок 12216">
          <a:extLst>
            <a:ext uri="{FF2B5EF4-FFF2-40B4-BE49-F238E27FC236}">
              <a16:creationId xmlns:a16="http://schemas.microsoft.com/office/drawing/2014/main" id="{7D40CE9F-DF56-4C1D-84B0-33C72C41250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185611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2081</xdr:row>
      <xdr:rowOff>25400</xdr:rowOff>
    </xdr:from>
    <xdr:to>
      <xdr:col>11</xdr:col>
      <xdr:colOff>571500</xdr:colOff>
      <xdr:row>2082</xdr:row>
      <xdr:rowOff>0</xdr:rowOff>
    </xdr:to>
    <xdr:pic>
      <xdr:nvPicPr>
        <xdr:cNvPr id="12219" name="Рисунок 12218">
          <a:extLst>
            <a:ext uri="{FF2B5EF4-FFF2-40B4-BE49-F238E27FC236}">
              <a16:creationId xmlns:a16="http://schemas.microsoft.com/office/drawing/2014/main" id="{5928AB79-CA7E-40E4-B328-BC88949B8FD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186183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2082</xdr:row>
      <xdr:rowOff>25400</xdr:rowOff>
    </xdr:from>
    <xdr:to>
      <xdr:col>11</xdr:col>
      <xdr:colOff>571500</xdr:colOff>
      <xdr:row>2083</xdr:row>
      <xdr:rowOff>0</xdr:rowOff>
    </xdr:to>
    <xdr:pic>
      <xdr:nvPicPr>
        <xdr:cNvPr id="12221" name="Рисунок 12220">
          <a:extLst>
            <a:ext uri="{FF2B5EF4-FFF2-40B4-BE49-F238E27FC236}">
              <a16:creationId xmlns:a16="http://schemas.microsoft.com/office/drawing/2014/main" id="{495DCB14-6F89-4044-B28C-96BE1F58EB6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186754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2083</xdr:row>
      <xdr:rowOff>25400</xdr:rowOff>
    </xdr:from>
    <xdr:to>
      <xdr:col>11</xdr:col>
      <xdr:colOff>571500</xdr:colOff>
      <xdr:row>2084</xdr:row>
      <xdr:rowOff>0</xdr:rowOff>
    </xdr:to>
    <xdr:pic>
      <xdr:nvPicPr>
        <xdr:cNvPr id="12223" name="Рисунок 12222">
          <a:extLst>
            <a:ext uri="{FF2B5EF4-FFF2-40B4-BE49-F238E27FC236}">
              <a16:creationId xmlns:a16="http://schemas.microsoft.com/office/drawing/2014/main" id="{5183034C-6545-42C8-84FE-B440062240D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4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187326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2084</xdr:row>
      <xdr:rowOff>25400</xdr:rowOff>
    </xdr:from>
    <xdr:to>
      <xdr:col>11</xdr:col>
      <xdr:colOff>571500</xdr:colOff>
      <xdr:row>2085</xdr:row>
      <xdr:rowOff>0</xdr:rowOff>
    </xdr:to>
    <xdr:pic>
      <xdr:nvPicPr>
        <xdr:cNvPr id="12225" name="Рисунок 12224">
          <a:extLst>
            <a:ext uri="{FF2B5EF4-FFF2-40B4-BE49-F238E27FC236}">
              <a16:creationId xmlns:a16="http://schemas.microsoft.com/office/drawing/2014/main" id="{24961DCC-6FF3-4205-8366-862075B8731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4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187897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2085</xdr:row>
      <xdr:rowOff>25400</xdr:rowOff>
    </xdr:from>
    <xdr:to>
      <xdr:col>11</xdr:col>
      <xdr:colOff>571500</xdr:colOff>
      <xdr:row>2086</xdr:row>
      <xdr:rowOff>0</xdr:rowOff>
    </xdr:to>
    <xdr:pic>
      <xdr:nvPicPr>
        <xdr:cNvPr id="12227" name="Рисунок 12226">
          <a:extLst>
            <a:ext uri="{FF2B5EF4-FFF2-40B4-BE49-F238E27FC236}">
              <a16:creationId xmlns:a16="http://schemas.microsoft.com/office/drawing/2014/main" id="{456EF9DC-4AF7-47B7-AF42-1E92263BB04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4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188469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2086</xdr:row>
      <xdr:rowOff>25400</xdr:rowOff>
    </xdr:from>
    <xdr:to>
      <xdr:col>11</xdr:col>
      <xdr:colOff>571500</xdr:colOff>
      <xdr:row>2087</xdr:row>
      <xdr:rowOff>0</xdr:rowOff>
    </xdr:to>
    <xdr:pic>
      <xdr:nvPicPr>
        <xdr:cNvPr id="12229" name="Рисунок 12228">
          <a:extLst>
            <a:ext uri="{FF2B5EF4-FFF2-40B4-BE49-F238E27FC236}">
              <a16:creationId xmlns:a16="http://schemas.microsoft.com/office/drawing/2014/main" id="{BAC2D107-3E50-478C-B6E3-9FF4483CEE8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4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189040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2087</xdr:row>
      <xdr:rowOff>25400</xdr:rowOff>
    </xdr:from>
    <xdr:to>
      <xdr:col>11</xdr:col>
      <xdr:colOff>571500</xdr:colOff>
      <xdr:row>2088</xdr:row>
      <xdr:rowOff>0</xdr:rowOff>
    </xdr:to>
    <xdr:pic>
      <xdr:nvPicPr>
        <xdr:cNvPr id="12231" name="Рисунок 12230">
          <a:extLst>
            <a:ext uri="{FF2B5EF4-FFF2-40B4-BE49-F238E27FC236}">
              <a16:creationId xmlns:a16="http://schemas.microsoft.com/office/drawing/2014/main" id="{CC138F60-D65B-402B-A002-A62BEBFA3F5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4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189612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2088</xdr:row>
      <xdr:rowOff>25400</xdr:rowOff>
    </xdr:from>
    <xdr:to>
      <xdr:col>11</xdr:col>
      <xdr:colOff>571500</xdr:colOff>
      <xdr:row>2089</xdr:row>
      <xdr:rowOff>0</xdr:rowOff>
    </xdr:to>
    <xdr:pic>
      <xdr:nvPicPr>
        <xdr:cNvPr id="12233" name="Рисунок 12232">
          <a:extLst>
            <a:ext uri="{FF2B5EF4-FFF2-40B4-BE49-F238E27FC236}">
              <a16:creationId xmlns:a16="http://schemas.microsoft.com/office/drawing/2014/main" id="{6284927F-B86C-416B-8356-24844714A2C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5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190183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2089</xdr:row>
      <xdr:rowOff>25400</xdr:rowOff>
    </xdr:from>
    <xdr:to>
      <xdr:col>11</xdr:col>
      <xdr:colOff>571500</xdr:colOff>
      <xdr:row>2090</xdr:row>
      <xdr:rowOff>0</xdr:rowOff>
    </xdr:to>
    <xdr:pic>
      <xdr:nvPicPr>
        <xdr:cNvPr id="12235" name="Рисунок 12234">
          <a:extLst>
            <a:ext uri="{FF2B5EF4-FFF2-40B4-BE49-F238E27FC236}">
              <a16:creationId xmlns:a16="http://schemas.microsoft.com/office/drawing/2014/main" id="{B62F1277-B23E-4DF0-B745-5E49FFC2859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5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190755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2090</xdr:row>
      <xdr:rowOff>25400</xdr:rowOff>
    </xdr:from>
    <xdr:to>
      <xdr:col>11</xdr:col>
      <xdr:colOff>571500</xdr:colOff>
      <xdr:row>2091</xdr:row>
      <xdr:rowOff>0</xdr:rowOff>
    </xdr:to>
    <xdr:pic>
      <xdr:nvPicPr>
        <xdr:cNvPr id="12237" name="Рисунок 12236">
          <a:extLst>
            <a:ext uri="{FF2B5EF4-FFF2-40B4-BE49-F238E27FC236}">
              <a16:creationId xmlns:a16="http://schemas.microsoft.com/office/drawing/2014/main" id="{9B16DCFC-2799-4EC8-9BF0-04441225941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191326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2091</xdr:row>
      <xdr:rowOff>25400</xdr:rowOff>
    </xdr:from>
    <xdr:to>
      <xdr:col>11</xdr:col>
      <xdr:colOff>571500</xdr:colOff>
      <xdr:row>2092</xdr:row>
      <xdr:rowOff>0</xdr:rowOff>
    </xdr:to>
    <xdr:pic>
      <xdr:nvPicPr>
        <xdr:cNvPr id="12239" name="Рисунок 12238">
          <a:extLst>
            <a:ext uri="{FF2B5EF4-FFF2-40B4-BE49-F238E27FC236}">
              <a16:creationId xmlns:a16="http://schemas.microsoft.com/office/drawing/2014/main" id="{454DD673-18B5-4493-A848-5BF0729CA86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5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191898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2092</xdr:row>
      <xdr:rowOff>25400</xdr:rowOff>
    </xdr:from>
    <xdr:to>
      <xdr:col>11</xdr:col>
      <xdr:colOff>571500</xdr:colOff>
      <xdr:row>2093</xdr:row>
      <xdr:rowOff>0</xdr:rowOff>
    </xdr:to>
    <xdr:pic>
      <xdr:nvPicPr>
        <xdr:cNvPr id="12241" name="Рисунок 12240">
          <a:extLst>
            <a:ext uri="{FF2B5EF4-FFF2-40B4-BE49-F238E27FC236}">
              <a16:creationId xmlns:a16="http://schemas.microsoft.com/office/drawing/2014/main" id="{6DF93DFE-53D9-48F0-A2F5-209EC0A8201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5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192469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2093</xdr:row>
      <xdr:rowOff>25400</xdr:rowOff>
    </xdr:from>
    <xdr:to>
      <xdr:col>11</xdr:col>
      <xdr:colOff>571500</xdr:colOff>
      <xdr:row>2094</xdr:row>
      <xdr:rowOff>0</xdr:rowOff>
    </xdr:to>
    <xdr:pic>
      <xdr:nvPicPr>
        <xdr:cNvPr id="12243" name="Рисунок 12242">
          <a:extLst>
            <a:ext uri="{FF2B5EF4-FFF2-40B4-BE49-F238E27FC236}">
              <a16:creationId xmlns:a16="http://schemas.microsoft.com/office/drawing/2014/main" id="{44635A71-A408-4185-B316-85A6935744F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5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193041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2094</xdr:row>
      <xdr:rowOff>25400</xdr:rowOff>
    </xdr:from>
    <xdr:to>
      <xdr:col>11</xdr:col>
      <xdr:colOff>571500</xdr:colOff>
      <xdr:row>2095</xdr:row>
      <xdr:rowOff>0</xdr:rowOff>
    </xdr:to>
    <xdr:pic>
      <xdr:nvPicPr>
        <xdr:cNvPr id="12245" name="Рисунок 12244">
          <a:extLst>
            <a:ext uri="{FF2B5EF4-FFF2-40B4-BE49-F238E27FC236}">
              <a16:creationId xmlns:a16="http://schemas.microsoft.com/office/drawing/2014/main" id="{39482B6A-3EFC-42DB-88A2-9D915954CF7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5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193612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2095</xdr:row>
      <xdr:rowOff>25400</xdr:rowOff>
    </xdr:from>
    <xdr:to>
      <xdr:col>11</xdr:col>
      <xdr:colOff>571500</xdr:colOff>
      <xdr:row>2096</xdr:row>
      <xdr:rowOff>0</xdr:rowOff>
    </xdr:to>
    <xdr:pic>
      <xdr:nvPicPr>
        <xdr:cNvPr id="12247" name="Рисунок 12246">
          <a:extLst>
            <a:ext uri="{FF2B5EF4-FFF2-40B4-BE49-F238E27FC236}">
              <a16:creationId xmlns:a16="http://schemas.microsoft.com/office/drawing/2014/main" id="{FAC6260B-0F6D-4B8F-9629-A02EDBE2111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5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194184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2096</xdr:row>
      <xdr:rowOff>25400</xdr:rowOff>
    </xdr:from>
    <xdr:to>
      <xdr:col>11</xdr:col>
      <xdr:colOff>571500</xdr:colOff>
      <xdr:row>2097</xdr:row>
      <xdr:rowOff>0</xdr:rowOff>
    </xdr:to>
    <xdr:pic>
      <xdr:nvPicPr>
        <xdr:cNvPr id="12249" name="Рисунок 12248">
          <a:extLst>
            <a:ext uri="{FF2B5EF4-FFF2-40B4-BE49-F238E27FC236}">
              <a16:creationId xmlns:a16="http://schemas.microsoft.com/office/drawing/2014/main" id="{CC5F9578-7C27-4E26-82A6-D9384015389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5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194755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2097</xdr:row>
      <xdr:rowOff>25400</xdr:rowOff>
    </xdr:from>
    <xdr:to>
      <xdr:col>11</xdr:col>
      <xdr:colOff>571500</xdr:colOff>
      <xdr:row>2098</xdr:row>
      <xdr:rowOff>0</xdr:rowOff>
    </xdr:to>
    <xdr:pic>
      <xdr:nvPicPr>
        <xdr:cNvPr id="12251" name="Рисунок 12250">
          <a:extLst>
            <a:ext uri="{FF2B5EF4-FFF2-40B4-BE49-F238E27FC236}">
              <a16:creationId xmlns:a16="http://schemas.microsoft.com/office/drawing/2014/main" id="{0C96CE12-7F26-4D20-8CA9-29FA84DC864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5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195327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2098</xdr:row>
      <xdr:rowOff>25400</xdr:rowOff>
    </xdr:from>
    <xdr:to>
      <xdr:col>11</xdr:col>
      <xdr:colOff>571500</xdr:colOff>
      <xdr:row>2099</xdr:row>
      <xdr:rowOff>0</xdr:rowOff>
    </xdr:to>
    <xdr:pic>
      <xdr:nvPicPr>
        <xdr:cNvPr id="12253" name="Рисунок 12252">
          <a:extLst>
            <a:ext uri="{FF2B5EF4-FFF2-40B4-BE49-F238E27FC236}">
              <a16:creationId xmlns:a16="http://schemas.microsoft.com/office/drawing/2014/main" id="{27538144-ED83-4167-8BD9-C2F0CACB314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6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195898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2099</xdr:row>
      <xdr:rowOff>25400</xdr:rowOff>
    </xdr:from>
    <xdr:to>
      <xdr:col>11</xdr:col>
      <xdr:colOff>571500</xdr:colOff>
      <xdr:row>2100</xdr:row>
      <xdr:rowOff>0</xdr:rowOff>
    </xdr:to>
    <xdr:pic>
      <xdr:nvPicPr>
        <xdr:cNvPr id="12255" name="Рисунок 12254">
          <a:extLst>
            <a:ext uri="{FF2B5EF4-FFF2-40B4-BE49-F238E27FC236}">
              <a16:creationId xmlns:a16="http://schemas.microsoft.com/office/drawing/2014/main" id="{9AED1DA2-18D6-4FF8-8771-B132F2DF0C4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6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196470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2100</xdr:row>
      <xdr:rowOff>25400</xdr:rowOff>
    </xdr:from>
    <xdr:to>
      <xdr:col>11</xdr:col>
      <xdr:colOff>571500</xdr:colOff>
      <xdr:row>2101</xdr:row>
      <xdr:rowOff>0</xdr:rowOff>
    </xdr:to>
    <xdr:pic>
      <xdr:nvPicPr>
        <xdr:cNvPr id="12257" name="Рисунок 12256">
          <a:extLst>
            <a:ext uri="{FF2B5EF4-FFF2-40B4-BE49-F238E27FC236}">
              <a16:creationId xmlns:a16="http://schemas.microsoft.com/office/drawing/2014/main" id="{1A9E45DD-37A5-4FF9-A689-89BB60F410F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6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197041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2101</xdr:row>
      <xdr:rowOff>25400</xdr:rowOff>
    </xdr:from>
    <xdr:to>
      <xdr:col>11</xdr:col>
      <xdr:colOff>571500</xdr:colOff>
      <xdr:row>2102</xdr:row>
      <xdr:rowOff>0</xdr:rowOff>
    </xdr:to>
    <xdr:pic>
      <xdr:nvPicPr>
        <xdr:cNvPr id="12259" name="Рисунок 12258">
          <a:extLst>
            <a:ext uri="{FF2B5EF4-FFF2-40B4-BE49-F238E27FC236}">
              <a16:creationId xmlns:a16="http://schemas.microsoft.com/office/drawing/2014/main" id="{5B94B52A-6967-4409-A399-41BD5F8AA72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6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197613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2102</xdr:row>
      <xdr:rowOff>25400</xdr:rowOff>
    </xdr:from>
    <xdr:to>
      <xdr:col>11</xdr:col>
      <xdr:colOff>571500</xdr:colOff>
      <xdr:row>2103</xdr:row>
      <xdr:rowOff>0</xdr:rowOff>
    </xdr:to>
    <xdr:pic>
      <xdr:nvPicPr>
        <xdr:cNvPr id="12261" name="Рисунок 12260">
          <a:extLst>
            <a:ext uri="{FF2B5EF4-FFF2-40B4-BE49-F238E27FC236}">
              <a16:creationId xmlns:a16="http://schemas.microsoft.com/office/drawing/2014/main" id="{8AFC0CA2-782C-4578-A943-4FAA4982B3C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6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198184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2103</xdr:row>
      <xdr:rowOff>25400</xdr:rowOff>
    </xdr:from>
    <xdr:to>
      <xdr:col>11</xdr:col>
      <xdr:colOff>571500</xdr:colOff>
      <xdr:row>2104</xdr:row>
      <xdr:rowOff>0</xdr:rowOff>
    </xdr:to>
    <xdr:pic>
      <xdr:nvPicPr>
        <xdr:cNvPr id="12263" name="Рисунок 12262">
          <a:extLst>
            <a:ext uri="{FF2B5EF4-FFF2-40B4-BE49-F238E27FC236}">
              <a16:creationId xmlns:a16="http://schemas.microsoft.com/office/drawing/2014/main" id="{D73AB208-CB77-4E1F-9C2D-BA294611949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6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198756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2104</xdr:row>
      <xdr:rowOff>25400</xdr:rowOff>
    </xdr:from>
    <xdr:to>
      <xdr:col>11</xdr:col>
      <xdr:colOff>571500</xdr:colOff>
      <xdr:row>2105</xdr:row>
      <xdr:rowOff>0</xdr:rowOff>
    </xdr:to>
    <xdr:pic>
      <xdr:nvPicPr>
        <xdr:cNvPr id="12265" name="Рисунок 12264">
          <a:extLst>
            <a:ext uri="{FF2B5EF4-FFF2-40B4-BE49-F238E27FC236}">
              <a16:creationId xmlns:a16="http://schemas.microsoft.com/office/drawing/2014/main" id="{BF00910B-6C06-4412-B2E1-3803E0C6ABA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6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199327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2105</xdr:row>
      <xdr:rowOff>25400</xdr:rowOff>
    </xdr:from>
    <xdr:to>
      <xdr:col>11</xdr:col>
      <xdr:colOff>571500</xdr:colOff>
      <xdr:row>2106</xdr:row>
      <xdr:rowOff>0</xdr:rowOff>
    </xdr:to>
    <xdr:pic>
      <xdr:nvPicPr>
        <xdr:cNvPr id="12267" name="Рисунок 12266">
          <a:extLst>
            <a:ext uri="{FF2B5EF4-FFF2-40B4-BE49-F238E27FC236}">
              <a16:creationId xmlns:a16="http://schemas.microsoft.com/office/drawing/2014/main" id="{6BEBD3C8-29A7-433F-BEAA-1D40BF2984F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6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199899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2106</xdr:row>
      <xdr:rowOff>25400</xdr:rowOff>
    </xdr:from>
    <xdr:to>
      <xdr:col>11</xdr:col>
      <xdr:colOff>571500</xdr:colOff>
      <xdr:row>2107</xdr:row>
      <xdr:rowOff>0</xdr:rowOff>
    </xdr:to>
    <xdr:pic>
      <xdr:nvPicPr>
        <xdr:cNvPr id="12269" name="Рисунок 12268">
          <a:extLst>
            <a:ext uri="{FF2B5EF4-FFF2-40B4-BE49-F238E27FC236}">
              <a16:creationId xmlns:a16="http://schemas.microsoft.com/office/drawing/2014/main" id="{1C140247-A31B-4B92-BA0D-0201FE28C7C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6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200470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2107</xdr:row>
      <xdr:rowOff>25400</xdr:rowOff>
    </xdr:from>
    <xdr:to>
      <xdr:col>11</xdr:col>
      <xdr:colOff>571500</xdr:colOff>
      <xdr:row>2108</xdr:row>
      <xdr:rowOff>0</xdr:rowOff>
    </xdr:to>
    <xdr:pic>
      <xdr:nvPicPr>
        <xdr:cNvPr id="12271" name="Рисунок 12270">
          <a:extLst>
            <a:ext uri="{FF2B5EF4-FFF2-40B4-BE49-F238E27FC236}">
              <a16:creationId xmlns:a16="http://schemas.microsoft.com/office/drawing/2014/main" id="{EB0AC588-E1B8-4C79-80B0-C10E9A0EE79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6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201042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2108</xdr:row>
      <xdr:rowOff>25400</xdr:rowOff>
    </xdr:from>
    <xdr:to>
      <xdr:col>11</xdr:col>
      <xdr:colOff>571500</xdr:colOff>
      <xdr:row>2109</xdr:row>
      <xdr:rowOff>0</xdr:rowOff>
    </xdr:to>
    <xdr:pic>
      <xdr:nvPicPr>
        <xdr:cNvPr id="12273" name="Рисунок 12272">
          <a:extLst>
            <a:ext uri="{FF2B5EF4-FFF2-40B4-BE49-F238E27FC236}">
              <a16:creationId xmlns:a16="http://schemas.microsoft.com/office/drawing/2014/main" id="{DFDD5751-1249-473B-AED4-357B04E965C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7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201613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2109</xdr:row>
      <xdr:rowOff>25400</xdr:rowOff>
    </xdr:from>
    <xdr:to>
      <xdr:col>11</xdr:col>
      <xdr:colOff>571500</xdr:colOff>
      <xdr:row>2110</xdr:row>
      <xdr:rowOff>0</xdr:rowOff>
    </xdr:to>
    <xdr:pic>
      <xdr:nvPicPr>
        <xdr:cNvPr id="12275" name="Рисунок 12274">
          <a:extLst>
            <a:ext uri="{FF2B5EF4-FFF2-40B4-BE49-F238E27FC236}">
              <a16:creationId xmlns:a16="http://schemas.microsoft.com/office/drawing/2014/main" id="{0C30682E-8DDE-42B9-9A6E-743CA4DF84D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7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202185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2110</xdr:row>
      <xdr:rowOff>25400</xdr:rowOff>
    </xdr:from>
    <xdr:to>
      <xdr:col>11</xdr:col>
      <xdr:colOff>571500</xdr:colOff>
      <xdr:row>2111</xdr:row>
      <xdr:rowOff>0</xdr:rowOff>
    </xdr:to>
    <xdr:pic>
      <xdr:nvPicPr>
        <xdr:cNvPr id="12277" name="Рисунок 12276">
          <a:extLst>
            <a:ext uri="{FF2B5EF4-FFF2-40B4-BE49-F238E27FC236}">
              <a16:creationId xmlns:a16="http://schemas.microsoft.com/office/drawing/2014/main" id="{E5B6D502-C6A7-4DEC-ABD0-BA6E6BB1E31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7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202756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2111</xdr:row>
      <xdr:rowOff>25400</xdr:rowOff>
    </xdr:from>
    <xdr:to>
      <xdr:col>11</xdr:col>
      <xdr:colOff>571500</xdr:colOff>
      <xdr:row>2112</xdr:row>
      <xdr:rowOff>0</xdr:rowOff>
    </xdr:to>
    <xdr:pic>
      <xdr:nvPicPr>
        <xdr:cNvPr id="12279" name="Рисунок 12278">
          <a:extLst>
            <a:ext uri="{FF2B5EF4-FFF2-40B4-BE49-F238E27FC236}">
              <a16:creationId xmlns:a16="http://schemas.microsoft.com/office/drawing/2014/main" id="{93302089-F4D9-410B-8199-B83E317798C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7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203328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2112</xdr:row>
      <xdr:rowOff>25400</xdr:rowOff>
    </xdr:from>
    <xdr:to>
      <xdr:col>11</xdr:col>
      <xdr:colOff>571500</xdr:colOff>
      <xdr:row>2113</xdr:row>
      <xdr:rowOff>0</xdr:rowOff>
    </xdr:to>
    <xdr:pic>
      <xdr:nvPicPr>
        <xdr:cNvPr id="12281" name="Рисунок 12280">
          <a:extLst>
            <a:ext uri="{FF2B5EF4-FFF2-40B4-BE49-F238E27FC236}">
              <a16:creationId xmlns:a16="http://schemas.microsoft.com/office/drawing/2014/main" id="{2E00C8C1-FB6A-42BB-95FD-4F41E4C382F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7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203899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2113</xdr:row>
      <xdr:rowOff>25400</xdr:rowOff>
    </xdr:from>
    <xdr:to>
      <xdr:col>11</xdr:col>
      <xdr:colOff>571500</xdr:colOff>
      <xdr:row>2114</xdr:row>
      <xdr:rowOff>0</xdr:rowOff>
    </xdr:to>
    <xdr:pic>
      <xdr:nvPicPr>
        <xdr:cNvPr id="12283" name="Рисунок 12282">
          <a:extLst>
            <a:ext uri="{FF2B5EF4-FFF2-40B4-BE49-F238E27FC236}">
              <a16:creationId xmlns:a16="http://schemas.microsoft.com/office/drawing/2014/main" id="{7E15802E-CC4D-4817-BB02-578472876E6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7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204471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2114</xdr:row>
      <xdr:rowOff>25400</xdr:rowOff>
    </xdr:from>
    <xdr:to>
      <xdr:col>11</xdr:col>
      <xdr:colOff>571500</xdr:colOff>
      <xdr:row>2115</xdr:row>
      <xdr:rowOff>0</xdr:rowOff>
    </xdr:to>
    <xdr:pic>
      <xdr:nvPicPr>
        <xdr:cNvPr id="12285" name="Рисунок 12284">
          <a:extLst>
            <a:ext uri="{FF2B5EF4-FFF2-40B4-BE49-F238E27FC236}">
              <a16:creationId xmlns:a16="http://schemas.microsoft.com/office/drawing/2014/main" id="{25F1CDB0-C92E-49B8-BDBE-D9B4ED3807B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7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205042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2115</xdr:row>
      <xdr:rowOff>25400</xdr:rowOff>
    </xdr:from>
    <xdr:to>
      <xdr:col>11</xdr:col>
      <xdr:colOff>571500</xdr:colOff>
      <xdr:row>2116</xdr:row>
      <xdr:rowOff>0</xdr:rowOff>
    </xdr:to>
    <xdr:pic>
      <xdr:nvPicPr>
        <xdr:cNvPr id="12287" name="Рисунок 12286">
          <a:extLst>
            <a:ext uri="{FF2B5EF4-FFF2-40B4-BE49-F238E27FC236}">
              <a16:creationId xmlns:a16="http://schemas.microsoft.com/office/drawing/2014/main" id="{EF293898-F35A-4801-9AA8-D52E1ADCA8A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7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205614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2116</xdr:row>
      <xdr:rowOff>25400</xdr:rowOff>
    </xdr:from>
    <xdr:to>
      <xdr:col>11</xdr:col>
      <xdr:colOff>571500</xdr:colOff>
      <xdr:row>2117</xdr:row>
      <xdr:rowOff>0</xdr:rowOff>
    </xdr:to>
    <xdr:pic>
      <xdr:nvPicPr>
        <xdr:cNvPr id="12289" name="Рисунок 12288">
          <a:extLst>
            <a:ext uri="{FF2B5EF4-FFF2-40B4-BE49-F238E27FC236}">
              <a16:creationId xmlns:a16="http://schemas.microsoft.com/office/drawing/2014/main" id="{B0D1C422-26B5-450E-A4EE-8C9115C3CF6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7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206185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2117</xdr:row>
      <xdr:rowOff>25400</xdr:rowOff>
    </xdr:from>
    <xdr:to>
      <xdr:col>11</xdr:col>
      <xdr:colOff>571500</xdr:colOff>
      <xdr:row>2118</xdr:row>
      <xdr:rowOff>0</xdr:rowOff>
    </xdr:to>
    <xdr:pic>
      <xdr:nvPicPr>
        <xdr:cNvPr id="12291" name="Рисунок 12290">
          <a:extLst>
            <a:ext uri="{FF2B5EF4-FFF2-40B4-BE49-F238E27FC236}">
              <a16:creationId xmlns:a16="http://schemas.microsoft.com/office/drawing/2014/main" id="{442E4A89-36A2-4067-AC3F-DDCCB660C1C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7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206757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2118</xdr:row>
      <xdr:rowOff>25400</xdr:rowOff>
    </xdr:from>
    <xdr:to>
      <xdr:col>11</xdr:col>
      <xdr:colOff>571500</xdr:colOff>
      <xdr:row>2119</xdr:row>
      <xdr:rowOff>0</xdr:rowOff>
    </xdr:to>
    <xdr:pic>
      <xdr:nvPicPr>
        <xdr:cNvPr id="12293" name="Рисунок 12292">
          <a:extLst>
            <a:ext uri="{FF2B5EF4-FFF2-40B4-BE49-F238E27FC236}">
              <a16:creationId xmlns:a16="http://schemas.microsoft.com/office/drawing/2014/main" id="{6C909A35-FC88-4325-BBC3-798729D9FE6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8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207328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2119</xdr:row>
      <xdr:rowOff>25400</xdr:rowOff>
    </xdr:from>
    <xdr:to>
      <xdr:col>11</xdr:col>
      <xdr:colOff>571500</xdr:colOff>
      <xdr:row>2120</xdr:row>
      <xdr:rowOff>0</xdr:rowOff>
    </xdr:to>
    <xdr:pic>
      <xdr:nvPicPr>
        <xdr:cNvPr id="12295" name="Рисунок 12294">
          <a:extLst>
            <a:ext uri="{FF2B5EF4-FFF2-40B4-BE49-F238E27FC236}">
              <a16:creationId xmlns:a16="http://schemas.microsoft.com/office/drawing/2014/main" id="{EB778E42-2B5F-4F92-A61D-587F4204861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8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207900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2120</xdr:row>
      <xdr:rowOff>25400</xdr:rowOff>
    </xdr:from>
    <xdr:to>
      <xdr:col>11</xdr:col>
      <xdr:colOff>571500</xdr:colOff>
      <xdr:row>2121</xdr:row>
      <xdr:rowOff>0</xdr:rowOff>
    </xdr:to>
    <xdr:pic>
      <xdr:nvPicPr>
        <xdr:cNvPr id="12297" name="Рисунок 12296">
          <a:extLst>
            <a:ext uri="{FF2B5EF4-FFF2-40B4-BE49-F238E27FC236}">
              <a16:creationId xmlns:a16="http://schemas.microsoft.com/office/drawing/2014/main" id="{A061E5F4-3F2E-4687-8298-FB9CE67CF59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8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208471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2121</xdr:row>
      <xdr:rowOff>25400</xdr:rowOff>
    </xdr:from>
    <xdr:to>
      <xdr:col>11</xdr:col>
      <xdr:colOff>571500</xdr:colOff>
      <xdr:row>2122</xdr:row>
      <xdr:rowOff>0</xdr:rowOff>
    </xdr:to>
    <xdr:pic>
      <xdr:nvPicPr>
        <xdr:cNvPr id="12299" name="Рисунок 12298">
          <a:extLst>
            <a:ext uri="{FF2B5EF4-FFF2-40B4-BE49-F238E27FC236}">
              <a16:creationId xmlns:a16="http://schemas.microsoft.com/office/drawing/2014/main" id="{824B7612-26B0-48EE-BEE3-5BFB6DBB3D2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8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209043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2122</xdr:row>
      <xdr:rowOff>25400</xdr:rowOff>
    </xdr:from>
    <xdr:to>
      <xdr:col>11</xdr:col>
      <xdr:colOff>571500</xdr:colOff>
      <xdr:row>2123</xdr:row>
      <xdr:rowOff>0</xdr:rowOff>
    </xdr:to>
    <xdr:pic>
      <xdr:nvPicPr>
        <xdr:cNvPr id="12301" name="Рисунок 12300">
          <a:extLst>
            <a:ext uri="{FF2B5EF4-FFF2-40B4-BE49-F238E27FC236}">
              <a16:creationId xmlns:a16="http://schemas.microsoft.com/office/drawing/2014/main" id="{576E268A-5793-41ED-88CE-7909B999257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8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209614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2123</xdr:row>
      <xdr:rowOff>25400</xdr:rowOff>
    </xdr:from>
    <xdr:to>
      <xdr:col>11</xdr:col>
      <xdr:colOff>571500</xdr:colOff>
      <xdr:row>2124</xdr:row>
      <xdr:rowOff>0</xdr:rowOff>
    </xdr:to>
    <xdr:pic>
      <xdr:nvPicPr>
        <xdr:cNvPr id="12303" name="Рисунок 12302">
          <a:extLst>
            <a:ext uri="{FF2B5EF4-FFF2-40B4-BE49-F238E27FC236}">
              <a16:creationId xmlns:a16="http://schemas.microsoft.com/office/drawing/2014/main" id="{77FDA500-28FA-4E4E-B526-36B23FCE443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8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210186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2124</xdr:row>
      <xdr:rowOff>25400</xdr:rowOff>
    </xdr:from>
    <xdr:to>
      <xdr:col>11</xdr:col>
      <xdr:colOff>571500</xdr:colOff>
      <xdr:row>2125</xdr:row>
      <xdr:rowOff>0</xdr:rowOff>
    </xdr:to>
    <xdr:pic>
      <xdr:nvPicPr>
        <xdr:cNvPr id="12305" name="Рисунок 12304">
          <a:extLst>
            <a:ext uri="{FF2B5EF4-FFF2-40B4-BE49-F238E27FC236}">
              <a16:creationId xmlns:a16="http://schemas.microsoft.com/office/drawing/2014/main" id="{DF5A7A5F-D032-46AB-BA3E-2F171A9CB10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8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210757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2125</xdr:row>
      <xdr:rowOff>25400</xdr:rowOff>
    </xdr:from>
    <xdr:to>
      <xdr:col>11</xdr:col>
      <xdr:colOff>571500</xdr:colOff>
      <xdr:row>2126</xdr:row>
      <xdr:rowOff>0</xdr:rowOff>
    </xdr:to>
    <xdr:pic>
      <xdr:nvPicPr>
        <xdr:cNvPr id="12307" name="Рисунок 12306">
          <a:extLst>
            <a:ext uri="{FF2B5EF4-FFF2-40B4-BE49-F238E27FC236}">
              <a16:creationId xmlns:a16="http://schemas.microsoft.com/office/drawing/2014/main" id="{9793C623-DAB2-464A-95D5-1AF60A9D2B4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8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211329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2126</xdr:row>
      <xdr:rowOff>25400</xdr:rowOff>
    </xdr:from>
    <xdr:to>
      <xdr:col>11</xdr:col>
      <xdr:colOff>571500</xdr:colOff>
      <xdr:row>2127</xdr:row>
      <xdr:rowOff>0</xdr:rowOff>
    </xdr:to>
    <xdr:pic>
      <xdr:nvPicPr>
        <xdr:cNvPr id="12309" name="Рисунок 12308">
          <a:extLst>
            <a:ext uri="{FF2B5EF4-FFF2-40B4-BE49-F238E27FC236}">
              <a16:creationId xmlns:a16="http://schemas.microsoft.com/office/drawing/2014/main" id="{F094623B-C4C1-4C6D-9988-9B610717CCE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8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211900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2127</xdr:row>
      <xdr:rowOff>25400</xdr:rowOff>
    </xdr:from>
    <xdr:to>
      <xdr:col>11</xdr:col>
      <xdr:colOff>571500</xdr:colOff>
      <xdr:row>2128</xdr:row>
      <xdr:rowOff>0</xdr:rowOff>
    </xdr:to>
    <xdr:pic>
      <xdr:nvPicPr>
        <xdr:cNvPr id="12311" name="Рисунок 12310">
          <a:extLst>
            <a:ext uri="{FF2B5EF4-FFF2-40B4-BE49-F238E27FC236}">
              <a16:creationId xmlns:a16="http://schemas.microsoft.com/office/drawing/2014/main" id="{74A21FCD-D002-4DE6-8590-96D3660455D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8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212472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2128</xdr:row>
      <xdr:rowOff>25400</xdr:rowOff>
    </xdr:from>
    <xdr:to>
      <xdr:col>11</xdr:col>
      <xdr:colOff>571500</xdr:colOff>
      <xdr:row>2129</xdr:row>
      <xdr:rowOff>0</xdr:rowOff>
    </xdr:to>
    <xdr:pic>
      <xdr:nvPicPr>
        <xdr:cNvPr id="12313" name="Рисунок 12312">
          <a:extLst>
            <a:ext uri="{FF2B5EF4-FFF2-40B4-BE49-F238E27FC236}">
              <a16:creationId xmlns:a16="http://schemas.microsoft.com/office/drawing/2014/main" id="{39919946-DCA8-4803-9B15-887B016EF3C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9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213043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2129</xdr:row>
      <xdr:rowOff>25400</xdr:rowOff>
    </xdr:from>
    <xdr:to>
      <xdr:col>11</xdr:col>
      <xdr:colOff>571500</xdr:colOff>
      <xdr:row>2130</xdr:row>
      <xdr:rowOff>0</xdr:rowOff>
    </xdr:to>
    <xdr:pic>
      <xdr:nvPicPr>
        <xdr:cNvPr id="12315" name="Рисунок 12314">
          <a:extLst>
            <a:ext uri="{FF2B5EF4-FFF2-40B4-BE49-F238E27FC236}">
              <a16:creationId xmlns:a16="http://schemas.microsoft.com/office/drawing/2014/main" id="{4C4ADB12-EE0B-4146-BD20-74D8377643F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9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213615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2130</xdr:row>
      <xdr:rowOff>25400</xdr:rowOff>
    </xdr:from>
    <xdr:to>
      <xdr:col>11</xdr:col>
      <xdr:colOff>571500</xdr:colOff>
      <xdr:row>2131</xdr:row>
      <xdr:rowOff>0</xdr:rowOff>
    </xdr:to>
    <xdr:pic>
      <xdr:nvPicPr>
        <xdr:cNvPr id="12317" name="Рисунок 12316">
          <a:extLst>
            <a:ext uri="{FF2B5EF4-FFF2-40B4-BE49-F238E27FC236}">
              <a16:creationId xmlns:a16="http://schemas.microsoft.com/office/drawing/2014/main" id="{CB1D7B8E-547E-47B4-90F6-528F35307CD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9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214186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2131</xdr:row>
      <xdr:rowOff>25400</xdr:rowOff>
    </xdr:from>
    <xdr:to>
      <xdr:col>11</xdr:col>
      <xdr:colOff>571500</xdr:colOff>
      <xdr:row>2132</xdr:row>
      <xdr:rowOff>0</xdr:rowOff>
    </xdr:to>
    <xdr:pic>
      <xdr:nvPicPr>
        <xdr:cNvPr id="12319" name="Рисунок 12318">
          <a:extLst>
            <a:ext uri="{FF2B5EF4-FFF2-40B4-BE49-F238E27FC236}">
              <a16:creationId xmlns:a16="http://schemas.microsoft.com/office/drawing/2014/main" id="{EA243CB2-9386-46F2-91CE-A5B82F900EC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9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214758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2132</xdr:row>
      <xdr:rowOff>25400</xdr:rowOff>
    </xdr:from>
    <xdr:to>
      <xdr:col>11</xdr:col>
      <xdr:colOff>571500</xdr:colOff>
      <xdr:row>2133</xdr:row>
      <xdr:rowOff>0</xdr:rowOff>
    </xdr:to>
    <xdr:pic>
      <xdr:nvPicPr>
        <xdr:cNvPr id="12321" name="Рисунок 12320">
          <a:extLst>
            <a:ext uri="{FF2B5EF4-FFF2-40B4-BE49-F238E27FC236}">
              <a16:creationId xmlns:a16="http://schemas.microsoft.com/office/drawing/2014/main" id="{A09DEEF3-1A56-4C4C-B2ED-41B96D541CE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9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215329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2133</xdr:row>
      <xdr:rowOff>25400</xdr:rowOff>
    </xdr:from>
    <xdr:to>
      <xdr:col>11</xdr:col>
      <xdr:colOff>571500</xdr:colOff>
      <xdr:row>2134</xdr:row>
      <xdr:rowOff>0</xdr:rowOff>
    </xdr:to>
    <xdr:pic>
      <xdr:nvPicPr>
        <xdr:cNvPr id="12323" name="Рисунок 12322">
          <a:extLst>
            <a:ext uri="{FF2B5EF4-FFF2-40B4-BE49-F238E27FC236}">
              <a16:creationId xmlns:a16="http://schemas.microsoft.com/office/drawing/2014/main" id="{61444350-3591-4299-AF11-597449AFE8F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9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215901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2134</xdr:row>
      <xdr:rowOff>25400</xdr:rowOff>
    </xdr:from>
    <xdr:to>
      <xdr:col>11</xdr:col>
      <xdr:colOff>571500</xdr:colOff>
      <xdr:row>2135</xdr:row>
      <xdr:rowOff>0</xdr:rowOff>
    </xdr:to>
    <xdr:pic>
      <xdr:nvPicPr>
        <xdr:cNvPr id="12325" name="Рисунок 12324">
          <a:extLst>
            <a:ext uri="{FF2B5EF4-FFF2-40B4-BE49-F238E27FC236}">
              <a16:creationId xmlns:a16="http://schemas.microsoft.com/office/drawing/2014/main" id="{A3FC5AE0-16DA-4FB9-B1FC-14F136FBBF5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9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216472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2135</xdr:row>
      <xdr:rowOff>25400</xdr:rowOff>
    </xdr:from>
    <xdr:to>
      <xdr:col>11</xdr:col>
      <xdr:colOff>571500</xdr:colOff>
      <xdr:row>2136</xdr:row>
      <xdr:rowOff>0</xdr:rowOff>
    </xdr:to>
    <xdr:pic>
      <xdr:nvPicPr>
        <xdr:cNvPr id="12327" name="Рисунок 12326">
          <a:extLst>
            <a:ext uri="{FF2B5EF4-FFF2-40B4-BE49-F238E27FC236}">
              <a16:creationId xmlns:a16="http://schemas.microsoft.com/office/drawing/2014/main" id="{D3BAD7C0-1577-45EA-A9FB-7EF03064802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9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217044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2136</xdr:row>
      <xdr:rowOff>25400</xdr:rowOff>
    </xdr:from>
    <xdr:to>
      <xdr:col>11</xdr:col>
      <xdr:colOff>571500</xdr:colOff>
      <xdr:row>2137</xdr:row>
      <xdr:rowOff>0</xdr:rowOff>
    </xdr:to>
    <xdr:pic>
      <xdr:nvPicPr>
        <xdr:cNvPr id="12329" name="Рисунок 12328">
          <a:extLst>
            <a:ext uri="{FF2B5EF4-FFF2-40B4-BE49-F238E27FC236}">
              <a16:creationId xmlns:a16="http://schemas.microsoft.com/office/drawing/2014/main" id="{7A46F75E-2F40-42DA-A613-A7E365C509C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9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217615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2137</xdr:row>
      <xdr:rowOff>25400</xdr:rowOff>
    </xdr:from>
    <xdr:to>
      <xdr:col>11</xdr:col>
      <xdr:colOff>571500</xdr:colOff>
      <xdr:row>2138</xdr:row>
      <xdr:rowOff>0</xdr:rowOff>
    </xdr:to>
    <xdr:pic>
      <xdr:nvPicPr>
        <xdr:cNvPr id="12331" name="Рисунок 12330">
          <a:extLst>
            <a:ext uri="{FF2B5EF4-FFF2-40B4-BE49-F238E27FC236}">
              <a16:creationId xmlns:a16="http://schemas.microsoft.com/office/drawing/2014/main" id="{D8DDB7A6-C396-44D6-A4ED-5D59F0006B3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09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218187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2138</xdr:row>
      <xdr:rowOff>25400</xdr:rowOff>
    </xdr:from>
    <xdr:to>
      <xdr:col>11</xdr:col>
      <xdr:colOff>571500</xdr:colOff>
      <xdr:row>2139</xdr:row>
      <xdr:rowOff>0</xdr:rowOff>
    </xdr:to>
    <xdr:pic>
      <xdr:nvPicPr>
        <xdr:cNvPr id="12333" name="Рисунок 12332">
          <a:extLst>
            <a:ext uri="{FF2B5EF4-FFF2-40B4-BE49-F238E27FC236}">
              <a16:creationId xmlns:a16="http://schemas.microsoft.com/office/drawing/2014/main" id="{BE8EA068-FF10-4E3C-A930-96D05A15B14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0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218758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2139</xdr:row>
      <xdr:rowOff>25400</xdr:rowOff>
    </xdr:from>
    <xdr:to>
      <xdr:col>11</xdr:col>
      <xdr:colOff>571500</xdr:colOff>
      <xdr:row>2140</xdr:row>
      <xdr:rowOff>0</xdr:rowOff>
    </xdr:to>
    <xdr:pic>
      <xdr:nvPicPr>
        <xdr:cNvPr id="12335" name="Рисунок 12334">
          <a:extLst>
            <a:ext uri="{FF2B5EF4-FFF2-40B4-BE49-F238E27FC236}">
              <a16:creationId xmlns:a16="http://schemas.microsoft.com/office/drawing/2014/main" id="{7328D7C3-0EB9-45CF-986B-EAB8CC1FEEA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0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219330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2140</xdr:row>
      <xdr:rowOff>25400</xdr:rowOff>
    </xdr:from>
    <xdr:to>
      <xdr:col>11</xdr:col>
      <xdr:colOff>571500</xdr:colOff>
      <xdr:row>2141</xdr:row>
      <xdr:rowOff>0</xdr:rowOff>
    </xdr:to>
    <xdr:pic>
      <xdr:nvPicPr>
        <xdr:cNvPr id="12337" name="Рисунок 12336">
          <a:extLst>
            <a:ext uri="{FF2B5EF4-FFF2-40B4-BE49-F238E27FC236}">
              <a16:creationId xmlns:a16="http://schemas.microsoft.com/office/drawing/2014/main" id="{097AEB86-45F1-4CD2-8E75-AB7EAABB8BD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0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219901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2141</xdr:row>
      <xdr:rowOff>25400</xdr:rowOff>
    </xdr:from>
    <xdr:to>
      <xdr:col>11</xdr:col>
      <xdr:colOff>571500</xdr:colOff>
      <xdr:row>2142</xdr:row>
      <xdr:rowOff>0</xdr:rowOff>
    </xdr:to>
    <xdr:pic>
      <xdr:nvPicPr>
        <xdr:cNvPr id="12339" name="Рисунок 12338">
          <a:extLst>
            <a:ext uri="{FF2B5EF4-FFF2-40B4-BE49-F238E27FC236}">
              <a16:creationId xmlns:a16="http://schemas.microsoft.com/office/drawing/2014/main" id="{912F9336-034F-41FA-8635-9865E59E0C8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0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220473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2142</xdr:row>
      <xdr:rowOff>25400</xdr:rowOff>
    </xdr:from>
    <xdr:to>
      <xdr:col>11</xdr:col>
      <xdr:colOff>571500</xdr:colOff>
      <xdr:row>2143</xdr:row>
      <xdr:rowOff>0</xdr:rowOff>
    </xdr:to>
    <xdr:pic>
      <xdr:nvPicPr>
        <xdr:cNvPr id="12341" name="Рисунок 12340">
          <a:extLst>
            <a:ext uri="{FF2B5EF4-FFF2-40B4-BE49-F238E27FC236}">
              <a16:creationId xmlns:a16="http://schemas.microsoft.com/office/drawing/2014/main" id="{7CE75D96-C0DB-45BF-A0DB-6C31A2EB32A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0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221044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2143</xdr:row>
      <xdr:rowOff>25400</xdr:rowOff>
    </xdr:from>
    <xdr:to>
      <xdr:col>11</xdr:col>
      <xdr:colOff>571500</xdr:colOff>
      <xdr:row>2144</xdr:row>
      <xdr:rowOff>0</xdr:rowOff>
    </xdr:to>
    <xdr:pic>
      <xdr:nvPicPr>
        <xdr:cNvPr id="12343" name="Рисунок 12342">
          <a:extLst>
            <a:ext uri="{FF2B5EF4-FFF2-40B4-BE49-F238E27FC236}">
              <a16:creationId xmlns:a16="http://schemas.microsoft.com/office/drawing/2014/main" id="{6563DC64-E1FF-4864-8B33-A62719BC94F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0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221616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2144</xdr:row>
      <xdr:rowOff>25400</xdr:rowOff>
    </xdr:from>
    <xdr:to>
      <xdr:col>11</xdr:col>
      <xdr:colOff>571500</xdr:colOff>
      <xdr:row>2145</xdr:row>
      <xdr:rowOff>0</xdr:rowOff>
    </xdr:to>
    <xdr:pic>
      <xdr:nvPicPr>
        <xdr:cNvPr id="12345" name="Рисунок 12344">
          <a:extLst>
            <a:ext uri="{FF2B5EF4-FFF2-40B4-BE49-F238E27FC236}">
              <a16:creationId xmlns:a16="http://schemas.microsoft.com/office/drawing/2014/main" id="{BF1FC4A5-6C45-4F91-88CB-C9738F5A250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0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222187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2145</xdr:row>
      <xdr:rowOff>25400</xdr:rowOff>
    </xdr:from>
    <xdr:to>
      <xdr:col>11</xdr:col>
      <xdr:colOff>571500</xdr:colOff>
      <xdr:row>2146</xdr:row>
      <xdr:rowOff>0</xdr:rowOff>
    </xdr:to>
    <xdr:pic>
      <xdr:nvPicPr>
        <xdr:cNvPr id="12347" name="Рисунок 12346">
          <a:extLst>
            <a:ext uri="{FF2B5EF4-FFF2-40B4-BE49-F238E27FC236}">
              <a16:creationId xmlns:a16="http://schemas.microsoft.com/office/drawing/2014/main" id="{0D837E6B-130B-49B1-8C14-1074C29E1BC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0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222759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2146</xdr:row>
      <xdr:rowOff>25400</xdr:rowOff>
    </xdr:from>
    <xdr:to>
      <xdr:col>11</xdr:col>
      <xdr:colOff>571500</xdr:colOff>
      <xdr:row>2147</xdr:row>
      <xdr:rowOff>0</xdr:rowOff>
    </xdr:to>
    <xdr:pic>
      <xdr:nvPicPr>
        <xdr:cNvPr id="12349" name="Рисунок 12348">
          <a:extLst>
            <a:ext uri="{FF2B5EF4-FFF2-40B4-BE49-F238E27FC236}">
              <a16:creationId xmlns:a16="http://schemas.microsoft.com/office/drawing/2014/main" id="{4927120E-200A-4CB2-8D6B-4FCC1AE0971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0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223330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2147</xdr:row>
      <xdr:rowOff>25400</xdr:rowOff>
    </xdr:from>
    <xdr:to>
      <xdr:col>11</xdr:col>
      <xdr:colOff>571500</xdr:colOff>
      <xdr:row>2148</xdr:row>
      <xdr:rowOff>0</xdr:rowOff>
    </xdr:to>
    <xdr:pic>
      <xdr:nvPicPr>
        <xdr:cNvPr id="12351" name="Рисунок 12350">
          <a:extLst>
            <a:ext uri="{FF2B5EF4-FFF2-40B4-BE49-F238E27FC236}">
              <a16:creationId xmlns:a16="http://schemas.microsoft.com/office/drawing/2014/main" id="{5D4B08AC-D8E8-48BA-BBB1-13248287B62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0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223902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2148</xdr:row>
      <xdr:rowOff>25400</xdr:rowOff>
    </xdr:from>
    <xdr:to>
      <xdr:col>11</xdr:col>
      <xdr:colOff>571500</xdr:colOff>
      <xdr:row>2149</xdr:row>
      <xdr:rowOff>0</xdr:rowOff>
    </xdr:to>
    <xdr:pic>
      <xdr:nvPicPr>
        <xdr:cNvPr id="12353" name="Рисунок 12352">
          <a:extLst>
            <a:ext uri="{FF2B5EF4-FFF2-40B4-BE49-F238E27FC236}">
              <a16:creationId xmlns:a16="http://schemas.microsoft.com/office/drawing/2014/main" id="{BB1CD17A-0B6E-49CD-860A-CAA75DF2646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224473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2149</xdr:row>
      <xdr:rowOff>25400</xdr:rowOff>
    </xdr:from>
    <xdr:to>
      <xdr:col>11</xdr:col>
      <xdr:colOff>571500</xdr:colOff>
      <xdr:row>2150</xdr:row>
      <xdr:rowOff>0</xdr:rowOff>
    </xdr:to>
    <xdr:pic>
      <xdr:nvPicPr>
        <xdr:cNvPr id="12355" name="Рисунок 12354">
          <a:extLst>
            <a:ext uri="{FF2B5EF4-FFF2-40B4-BE49-F238E27FC236}">
              <a16:creationId xmlns:a16="http://schemas.microsoft.com/office/drawing/2014/main" id="{FDEEC555-E2A3-451F-9D7E-72BEDA16C54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225045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2150</xdr:row>
      <xdr:rowOff>25400</xdr:rowOff>
    </xdr:from>
    <xdr:to>
      <xdr:col>11</xdr:col>
      <xdr:colOff>571500</xdr:colOff>
      <xdr:row>2151</xdr:row>
      <xdr:rowOff>0</xdr:rowOff>
    </xdr:to>
    <xdr:pic>
      <xdr:nvPicPr>
        <xdr:cNvPr id="12357" name="Рисунок 12356">
          <a:extLst>
            <a:ext uri="{FF2B5EF4-FFF2-40B4-BE49-F238E27FC236}">
              <a16:creationId xmlns:a16="http://schemas.microsoft.com/office/drawing/2014/main" id="{63DA0AA1-63CD-4290-BFC6-7AA5F80E942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225616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2151</xdr:row>
      <xdr:rowOff>25400</xdr:rowOff>
    </xdr:from>
    <xdr:to>
      <xdr:col>11</xdr:col>
      <xdr:colOff>571500</xdr:colOff>
      <xdr:row>2152</xdr:row>
      <xdr:rowOff>0</xdr:rowOff>
    </xdr:to>
    <xdr:pic>
      <xdr:nvPicPr>
        <xdr:cNvPr id="12359" name="Рисунок 12358">
          <a:extLst>
            <a:ext uri="{FF2B5EF4-FFF2-40B4-BE49-F238E27FC236}">
              <a16:creationId xmlns:a16="http://schemas.microsoft.com/office/drawing/2014/main" id="{AC5476BF-60FA-44F0-978F-F654BCDA2E3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226188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2152</xdr:row>
      <xdr:rowOff>25400</xdr:rowOff>
    </xdr:from>
    <xdr:to>
      <xdr:col>11</xdr:col>
      <xdr:colOff>571500</xdr:colOff>
      <xdr:row>2153</xdr:row>
      <xdr:rowOff>0</xdr:rowOff>
    </xdr:to>
    <xdr:pic>
      <xdr:nvPicPr>
        <xdr:cNvPr id="12361" name="Рисунок 12360">
          <a:extLst>
            <a:ext uri="{FF2B5EF4-FFF2-40B4-BE49-F238E27FC236}">
              <a16:creationId xmlns:a16="http://schemas.microsoft.com/office/drawing/2014/main" id="{CF7F49E4-3AEB-4938-80A6-1A3D93DC5FB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226759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2153</xdr:row>
      <xdr:rowOff>25400</xdr:rowOff>
    </xdr:from>
    <xdr:to>
      <xdr:col>11</xdr:col>
      <xdr:colOff>571500</xdr:colOff>
      <xdr:row>2154</xdr:row>
      <xdr:rowOff>0</xdr:rowOff>
    </xdr:to>
    <xdr:pic>
      <xdr:nvPicPr>
        <xdr:cNvPr id="12363" name="Рисунок 12362">
          <a:extLst>
            <a:ext uri="{FF2B5EF4-FFF2-40B4-BE49-F238E27FC236}">
              <a16:creationId xmlns:a16="http://schemas.microsoft.com/office/drawing/2014/main" id="{4400AF45-A6E4-425C-BD9A-50ED439BE31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227331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2154</xdr:row>
      <xdr:rowOff>25400</xdr:rowOff>
    </xdr:from>
    <xdr:to>
      <xdr:col>11</xdr:col>
      <xdr:colOff>571500</xdr:colOff>
      <xdr:row>2155</xdr:row>
      <xdr:rowOff>0</xdr:rowOff>
    </xdr:to>
    <xdr:pic>
      <xdr:nvPicPr>
        <xdr:cNvPr id="12365" name="Рисунок 12364">
          <a:extLst>
            <a:ext uri="{FF2B5EF4-FFF2-40B4-BE49-F238E27FC236}">
              <a16:creationId xmlns:a16="http://schemas.microsoft.com/office/drawing/2014/main" id="{EC948978-D68E-4CFF-B6B0-94A91D40F74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227902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2155</xdr:row>
      <xdr:rowOff>25400</xdr:rowOff>
    </xdr:from>
    <xdr:to>
      <xdr:col>11</xdr:col>
      <xdr:colOff>571500</xdr:colOff>
      <xdr:row>2156</xdr:row>
      <xdr:rowOff>0</xdr:rowOff>
    </xdr:to>
    <xdr:pic>
      <xdr:nvPicPr>
        <xdr:cNvPr id="12367" name="Рисунок 12366">
          <a:extLst>
            <a:ext uri="{FF2B5EF4-FFF2-40B4-BE49-F238E27FC236}">
              <a16:creationId xmlns:a16="http://schemas.microsoft.com/office/drawing/2014/main" id="{5766A95B-C2D3-4CB0-B4B0-F944B3C396D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228474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2156</xdr:row>
      <xdr:rowOff>25400</xdr:rowOff>
    </xdr:from>
    <xdr:to>
      <xdr:col>11</xdr:col>
      <xdr:colOff>571500</xdr:colOff>
      <xdr:row>2157</xdr:row>
      <xdr:rowOff>0</xdr:rowOff>
    </xdr:to>
    <xdr:pic>
      <xdr:nvPicPr>
        <xdr:cNvPr id="12369" name="Рисунок 12368">
          <a:extLst>
            <a:ext uri="{FF2B5EF4-FFF2-40B4-BE49-F238E27FC236}">
              <a16:creationId xmlns:a16="http://schemas.microsoft.com/office/drawing/2014/main" id="{1AA0FEAD-86BE-42AD-AAFC-BB460FA9178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229045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2157</xdr:row>
      <xdr:rowOff>25400</xdr:rowOff>
    </xdr:from>
    <xdr:to>
      <xdr:col>11</xdr:col>
      <xdr:colOff>571500</xdr:colOff>
      <xdr:row>2158</xdr:row>
      <xdr:rowOff>0</xdr:rowOff>
    </xdr:to>
    <xdr:pic>
      <xdr:nvPicPr>
        <xdr:cNvPr id="12371" name="Рисунок 12370">
          <a:extLst>
            <a:ext uri="{FF2B5EF4-FFF2-40B4-BE49-F238E27FC236}">
              <a16:creationId xmlns:a16="http://schemas.microsoft.com/office/drawing/2014/main" id="{56BF3E15-5412-4E86-BB2E-4E5A26B92A2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229617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2158</xdr:row>
      <xdr:rowOff>25400</xdr:rowOff>
    </xdr:from>
    <xdr:to>
      <xdr:col>11</xdr:col>
      <xdr:colOff>571500</xdr:colOff>
      <xdr:row>2159</xdr:row>
      <xdr:rowOff>0</xdr:rowOff>
    </xdr:to>
    <xdr:pic>
      <xdr:nvPicPr>
        <xdr:cNvPr id="12373" name="Рисунок 12372">
          <a:extLst>
            <a:ext uri="{FF2B5EF4-FFF2-40B4-BE49-F238E27FC236}">
              <a16:creationId xmlns:a16="http://schemas.microsoft.com/office/drawing/2014/main" id="{E04753A0-563E-4BAC-97C2-4ABACD7829D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230188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2159</xdr:row>
      <xdr:rowOff>25400</xdr:rowOff>
    </xdr:from>
    <xdr:to>
      <xdr:col>11</xdr:col>
      <xdr:colOff>571500</xdr:colOff>
      <xdr:row>2160</xdr:row>
      <xdr:rowOff>0</xdr:rowOff>
    </xdr:to>
    <xdr:pic>
      <xdr:nvPicPr>
        <xdr:cNvPr id="12375" name="Рисунок 12374">
          <a:extLst>
            <a:ext uri="{FF2B5EF4-FFF2-40B4-BE49-F238E27FC236}">
              <a16:creationId xmlns:a16="http://schemas.microsoft.com/office/drawing/2014/main" id="{FC3EAE26-F20A-4310-B8CE-68E092D9BDA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230760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2160</xdr:row>
      <xdr:rowOff>25400</xdr:rowOff>
    </xdr:from>
    <xdr:to>
      <xdr:col>11</xdr:col>
      <xdr:colOff>571500</xdr:colOff>
      <xdr:row>2161</xdr:row>
      <xdr:rowOff>0</xdr:rowOff>
    </xdr:to>
    <xdr:pic>
      <xdr:nvPicPr>
        <xdr:cNvPr id="12377" name="Рисунок 12376">
          <a:extLst>
            <a:ext uri="{FF2B5EF4-FFF2-40B4-BE49-F238E27FC236}">
              <a16:creationId xmlns:a16="http://schemas.microsoft.com/office/drawing/2014/main" id="{32B835FB-CA78-42AE-B221-D69FDE6B48F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231331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2161</xdr:row>
      <xdr:rowOff>25400</xdr:rowOff>
    </xdr:from>
    <xdr:to>
      <xdr:col>11</xdr:col>
      <xdr:colOff>571500</xdr:colOff>
      <xdr:row>2162</xdr:row>
      <xdr:rowOff>0</xdr:rowOff>
    </xdr:to>
    <xdr:pic>
      <xdr:nvPicPr>
        <xdr:cNvPr id="12379" name="Рисунок 12378">
          <a:extLst>
            <a:ext uri="{FF2B5EF4-FFF2-40B4-BE49-F238E27FC236}">
              <a16:creationId xmlns:a16="http://schemas.microsoft.com/office/drawing/2014/main" id="{AC12F292-794D-4115-86B4-7B4C9D6584A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231903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2162</xdr:row>
      <xdr:rowOff>25400</xdr:rowOff>
    </xdr:from>
    <xdr:to>
      <xdr:col>11</xdr:col>
      <xdr:colOff>571500</xdr:colOff>
      <xdr:row>2163</xdr:row>
      <xdr:rowOff>0</xdr:rowOff>
    </xdr:to>
    <xdr:pic>
      <xdr:nvPicPr>
        <xdr:cNvPr id="12381" name="Рисунок 12380">
          <a:extLst>
            <a:ext uri="{FF2B5EF4-FFF2-40B4-BE49-F238E27FC236}">
              <a16:creationId xmlns:a16="http://schemas.microsoft.com/office/drawing/2014/main" id="{82C7B4DF-87C1-4C3A-80D7-6CBB740768E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232474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2163</xdr:row>
      <xdr:rowOff>25400</xdr:rowOff>
    </xdr:from>
    <xdr:to>
      <xdr:col>11</xdr:col>
      <xdr:colOff>571500</xdr:colOff>
      <xdr:row>2164</xdr:row>
      <xdr:rowOff>0</xdr:rowOff>
    </xdr:to>
    <xdr:pic>
      <xdr:nvPicPr>
        <xdr:cNvPr id="12383" name="Рисунок 12382">
          <a:extLst>
            <a:ext uri="{FF2B5EF4-FFF2-40B4-BE49-F238E27FC236}">
              <a16:creationId xmlns:a16="http://schemas.microsoft.com/office/drawing/2014/main" id="{BC7F0EF4-C8E1-41AB-94EB-6AC6BC2565E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233046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2164</xdr:row>
      <xdr:rowOff>25400</xdr:rowOff>
    </xdr:from>
    <xdr:to>
      <xdr:col>11</xdr:col>
      <xdr:colOff>571500</xdr:colOff>
      <xdr:row>2165</xdr:row>
      <xdr:rowOff>0</xdr:rowOff>
    </xdr:to>
    <xdr:pic>
      <xdr:nvPicPr>
        <xdr:cNvPr id="12385" name="Рисунок 12384">
          <a:extLst>
            <a:ext uri="{FF2B5EF4-FFF2-40B4-BE49-F238E27FC236}">
              <a16:creationId xmlns:a16="http://schemas.microsoft.com/office/drawing/2014/main" id="{6D181297-F55A-4E73-9B73-2C39121CFAC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233617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2165</xdr:row>
      <xdr:rowOff>25400</xdr:rowOff>
    </xdr:from>
    <xdr:to>
      <xdr:col>11</xdr:col>
      <xdr:colOff>571500</xdr:colOff>
      <xdr:row>2166</xdr:row>
      <xdr:rowOff>0</xdr:rowOff>
    </xdr:to>
    <xdr:pic>
      <xdr:nvPicPr>
        <xdr:cNvPr id="12387" name="Рисунок 12386">
          <a:extLst>
            <a:ext uri="{FF2B5EF4-FFF2-40B4-BE49-F238E27FC236}">
              <a16:creationId xmlns:a16="http://schemas.microsoft.com/office/drawing/2014/main" id="{0393608C-6368-4A7A-AE16-719F86381B1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234189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2166</xdr:row>
      <xdr:rowOff>25400</xdr:rowOff>
    </xdr:from>
    <xdr:to>
      <xdr:col>11</xdr:col>
      <xdr:colOff>571500</xdr:colOff>
      <xdr:row>2167</xdr:row>
      <xdr:rowOff>0</xdr:rowOff>
    </xdr:to>
    <xdr:pic>
      <xdr:nvPicPr>
        <xdr:cNvPr id="12389" name="Рисунок 12388">
          <a:extLst>
            <a:ext uri="{FF2B5EF4-FFF2-40B4-BE49-F238E27FC236}">
              <a16:creationId xmlns:a16="http://schemas.microsoft.com/office/drawing/2014/main" id="{8C963E85-24BA-46E9-8995-B820AA4C777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234760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2167</xdr:row>
      <xdr:rowOff>25400</xdr:rowOff>
    </xdr:from>
    <xdr:to>
      <xdr:col>11</xdr:col>
      <xdr:colOff>571500</xdr:colOff>
      <xdr:row>2168</xdr:row>
      <xdr:rowOff>0</xdr:rowOff>
    </xdr:to>
    <xdr:pic>
      <xdr:nvPicPr>
        <xdr:cNvPr id="12391" name="Рисунок 12390">
          <a:extLst>
            <a:ext uri="{FF2B5EF4-FFF2-40B4-BE49-F238E27FC236}">
              <a16:creationId xmlns:a16="http://schemas.microsoft.com/office/drawing/2014/main" id="{B70E036F-7746-4BA6-909A-A6EB4A7D107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235332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2168</xdr:row>
      <xdr:rowOff>25400</xdr:rowOff>
    </xdr:from>
    <xdr:to>
      <xdr:col>11</xdr:col>
      <xdr:colOff>571500</xdr:colOff>
      <xdr:row>2169</xdr:row>
      <xdr:rowOff>0</xdr:rowOff>
    </xdr:to>
    <xdr:pic>
      <xdr:nvPicPr>
        <xdr:cNvPr id="12393" name="Рисунок 12392">
          <a:extLst>
            <a:ext uri="{FF2B5EF4-FFF2-40B4-BE49-F238E27FC236}">
              <a16:creationId xmlns:a16="http://schemas.microsoft.com/office/drawing/2014/main" id="{DA453F40-C35B-4FE0-98DD-917B90A63EB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235903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2169</xdr:row>
      <xdr:rowOff>25400</xdr:rowOff>
    </xdr:from>
    <xdr:to>
      <xdr:col>11</xdr:col>
      <xdr:colOff>571500</xdr:colOff>
      <xdr:row>2170</xdr:row>
      <xdr:rowOff>0</xdr:rowOff>
    </xdr:to>
    <xdr:pic>
      <xdr:nvPicPr>
        <xdr:cNvPr id="12395" name="Рисунок 12394">
          <a:extLst>
            <a:ext uri="{FF2B5EF4-FFF2-40B4-BE49-F238E27FC236}">
              <a16:creationId xmlns:a16="http://schemas.microsoft.com/office/drawing/2014/main" id="{107F7227-0CCE-4176-BE3F-89E64A3F6A5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3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236475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2170</xdr:row>
      <xdr:rowOff>25400</xdr:rowOff>
    </xdr:from>
    <xdr:to>
      <xdr:col>11</xdr:col>
      <xdr:colOff>571500</xdr:colOff>
      <xdr:row>2171</xdr:row>
      <xdr:rowOff>0</xdr:rowOff>
    </xdr:to>
    <xdr:pic>
      <xdr:nvPicPr>
        <xdr:cNvPr id="12397" name="Рисунок 12396">
          <a:extLst>
            <a:ext uri="{FF2B5EF4-FFF2-40B4-BE49-F238E27FC236}">
              <a16:creationId xmlns:a16="http://schemas.microsoft.com/office/drawing/2014/main" id="{84BFF626-4ABA-46BC-81E9-E1B742E0A20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3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237046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2171</xdr:row>
      <xdr:rowOff>25400</xdr:rowOff>
    </xdr:from>
    <xdr:to>
      <xdr:col>11</xdr:col>
      <xdr:colOff>571500</xdr:colOff>
      <xdr:row>2172</xdr:row>
      <xdr:rowOff>0</xdr:rowOff>
    </xdr:to>
    <xdr:pic>
      <xdr:nvPicPr>
        <xdr:cNvPr id="12399" name="Рисунок 12398">
          <a:extLst>
            <a:ext uri="{FF2B5EF4-FFF2-40B4-BE49-F238E27FC236}">
              <a16:creationId xmlns:a16="http://schemas.microsoft.com/office/drawing/2014/main" id="{457D921D-BCF6-4CE6-A012-0ED8DF59E72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3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237618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2172</xdr:row>
      <xdr:rowOff>25400</xdr:rowOff>
    </xdr:from>
    <xdr:to>
      <xdr:col>11</xdr:col>
      <xdr:colOff>571500</xdr:colOff>
      <xdr:row>2173</xdr:row>
      <xdr:rowOff>0</xdr:rowOff>
    </xdr:to>
    <xdr:pic>
      <xdr:nvPicPr>
        <xdr:cNvPr id="12401" name="Рисунок 12400">
          <a:extLst>
            <a:ext uri="{FF2B5EF4-FFF2-40B4-BE49-F238E27FC236}">
              <a16:creationId xmlns:a16="http://schemas.microsoft.com/office/drawing/2014/main" id="{1022FA0F-9F82-4A67-95F7-D44283C94FF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3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238189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2173</xdr:row>
      <xdr:rowOff>25400</xdr:rowOff>
    </xdr:from>
    <xdr:to>
      <xdr:col>11</xdr:col>
      <xdr:colOff>571500</xdr:colOff>
      <xdr:row>2174</xdr:row>
      <xdr:rowOff>0</xdr:rowOff>
    </xdr:to>
    <xdr:pic>
      <xdr:nvPicPr>
        <xdr:cNvPr id="12403" name="Рисунок 12402">
          <a:extLst>
            <a:ext uri="{FF2B5EF4-FFF2-40B4-BE49-F238E27FC236}">
              <a16:creationId xmlns:a16="http://schemas.microsoft.com/office/drawing/2014/main" id="{96DA677C-AED6-4A03-8274-27D318AC596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3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238761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2174</xdr:row>
      <xdr:rowOff>25400</xdr:rowOff>
    </xdr:from>
    <xdr:to>
      <xdr:col>11</xdr:col>
      <xdr:colOff>571500</xdr:colOff>
      <xdr:row>2175</xdr:row>
      <xdr:rowOff>0</xdr:rowOff>
    </xdr:to>
    <xdr:pic>
      <xdr:nvPicPr>
        <xdr:cNvPr id="12405" name="Рисунок 12404">
          <a:extLst>
            <a:ext uri="{FF2B5EF4-FFF2-40B4-BE49-F238E27FC236}">
              <a16:creationId xmlns:a16="http://schemas.microsoft.com/office/drawing/2014/main" id="{E915EFE8-85B4-4584-B32E-8C10FC06C43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3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239332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2175</xdr:row>
      <xdr:rowOff>25400</xdr:rowOff>
    </xdr:from>
    <xdr:to>
      <xdr:col>11</xdr:col>
      <xdr:colOff>571500</xdr:colOff>
      <xdr:row>2176</xdr:row>
      <xdr:rowOff>0</xdr:rowOff>
    </xdr:to>
    <xdr:pic>
      <xdr:nvPicPr>
        <xdr:cNvPr id="12407" name="Рисунок 12406">
          <a:extLst>
            <a:ext uri="{FF2B5EF4-FFF2-40B4-BE49-F238E27FC236}">
              <a16:creationId xmlns:a16="http://schemas.microsoft.com/office/drawing/2014/main" id="{F776BD4C-CF0E-43B3-97FD-DE9539FDBEF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3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239904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2176</xdr:row>
      <xdr:rowOff>25400</xdr:rowOff>
    </xdr:from>
    <xdr:to>
      <xdr:col>11</xdr:col>
      <xdr:colOff>571500</xdr:colOff>
      <xdr:row>2177</xdr:row>
      <xdr:rowOff>0</xdr:rowOff>
    </xdr:to>
    <xdr:pic>
      <xdr:nvPicPr>
        <xdr:cNvPr id="12409" name="Рисунок 12408">
          <a:extLst>
            <a:ext uri="{FF2B5EF4-FFF2-40B4-BE49-F238E27FC236}">
              <a16:creationId xmlns:a16="http://schemas.microsoft.com/office/drawing/2014/main" id="{C294701A-0784-41CC-809B-6ABEA3B0976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3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240475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2177</xdr:row>
      <xdr:rowOff>25400</xdr:rowOff>
    </xdr:from>
    <xdr:to>
      <xdr:col>11</xdr:col>
      <xdr:colOff>571500</xdr:colOff>
      <xdr:row>2178</xdr:row>
      <xdr:rowOff>0</xdr:rowOff>
    </xdr:to>
    <xdr:pic>
      <xdr:nvPicPr>
        <xdr:cNvPr id="12411" name="Рисунок 12410">
          <a:extLst>
            <a:ext uri="{FF2B5EF4-FFF2-40B4-BE49-F238E27FC236}">
              <a16:creationId xmlns:a16="http://schemas.microsoft.com/office/drawing/2014/main" id="{0ECE8F9B-108A-43CF-8B28-6067E3AFEF3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3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241047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2178</xdr:row>
      <xdr:rowOff>25400</xdr:rowOff>
    </xdr:from>
    <xdr:to>
      <xdr:col>11</xdr:col>
      <xdr:colOff>571500</xdr:colOff>
      <xdr:row>2179</xdr:row>
      <xdr:rowOff>0</xdr:rowOff>
    </xdr:to>
    <xdr:pic>
      <xdr:nvPicPr>
        <xdr:cNvPr id="12413" name="Рисунок 12412">
          <a:extLst>
            <a:ext uri="{FF2B5EF4-FFF2-40B4-BE49-F238E27FC236}">
              <a16:creationId xmlns:a16="http://schemas.microsoft.com/office/drawing/2014/main" id="{EF94E697-907E-4E27-9C39-E4B5D9DE58F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4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241618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2179</xdr:row>
      <xdr:rowOff>25400</xdr:rowOff>
    </xdr:from>
    <xdr:to>
      <xdr:col>11</xdr:col>
      <xdr:colOff>571500</xdr:colOff>
      <xdr:row>2180</xdr:row>
      <xdr:rowOff>0</xdr:rowOff>
    </xdr:to>
    <xdr:pic>
      <xdr:nvPicPr>
        <xdr:cNvPr id="12415" name="Рисунок 12414">
          <a:extLst>
            <a:ext uri="{FF2B5EF4-FFF2-40B4-BE49-F238E27FC236}">
              <a16:creationId xmlns:a16="http://schemas.microsoft.com/office/drawing/2014/main" id="{D9B30BE1-705A-4C6D-B0F5-A52D16558F5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4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242190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2180</xdr:row>
      <xdr:rowOff>25400</xdr:rowOff>
    </xdr:from>
    <xdr:to>
      <xdr:col>11</xdr:col>
      <xdr:colOff>571500</xdr:colOff>
      <xdr:row>2181</xdr:row>
      <xdr:rowOff>0</xdr:rowOff>
    </xdr:to>
    <xdr:pic>
      <xdr:nvPicPr>
        <xdr:cNvPr id="12417" name="Рисунок 12416">
          <a:extLst>
            <a:ext uri="{FF2B5EF4-FFF2-40B4-BE49-F238E27FC236}">
              <a16:creationId xmlns:a16="http://schemas.microsoft.com/office/drawing/2014/main" id="{2B9E5039-48C3-4B13-9860-D151E5D6265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242761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2181</xdr:row>
      <xdr:rowOff>25400</xdr:rowOff>
    </xdr:from>
    <xdr:to>
      <xdr:col>11</xdr:col>
      <xdr:colOff>571500</xdr:colOff>
      <xdr:row>2182</xdr:row>
      <xdr:rowOff>0</xdr:rowOff>
    </xdr:to>
    <xdr:pic>
      <xdr:nvPicPr>
        <xdr:cNvPr id="12419" name="Рисунок 12418">
          <a:extLst>
            <a:ext uri="{FF2B5EF4-FFF2-40B4-BE49-F238E27FC236}">
              <a16:creationId xmlns:a16="http://schemas.microsoft.com/office/drawing/2014/main" id="{4117D75F-55D2-4E1E-B997-21F05FE6DC7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243333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2182</xdr:row>
      <xdr:rowOff>25400</xdr:rowOff>
    </xdr:from>
    <xdr:to>
      <xdr:col>11</xdr:col>
      <xdr:colOff>571500</xdr:colOff>
      <xdr:row>2183</xdr:row>
      <xdr:rowOff>0</xdr:rowOff>
    </xdr:to>
    <xdr:pic>
      <xdr:nvPicPr>
        <xdr:cNvPr id="12421" name="Рисунок 12420">
          <a:extLst>
            <a:ext uri="{FF2B5EF4-FFF2-40B4-BE49-F238E27FC236}">
              <a16:creationId xmlns:a16="http://schemas.microsoft.com/office/drawing/2014/main" id="{6DB00B44-246D-4EAA-AAFB-AA5B924B440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243904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2183</xdr:row>
      <xdr:rowOff>25400</xdr:rowOff>
    </xdr:from>
    <xdr:to>
      <xdr:col>11</xdr:col>
      <xdr:colOff>571500</xdr:colOff>
      <xdr:row>2184</xdr:row>
      <xdr:rowOff>0</xdr:rowOff>
    </xdr:to>
    <xdr:pic>
      <xdr:nvPicPr>
        <xdr:cNvPr id="12423" name="Рисунок 12422">
          <a:extLst>
            <a:ext uri="{FF2B5EF4-FFF2-40B4-BE49-F238E27FC236}">
              <a16:creationId xmlns:a16="http://schemas.microsoft.com/office/drawing/2014/main" id="{8150EB30-C093-4D27-84A7-5FFA0321884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4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244476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2184</xdr:row>
      <xdr:rowOff>25400</xdr:rowOff>
    </xdr:from>
    <xdr:to>
      <xdr:col>11</xdr:col>
      <xdr:colOff>571500</xdr:colOff>
      <xdr:row>2185</xdr:row>
      <xdr:rowOff>0</xdr:rowOff>
    </xdr:to>
    <xdr:pic>
      <xdr:nvPicPr>
        <xdr:cNvPr id="12425" name="Рисунок 12424">
          <a:extLst>
            <a:ext uri="{FF2B5EF4-FFF2-40B4-BE49-F238E27FC236}">
              <a16:creationId xmlns:a16="http://schemas.microsoft.com/office/drawing/2014/main" id="{CD7A0CA5-789B-40F6-87D0-68139274C3E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4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245047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2185</xdr:row>
      <xdr:rowOff>25400</xdr:rowOff>
    </xdr:from>
    <xdr:to>
      <xdr:col>11</xdr:col>
      <xdr:colOff>571500</xdr:colOff>
      <xdr:row>2186</xdr:row>
      <xdr:rowOff>0</xdr:rowOff>
    </xdr:to>
    <xdr:pic>
      <xdr:nvPicPr>
        <xdr:cNvPr id="12427" name="Рисунок 12426">
          <a:extLst>
            <a:ext uri="{FF2B5EF4-FFF2-40B4-BE49-F238E27FC236}">
              <a16:creationId xmlns:a16="http://schemas.microsoft.com/office/drawing/2014/main" id="{12A4290B-B404-48FD-A4AE-4C995A6647B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4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245619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2186</xdr:row>
      <xdr:rowOff>25400</xdr:rowOff>
    </xdr:from>
    <xdr:to>
      <xdr:col>11</xdr:col>
      <xdr:colOff>571500</xdr:colOff>
      <xdr:row>2187</xdr:row>
      <xdr:rowOff>0</xdr:rowOff>
    </xdr:to>
    <xdr:pic>
      <xdr:nvPicPr>
        <xdr:cNvPr id="12429" name="Рисунок 12428">
          <a:extLst>
            <a:ext uri="{FF2B5EF4-FFF2-40B4-BE49-F238E27FC236}">
              <a16:creationId xmlns:a16="http://schemas.microsoft.com/office/drawing/2014/main" id="{D3B10ECE-2463-48AA-A5B0-1ABFCC5EE1B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4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246190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2187</xdr:row>
      <xdr:rowOff>25400</xdr:rowOff>
    </xdr:from>
    <xdr:to>
      <xdr:col>11</xdr:col>
      <xdr:colOff>571500</xdr:colOff>
      <xdr:row>2188</xdr:row>
      <xdr:rowOff>0</xdr:rowOff>
    </xdr:to>
    <xdr:pic>
      <xdr:nvPicPr>
        <xdr:cNvPr id="12431" name="Рисунок 12430">
          <a:extLst>
            <a:ext uri="{FF2B5EF4-FFF2-40B4-BE49-F238E27FC236}">
              <a16:creationId xmlns:a16="http://schemas.microsoft.com/office/drawing/2014/main" id="{600887A1-890D-456F-A87D-6D906DC8495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4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246762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2188</xdr:row>
      <xdr:rowOff>25400</xdr:rowOff>
    </xdr:from>
    <xdr:to>
      <xdr:col>11</xdr:col>
      <xdr:colOff>571500</xdr:colOff>
      <xdr:row>2189</xdr:row>
      <xdr:rowOff>0</xdr:rowOff>
    </xdr:to>
    <xdr:pic>
      <xdr:nvPicPr>
        <xdr:cNvPr id="12433" name="Рисунок 12432">
          <a:extLst>
            <a:ext uri="{FF2B5EF4-FFF2-40B4-BE49-F238E27FC236}">
              <a16:creationId xmlns:a16="http://schemas.microsoft.com/office/drawing/2014/main" id="{75A67C10-F6FB-4305-8475-1818B83C020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5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247333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2189</xdr:row>
      <xdr:rowOff>25400</xdr:rowOff>
    </xdr:from>
    <xdr:to>
      <xdr:col>11</xdr:col>
      <xdr:colOff>571500</xdr:colOff>
      <xdr:row>2190</xdr:row>
      <xdr:rowOff>0</xdr:rowOff>
    </xdr:to>
    <xdr:pic>
      <xdr:nvPicPr>
        <xdr:cNvPr id="12435" name="Рисунок 12434">
          <a:extLst>
            <a:ext uri="{FF2B5EF4-FFF2-40B4-BE49-F238E27FC236}">
              <a16:creationId xmlns:a16="http://schemas.microsoft.com/office/drawing/2014/main" id="{9753481D-26D2-4582-AFCB-4B5FCCA7A62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5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247905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2190</xdr:row>
      <xdr:rowOff>25400</xdr:rowOff>
    </xdr:from>
    <xdr:to>
      <xdr:col>11</xdr:col>
      <xdr:colOff>571500</xdr:colOff>
      <xdr:row>2191</xdr:row>
      <xdr:rowOff>0</xdr:rowOff>
    </xdr:to>
    <xdr:pic>
      <xdr:nvPicPr>
        <xdr:cNvPr id="12437" name="Рисунок 12436">
          <a:extLst>
            <a:ext uri="{FF2B5EF4-FFF2-40B4-BE49-F238E27FC236}">
              <a16:creationId xmlns:a16="http://schemas.microsoft.com/office/drawing/2014/main" id="{E173920D-FF36-4388-B07B-32D28A0241B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248476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2191</xdr:row>
      <xdr:rowOff>25400</xdr:rowOff>
    </xdr:from>
    <xdr:to>
      <xdr:col>11</xdr:col>
      <xdr:colOff>571500</xdr:colOff>
      <xdr:row>2192</xdr:row>
      <xdr:rowOff>0</xdr:rowOff>
    </xdr:to>
    <xdr:pic>
      <xdr:nvPicPr>
        <xdr:cNvPr id="12439" name="Рисунок 12438">
          <a:extLst>
            <a:ext uri="{FF2B5EF4-FFF2-40B4-BE49-F238E27FC236}">
              <a16:creationId xmlns:a16="http://schemas.microsoft.com/office/drawing/2014/main" id="{69FFFA01-3171-46B0-839D-D258BBE0904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5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249048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2192</xdr:row>
      <xdr:rowOff>25400</xdr:rowOff>
    </xdr:from>
    <xdr:to>
      <xdr:col>11</xdr:col>
      <xdr:colOff>571500</xdr:colOff>
      <xdr:row>2193</xdr:row>
      <xdr:rowOff>0</xdr:rowOff>
    </xdr:to>
    <xdr:pic>
      <xdr:nvPicPr>
        <xdr:cNvPr id="12441" name="Рисунок 12440">
          <a:extLst>
            <a:ext uri="{FF2B5EF4-FFF2-40B4-BE49-F238E27FC236}">
              <a16:creationId xmlns:a16="http://schemas.microsoft.com/office/drawing/2014/main" id="{5AEB02CF-5F41-42D1-8E1E-A1236EB012D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5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249619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2193</xdr:row>
      <xdr:rowOff>25400</xdr:rowOff>
    </xdr:from>
    <xdr:to>
      <xdr:col>11</xdr:col>
      <xdr:colOff>571500</xdr:colOff>
      <xdr:row>2194</xdr:row>
      <xdr:rowOff>0</xdr:rowOff>
    </xdr:to>
    <xdr:pic>
      <xdr:nvPicPr>
        <xdr:cNvPr id="12443" name="Рисунок 12442">
          <a:extLst>
            <a:ext uri="{FF2B5EF4-FFF2-40B4-BE49-F238E27FC236}">
              <a16:creationId xmlns:a16="http://schemas.microsoft.com/office/drawing/2014/main" id="{E1793C5C-F53C-487A-9E67-2C40EFCC04B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5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250191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2194</xdr:row>
      <xdr:rowOff>25400</xdr:rowOff>
    </xdr:from>
    <xdr:to>
      <xdr:col>11</xdr:col>
      <xdr:colOff>571500</xdr:colOff>
      <xdr:row>2195</xdr:row>
      <xdr:rowOff>0</xdr:rowOff>
    </xdr:to>
    <xdr:pic>
      <xdr:nvPicPr>
        <xdr:cNvPr id="12445" name="Рисунок 12444">
          <a:extLst>
            <a:ext uri="{FF2B5EF4-FFF2-40B4-BE49-F238E27FC236}">
              <a16:creationId xmlns:a16="http://schemas.microsoft.com/office/drawing/2014/main" id="{AD387E60-F64C-4143-94F7-3ADB869E289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5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250762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2195</xdr:row>
      <xdr:rowOff>25400</xdr:rowOff>
    </xdr:from>
    <xdr:to>
      <xdr:col>11</xdr:col>
      <xdr:colOff>571500</xdr:colOff>
      <xdr:row>2196</xdr:row>
      <xdr:rowOff>0</xdr:rowOff>
    </xdr:to>
    <xdr:pic>
      <xdr:nvPicPr>
        <xdr:cNvPr id="12447" name="Рисунок 12446">
          <a:extLst>
            <a:ext uri="{FF2B5EF4-FFF2-40B4-BE49-F238E27FC236}">
              <a16:creationId xmlns:a16="http://schemas.microsoft.com/office/drawing/2014/main" id="{94210634-4CF5-42A4-B4D9-1CD48D49C18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5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251334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2196</xdr:row>
      <xdr:rowOff>25400</xdr:rowOff>
    </xdr:from>
    <xdr:to>
      <xdr:col>11</xdr:col>
      <xdr:colOff>571500</xdr:colOff>
      <xdr:row>2197</xdr:row>
      <xdr:rowOff>0</xdr:rowOff>
    </xdr:to>
    <xdr:pic>
      <xdr:nvPicPr>
        <xdr:cNvPr id="12449" name="Рисунок 12448">
          <a:extLst>
            <a:ext uri="{FF2B5EF4-FFF2-40B4-BE49-F238E27FC236}">
              <a16:creationId xmlns:a16="http://schemas.microsoft.com/office/drawing/2014/main" id="{D43BB379-D3C5-4F49-B96F-4C150CF250C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5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251905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2197</xdr:row>
      <xdr:rowOff>25400</xdr:rowOff>
    </xdr:from>
    <xdr:to>
      <xdr:col>11</xdr:col>
      <xdr:colOff>571500</xdr:colOff>
      <xdr:row>2198</xdr:row>
      <xdr:rowOff>0</xdr:rowOff>
    </xdr:to>
    <xdr:pic>
      <xdr:nvPicPr>
        <xdr:cNvPr id="12451" name="Рисунок 12450">
          <a:extLst>
            <a:ext uri="{FF2B5EF4-FFF2-40B4-BE49-F238E27FC236}">
              <a16:creationId xmlns:a16="http://schemas.microsoft.com/office/drawing/2014/main" id="{DA58326B-3542-46E5-ADF1-BAE173DA9B9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5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252477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2198</xdr:row>
      <xdr:rowOff>25400</xdr:rowOff>
    </xdr:from>
    <xdr:to>
      <xdr:col>11</xdr:col>
      <xdr:colOff>571500</xdr:colOff>
      <xdr:row>2199</xdr:row>
      <xdr:rowOff>0</xdr:rowOff>
    </xdr:to>
    <xdr:pic>
      <xdr:nvPicPr>
        <xdr:cNvPr id="12453" name="Рисунок 12452">
          <a:extLst>
            <a:ext uri="{FF2B5EF4-FFF2-40B4-BE49-F238E27FC236}">
              <a16:creationId xmlns:a16="http://schemas.microsoft.com/office/drawing/2014/main" id="{EFBDBAB9-7895-464D-ABFB-E4D302B0254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6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253048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2199</xdr:row>
      <xdr:rowOff>25400</xdr:rowOff>
    </xdr:from>
    <xdr:to>
      <xdr:col>11</xdr:col>
      <xdr:colOff>571500</xdr:colOff>
      <xdr:row>2200</xdr:row>
      <xdr:rowOff>0</xdr:rowOff>
    </xdr:to>
    <xdr:pic>
      <xdr:nvPicPr>
        <xdr:cNvPr id="12455" name="Рисунок 12454">
          <a:extLst>
            <a:ext uri="{FF2B5EF4-FFF2-40B4-BE49-F238E27FC236}">
              <a16:creationId xmlns:a16="http://schemas.microsoft.com/office/drawing/2014/main" id="{5A9C35D6-0D35-4F73-90A9-1AE556F9C6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6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253620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2200</xdr:row>
      <xdr:rowOff>25400</xdr:rowOff>
    </xdr:from>
    <xdr:to>
      <xdr:col>11</xdr:col>
      <xdr:colOff>571500</xdr:colOff>
      <xdr:row>2201</xdr:row>
      <xdr:rowOff>0</xdr:rowOff>
    </xdr:to>
    <xdr:pic>
      <xdr:nvPicPr>
        <xdr:cNvPr id="12457" name="Рисунок 12456">
          <a:extLst>
            <a:ext uri="{FF2B5EF4-FFF2-40B4-BE49-F238E27FC236}">
              <a16:creationId xmlns:a16="http://schemas.microsoft.com/office/drawing/2014/main" id="{208FD041-D698-4E47-9C2A-AA3F3BB53CB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6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254191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2201</xdr:row>
      <xdr:rowOff>25400</xdr:rowOff>
    </xdr:from>
    <xdr:to>
      <xdr:col>11</xdr:col>
      <xdr:colOff>571500</xdr:colOff>
      <xdr:row>2202</xdr:row>
      <xdr:rowOff>0</xdr:rowOff>
    </xdr:to>
    <xdr:pic>
      <xdr:nvPicPr>
        <xdr:cNvPr id="12459" name="Рисунок 12458">
          <a:extLst>
            <a:ext uri="{FF2B5EF4-FFF2-40B4-BE49-F238E27FC236}">
              <a16:creationId xmlns:a16="http://schemas.microsoft.com/office/drawing/2014/main" id="{9274EAD9-42A0-4ACD-8E22-2956423E907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6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254763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2202</xdr:row>
      <xdr:rowOff>25400</xdr:rowOff>
    </xdr:from>
    <xdr:to>
      <xdr:col>11</xdr:col>
      <xdr:colOff>571500</xdr:colOff>
      <xdr:row>2203</xdr:row>
      <xdr:rowOff>0</xdr:rowOff>
    </xdr:to>
    <xdr:pic>
      <xdr:nvPicPr>
        <xdr:cNvPr id="12461" name="Рисунок 12460">
          <a:extLst>
            <a:ext uri="{FF2B5EF4-FFF2-40B4-BE49-F238E27FC236}">
              <a16:creationId xmlns:a16="http://schemas.microsoft.com/office/drawing/2014/main" id="{17DF60D7-447F-4CA9-AFBD-C2415C179C0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6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255334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2203</xdr:row>
      <xdr:rowOff>25400</xdr:rowOff>
    </xdr:from>
    <xdr:to>
      <xdr:col>11</xdr:col>
      <xdr:colOff>571500</xdr:colOff>
      <xdr:row>2204</xdr:row>
      <xdr:rowOff>0</xdr:rowOff>
    </xdr:to>
    <xdr:pic>
      <xdr:nvPicPr>
        <xdr:cNvPr id="12463" name="Рисунок 12462">
          <a:extLst>
            <a:ext uri="{FF2B5EF4-FFF2-40B4-BE49-F238E27FC236}">
              <a16:creationId xmlns:a16="http://schemas.microsoft.com/office/drawing/2014/main" id="{63689CB9-510C-4B84-9418-3ED96A564F3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6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255906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2204</xdr:row>
      <xdr:rowOff>25400</xdr:rowOff>
    </xdr:from>
    <xdr:to>
      <xdr:col>11</xdr:col>
      <xdr:colOff>571500</xdr:colOff>
      <xdr:row>2205</xdr:row>
      <xdr:rowOff>0</xdr:rowOff>
    </xdr:to>
    <xdr:pic>
      <xdr:nvPicPr>
        <xdr:cNvPr id="12465" name="Рисунок 12464">
          <a:extLst>
            <a:ext uri="{FF2B5EF4-FFF2-40B4-BE49-F238E27FC236}">
              <a16:creationId xmlns:a16="http://schemas.microsoft.com/office/drawing/2014/main" id="{45F60F04-424B-4707-B608-A0DC21E4F54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6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256477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2205</xdr:row>
      <xdr:rowOff>25400</xdr:rowOff>
    </xdr:from>
    <xdr:to>
      <xdr:col>11</xdr:col>
      <xdr:colOff>571500</xdr:colOff>
      <xdr:row>2206</xdr:row>
      <xdr:rowOff>0</xdr:rowOff>
    </xdr:to>
    <xdr:pic>
      <xdr:nvPicPr>
        <xdr:cNvPr id="12467" name="Рисунок 12466">
          <a:extLst>
            <a:ext uri="{FF2B5EF4-FFF2-40B4-BE49-F238E27FC236}">
              <a16:creationId xmlns:a16="http://schemas.microsoft.com/office/drawing/2014/main" id="{C0FCABAC-5DFA-4A5B-A7B5-894078A55D3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6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257049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2206</xdr:row>
      <xdr:rowOff>25400</xdr:rowOff>
    </xdr:from>
    <xdr:to>
      <xdr:col>11</xdr:col>
      <xdr:colOff>571500</xdr:colOff>
      <xdr:row>2207</xdr:row>
      <xdr:rowOff>0</xdr:rowOff>
    </xdr:to>
    <xdr:pic>
      <xdr:nvPicPr>
        <xdr:cNvPr id="12469" name="Рисунок 12468">
          <a:extLst>
            <a:ext uri="{FF2B5EF4-FFF2-40B4-BE49-F238E27FC236}">
              <a16:creationId xmlns:a16="http://schemas.microsoft.com/office/drawing/2014/main" id="{92FF50A3-A306-4261-919B-704B553BF09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6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257620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2207</xdr:row>
      <xdr:rowOff>25400</xdr:rowOff>
    </xdr:from>
    <xdr:to>
      <xdr:col>11</xdr:col>
      <xdr:colOff>571500</xdr:colOff>
      <xdr:row>2208</xdr:row>
      <xdr:rowOff>0</xdr:rowOff>
    </xdr:to>
    <xdr:pic>
      <xdr:nvPicPr>
        <xdr:cNvPr id="12471" name="Рисунок 12470">
          <a:extLst>
            <a:ext uri="{FF2B5EF4-FFF2-40B4-BE49-F238E27FC236}">
              <a16:creationId xmlns:a16="http://schemas.microsoft.com/office/drawing/2014/main" id="{66F7FFD0-24AA-457A-846E-4AC24A52F1E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6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258192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2208</xdr:row>
      <xdr:rowOff>25400</xdr:rowOff>
    </xdr:from>
    <xdr:to>
      <xdr:col>11</xdr:col>
      <xdr:colOff>571500</xdr:colOff>
      <xdr:row>2209</xdr:row>
      <xdr:rowOff>0</xdr:rowOff>
    </xdr:to>
    <xdr:pic>
      <xdr:nvPicPr>
        <xdr:cNvPr id="12473" name="Рисунок 12472">
          <a:extLst>
            <a:ext uri="{FF2B5EF4-FFF2-40B4-BE49-F238E27FC236}">
              <a16:creationId xmlns:a16="http://schemas.microsoft.com/office/drawing/2014/main" id="{ACF2BDE9-408A-4CAE-9F9A-78D1BECE05D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7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258763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2209</xdr:row>
      <xdr:rowOff>25400</xdr:rowOff>
    </xdr:from>
    <xdr:to>
      <xdr:col>11</xdr:col>
      <xdr:colOff>571500</xdr:colOff>
      <xdr:row>2210</xdr:row>
      <xdr:rowOff>0</xdr:rowOff>
    </xdr:to>
    <xdr:pic>
      <xdr:nvPicPr>
        <xdr:cNvPr id="12475" name="Рисунок 12474">
          <a:extLst>
            <a:ext uri="{FF2B5EF4-FFF2-40B4-BE49-F238E27FC236}">
              <a16:creationId xmlns:a16="http://schemas.microsoft.com/office/drawing/2014/main" id="{9DDA5335-F5EB-4469-BFCD-88DFBB89CFE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7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259335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2210</xdr:row>
      <xdr:rowOff>25400</xdr:rowOff>
    </xdr:from>
    <xdr:to>
      <xdr:col>11</xdr:col>
      <xdr:colOff>571500</xdr:colOff>
      <xdr:row>2211</xdr:row>
      <xdr:rowOff>0</xdr:rowOff>
    </xdr:to>
    <xdr:pic>
      <xdr:nvPicPr>
        <xdr:cNvPr id="12477" name="Рисунок 12476">
          <a:extLst>
            <a:ext uri="{FF2B5EF4-FFF2-40B4-BE49-F238E27FC236}">
              <a16:creationId xmlns:a16="http://schemas.microsoft.com/office/drawing/2014/main" id="{CB2E7C98-163B-4FC2-9B2A-8B202FD0DFD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7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259906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2211</xdr:row>
      <xdr:rowOff>25400</xdr:rowOff>
    </xdr:from>
    <xdr:to>
      <xdr:col>11</xdr:col>
      <xdr:colOff>571500</xdr:colOff>
      <xdr:row>2212</xdr:row>
      <xdr:rowOff>0</xdr:rowOff>
    </xdr:to>
    <xdr:pic>
      <xdr:nvPicPr>
        <xdr:cNvPr id="12479" name="Рисунок 12478">
          <a:extLst>
            <a:ext uri="{FF2B5EF4-FFF2-40B4-BE49-F238E27FC236}">
              <a16:creationId xmlns:a16="http://schemas.microsoft.com/office/drawing/2014/main" id="{BB555CB2-B36F-48A2-89A9-2B21D350E19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7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260478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2212</xdr:row>
      <xdr:rowOff>25400</xdr:rowOff>
    </xdr:from>
    <xdr:to>
      <xdr:col>11</xdr:col>
      <xdr:colOff>571500</xdr:colOff>
      <xdr:row>2213</xdr:row>
      <xdr:rowOff>0</xdr:rowOff>
    </xdr:to>
    <xdr:pic>
      <xdr:nvPicPr>
        <xdr:cNvPr id="12481" name="Рисунок 12480">
          <a:extLst>
            <a:ext uri="{FF2B5EF4-FFF2-40B4-BE49-F238E27FC236}">
              <a16:creationId xmlns:a16="http://schemas.microsoft.com/office/drawing/2014/main" id="{6564A70A-2209-4444-AF03-E242BA7EAA8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7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261049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2213</xdr:row>
      <xdr:rowOff>25400</xdr:rowOff>
    </xdr:from>
    <xdr:to>
      <xdr:col>11</xdr:col>
      <xdr:colOff>571500</xdr:colOff>
      <xdr:row>2214</xdr:row>
      <xdr:rowOff>0</xdr:rowOff>
    </xdr:to>
    <xdr:pic>
      <xdr:nvPicPr>
        <xdr:cNvPr id="12483" name="Рисунок 12482">
          <a:extLst>
            <a:ext uri="{FF2B5EF4-FFF2-40B4-BE49-F238E27FC236}">
              <a16:creationId xmlns:a16="http://schemas.microsoft.com/office/drawing/2014/main" id="{F6425ABD-825A-4CDF-BF13-3A304DEA694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7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261621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2214</xdr:row>
      <xdr:rowOff>25400</xdr:rowOff>
    </xdr:from>
    <xdr:to>
      <xdr:col>11</xdr:col>
      <xdr:colOff>571500</xdr:colOff>
      <xdr:row>2215</xdr:row>
      <xdr:rowOff>0</xdr:rowOff>
    </xdr:to>
    <xdr:pic>
      <xdr:nvPicPr>
        <xdr:cNvPr id="12485" name="Рисунок 12484">
          <a:extLst>
            <a:ext uri="{FF2B5EF4-FFF2-40B4-BE49-F238E27FC236}">
              <a16:creationId xmlns:a16="http://schemas.microsoft.com/office/drawing/2014/main" id="{567BEE24-1DAC-4E7A-A6B0-E3F5658BA75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7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262192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2215</xdr:row>
      <xdr:rowOff>25400</xdr:rowOff>
    </xdr:from>
    <xdr:to>
      <xdr:col>11</xdr:col>
      <xdr:colOff>571500</xdr:colOff>
      <xdr:row>2216</xdr:row>
      <xdr:rowOff>0</xdr:rowOff>
    </xdr:to>
    <xdr:pic>
      <xdr:nvPicPr>
        <xdr:cNvPr id="12487" name="Рисунок 12486">
          <a:extLst>
            <a:ext uri="{FF2B5EF4-FFF2-40B4-BE49-F238E27FC236}">
              <a16:creationId xmlns:a16="http://schemas.microsoft.com/office/drawing/2014/main" id="{7B8730D8-301E-4A78-A66F-4C9D1359CDB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7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262764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2216</xdr:row>
      <xdr:rowOff>25400</xdr:rowOff>
    </xdr:from>
    <xdr:to>
      <xdr:col>11</xdr:col>
      <xdr:colOff>571500</xdr:colOff>
      <xdr:row>2217</xdr:row>
      <xdr:rowOff>0</xdr:rowOff>
    </xdr:to>
    <xdr:pic>
      <xdr:nvPicPr>
        <xdr:cNvPr id="12489" name="Рисунок 12488">
          <a:extLst>
            <a:ext uri="{FF2B5EF4-FFF2-40B4-BE49-F238E27FC236}">
              <a16:creationId xmlns:a16="http://schemas.microsoft.com/office/drawing/2014/main" id="{DD6E53B1-A3C5-4147-BD8A-DB344410DB3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7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263335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2217</xdr:row>
      <xdr:rowOff>25400</xdr:rowOff>
    </xdr:from>
    <xdr:to>
      <xdr:col>11</xdr:col>
      <xdr:colOff>571500</xdr:colOff>
      <xdr:row>2218</xdr:row>
      <xdr:rowOff>0</xdr:rowOff>
    </xdr:to>
    <xdr:pic>
      <xdr:nvPicPr>
        <xdr:cNvPr id="12491" name="Рисунок 12490">
          <a:extLst>
            <a:ext uri="{FF2B5EF4-FFF2-40B4-BE49-F238E27FC236}">
              <a16:creationId xmlns:a16="http://schemas.microsoft.com/office/drawing/2014/main" id="{FB01D82D-5910-4E57-AB2E-370C5F4C310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7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263907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2218</xdr:row>
      <xdr:rowOff>25400</xdr:rowOff>
    </xdr:from>
    <xdr:to>
      <xdr:col>11</xdr:col>
      <xdr:colOff>571500</xdr:colOff>
      <xdr:row>2219</xdr:row>
      <xdr:rowOff>0</xdr:rowOff>
    </xdr:to>
    <xdr:pic>
      <xdr:nvPicPr>
        <xdr:cNvPr id="12493" name="Рисунок 12492">
          <a:extLst>
            <a:ext uri="{FF2B5EF4-FFF2-40B4-BE49-F238E27FC236}">
              <a16:creationId xmlns:a16="http://schemas.microsoft.com/office/drawing/2014/main" id="{73A3862E-7D86-4B81-9CFA-3615E160B2D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8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264478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2219</xdr:row>
      <xdr:rowOff>25400</xdr:rowOff>
    </xdr:from>
    <xdr:to>
      <xdr:col>11</xdr:col>
      <xdr:colOff>571500</xdr:colOff>
      <xdr:row>2220</xdr:row>
      <xdr:rowOff>0</xdr:rowOff>
    </xdr:to>
    <xdr:pic>
      <xdr:nvPicPr>
        <xdr:cNvPr id="12495" name="Рисунок 12494">
          <a:extLst>
            <a:ext uri="{FF2B5EF4-FFF2-40B4-BE49-F238E27FC236}">
              <a16:creationId xmlns:a16="http://schemas.microsoft.com/office/drawing/2014/main" id="{2A15700A-8617-4967-A97E-B9D056D1831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8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265050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2220</xdr:row>
      <xdr:rowOff>25400</xdr:rowOff>
    </xdr:from>
    <xdr:to>
      <xdr:col>11</xdr:col>
      <xdr:colOff>571500</xdr:colOff>
      <xdr:row>2221</xdr:row>
      <xdr:rowOff>0</xdr:rowOff>
    </xdr:to>
    <xdr:pic>
      <xdr:nvPicPr>
        <xdr:cNvPr id="12497" name="Рисунок 12496">
          <a:extLst>
            <a:ext uri="{FF2B5EF4-FFF2-40B4-BE49-F238E27FC236}">
              <a16:creationId xmlns:a16="http://schemas.microsoft.com/office/drawing/2014/main" id="{B55A86B8-4A96-434C-B8A6-571FB5833E2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8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265621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2221</xdr:row>
      <xdr:rowOff>25400</xdr:rowOff>
    </xdr:from>
    <xdr:to>
      <xdr:col>11</xdr:col>
      <xdr:colOff>571500</xdr:colOff>
      <xdr:row>2222</xdr:row>
      <xdr:rowOff>0</xdr:rowOff>
    </xdr:to>
    <xdr:pic>
      <xdr:nvPicPr>
        <xdr:cNvPr id="12499" name="Рисунок 12498">
          <a:extLst>
            <a:ext uri="{FF2B5EF4-FFF2-40B4-BE49-F238E27FC236}">
              <a16:creationId xmlns:a16="http://schemas.microsoft.com/office/drawing/2014/main" id="{681EFDC2-4C63-4BED-ACBC-F05E1943588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8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266193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2222</xdr:row>
      <xdr:rowOff>25400</xdr:rowOff>
    </xdr:from>
    <xdr:to>
      <xdr:col>11</xdr:col>
      <xdr:colOff>571500</xdr:colOff>
      <xdr:row>2223</xdr:row>
      <xdr:rowOff>0</xdr:rowOff>
    </xdr:to>
    <xdr:pic>
      <xdr:nvPicPr>
        <xdr:cNvPr id="12501" name="Рисунок 12500">
          <a:extLst>
            <a:ext uri="{FF2B5EF4-FFF2-40B4-BE49-F238E27FC236}">
              <a16:creationId xmlns:a16="http://schemas.microsoft.com/office/drawing/2014/main" id="{9454AFE6-45EB-4292-91EA-4134AEB7CDF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8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266764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2223</xdr:row>
      <xdr:rowOff>25400</xdr:rowOff>
    </xdr:from>
    <xdr:to>
      <xdr:col>11</xdr:col>
      <xdr:colOff>571500</xdr:colOff>
      <xdr:row>2224</xdr:row>
      <xdr:rowOff>0</xdr:rowOff>
    </xdr:to>
    <xdr:pic>
      <xdr:nvPicPr>
        <xdr:cNvPr id="12503" name="Рисунок 12502">
          <a:extLst>
            <a:ext uri="{FF2B5EF4-FFF2-40B4-BE49-F238E27FC236}">
              <a16:creationId xmlns:a16="http://schemas.microsoft.com/office/drawing/2014/main" id="{BFE8225F-576C-494E-A4E4-C587F05FF1F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8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267336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2224</xdr:row>
      <xdr:rowOff>25400</xdr:rowOff>
    </xdr:from>
    <xdr:to>
      <xdr:col>11</xdr:col>
      <xdr:colOff>571500</xdr:colOff>
      <xdr:row>2225</xdr:row>
      <xdr:rowOff>0</xdr:rowOff>
    </xdr:to>
    <xdr:pic>
      <xdr:nvPicPr>
        <xdr:cNvPr id="12505" name="Рисунок 12504">
          <a:extLst>
            <a:ext uri="{FF2B5EF4-FFF2-40B4-BE49-F238E27FC236}">
              <a16:creationId xmlns:a16="http://schemas.microsoft.com/office/drawing/2014/main" id="{1059463B-4DC9-4EBF-8CC1-80A2FFCE498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8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267907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2225</xdr:row>
      <xdr:rowOff>25400</xdr:rowOff>
    </xdr:from>
    <xdr:to>
      <xdr:col>11</xdr:col>
      <xdr:colOff>571500</xdr:colOff>
      <xdr:row>2226</xdr:row>
      <xdr:rowOff>0</xdr:rowOff>
    </xdr:to>
    <xdr:pic>
      <xdr:nvPicPr>
        <xdr:cNvPr id="12507" name="Рисунок 12506">
          <a:extLst>
            <a:ext uri="{FF2B5EF4-FFF2-40B4-BE49-F238E27FC236}">
              <a16:creationId xmlns:a16="http://schemas.microsoft.com/office/drawing/2014/main" id="{82D957B7-0243-45E3-A023-FE89D2C89D2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8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268479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2226</xdr:row>
      <xdr:rowOff>25400</xdr:rowOff>
    </xdr:from>
    <xdr:to>
      <xdr:col>11</xdr:col>
      <xdr:colOff>571500</xdr:colOff>
      <xdr:row>2227</xdr:row>
      <xdr:rowOff>0</xdr:rowOff>
    </xdr:to>
    <xdr:pic>
      <xdr:nvPicPr>
        <xdr:cNvPr id="12509" name="Рисунок 12508">
          <a:extLst>
            <a:ext uri="{FF2B5EF4-FFF2-40B4-BE49-F238E27FC236}">
              <a16:creationId xmlns:a16="http://schemas.microsoft.com/office/drawing/2014/main" id="{335368C7-05E3-41B1-A8F8-9B130C3F27C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8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269050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2227</xdr:row>
      <xdr:rowOff>25400</xdr:rowOff>
    </xdr:from>
    <xdr:to>
      <xdr:col>11</xdr:col>
      <xdr:colOff>571500</xdr:colOff>
      <xdr:row>2228</xdr:row>
      <xdr:rowOff>0</xdr:rowOff>
    </xdr:to>
    <xdr:pic>
      <xdr:nvPicPr>
        <xdr:cNvPr id="12511" name="Рисунок 12510">
          <a:extLst>
            <a:ext uri="{FF2B5EF4-FFF2-40B4-BE49-F238E27FC236}">
              <a16:creationId xmlns:a16="http://schemas.microsoft.com/office/drawing/2014/main" id="{E310B5CF-4C5A-4DE7-AF2A-D428B4F6AAC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8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269622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2228</xdr:row>
      <xdr:rowOff>25400</xdr:rowOff>
    </xdr:from>
    <xdr:to>
      <xdr:col>11</xdr:col>
      <xdr:colOff>571500</xdr:colOff>
      <xdr:row>2229</xdr:row>
      <xdr:rowOff>0</xdr:rowOff>
    </xdr:to>
    <xdr:pic>
      <xdr:nvPicPr>
        <xdr:cNvPr id="12513" name="Рисунок 12512">
          <a:extLst>
            <a:ext uri="{FF2B5EF4-FFF2-40B4-BE49-F238E27FC236}">
              <a16:creationId xmlns:a16="http://schemas.microsoft.com/office/drawing/2014/main" id="{11D30D4F-3AEB-43B9-98BA-E472BE4E722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9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270193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2229</xdr:row>
      <xdr:rowOff>25400</xdr:rowOff>
    </xdr:from>
    <xdr:to>
      <xdr:col>11</xdr:col>
      <xdr:colOff>571500</xdr:colOff>
      <xdr:row>2230</xdr:row>
      <xdr:rowOff>0</xdr:rowOff>
    </xdr:to>
    <xdr:pic>
      <xdr:nvPicPr>
        <xdr:cNvPr id="12515" name="Рисунок 12514">
          <a:extLst>
            <a:ext uri="{FF2B5EF4-FFF2-40B4-BE49-F238E27FC236}">
              <a16:creationId xmlns:a16="http://schemas.microsoft.com/office/drawing/2014/main" id="{0AC1D6C2-3339-4689-B378-4FF36F3805A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9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270765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2230</xdr:row>
      <xdr:rowOff>25400</xdr:rowOff>
    </xdr:from>
    <xdr:to>
      <xdr:col>11</xdr:col>
      <xdr:colOff>571500</xdr:colOff>
      <xdr:row>2231</xdr:row>
      <xdr:rowOff>0</xdr:rowOff>
    </xdr:to>
    <xdr:pic>
      <xdr:nvPicPr>
        <xdr:cNvPr id="12517" name="Рисунок 12516">
          <a:extLst>
            <a:ext uri="{FF2B5EF4-FFF2-40B4-BE49-F238E27FC236}">
              <a16:creationId xmlns:a16="http://schemas.microsoft.com/office/drawing/2014/main" id="{87F3658C-7A18-4CC7-BE67-E1B91035923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9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271336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2231</xdr:row>
      <xdr:rowOff>25400</xdr:rowOff>
    </xdr:from>
    <xdr:to>
      <xdr:col>11</xdr:col>
      <xdr:colOff>571500</xdr:colOff>
      <xdr:row>2232</xdr:row>
      <xdr:rowOff>0</xdr:rowOff>
    </xdr:to>
    <xdr:pic>
      <xdr:nvPicPr>
        <xdr:cNvPr id="12519" name="Рисунок 12518">
          <a:extLst>
            <a:ext uri="{FF2B5EF4-FFF2-40B4-BE49-F238E27FC236}">
              <a16:creationId xmlns:a16="http://schemas.microsoft.com/office/drawing/2014/main" id="{6B510F31-4FAE-44BB-AAE5-8B161020571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9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271908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2232</xdr:row>
      <xdr:rowOff>25400</xdr:rowOff>
    </xdr:from>
    <xdr:to>
      <xdr:col>11</xdr:col>
      <xdr:colOff>571500</xdr:colOff>
      <xdr:row>2233</xdr:row>
      <xdr:rowOff>0</xdr:rowOff>
    </xdr:to>
    <xdr:pic>
      <xdr:nvPicPr>
        <xdr:cNvPr id="12521" name="Рисунок 12520">
          <a:extLst>
            <a:ext uri="{FF2B5EF4-FFF2-40B4-BE49-F238E27FC236}">
              <a16:creationId xmlns:a16="http://schemas.microsoft.com/office/drawing/2014/main" id="{A29420BB-42D2-474F-A13D-2413B348BB7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9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272479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2233</xdr:row>
      <xdr:rowOff>25400</xdr:rowOff>
    </xdr:from>
    <xdr:to>
      <xdr:col>11</xdr:col>
      <xdr:colOff>571500</xdr:colOff>
      <xdr:row>2234</xdr:row>
      <xdr:rowOff>0</xdr:rowOff>
    </xdr:to>
    <xdr:pic>
      <xdr:nvPicPr>
        <xdr:cNvPr id="12523" name="Рисунок 12522">
          <a:extLst>
            <a:ext uri="{FF2B5EF4-FFF2-40B4-BE49-F238E27FC236}">
              <a16:creationId xmlns:a16="http://schemas.microsoft.com/office/drawing/2014/main" id="{FF373DA8-A703-403A-BAEE-2DFDC68EBFF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9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273051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2234</xdr:row>
      <xdr:rowOff>25400</xdr:rowOff>
    </xdr:from>
    <xdr:to>
      <xdr:col>11</xdr:col>
      <xdr:colOff>571500</xdr:colOff>
      <xdr:row>2235</xdr:row>
      <xdr:rowOff>0</xdr:rowOff>
    </xdr:to>
    <xdr:pic>
      <xdr:nvPicPr>
        <xdr:cNvPr id="12525" name="Рисунок 12524">
          <a:extLst>
            <a:ext uri="{FF2B5EF4-FFF2-40B4-BE49-F238E27FC236}">
              <a16:creationId xmlns:a16="http://schemas.microsoft.com/office/drawing/2014/main" id="{56971023-B694-4416-B648-15D56BF6056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9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273622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2235</xdr:row>
      <xdr:rowOff>25400</xdr:rowOff>
    </xdr:from>
    <xdr:to>
      <xdr:col>11</xdr:col>
      <xdr:colOff>571500</xdr:colOff>
      <xdr:row>2236</xdr:row>
      <xdr:rowOff>0</xdr:rowOff>
    </xdr:to>
    <xdr:pic>
      <xdr:nvPicPr>
        <xdr:cNvPr id="12527" name="Рисунок 12526">
          <a:extLst>
            <a:ext uri="{FF2B5EF4-FFF2-40B4-BE49-F238E27FC236}">
              <a16:creationId xmlns:a16="http://schemas.microsoft.com/office/drawing/2014/main" id="{087508D3-5BEA-4029-A98B-A11D692D14D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9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274194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2236</xdr:row>
      <xdr:rowOff>25400</xdr:rowOff>
    </xdr:from>
    <xdr:to>
      <xdr:col>11</xdr:col>
      <xdr:colOff>571500</xdr:colOff>
      <xdr:row>2237</xdr:row>
      <xdr:rowOff>0</xdr:rowOff>
    </xdr:to>
    <xdr:pic>
      <xdr:nvPicPr>
        <xdr:cNvPr id="12529" name="Рисунок 12528">
          <a:extLst>
            <a:ext uri="{FF2B5EF4-FFF2-40B4-BE49-F238E27FC236}">
              <a16:creationId xmlns:a16="http://schemas.microsoft.com/office/drawing/2014/main" id="{56665B79-A40D-403C-97A2-E886B115444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9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274765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2237</xdr:row>
      <xdr:rowOff>25400</xdr:rowOff>
    </xdr:from>
    <xdr:to>
      <xdr:col>11</xdr:col>
      <xdr:colOff>571500</xdr:colOff>
      <xdr:row>2238</xdr:row>
      <xdr:rowOff>0</xdr:rowOff>
    </xdr:to>
    <xdr:pic>
      <xdr:nvPicPr>
        <xdr:cNvPr id="12531" name="Рисунок 12530">
          <a:extLst>
            <a:ext uri="{FF2B5EF4-FFF2-40B4-BE49-F238E27FC236}">
              <a16:creationId xmlns:a16="http://schemas.microsoft.com/office/drawing/2014/main" id="{EA9AD1BF-B96C-4CF0-8B56-51BC360495E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19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275337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2238</xdr:row>
      <xdr:rowOff>25400</xdr:rowOff>
    </xdr:from>
    <xdr:to>
      <xdr:col>11</xdr:col>
      <xdr:colOff>571500</xdr:colOff>
      <xdr:row>2239</xdr:row>
      <xdr:rowOff>0</xdr:rowOff>
    </xdr:to>
    <xdr:pic>
      <xdr:nvPicPr>
        <xdr:cNvPr id="12533" name="Рисунок 12532">
          <a:extLst>
            <a:ext uri="{FF2B5EF4-FFF2-40B4-BE49-F238E27FC236}">
              <a16:creationId xmlns:a16="http://schemas.microsoft.com/office/drawing/2014/main" id="{5CB197C6-608E-4E60-9AF8-D2725171166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0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275908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2239</xdr:row>
      <xdr:rowOff>25400</xdr:rowOff>
    </xdr:from>
    <xdr:to>
      <xdr:col>11</xdr:col>
      <xdr:colOff>571500</xdr:colOff>
      <xdr:row>2240</xdr:row>
      <xdr:rowOff>0</xdr:rowOff>
    </xdr:to>
    <xdr:pic>
      <xdr:nvPicPr>
        <xdr:cNvPr id="12535" name="Рисунок 12534">
          <a:extLst>
            <a:ext uri="{FF2B5EF4-FFF2-40B4-BE49-F238E27FC236}">
              <a16:creationId xmlns:a16="http://schemas.microsoft.com/office/drawing/2014/main" id="{8D91B6A1-32CF-4C3B-8E76-3CDD49EA583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0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276480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2240</xdr:row>
      <xdr:rowOff>25400</xdr:rowOff>
    </xdr:from>
    <xdr:to>
      <xdr:col>11</xdr:col>
      <xdr:colOff>571500</xdr:colOff>
      <xdr:row>2241</xdr:row>
      <xdr:rowOff>0</xdr:rowOff>
    </xdr:to>
    <xdr:pic>
      <xdr:nvPicPr>
        <xdr:cNvPr id="12537" name="Рисунок 12536">
          <a:extLst>
            <a:ext uri="{FF2B5EF4-FFF2-40B4-BE49-F238E27FC236}">
              <a16:creationId xmlns:a16="http://schemas.microsoft.com/office/drawing/2014/main" id="{2B37A987-62DB-468C-A545-09DFFA05ABB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0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277051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2241</xdr:row>
      <xdr:rowOff>25400</xdr:rowOff>
    </xdr:from>
    <xdr:to>
      <xdr:col>11</xdr:col>
      <xdr:colOff>571500</xdr:colOff>
      <xdr:row>2242</xdr:row>
      <xdr:rowOff>0</xdr:rowOff>
    </xdr:to>
    <xdr:pic>
      <xdr:nvPicPr>
        <xdr:cNvPr id="12539" name="Рисунок 12538">
          <a:extLst>
            <a:ext uri="{FF2B5EF4-FFF2-40B4-BE49-F238E27FC236}">
              <a16:creationId xmlns:a16="http://schemas.microsoft.com/office/drawing/2014/main" id="{D8BDC3EB-E2DC-4792-AAFB-683128659A8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0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277623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2242</xdr:row>
      <xdr:rowOff>25400</xdr:rowOff>
    </xdr:from>
    <xdr:to>
      <xdr:col>11</xdr:col>
      <xdr:colOff>571500</xdr:colOff>
      <xdr:row>2243</xdr:row>
      <xdr:rowOff>0</xdr:rowOff>
    </xdr:to>
    <xdr:pic>
      <xdr:nvPicPr>
        <xdr:cNvPr id="12541" name="Рисунок 12540">
          <a:extLst>
            <a:ext uri="{FF2B5EF4-FFF2-40B4-BE49-F238E27FC236}">
              <a16:creationId xmlns:a16="http://schemas.microsoft.com/office/drawing/2014/main" id="{23009ECB-5542-4F30-94B1-67F42FE724A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0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278194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2243</xdr:row>
      <xdr:rowOff>25400</xdr:rowOff>
    </xdr:from>
    <xdr:to>
      <xdr:col>11</xdr:col>
      <xdr:colOff>571500</xdr:colOff>
      <xdr:row>2244</xdr:row>
      <xdr:rowOff>0</xdr:rowOff>
    </xdr:to>
    <xdr:pic>
      <xdr:nvPicPr>
        <xdr:cNvPr id="12543" name="Рисунок 12542">
          <a:extLst>
            <a:ext uri="{FF2B5EF4-FFF2-40B4-BE49-F238E27FC236}">
              <a16:creationId xmlns:a16="http://schemas.microsoft.com/office/drawing/2014/main" id="{1CB35A9C-B444-4BCF-8DA2-CC3FDF99165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0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278766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2244</xdr:row>
      <xdr:rowOff>25400</xdr:rowOff>
    </xdr:from>
    <xdr:to>
      <xdr:col>11</xdr:col>
      <xdr:colOff>571500</xdr:colOff>
      <xdr:row>2245</xdr:row>
      <xdr:rowOff>0</xdr:rowOff>
    </xdr:to>
    <xdr:pic>
      <xdr:nvPicPr>
        <xdr:cNvPr id="12545" name="Рисунок 12544">
          <a:extLst>
            <a:ext uri="{FF2B5EF4-FFF2-40B4-BE49-F238E27FC236}">
              <a16:creationId xmlns:a16="http://schemas.microsoft.com/office/drawing/2014/main" id="{CCF1CCF7-178D-45BF-9069-79D0979D1FC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0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279337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2245</xdr:row>
      <xdr:rowOff>25400</xdr:rowOff>
    </xdr:from>
    <xdr:to>
      <xdr:col>11</xdr:col>
      <xdr:colOff>571500</xdr:colOff>
      <xdr:row>2246</xdr:row>
      <xdr:rowOff>0</xdr:rowOff>
    </xdr:to>
    <xdr:pic>
      <xdr:nvPicPr>
        <xdr:cNvPr id="12547" name="Рисунок 12546">
          <a:extLst>
            <a:ext uri="{FF2B5EF4-FFF2-40B4-BE49-F238E27FC236}">
              <a16:creationId xmlns:a16="http://schemas.microsoft.com/office/drawing/2014/main" id="{60D69F51-7614-4D5F-ADD4-4B9F7404AD2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0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279909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2246</xdr:row>
      <xdr:rowOff>25400</xdr:rowOff>
    </xdr:from>
    <xdr:to>
      <xdr:col>11</xdr:col>
      <xdr:colOff>571500</xdr:colOff>
      <xdr:row>2247</xdr:row>
      <xdr:rowOff>0</xdr:rowOff>
    </xdr:to>
    <xdr:pic>
      <xdr:nvPicPr>
        <xdr:cNvPr id="12549" name="Рисунок 12548">
          <a:extLst>
            <a:ext uri="{FF2B5EF4-FFF2-40B4-BE49-F238E27FC236}">
              <a16:creationId xmlns:a16="http://schemas.microsoft.com/office/drawing/2014/main" id="{469205C1-7C16-4DCD-8F1F-11D43F812E0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0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280480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2247</xdr:row>
      <xdr:rowOff>25400</xdr:rowOff>
    </xdr:from>
    <xdr:to>
      <xdr:col>11</xdr:col>
      <xdr:colOff>571500</xdr:colOff>
      <xdr:row>2248</xdr:row>
      <xdr:rowOff>0</xdr:rowOff>
    </xdr:to>
    <xdr:pic>
      <xdr:nvPicPr>
        <xdr:cNvPr id="12551" name="Рисунок 12550">
          <a:extLst>
            <a:ext uri="{FF2B5EF4-FFF2-40B4-BE49-F238E27FC236}">
              <a16:creationId xmlns:a16="http://schemas.microsoft.com/office/drawing/2014/main" id="{E198AC08-BF99-47C7-A8DA-8DB50FEC15D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0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281052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2248</xdr:row>
      <xdr:rowOff>25400</xdr:rowOff>
    </xdr:from>
    <xdr:to>
      <xdr:col>11</xdr:col>
      <xdr:colOff>571500</xdr:colOff>
      <xdr:row>2249</xdr:row>
      <xdr:rowOff>0</xdr:rowOff>
    </xdr:to>
    <xdr:pic>
      <xdr:nvPicPr>
        <xdr:cNvPr id="12553" name="Рисунок 12552">
          <a:extLst>
            <a:ext uri="{FF2B5EF4-FFF2-40B4-BE49-F238E27FC236}">
              <a16:creationId xmlns:a16="http://schemas.microsoft.com/office/drawing/2014/main" id="{370F53F7-9952-4BDF-A858-3D1F97C38A5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281623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2249</xdr:row>
      <xdr:rowOff>25400</xdr:rowOff>
    </xdr:from>
    <xdr:to>
      <xdr:col>11</xdr:col>
      <xdr:colOff>571500</xdr:colOff>
      <xdr:row>2250</xdr:row>
      <xdr:rowOff>0</xdr:rowOff>
    </xdr:to>
    <xdr:pic>
      <xdr:nvPicPr>
        <xdr:cNvPr id="12555" name="Рисунок 12554">
          <a:extLst>
            <a:ext uri="{FF2B5EF4-FFF2-40B4-BE49-F238E27FC236}">
              <a16:creationId xmlns:a16="http://schemas.microsoft.com/office/drawing/2014/main" id="{F77EF452-92A5-4E3E-A246-CCB7EFAE5ED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282195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2250</xdr:row>
      <xdr:rowOff>25400</xdr:rowOff>
    </xdr:from>
    <xdr:to>
      <xdr:col>11</xdr:col>
      <xdr:colOff>571500</xdr:colOff>
      <xdr:row>2251</xdr:row>
      <xdr:rowOff>0</xdr:rowOff>
    </xdr:to>
    <xdr:pic>
      <xdr:nvPicPr>
        <xdr:cNvPr id="12557" name="Рисунок 12556">
          <a:extLst>
            <a:ext uri="{FF2B5EF4-FFF2-40B4-BE49-F238E27FC236}">
              <a16:creationId xmlns:a16="http://schemas.microsoft.com/office/drawing/2014/main" id="{184FACD7-F2EB-413A-961A-082884FE93D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282766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2251</xdr:row>
      <xdr:rowOff>25400</xdr:rowOff>
    </xdr:from>
    <xdr:to>
      <xdr:col>11</xdr:col>
      <xdr:colOff>571500</xdr:colOff>
      <xdr:row>2252</xdr:row>
      <xdr:rowOff>0</xdr:rowOff>
    </xdr:to>
    <xdr:pic>
      <xdr:nvPicPr>
        <xdr:cNvPr id="12559" name="Рисунок 12558">
          <a:extLst>
            <a:ext uri="{FF2B5EF4-FFF2-40B4-BE49-F238E27FC236}">
              <a16:creationId xmlns:a16="http://schemas.microsoft.com/office/drawing/2014/main" id="{CCF19445-7761-431D-A3F0-5E7DA3C9D5E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283338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2252</xdr:row>
      <xdr:rowOff>25400</xdr:rowOff>
    </xdr:from>
    <xdr:to>
      <xdr:col>11</xdr:col>
      <xdr:colOff>571500</xdr:colOff>
      <xdr:row>2253</xdr:row>
      <xdr:rowOff>0</xdr:rowOff>
    </xdr:to>
    <xdr:pic>
      <xdr:nvPicPr>
        <xdr:cNvPr id="12561" name="Рисунок 12560">
          <a:extLst>
            <a:ext uri="{FF2B5EF4-FFF2-40B4-BE49-F238E27FC236}">
              <a16:creationId xmlns:a16="http://schemas.microsoft.com/office/drawing/2014/main" id="{07712F04-16E7-4AAD-95D2-6B11E5E2D19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283909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2253</xdr:row>
      <xdr:rowOff>25400</xdr:rowOff>
    </xdr:from>
    <xdr:to>
      <xdr:col>11</xdr:col>
      <xdr:colOff>571500</xdr:colOff>
      <xdr:row>2254</xdr:row>
      <xdr:rowOff>0</xdr:rowOff>
    </xdr:to>
    <xdr:pic>
      <xdr:nvPicPr>
        <xdr:cNvPr id="12563" name="Рисунок 12562">
          <a:extLst>
            <a:ext uri="{FF2B5EF4-FFF2-40B4-BE49-F238E27FC236}">
              <a16:creationId xmlns:a16="http://schemas.microsoft.com/office/drawing/2014/main" id="{5F00AE67-EA0F-40EE-8231-BEEBFC36CB0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284481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2254</xdr:row>
      <xdr:rowOff>25400</xdr:rowOff>
    </xdr:from>
    <xdr:to>
      <xdr:col>11</xdr:col>
      <xdr:colOff>571500</xdr:colOff>
      <xdr:row>2255</xdr:row>
      <xdr:rowOff>0</xdr:rowOff>
    </xdr:to>
    <xdr:pic>
      <xdr:nvPicPr>
        <xdr:cNvPr id="12565" name="Рисунок 12564">
          <a:extLst>
            <a:ext uri="{FF2B5EF4-FFF2-40B4-BE49-F238E27FC236}">
              <a16:creationId xmlns:a16="http://schemas.microsoft.com/office/drawing/2014/main" id="{DD8448F1-6CCE-4800-9458-D5BEB18B90B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285052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2255</xdr:row>
      <xdr:rowOff>25400</xdr:rowOff>
    </xdr:from>
    <xdr:to>
      <xdr:col>11</xdr:col>
      <xdr:colOff>571500</xdr:colOff>
      <xdr:row>2256</xdr:row>
      <xdr:rowOff>0</xdr:rowOff>
    </xdr:to>
    <xdr:pic>
      <xdr:nvPicPr>
        <xdr:cNvPr id="12567" name="Рисунок 12566">
          <a:extLst>
            <a:ext uri="{FF2B5EF4-FFF2-40B4-BE49-F238E27FC236}">
              <a16:creationId xmlns:a16="http://schemas.microsoft.com/office/drawing/2014/main" id="{8BB59B1A-0028-4B6C-9B5A-DC8AA109B57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285624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2256</xdr:row>
      <xdr:rowOff>25400</xdr:rowOff>
    </xdr:from>
    <xdr:to>
      <xdr:col>11</xdr:col>
      <xdr:colOff>571500</xdr:colOff>
      <xdr:row>2257</xdr:row>
      <xdr:rowOff>0</xdr:rowOff>
    </xdr:to>
    <xdr:pic>
      <xdr:nvPicPr>
        <xdr:cNvPr id="12569" name="Рисунок 12568">
          <a:extLst>
            <a:ext uri="{FF2B5EF4-FFF2-40B4-BE49-F238E27FC236}">
              <a16:creationId xmlns:a16="http://schemas.microsoft.com/office/drawing/2014/main" id="{0FF36A07-AEC5-4E37-A27B-29263D3F512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286195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2257</xdr:row>
      <xdr:rowOff>25400</xdr:rowOff>
    </xdr:from>
    <xdr:to>
      <xdr:col>11</xdr:col>
      <xdr:colOff>571500</xdr:colOff>
      <xdr:row>2258</xdr:row>
      <xdr:rowOff>0</xdr:rowOff>
    </xdr:to>
    <xdr:pic>
      <xdr:nvPicPr>
        <xdr:cNvPr id="12571" name="Рисунок 12570">
          <a:extLst>
            <a:ext uri="{FF2B5EF4-FFF2-40B4-BE49-F238E27FC236}">
              <a16:creationId xmlns:a16="http://schemas.microsoft.com/office/drawing/2014/main" id="{676DA19F-5F32-4F1D-8887-69B929A6350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286767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2258</xdr:row>
      <xdr:rowOff>25400</xdr:rowOff>
    </xdr:from>
    <xdr:to>
      <xdr:col>11</xdr:col>
      <xdr:colOff>571500</xdr:colOff>
      <xdr:row>2259</xdr:row>
      <xdr:rowOff>0</xdr:rowOff>
    </xdr:to>
    <xdr:pic>
      <xdr:nvPicPr>
        <xdr:cNvPr id="12573" name="Рисунок 12572">
          <a:extLst>
            <a:ext uri="{FF2B5EF4-FFF2-40B4-BE49-F238E27FC236}">
              <a16:creationId xmlns:a16="http://schemas.microsoft.com/office/drawing/2014/main" id="{F5FA1CCB-2480-486E-810A-1D50D590CD0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287338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2259</xdr:row>
      <xdr:rowOff>25400</xdr:rowOff>
    </xdr:from>
    <xdr:to>
      <xdr:col>11</xdr:col>
      <xdr:colOff>571500</xdr:colOff>
      <xdr:row>2260</xdr:row>
      <xdr:rowOff>0</xdr:rowOff>
    </xdr:to>
    <xdr:pic>
      <xdr:nvPicPr>
        <xdr:cNvPr id="12575" name="Рисунок 12574">
          <a:extLst>
            <a:ext uri="{FF2B5EF4-FFF2-40B4-BE49-F238E27FC236}">
              <a16:creationId xmlns:a16="http://schemas.microsoft.com/office/drawing/2014/main" id="{60216EC5-8990-4031-B1E7-372A3407BCF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287910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2260</xdr:row>
      <xdr:rowOff>25400</xdr:rowOff>
    </xdr:from>
    <xdr:to>
      <xdr:col>11</xdr:col>
      <xdr:colOff>571500</xdr:colOff>
      <xdr:row>2261</xdr:row>
      <xdr:rowOff>0</xdr:rowOff>
    </xdr:to>
    <xdr:pic>
      <xdr:nvPicPr>
        <xdr:cNvPr id="12577" name="Рисунок 12576">
          <a:extLst>
            <a:ext uri="{FF2B5EF4-FFF2-40B4-BE49-F238E27FC236}">
              <a16:creationId xmlns:a16="http://schemas.microsoft.com/office/drawing/2014/main" id="{1F83274E-4D26-410D-9E16-D25B875651F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288481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2261</xdr:row>
      <xdr:rowOff>25400</xdr:rowOff>
    </xdr:from>
    <xdr:to>
      <xdr:col>11</xdr:col>
      <xdr:colOff>571500</xdr:colOff>
      <xdr:row>2262</xdr:row>
      <xdr:rowOff>0</xdr:rowOff>
    </xdr:to>
    <xdr:pic>
      <xdr:nvPicPr>
        <xdr:cNvPr id="12579" name="Рисунок 12578">
          <a:extLst>
            <a:ext uri="{FF2B5EF4-FFF2-40B4-BE49-F238E27FC236}">
              <a16:creationId xmlns:a16="http://schemas.microsoft.com/office/drawing/2014/main" id="{5BE295BF-70EF-4B29-B8C8-05CCFF81EAC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289053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2262</xdr:row>
      <xdr:rowOff>25400</xdr:rowOff>
    </xdr:from>
    <xdr:to>
      <xdr:col>11</xdr:col>
      <xdr:colOff>571500</xdr:colOff>
      <xdr:row>2263</xdr:row>
      <xdr:rowOff>0</xdr:rowOff>
    </xdr:to>
    <xdr:pic>
      <xdr:nvPicPr>
        <xdr:cNvPr id="12581" name="Рисунок 12580">
          <a:extLst>
            <a:ext uri="{FF2B5EF4-FFF2-40B4-BE49-F238E27FC236}">
              <a16:creationId xmlns:a16="http://schemas.microsoft.com/office/drawing/2014/main" id="{EF643D57-1C91-4A1A-B962-87B94F1166B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289624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2263</xdr:row>
      <xdr:rowOff>25400</xdr:rowOff>
    </xdr:from>
    <xdr:to>
      <xdr:col>11</xdr:col>
      <xdr:colOff>571500</xdr:colOff>
      <xdr:row>2264</xdr:row>
      <xdr:rowOff>0</xdr:rowOff>
    </xdr:to>
    <xdr:pic>
      <xdr:nvPicPr>
        <xdr:cNvPr id="12583" name="Рисунок 12582">
          <a:extLst>
            <a:ext uri="{FF2B5EF4-FFF2-40B4-BE49-F238E27FC236}">
              <a16:creationId xmlns:a16="http://schemas.microsoft.com/office/drawing/2014/main" id="{0D717A80-F0DD-43AA-828E-9F3D922C48F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290196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2264</xdr:row>
      <xdr:rowOff>25400</xdr:rowOff>
    </xdr:from>
    <xdr:to>
      <xdr:col>11</xdr:col>
      <xdr:colOff>571500</xdr:colOff>
      <xdr:row>2265</xdr:row>
      <xdr:rowOff>0</xdr:rowOff>
    </xdr:to>
    <xdr:pic>
      <xdr:nvPicPr>
        <xdr:cNvPr id="12585" name="Рисунок 12584">
          <a:extLst>
            <a:ext uri="{FF2B5EF4-FFF2-40B4-BE49-F238E27FC236}">
              <a16:creationId xmlns:a16="http://schemas.microsoft.com/office/drawing/2014/main" id="{C9CF9D55-A3A2-43A4-9EFE-17D839E82AC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290767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2265</xdr:row>
      <xdr:rowOff>25400</xdr:rowOff>
    </xdr:from>
    <xdr:to>
      <xdr:col>11</xdr:col>
      <xdr:colOff>571500</xdr:colOff>
      <xdr:row>2266</xdr:row>
      <xdr:rowOff>0</xdr:rowOff>
    </xdr:to>
    <xdr:pic>
      <xdr:nvPicPr>
        <xdr:cNvPr id="12587" name="Рисунок 12586">
          <a:extLst>
            <a:ext uri="{FF2B5EF4-FFF2-40B4-BE49-F238E27FC236}">
              <a16:creationId xmlns:a16="http://schemas.microsoft.com/office/drawing/2014/main" id="{8457FAA3-6CB7-40F7-B7EB-2EAD15540DD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291339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2266</xdr:row>
      <xdr:rowOff>25400</xdr:rowOff>
    </xdr:from>
    <xdr:to>
      <xdr:col>11</xdr:col>
      <xdr:colOff>571500</xdr:colOff>
      <xdr:row>2267</xdr:row>
      <xdr:rowOff>0</xdr:rowOff>
    </xdr:to>
    <xdr:pic>
      <xdr:nvPicPr>
        <xdr:cNvPr id="12589" name="Рисунок 12588">
          <a:extLst>
            <a:ext uri="{FF2B5EF4-FFF2-40B4-BE49-F238E27FC236}">
              <a16:creationId xmlns:a16="http://schemas.microsoft.com/office/drawing/2014/main" id="{363B84F1-684A-4E6E-9368-7C2A724F539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291910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2267</xdr:row>
      <xdr:rowOff>25400</xdr:rowOff>
    </xdr:from>
    <xdr:to>
      <xdr:col>11</xdr:col>
      <xdr:colOff>571500</xdr:colOff>
      <xdr:row>2268</xdr:row>
      <xdr:rowOff>0</xdr:rowOff>
    </xdr:to>
    <xdr:pic>
      <xdr:nvPicPr>
        <xdr:cNvPr id="12591" name="Рисунок 12590">
          <a:extLst>
            <a:ext uri="{FF2B5EF4-FFF2-40B4-BE49-F238E27FC236}">
              <a16:creationId xmlns:a16="http://schemas.microsoft.com/office/drawing/2014/main" id="{6872961E-53C8-4AA4-8D9D-CC54B548C04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292482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2268</xdr:row>
      <xdr:rowOff>25400</xdr:rowOff>
    </xdr:from>
    <xdr:to>
      <xdr:col>11</xdr:col>
      <xdr:colOff>571500</xdr:colOff>
      <xdr:row>2269</xdr:row>
      <xdr:rowOff>0</xdr:rowOff>
    </xdr:to>
    <xdr:pic>
      <xdr:nvPicPr>
        <xdr:cNvPr id="12593" name="Рисунок 12592">
          <a:extLst>
            <a:ext uri="{FF2B5EF4-FFF2-40B4-BE49-F238E27FC236}">
              <a16:creationId xmlns:a16="http://schemas.microsoft.com/office/drawing/2014/main" id="{B1DB8CEA-BFB1-46CD-98C6-312B1CCE4A2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293053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2269</xdr:row>
      <xdr:rowOff>25400</xdr:rowOff>
    </xdr:from>
    <xdr:to>
      <xdr:col>11</xdr:col>
      <xdr:colOff>571500</xdr:colOff>
      <xdr:row>2270</xdr:row>
      <xdr:rowOff>0</xdr:rowOff>
    </xdr:to>
    <xdr:pic>
      <xdr:nvPicPr>
        <xdr:cNvPr id="12595" name="Рисунок 12594">
          <a:extLst>
            <a:ext uri="{FF2B5EF4-FFF2-40B4-BE49-F238E27FC236}">
              <a16:creationId xmlns:a16="http://schemas.microsoft.com/office/drawing/2014/main" id="{79209777-F1F9-4CF7-B105-744C663BCC1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3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293625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2270</xdr:row>
      <xdr:rowOff>25400</xdr:rowOff>
    </xdr:from>
    <xdr:to>
      <xdr:col>11</xdr:col>
      <xdr:colOff>571500</xdr:colOff>
      <xdr:row>2271</xdr:row>
      <xdr:rowOff>0</xdr:rowOff>
    </xdr:to>
    <xdr:pic>
      <xdr:nvPicPr>
        <xdr:cNvPr id="12597" name="Рисунок 12596">
          <a:extLst>
            <a:ext uri="{FF2B5EF4-FFF2-40B4-BE49-F238E27FC236}">
              <a16:creationId xmlns:a16="http://schemas.microsoft.com/office/drawing/2014/main" id="{A5C40E13-C46E-4D3D-B788-1687161E32E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3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294196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2271</xdr:row>
      <xdr:rowOff>25400</xdr:rowOff>
    </xdr:from>
    <xdr:to>
      <xdr:col>11</xdr:col>
      <xdr:colOff>571500</xdr:colOff>
      <xdr:row>2272</xdr:row>
      <xdr:rowOff>0</xdr:rowOff>
    </xdr:to>
    <xdr:pic>
      <xdr:nvPicPr>
        <xdr:cNvPr id="12599" name="Рисунок 12598">
          <a:extLst>
            <a:ext uri="{FF2B5EF4-FFF2-40B4-BE49-F238E27FC236}">
              <a16:creationId xmlns:a16="http://schemas.microsoft.com/office/drawing/2014/main" id="{F240E2A7-CB20-42A9-854C-88D73CAAADE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3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294768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2272</xdr:row>
      <xdr:rowOff>25400</xdr:rowOff>
    </xdr:from>
    <xdr:to>
      <xdr:col>11</xdr:col>
      <xdr:colOff>571500</xdr:colOff>
      <xdr:row>2273</xdr:row>
      <xdr:rowOff>0</xdr:rowOff>
    </xdr:to>
    <xdr:pic>
      <xdr:nvPicPr>
        <xdr:cNvPr id="12601" name="Рисунок 12600">
          <a:extLst>
            <a:ext uri="{FF2B5EF4-FFF2-40B4-BE49-F238E27FC236}">
              <a16:creationId xmlns:a16="http://schemas.microsoft.com/office/drawing/2014/main" id="{BF35BB9E-A621-430E-8364-DBE40FD7FA9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3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295339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2273</xdr:row>
      <xdr:rowOff>25400</xdr:rowOff>
    </xdr:from>
    <xdr:to>
      <xdr:col>11</xdr:col>
      <xdr:colOff>571500</xdr:colOff>
      <xdr:row>2274</xdr:row>
      <xdr:rowOff>0</xdr:rowOff>
    </xdr:to>
    <xdr:pic>
      <xdr:nvPicPr>
        <xdr:cNvPr id="12603" name="Рисунок 12602">
          <a:extLst>
            <a:ext uri="{FF2B5EF4-FFF2-40B4-BE49-F238E27FC236}">
              <a16:creationId xmlns:a16="http://schemas.microsoft.com/office/drawing/2014/main" id="{52CC50A2-CCE3-4BD8-9A8B-DFBFAB112C6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3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295911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2274</xdr:row>
      <xdr:rowOff>25400</xdr:rowOff>
    </xdr:from>
    <xdr:to>
      <xdr:col>11</xdr:col>
      <xdr:colOff>571500</xdr:colOff>
      <xdr:row>2275</xdr:row>
      <xdr:rowOff>0</xdr:rowOff>
    </xdr:to>
    <xdr:pic>
      <xdr:nvPicPr>
        <xdr:cNvPr id="12605" name="Рисунок 12604">
          <a:extLst>
            <a:ext uri="{FF2B5EF4-FFF2-40B4-BE49-F238E27FC236}">
              <a16:creationId xmlns:a16="http://schemas.microsoft.com/office/drawing/2014/main" id="{2D17A85E-D7F8-4374-ABF4-752E1978BC2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3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296482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2275</xdr:row>
      <xdr:rowOff>25400</xdr:rowOff>
    </xdr:from>
    <xdr:to>
      <xdr:col>11</xdr:col>
      <xdr:colOff>571500</xdr:colOff>
      <xdr:row>2276</xdr:row>
      <xdr:rowOff>0</xdr:rowOff>
    </xdr:to>
    <xdr:pic>
      <xdr:nvPicPr>
        <xdr:cNvPr id="12607" name="Рисунок 12606">
          <a:extLst>
            <a:ext uri="{FF2B5EF4-FFF2-40B4-BE49-F238E27FC236}">
              <a16:creationId xmlns:a16="http://schemas.microsoft.com/office/drawing/2014/main" id="{3FBC1E2F-E0CA-4F9B-9EB9-C3F6448B7DA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3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297054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2276</xdr:row>
      <xdr:rowOff>25400</xdr:rowOff>
    </xdr:from>
    <xdr:to>
      <xdr:col>11</xdr:col>
      <xdr:colOff>571500</xdr:colOff>
      <xdr:row>2277</xdr:row>
      <xdr:rowOff>0</xdr:rowOff>
    </xdr:to>
    <xdr:pic>
      <xdr:nvPicPr>
        <xdr:cNvPr id="12609" name="Рисунок 12608">
          <a:extLst>
            <a:ext uri="{FF2B5EF4-FFF2-40B4-BE49-F238E27FC236}">
              <a16:creationId xmlns:a16="http://schemas.microsoft.com/office/drawing/2014/main" id="{61C70DD4-BED6-48F7-9EA6-06BCA2DEEFC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3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297625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2277</xdr:row>
      <xdr:rowOff>25400</xdr:rowOff>
    </xdr:from>
    <xdr:to>
      <xdr:col>11</xdr:col>
      <xdr:colOff>571500</xdr:colOff>
      <xdr:row>2278</xdr:row>
      <xdr:rowOff>0</xdr:rowOff>
    </xdr:to>
    <xdr:pic>
      <xdr:nvPicPr>
        <xdr:cNvPr id="12611" name="Рисунок 12610">
          <a:extLst>
            <a:ext uri="{FF2B5EF4-FFF2-40B4-BE49-F238E27FC236}">
              <a16:creationId xmlns:a16="http://schemas.microsoft.com/office/drawing/2014/main" id="{D17E93B1-E38B-465A-A37E-4EAA4394B1B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3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298197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2278</xdr:row>
      <xdr:rowOff>25400</xdr:rowOff>
    </xdr:from>
    <xdr:to>
      <xdr:col>11</xdr:col>
      <xdr:colOff>571500</xdr:colOff>
      <xdr:row>2279</xdr:row>
      <xdr:rowOff>0</xdr:rowOff>
    </xdr:to>
    <xdr:pic>
      <xdr:nvPicPr>
        <xdr:cNvPr id="12613" name="Рисунок 12612">
          <a:extLst>
            <a:ext uri="{FF2B5EF4-FFF2-40B4-BE49-F238E27FC236}">
              <a16:creationId xmlns:a16="http://schemas.microsoft.com/office/drawing/2014/main" id="{1C86D386-6D5F-429B-86C6-77FBB02C71C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4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298768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2279</xdr:row>
      <xdr:rowOff>25400</xdr:rowOff>
    </xdr:from>
    <xdr:to>
      <xdr:col>11</xdr:col>
      <xdr:colOff>571500</xdr:colOff>
      <xdr:row>2280</xdr:row>
      <xdr:rowOff>0</xdr:rowOff>
    </xdr:to>
    <xdr:pic>
      <xdr:nvPicPr>
        <xdr:cNvPr id="12615" name="Рисунок 12614">
          <a:extLst>
            <a:ext uri="{FF2B5EF4-FFF2-40B4-BE49-F238E27FC236}">
              <a16:creationId xmlns:a16="http://schemas.microsoft.com/office/drawing/2014/main" id="{327B0E82-8638-4805-825F-90DCB556EB3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4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299340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2280</xdr:row>
      <xdr:rowOff>25400</xdr:rowOff>
    </xdr:from>
    <xdr:to>
      <xdr:col>11</xdr:col>
      <xdr:colOff>571500</xdr:colOff>
      <xdr:row>2281</xdr:row>
      <xdr:rowOff>0</xdr:rowOff>
    </xdr:to>
    <xdr:pic>
      <xdr:nvPicPr>
        <xdr:cNvPr id="12617" name="Рисунок 12616">
          <a:extLst>
            <a:ext uri="{FF2B5EF4-FFF2-40B4-BE49-F238E27FC236}">
              <a16:creationId xmlns:a16="http://schemas.microsoft.com/office/drawing/2014/main" id="{3C91697C-1943-4A0B-8B59-16D4A84AADC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299911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2281</xdr:row>
      <xdr:rowOff>25400</xdr:rowOff>
    </xdr:from>
    <xdr:to>
      <xdr:col>11</xdr:col>
      <xdr:colOff>571500</xdr:colOff>
      <xdr:row>2282</xdr:row>
      <xdr:rowOff>0</xdr:rowOff>
    </xdr:to>
    <xdr:pic>
      <xdr:nvPicPr>
        <xdr:cNvPr id="12619" name="Рисунок 12618">
          <a:extLst>
            <a:ext uri="{FF2B5EF4-FFF2-40B4-BE49-F238E27FC236}">
              <a16:creationId xmlns:a16="http://schemas.microsoft.com/office/drawing/2014/main" id="{4F38907D-3CD4-4E84-82D5-657AAFA7DA8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300483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2282</xdr:row>
      <xdr:rowOff>25400</xdr:rowOff>
    </xdr:from>
    <xdr:to>
      <xdr:col>11</xdr:col>
      <xdr:colOff>571500</xdr:colOff>
      <xdr:row>2283</xdr:row>
      <xdr:rowOff>0</xdr:rowOff>
    </xdr:to>
    <xdr:pic>
      <xdr:nvPicPr>
        <xdr:cNvPr id="12621" name="Рисунок 12620">
          <a:extLst>
            <a:ext uri="{FF2B5EF4-FFF2-40B4-BE49-F238E27FC236}">
              <a16:creationId xmlns:a16="http://schemas.microsoft.com/office/drawing/2014/main" id="{D1A280AE-5842-4361-B517-913F0870349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301054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2283</xdr:row>
      <xdr:rowOff>25400</xdr:rowOff>
    </xdr:from>
    <xdr:to>
      <xdr:col>11</xdr:col>
      <xdr:colOff>571500</xdr:colOff>
      <xdr:row>2284</xdr:row>
      <xdr:rowOff>0</xdr:rowOff>
    </xdr:to>
    <xdr:pic>
      <xdr:nvPicPr>
        <xdr:cNvPr id="12623" name="Рисунок 12622">
          <a:extLst>
            <a:ext uri="{FF2B5EF4-FFF2-40B4-BE49-F238E27FC236}">
              <a16:creationId xmlns:a16="http://schemas.microsoft.com/office/drawing/2014/main" id="{961649D1-1A69-46F8-AAF1-7884AF1B758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4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301626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2284</xdr:row>
      <xdr:rowOff>25400</xdr:rowOff>
    </xdr:from>
    <xdr:to>
      <xdr:col>11</xdr:col>
      <xdr:colOff>571500</xdr:colOff>
      <xdr:row>2285</xdr:row>
      <xdr:rowOff>0</xdr:rowOff>
    </xdr:to>
    <xdr:pic>
      <xdr:nvPicPr>
        <xdr:cNvPr id="12625" name="Рисунок 12624">
          <a:extLst>
            <a:ext uri="{FF2B5EF4-FFF2-40B4-BE49-F238E27FC236}">
              <a16:creationId xmlns:a16="http://schemas.microsoft.com/office/drawing/2014/main" id="{C51CE52C-C30F-44D0-A0FE-B682185C50A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4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302197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2285</xdr:row>
      <xdr:rowOff>25400</xdr:rowOff>
    </xdr:from>
    <xdr:to>
      <xdr:col>11</xdr:col>
      <xdr:colOff>571500</xdr:colOff>
      <xdr:row>2286</xdr:row>
      <xdr:rowOff>0</xdr:rowOff>
    </xdr:to>
    <xdr:pic>
      <xdr:nvPicPr>
        <xdr:cNvPr id="12627" name="Рисунок 12626">
          <a:extLst>
            <a:ext uri="{FF2B5EF4-FFF2-40B4-BE49-F238E27FC236}">
              <a16:creationId xmlns:a16="http://schemas.microsoft.com/office/drawing/2014/main" id="{D0FD36E5-33DD-48D7-9753-5A1F025E894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4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302769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2286</xdr:row>
      <xdr:rowOff>25400</xdr:rowOff>
    </xdr:from>
    <xdr:to>
      <xdr:col>11</xdr:col>
      <xdr:colOff>571500</xdr:colOff>
      <xdr:row>2287</xdr:row>
      <xdr:rowOff>0</xdr:rowOff>
    </xdr:to>
    <xdr:pic>
      <xdr:nvPicPr>
        <xdr:cNvPr id="12629" name="Рисунок 12628">
          <a:extLst>
            <a:ext uri="{FF2B5EF4-FFF2-40B4-BE49-F238E27FC236}">
              <a16:creationId xmlns:a16="http://schemas.microsoft.com/office/drawing/2014/main" id="{15159486-FC61-4D92-8B5A-C93150E9121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4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303340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2287</xdr:row>
      <xdr:rowOff>25400</xdr:rowOff>
    </xdr:from>
    <xdr:to>
      <xdr:col>11</xdr:col>
      <xdr:colOff>571500</xdr:colOff>
      <xdr:row>2288</xdr:row>
      <xdr:rowOff>0</xdr:rowOff>
    </xdr:to>
    <xdr:pic>
      <xdr:nvPicPr>
        <xdr:cNvPr id="12631" name="Рисунок 12630">
          <a:extLst>
            <a:ext uri="{FF2B5EF4-FFF2-40B4-BE49-F238E27FC236}">
              <a16:creationId xmlns:a16="http://schemas.microsoft.com/office/drawing/2014/main" id="{2C3ED3EA-A5BD-4110-9B42-0886D0F2388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4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303912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2288</xdr:row>
      <xdr:rowOff>25400</xdr:rowOff>
    </xdr:from>
    <xdr:to>
      <xdr:col>11</xdr:col>
      <xdr:colOff>571500</xdr:colOff>
      <xdr:row>2289</xdr:row>
      <xdr:rowOff>0</xdr:rowOff>
    </xdr:to>
    <xdr:pic>
      <xdr:nvPicPr>
        <xdr:cNvPr id="12633" name="Рисунок 12632">
          <a:extLst>
            <a:ext uri="{FF2B5EF4-FFF2-40B4-BE49-F238E27FC236}">
              <a16:creationId xmlns:a16="http://schemas.microsoft.com/office/drawing/2014/main" id="{4B362CBF-237C-441B-B382-E07F60FC3CD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5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304483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2289</xdr:row>
      <xdr:rowOff>25400</xdr:rowOff>
    </xdr:from>
    <xdr:to>
      <xdr:col>11</xdr:col>
      <xdr:colOff>571500</xdr:colOff>
      <xdr:row>2290</xdr:row>
      <xdr:rowOff>0</xdr:rowOff>
    </xdr:to>
    <xdr:pic>
      <xdr:nvPicPr>
        <xdr:cNvPr id="12635" name="Рисунок 12634">
          <a:extLst>
            <a:ext uri="{FF2B5EF4-FFF2-40B4-BE49-F238E27FC236}">
              <a16:creationId xmlns:a16="http://schemas.microsoft.com/office/drawing/2014/main" id="{D45D8F4D-A212-4AE0-92AE-553A1A3AE00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5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305055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2290</xdr:row>
      <xdr:rowOff>25400</xdr:rowOff>
    </xdr:from>
    <xdr:to>
      <xdr:col>11</xdr:col>
      <xdr:colOff>571500</xdr:colOff>
      <xdr:row>2291</xdr:row>
      <xdr:rowOff>0</xdr:rowOff>
    </xdr:to>
    <xdr:pic>
      <xdr:nvPicPr>
        <xdr:cNvPr id="12637" name="Рисунок 12636">
          <a:extLst>
            <a:ext uri="{FF2B5EF4-FFF2-40B4-BE49-F238E27FC236}">
              <a16:creationId xmlns:a16="http://schemas.microsoft.com/office/drawing/2014/main" id="{D473C966-F0FD-4805-9262-991B7B00A1D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305626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2291</xdr:row>
      <xdr:rowOff>25400</xdr:rowOff>
    </xdr:from>
    <xdr:to>
      <xdr:col>11</xdr:col>
      <xdr:colOff>571500</xdr:colOff>
      <xdr:row>2292</xdr:row>
      <xdr:rowOff>0</xdr:rowOff>
    </xdr:to>
    <xdr:pic>
      <xdr:nvPicPr>
        <xdr:cNvPr id="12639" name="Рисунок 12638">
          <a:extLst>
            <a:ext uri="{FF2B5EF4-FFF2-40B4-BE49-F238E27FC236}">
              <a16:creationId xmlns:a16="http://schemas.microsoft.com/office/drawing/2014/main" id="{EC233AA5-D534-4080-88DA-2DBC47F46F0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5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306198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2292</xdr:row>
      <xdr:rowOff>25400</xdr:rowOff>
    </xdr:from>
    <xdr:to>
      <xdr:col>11</xdr:col>
      <xdr:colOff>571500</xdr:colOff>
      <xdr:row>2293</xdr:row>
      <xdr:rowOff>0</xdr:rowOff>
    </xdr:to>
    <xdr:pic>
      <xdr:nvPicPr>
        <xdr:cNvPr id="12641" name="Рисунок 12640">
          <a:extLst>
            <a:ext uri="{FF2B5EF4-FFF2-40B4-BE49-F238E27FC236}">
              <a16:creationId xmlns:a16="http://schemas.microsoft.com/office/drawing/2014/main" id="{AF01AF5D-950C-47EB-BBEB-F38587E933D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5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306769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2293</xdr:row>
      <xdr:rowOff>25400</xdr:rowOff>
    </xdr:from>
    <xdr:to>
      <xdr:col>11</xdr:col>
      <xdr:colOff>571500</xdr:colOff>
      <xdr:row>2294</xdr:row>
      <xdr:rowOff>0</xdr:rowOff>
    </xdr:to>
    <xdr:pic>
      <xdr:nvPicPr>
        <xdr:cNvPr id="12643" name="Рисунок 12642">
          <a:extLst>
            <a:ext uri="{FF2B5EF4-FFF2-40B4-BE49-F238E27FC236}">
              <a16:creationId xmlns:a16="http://schemas.microsoft.com/office/drawing/2014/main" id="{00E99B7E-27F0-449A-8B42-4EC071E5AD4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5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307341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2294</xdr:row>
      <xdr:rowOff>25400</xdr:rowOff>
    </xdr:from>
    <xdr:to>
      <xdr:col>11</xdr:col>
      <xdr:colOff>571500</xdr:colOff>
      <xdr:row>2295</xdr:row>
      <xdr:rowOff>0</xdr:rowOff>
    </xdr:to>
    <xdr:pic>
      <xdr:nvPicPr>
        <xdr:cNvPr id="12645" name="Рисунок 12644">
          <a:extLst>
            <a:ext uri="{FF2B5EF4-FFF2-40B4-BE49-F238E27FC236}">
              <a16:creationId xmlns:a16="http://schemas.microsoft.com/office/drawing/2014/main" id="{1E9BF268-49C9-4B3B-AF7F-EB2D8A01D18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5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307912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2295</xdr:row>
      <xdr:rowOff>25400</xdr:rowOff>
    </xdr:from>
    <xdr:to>
      <xdr:col>11</xdr:col>
      <xdr:colOff>571500</xdr:colOff>
      <xdr:row>2296</xdr:row>
      <xdr:rowOff>0</xdr:rowOff>
    </xdr:to>
    <xdr:pic>
      <xdr:nvPicPr>
        <xdr:cNvPr id="12647" name="Рисунок 12646">
          <a:extLst>
            <a:ext uri="{FF2B5EF4-FFF2-40B4-BE49-F238E27FC236}">
              <a16:creationId xmlns:a16="http://schemas.microsoft.com/office/drawing/2014/main" id="{5AF81726-BA6D-43E2-88B6-1507E05174A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5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308484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2296</xdr:row>
      <xdr:rowOff>25400</xdr:rowOff>
    </xdr:from>
    <xdr:to>
      <xdr:col>11</xdr:col>
      <xdr:colOff>571500</xdr:colOff>
      <xdr:row>2297</xdr:row>
      <xdr:rowOff>0</xdr:rowOff>
    </xdr:to>
    <xdr:pic>
      <xdr:nvPicPr>
        <xdr:cNvPr id="12649" name="Рисунок 12648">
          <a:extLst>
            <a:ext uri="{FF2B5EF4-FFF2-40B4-BE49-F238E27FC236}">
              <a16:creationId xmlns:a16="http://schemas.microsoft.com/office/drawing/2014/main" id="{4A295ACE-F480-40A1-A6D5-00C4FC278B5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5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309055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2297</xdr:row>
      <xdr:rowOff>25400</xdr:rowOff>
    </xdr:from>
    <xdr:to>
      <xdr:col>11</xdr:col>
      <xdr:colOff>571500</xdr:colOff>
      <xdr:row>2298</xdr:row>
      <xdr:rowOff>0</xdr:rowOff>
    </xdr:to>
    <xdr:pic>
      <xdr:nvPicPr>
        <xdr:cNvPr id="12651" name="Рисунок 12650">
          <a:extLst>
            <a:ext uri="{FF2B5EF4-FFF2-40B4-BE49-F238E27FC236}">
              <a16:creationId xmlns:a16="http://schemas.microsoft.com/office/drawing/2014/main" id="{CF22A1DC-CEE7-4C4E-87B6-C9376630FB4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5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309627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2298</xdr:row>
      <xdr:rowOff>25400</xdr:rowOff>
    </xdr:from>
    <xdr:to>
      <xdr:col>11</xdr:col>
      <xdr:colOff>571500</xdr:colOff>
      <xdr:row>2299</xdr:row>
      <xdr:rowOff>0</xdr:rowOff>
    </xdr:to>
    <xdr:pic>
      <xdr:nvPicPr>
        <xdr:cNvPr id="12653" name="Рисунок 12652">
          <a:extLst>
            <a:ext uri="{FF2B5EF4-FFF2-40B4-BE49-F238E27FC236}">
              <a16:creationId xmlns:a16="http://schemas.microsoft.com/office/drawing/2014/main" id="{6639B88D-1C60-43A9-93FB-A3117BC080A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6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310198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2299</xdr:row>
      <xdr:rowOff>25400</xdr:rowOff>
    </xdr:from>
    <xdr:to>
      <xdr:col>11</xdr:col>
      <xdr:colOff>571500</xdr:colOff>
      <xdr:row>2300</xdr:row>
      <xdr:rowOff>0</xdr:rowOff>
    </xdr:to>
    <xdr:pic>
      <xdr:nvPicPr>
        <xdr:cNvPr id="12655" name="Рисунок 12654">
          <a:extLst>
            <a:ext uri="{FF2B5EF4-FFF2-40B4-BE49-F238E27FC236}">
              <a16:creationId xmlns:a16="http://schemas.microsoft.com/office/drawing/2014/main" id="{B503D509-6A49-4D2D-B21C-A8C5F4F9A16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6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310770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2300</xdr:row>
      <xdr:rowOff>25400</xdr:rowOff>
    </xdr:from>
    <xdr:to>
      <xdr:col>11</xdr:col>
      <xdr:colOff>571500</xdr:colOff>
      <xdr:row>2301</xdr:row>
      <xdr:rowOff>0</xdr:rowOff>
    </xdr:to>
    <xdr:pic>
      <xdr:nvPicPr>
        <xdr:cNvPr id="12657" name="Рисунок 12656">
          <a:extLst>
            <a:ext uri="{FF2B5EF4-FFF2-40B4-BE49-F238E27FC236}">
              <a16:creationId xmlns:a16="http://schemas.microsoft.com/office/drawing/2014/main" id="{1F6F4D0D-2CB9-4DB3-AD79-938701AC245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6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311341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2301</xdr:row>
      <xdr:rowOff>25400</xdr:rowOff>
    </xdr:from>
    <xdr:to>
      <xdr:col>11</xdr:col>
      <xdr:colOff>571500</xdr:colOff>
      <xdr:row>2302</xdr:row>
      <xdr:rowOff>0</xdr:rowOff>
    </xdr:to>
    <xdr:pic>
      <xdr:nvPicPr>
        <xdr:cNvPr id="12659" name="Рисунок 12658">
          <a:extLst>
            <a:ext uri="{FF2B5EF4-FFF2-40B4-BE49-F238E27FC236}">
              <a16:creationId xmlns:a16="http://schemas.microsoft.com/office/drawing/2014/main" id="{F548DDD7-2821-40D6-859C-B32136EC181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6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311913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2302</xdr:row>
      <xdr:rowOff>25400</xdr:rowOff>
    </xdr:from>
    <xdr:to>
      <xdr:col>11</xdr:col>
      <xdr:colOff>571500</xdr:colOff>
      <xdr:row>2303</xdr:row>
      <xdr:rowOff>0</xdr:rowOff>
    </xdr:to>
    <xdr:pic>
      <xdr:nvPicPr>
        <xdr:cNvPr id="12661" name="Рисунок 12660">
          <a:extLst>
            <a:ext uri="{FF2B5EF4-FFF2-40B4-BE49-F238E27FC236}">
              <a16:creationId xmlns:a16="http://schemas.microsoft.com/office/drawing/2014/main" id="{40F19095-7C2A-4DBE-824C-D5B8BF9FFF4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6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312484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2303</xdr:row>
      <xdr:rowOff>25400</xdr:rowOff>
    </xdr:from>
    <xdr:to>
      <xdr:col>11</xdr:col>
      <xdr:colOff>571500</xdr:colOff>
      <xdr:row>2304</xdr:row>
      <xdr:rowOff>0</xdr:rowOff>
    </xdr:to>
    <xdr:pic>
      <xdr:nvPicPr>
        <xdr:cNvPr id="12663" name="Рисунок 12662">
          <a:extLst>
            <a:ext uri="{FF2B5EF4-FFF2-40B4-BE49-F238E27FC236}">
              <a16:creationId xmlns:a16="http://schemas.microsoft.com/office/drawing/2014/main" id="{79188000-1D0F-43FC-BAA0-B116ED81CEC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6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313056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2304</xdr:row>
      <xdr:rowOff>25400</xdr:rowOff>
    </xdr:from>
    <xdr:to>
      <xdr:col>11</xdr:col>
      <xdr:colOff>571500</xdr:colOff>
      <xdr:row>2305</xdr:row>
      <xdr:rowOff>0</xdr:rowOff>
    </xdr:to>
    <xdr:pic>
      <xdr:nvPicPr>
        <xdr:cNvPr id="12665" name="Рисунок 12664">
          <a:extLst>
            <a:ext uri="{FF2B5EF4-FFF2-40B4-BE49-F238E27FC236}">
              <a16:creationId xmlns:a16="http://schemas.microsoft.com/office/drawing/2014/main" id="{A3577CD5-BABC-4860-BEAC-F55C0200E6A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6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313627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2305</xdr:row>
      <xdr:rowOff>25400</xdr:rowOff>
    </xdr:from>
    <xdr:to>
      <xdr:col>11</xdr:col>
      <xdr:colOff>571500</xdr:colOff>
      <xdr:row>2306</xdr:row>
      <xdr:rowOff>0</xdr:rowOff>
    </xdr:to>
    <xdr:pic>
      <xdr:nvPicPr>
        <xdr:cNvPr id="12667" name="Рисунок 12666">
          <a:extLst>
            <a:ext uri="{FF2B5EF4-FFF2-40B4-BE49-F238E27FC236}">
              <a16:creationId xmlns:a16="http://schemas.microsoft.com/office/drawing/2014/main" id="{EABBCA42-F4F3-4CC6-A6B4-10D959B1AAF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6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314199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2306</xdr:row>
      <xdr:rowOff>25400</xdr:rowOff>
    </xdr:from>
    <xdr:to>
      <xdr:col>11</xdr:col>
      <xdr:colOff>571500</xdr:colOff>
      <xdr:row>2307</xdr:row>
      <xdr:rowOff>0</xdr:rowOff>
    </xdr:to>
    <xdr:pic>
      <xdr:nvPicPr>
        <xdr:cNvPr id="12669" name="Рисунок 12668">
          <a:extLst>
            <a:ext uri="{FF2B5EF4-FFF2-40B4-BE49-F238E27FC236}">
              <a16:creationId xmlns:a16="http://schemas.microsoft.com/office/drawing/2014/main" id="{721CB55B-6101-4120-85CF-4F158F63F6C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6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314770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2307</xdr:row>
      <xdr:rowOff>25400</xdr:rowOff>
    </xdr:from>
    <xdr:to>
      <xdr:col>11</xdr:col>
      <xdr:colOff>571500</xdr:colOff>
      <xdr:row>2308</xdr:row>
      <xdr:rowOff>0</xdr:rowOff>
    </xdr:to>
    <xdr:pic>
      <xdr:nvPicPr>
        <xdr:cNvPr id="12671" name="Рисунок 12670">
          <a:extLst>
            <a:ext uri="{FF2B5EF4-FFF2-40B4-BE49-F238E27FC236}">
              <a16:creationId xmlns:a16="http://schemas.microsoft.com/office/drawing/2014/main" id="{8F33501B-44D1-48A5-BE1F-336023B3D5D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6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315342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2308</xdr:row>
      <xdr:rowOff>25400</xdr:rowOff>
    </xdr:from>
    <xdr:to>
      <xdr:col>11</xdr:col>
      <xdr:colOff>571500</xdr:colOff>
      <xdr:row>2309</xdr:row>
      <xdr:rowOff>0</xdr:rowOff>
    </xdr:to>
    <xdr:pic>
      <xdr:nvPicPr>
        <xdr:cNvPr id="12673" name="Рисунок 12672">
          <a:extLst>
            <a:ext uri="{FF2B5EF4-FFF2-40B4-BE49-F238E27FC236}">
              <a16:creationId xmlns:a16="http://schemas.microsoft.com/office/drawing/2014/main" id="{15C99972-FC65-441E-B119-9EB27376231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7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315913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2309</xdr:row>
      <xdr:rowOff>25400</xdr:rowOff>
    </xdr:from>
    <xdr:to>
      <xdr:col>11</xdr:col>
      <xdr:colOff>571500</xdr:colOff>
      <xdr:row>2310</xdr:row>
      <xdr:rowOff>0</xdr:rowOff>
    </xdr:to>
    <xdr:pic>
      <xdr:nvPicPr>
        <xdr:cNvPr id="12675" name="Рисунок 12674">
          <a:extLst>
            <a:ext uri="{FF2B5EF4-FFF2-40B4-BE49-F238E27FC236}">
              <a16:creationId xmlns:a16="http://schemas.microsoft.com/office/drawing/2014/main" id="{9DF5B3A1-594A-4723-9AD3-07740A18E67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7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316485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2310</xdr:row>
      <xdr:rowOff>25400</xdr:rowOff>
    </xdr:from>
    <xdr:to>
      <xdr:col>11</xdr:col>
      <xdr:colOff>571500</xdr:colOff>
      <xdr:row>2311</xdr:row>
      <xdr:rowOff>0</xdr:rowOff>
    </xdr:to>
    <xdr:pic>
      <xdr:nvPicPr>
        <xdr:cNvPr id="12677" name="Рисунок 12676">
          <a:extLst>
            <a:ext uri="{FF2B5EF4-FFF2-40B4-BE49-F238E27FC236}">
              <a16:creationId xmlns:a16="http://schemas.microsoft.com/office/drawing/2014/main" id="{BFE6EC49-8CC7-4FF5-AFBA-5AEFA6FE515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7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317056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2311</xdr:row>
      <xdr:rowOff>25400</xdr:rowOff>
    </xdr:from>
    <xdr:to>
      <xdr:col>11</xdr:col>
      <xdr:colOff>571500</xdr:colOff>
      <xdr:row>2312</xdr:row>
      <xdr:rowOff>0</xdr:rowOff>
    </xdr:to>
    <xdr:pic>
      <xdr:nvPicPr>
        <xdr:cNvPr id="12679" name="Рисунок 12678">
          <a:extLst>
            <a:ext uri="{FF2B5EF4-FFF2-40B4-BE49-F238E27FC236}">
              <a16:creationId xmlns:a16="http://schemas.microsoft.com/office/drawing/2014/main" id="{ECCBB756-5614-4B6F-8FD6-F522C9931BE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7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317628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2312</xdr:row>
      <xdr:rowOff>25400</xdr:rowOff>
    </xdr:from>
    <xdr:to>
      <xdr:col>11</xdr:col>
      <xdr:colOff>571500</xdr:colOff>
      <xdr:row>2313</xdr:row>
      <xdr:rowOff>0</xdr:rowOff>
    </xdr:to>
    <xdr:pic>
      <xdr:nvPicPr>
        <xdr:cNvPr id="12681" name="Рисунок 12680">
          <a:extLst>
            <a:ext uri="{FF2B5EF4-FFF2-40B4-BE49-F238E27FC236}">
              <a16:creationId xmlns:a16="http://schemas.microsoft.com/office/drawing/2014/main" id="{BAEF75C4-C61D-4D2A-B1B8-A43A529737E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7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318199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2313</xdr:row>
      <xdr:rowOff>25400</xdr:rowOff>
    </xdr:from>
    <xdr:to>
      <xdr:col>11</xdr:col>
      <xdr:colOff>571500</xdr:colOff>
      <xdr:row>2314</xdr:row>
      <xdr:rowOff>0</xdr:rowOff>
    </xdr:to>
    <xdr:pic>
      <xdr:nvPicPr>
        <xdr:cNvPr id="12683" name="Рисунок 12682">
          <a:extLst>
            <a:ext uri="{FF2B5EF4-FFF2-40B4-BE49-F238E27FC236}">
              <a16:creationId xmlns:a16="http://schemas.microsoft.com/office/drawing/2014/main" id="{CDCBDD38-F428-49CE-8517-2FFA155533D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7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318771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2314</xdr:row>
      <xdr:rowOff>25400</xdr:rowOff>
    </xdr:from>
    <xdr:to>
      <xdr:col>11</xdr:col>
      <xdr:colOff>571500</xdr:colOff>
      <xdr:row>2315</xdr:row>
      <xdr:rowOff>0</xdr:rowOff>
    </xdr:to>
    <xdr:pic>
      <xdr:nvPicPr>
        <xdr:cNvPr id="12685" name="Рисунок 12684">
          <a:extLst>
            <a:ext uri="{FF2B5EF4-FFF2-40B4-BE49-F238E27FC236}">
              <a16:creationId xmlns:a16="http://schemas.microsoft.com/office/drawing/2014/main" id="{65A5ABBA-C4E6-4EC1-809C-2D7688AA452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7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319342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2315</xdr:row>
      <xdr:rowOff>25400</xdr:rowOff>
    </xdr:from>
    <xdr:to>
      <xdr:col>11</xdr:col>
      <xdr:colOff>571500</xdr:colOff>
      <xdr:row>2316</xdr:row>
      <xdr:rowOff>0</xdr:rowOff>
    </xdr:to>
    <xdr:pic>
      <xdr:nvPicPr>
        <xdr:cNvPr id="12687" name="Рисунок 12686">
          <a:extLst>
            <a:ext uri="{FF2B5EF4-FFF2-40B4-BE49-F238E27FC236}">
              <a16:creationId xmlns:a16="http://schemas.microsoft.com/office/drawing/2014/main" id="{6B327207-6EEA-42F0-A891-FC33CDDF2FE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7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319914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2316</xdr:row>
      <xdr:rowOff>25400</xdr:rowOff>
    </xdr:from>
    <xdr:to>
      <xdr:col>11</xdr:col>
      <xdr:colOff>571500</xdr:colOff>
      <xdr:row>2317</xdr:row>
      <xdr:rowOff>0</xdr:rowOff>
    </xdr:to>
    <xdr:pic>
      <xdr:nvPicPr>
        <xdr:cNvPr id="12689" name="Рисунок 12688">
          <a:extLst>
            <a:ext uri="{FF2B5EF4-FFF2-40B4-BE49-F238E27FC236}">
              <a16:creationId xmlns:a16="http://schemas.microsoft.com/office/drawing/2014/main" id="{F50A7406-57F6-4DFC-93CF-94CBBF7F089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7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320485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2317</xdr:row>
      <xdr:rowOff>25400</xdr:rowOff>
    </xdr:from>
    <xdr:to>
      <xdr:col>11</xdr:col>
      <xdr:colOff>571500</xdr:colOff>
      <xdr:row>2318</xdr:row>
      <xdr:rowOff>0</xdr:rowOff>
    </xdr:to>
    <xdr:pic>
      <xdr:nvPicPr>
        <xdr:cNvPr id="12691" name="Рисунок 12690">
          <a:extLst>
            <a:ext uri="{FF2B5EF4-FFF2-40B4-BE49-F238E27FC236}">
              <a16:creationId xmlns:a16="http://schemas.microsoft.com/office/drawing/2014/main" id="{5A62A4A3-5F60-4F9C-935E-1F933F2CF0D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7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321057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2318</xdr:row>
      <xdr:rowOff>25400</xdr:rowOff>
    </xdr:from>
    <xdr:to>
      <xdr:col>11</xdr:col>
      <xdr:colOff>571500</xdr:colOff>
      <xdr:row>2319</xdr:row>
      <xdr:rowOff>0</xdr:rowOff>
    </xdr:to>
    <xdr:pic>
      <xdr:nvPicPr>
        <xdr:cNvPr id="12693" name="Рисунок 12692">
          <a:extLst>
            <a:ext uri="{FF2B5EF4-FFF2-40B4-BE49-F238E27FC236}">
              <a16:creationId xmlns:a16="http://schemas.microsoft.com/office/drawing/2014/main" id="{47A3A969-024B-4435-B6B7-19572CB76CF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8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321628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2319</xdr:row>
      <xdr:rowOff>25400</xdr:rowOff>
    </xdr:from>
    <xdr:to>
      <xdr:col>11</xdr:col>
      <xdr:colOff>571500</xdr:colOff>
      <xdr:row>2320</xdr:row>
      <xdr:rowOff>0</xdr:rowOff>
    </xdr:to>
    <xdr:pic>
      <xdr:nvPicPr>
        <xdr:cNvPr id="12695" name="Рисунок 12694">
          <a:extLst>
            <a:ext uri="{FF2B5EF4-FFF2-40B4-BE49-F238E27FC236}">
              <a16:creationId xmlns:a16="http://schemas.microsoft.com/office/drawing/2014/main" id="{F88BAEC1-8C19-44A0-A99E-F34AB7BFB1E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8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322200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2320</xdr:row>
      <xdr:rowOff>25400</xdr:rowOff>
    </xdr:from>
    <xdr:to>
      <xdr:col>11</xdr:col>
      <xdr:colOff>571500</xdr:colOff>
      <xdr:row>2321</xdr:row>
      <xdr:rowOff>0</xdr:rowOff>
    </xdr:to>
    <xdr:pic>
      <xdr:nvPicPr>
        <xdr:cNvPr id="12697" name="Рисунок 12696">
          <a:extLst>
            <a:ext uri="{FF2B5EF4-FFF2-40B4-BE49-F238E27FC236}">
              <a16:creationId xmlns:a16="http://schemas.microsoft.com/office/drawing/2014/main" id="{4AC0120E-AB1C-4007-A894-F7DECDA4824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8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322771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2321</xdr:row>
      <xdr:rowOff>25400</xdr:rowOff>
    </xdr:from>
    <xdr:to>
      <xdr:col>11</xdr:col>
      <xdr:colOff>571500</xdr:colOff>
      <xdr:row>2322</xdr:row>
      <xdr:rowOff>0</xdr:rowOff>
    </xdr:to>
    <xdr:pic>
      <xdr:nvPicPr>
        <xdr:cNvPr id="12699" name="Рисунок 12698">
          <a:extLst>
            <a:ext uri="{FF2B5EF4-FFF2-40B4-BE49-F238E27FC236}">
              <a16:creationId xmlns:a16="http://schemas.microsoft.com/office/drawing/2014/main" id="{CB705718-5245-43A5-BE28-B15EEA46641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8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323343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2322</xdr:row>
      <xdr:rowOff>25400</xdr:rowOff>
    </xdr:from>
    <xdr:to>
      <xdr:col>11</xdr:col>
      <xdr:colOff>571500</xdr:colOff>
      <xdr:row>2323</xdr:row>
      <xdr:rowOff>0</xdr:rowOff>
    </xdr:to>
    <xdr:pic>
      <xdr:nvPicPr>
        <xdr:cNvPr id="12701" name="Рисунок 12700">
          <a:extLst>
            <a:ext uri="{FF2B5EF4-FFF2-40B4-BE49-F238E27FC236}">
              <a16:creationId xmlns:a16="http://schemas.microsoft.com/office/drawing/2014/main" id="{459BE5E1-DE9D-4815-BBF2-A46993F491F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8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323914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2323</xdr:row>
      <xdr:rowOff>25400</xdr:rowOff>
    </xdr:from>
    <xdr:to>
      <xdr:col>11</xdr:col>
      <xdr:colOff>571500</xdr:colOff>
      <xdr:row>2324</xdr:row>
      <xdr:rowOff>0</xdr:rowOff>
    </xdr:to>
    <xdr:pic>
      <xdr:nvPicPr>
        <xdr:cNvPr id="12703" name="Рисунок 12702">
          <a:extLst>
            <a:ext uri="{FF2B5EF4-FFF2-40B4-BE49-F238E27FC236}">
              <a16:creationId xmlns:a16="http://schemas.microsoft.com/office/drawing/2014/main" id="{2DEC4188-35C5-48D1-BC92-6EE5616C988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8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324486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2324</xdr:row>
      <xdr:rowOff>25400</xdr:rowOff>
    </xdr:from>
    <xdr:to>
      <xdr:col>11</xdr:col>
      <xdr:colOff>571500</xdr:colOff>
      <xdr:row>2325</xdr:row>
      <xdr:rowOff>0</xdr:rowOff>
    </xdr:to>
    <xdr:pic>
      <xdr:nvPicPr>
        <xdr:cNvPr id="12705" name="Рисунок 12704">
          <a:extLst>
            <a:ext uri="{FF2B5EF4-FFF2-40B4-BE49-F238E27FC236}">
              <a16:creationId xmlns:a16="http://schemas.microsoft.com/office/drawing/2014/main" id="{7B7179F6-D5B5-4D5B-B697-4E322A03471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8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325057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2325</xdr:row>
      <xdr:rowOff>25400</xdr:rowOff>
    </xdr:from>
    <xdr:to>
      <xdr:col>11</xdr:col>
      <xdr:colOff>571500</xdr:colOff>
      <xdr:row>2326</xdr:row>
      <xdr:rowOff>0</xdr:rowOff>
    </xdr:to>
    <xdr:pic>
      <xdr:nvPicPr>
        <xdr:cNvPr id="12707" name="Рисунок 12706">
          <a:extLst>
            <a:ext uri="{FF2B5EF4-FFF2-40B4-BE49-F238E27FC236}">
              <a16:creationId xmlns:a16="http://schemas.microsoft.com/office/drawing/2014/main" id="{143BE9EB-2DBE-4B86-8F88-D4F366C2D3A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8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325629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2326</xdr:row>
      <xdr:rowOff>25400</xdr:rowOff>
    </xdr:from>
    <xdr:to>
      <xdr:col>11</xdr:col>
      <xdr:colOff>571500</xdr:colOff>
      <xdr:row>2327</xdr:row>
      <xdr:rowOff>0</xdr:rowOff>
    </xdr:to>
    <xdr:pic>
      <xdr:nvPicPr>
        <xdr:cNvPr id="12709" name="Рисунок 12708">
          <a:extLst>
            <a:ext uri="{FF2B5EF4-FFF2-40B4-BE49-F238E27FC236}">
              <a16:creationId xmlns:a16="http://schemas.microsoft.com/office/drawing/2014/main" id="{F1C6B542-A002-4C4D-97E0-6BEC5B55174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8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326200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2327</xdr:row>
      <xdr:rowOff>25400</xdr:rowOff>
    </xdr:from>
    <xdr:to>
      <xdr:col>11</xdr:col>
      <xdr:colOff>571500</xdr:colOff>
      <xdr:row>2328</xdr:row>
      <xdr:rowOff>0</xdr:rowOff>
    </xdr:to>
    <xdr:pic>
      <xdr:nvPicPr>
        <xdr:cNvPr id="12711" name="Рисунок 12710">
          <a:extLst>
            <a:ext uri="{FF2B5EF4-FFF2-40B4-BE49-F238E27FC236}">
              <a16:creationId xmlns:a16="http://schemas.microsoft.com/office/drawing/2014/main" id="{96B0C83A-462E-4B7D-BD89-05D8F6AC8AD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8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326772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2328</xdr:row>
      <xdr:rowOff>25400</xdr:rowOff>
    </xdr:from>
    <xdr:to>
      <xdr:col>11</xdr:col>
      <xdr:colOff>571500</xdr:colOff>
      <xdr:row>2329</xdr:row>
      <xdr:rowOff>0</xdr:rowOff>
    </xdr:to>
    <xdr:pic>
      <xdr:nvPicPr>
        <xdr:cNvPr id="12713" name="Рисунок 12712">
          <a:extLst>
            <a:ext uri="{FF2B5EF4-FFF2-40B4-BE49-F238E27FC236}">
              <a16:creationId xmlns:a16="http://schemas.microsoft.com/office/drawing/2014/main" id="{D013BBD2-36F6-40A3-AD36-A12A434B092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9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327343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2329</xdr:row>
      <xdr:rowOff>25400</xdr:rowOff>
    </xdr:from>
    <xdr:to>
      <xdr:col>11</xdr:col>
      <xdr:colOff>571500</xdr:colOff>
      <xdr:row>2330</xdr:row>
      <xdr:rowOff>0</xdr:rowOff>
    </xdr:to>
    <xdr:pic>
      <xdr:nvPicPr>
        <xdr:cNvPr id="12715" name="Рисунок 12714">
          <a:extLst>
            <a:ext uri="{FF2B5EF4-FFF2-40B4-BE49-F238E27FC236}">
              <a16:creationId xmlns:a16="http://schemas.microsoft.com/office/drawing/2014/main" id="{96476C41-268D-42FB-8C9D-C28BEB47DF0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9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327915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2330</xdr:row>
      <xdr:rowOff>25400</xdr:rowOff>
    </xdr:from>
    <xdr:to>
      <xdr:col>11</xdr:col>
      <xdr:colOff>571500</xdr:colOff>
      <xdr:row>2331</xdr:row>
      <xdr:rowOff>0</xdr:rowOff>
    </xdr:to>
    <xdr:pic>
      <xdr:nvPicPr>
        <xdr:cNvPr id="12717" name="Рисунок 12716">
          <a:extLst>
            <a:ext uri="{FF2B5EF4-FFF2-40B4-BE49-F238E27FC236}">
              <a16:creationId xmlns:a16="http://schemas.microsoft.com/office/drawing/2014/main" id="{67C29433-8530-450D-99E2-7D4374FEAD8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9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328486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2331</xdr:row>
      <xdr:rowOff>25400</xdr:rowOff>
    </xdr:from>
    <xdr:to>
      <xdr:col>11</xdr:col>
      <xdr:colOff>571500</xdr:colOff>
      <xdr:row>2332</xdr:row>
      <xdr:rowOff>0</xdr:rowOff>
    </xdr:to>
    <xdr:pic>
      <xdr:nvPicPr>
        <xdr:cNvPr id="12719" name="Рисунок 12718">
          <a:extLst>
            <a:ext uri="{FF2B5EF4-FFF2-40B4-BE49-F238E27FC236}">
              <a16:creationId xmlns:a16="http://schemas.microsoft.com/office/drawing/2014/main" id="{061D293D-0F40-41A7-AC91-BE4DFCF13E0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9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329058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2332</xdr:row>
      <xdr:rowOff>25400</xdr:rowOff>
    </xdr:from>
    <xdr:to>
      <xdr:col>11</xdr:col>
      <xdr:colOff>571500</xdr:colOff>
      <xdr:row>2333</xdr:row>
      <xdr:rowOff>0</xdr:rowOff>
    </xdr:to>
    <xdr:pic>
      <xdr:nvPicPr>
        <xdr:cNvPr id="12721" name="Рисунок 12720">
          <a:extLst>
            <a:ext uri="{FF2B5EF4-FFF2-40B4-BE49-F238E27FC236}">
              <a16:creationId xmlns:a16="http://schemas.microsoft.com/office/drawing/2014/main" id="{84BA334A-19B7-4DC7-A10B-304454F4045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9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329629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2333</xdr:row>
      <xdr:rowOff>25400</xdr:rowOff>
    </xdr:from>
    <xdr:to>
      <xdr:col>11</xdr:col>
      <xdr:colOff>571500</xdr:colOff>
      <xdr:row>2334</xdr:row>
      <xdr:rowOff>0</xdr:rowOff>
    </xdr:to>
    <xdr:pic>
      <xdr:nvPicPr>
        <xdr:cNvPr id="12723" name="Рисунок 12722">
          <a:extLst>
            <a:ext uri="{FF2B5EF4-FFF2-40B4-BE49-F238E27FC236}">
              <a16:creationId xmlns:a16="http://schemas.microsoft.com/office/drawing/2014/main" id="{725BAB59-CEEE-4C7B-879D-9849AB7EDF2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9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330201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2334</xdr:row>
      <xdr:rowOff>25400</xdr:rowOff>
    </xdr:from>
    <xdr:to>
      <xdr:col>11</xdr:col>
      <xdr:colOff>571500</xdr:colOff>
      <xdr:row>2335</xdr:row>
      <xdr:rowOff>0</xdr:rowOff>
    </xdr:to>
    <xdr:pic>
      <xdr:nvPicPr>
        <xdr:cNvPr id="12725" name="Рисунок 12724">
          <a:extLst>
            <a:ext uri="{FF2B5EF4-FFF2-40B4-BE49-F238E27FC236}">
              <a16:creationId xmlns:a16="http://schemas.microsoft.com/office/drawing/2014/main" id="{DD4925B5-E49D-46DB-BB66-620E570B933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9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330772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2335</xdr:row>
      <xdr:rowOff>25400</xdr:rowOff>
    </xdr:from>
    <xdr:to>
      <xdr:col>11</xdr:col>
      <xdr:colOff>571500</xdr:colOff>
      <xdr:row>2336</xdr:row>
      <xdr:rowOff>0</xdr:rowOff>
    </xdr:to>
    <xdr:pic>
      <xdr:nvPicPr>
        <xdr:cNvPr id="12727" name="Рисунок 12726">
          <a:extLst>
            <a:ext uri="{FF2B5EF4-FFF2-40B4-BE49-F238E27FC236}">
              <a16:creationId xmlns:a16="http://schemas.microsoft.com/office/drawing/2014/main" id="{B053424F-87FA-4058-B396-8C85BE36BB9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9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331344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2336</xdr:row>
      <xdr:rowOff>25400</xdr:rowOff>
    </xdr:from>
    <xdr:to>
      <xdr:col>11</xdr:col>
      <xdr:colOff>571500</xdr:colOff>
      <xdr:row>2337</xdr:row>
      <xdr:rowOff>0</xdr:rowOff>
    </xdr:to>
    <xdr:pic>
      <xdr:nvPicPr>
        <xdr:cNvPr id="12729" name="Рисунок 12728">
          <a:extLst>
            <a:ext uri="{FF2B5EF4-FFF2-40B4-BE49-F238E27FC236}">
              <a16:creationId xmlns:a16="http://schemas.microsoft.com/office/drawing/2014/main" id="{CB36A2C6-0FFB-4865-8CF5-DC9B7A4E9FC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9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331915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2337</xdr:row>
      <xdr:rowOff>25400</xdr:rowOff>
    </xdr:from>
    <xdr:to>
      <xdr:col>11</xdr:col>
      <xdr:colOff>571500</xdr:colOff>
      <xdr:row>2338</xdr:row>
      <xdr:rowOff>0</xdr:rowOff>
    </xdr:to>
    <xdr:pic>
      <xdr:nvPicPr>
        <xdr:cNvPr id="12731" name="Рисунок 12730">
          <a:extLst>
            <a:ext uri="{FF2B5EF4-FFF2-40B4-BE49-F238E27FC236}">
              <a16:creationId xmlns:a16="http://schemas.microsoft.com/office/drawing/2014/main" id="{D44C0BB7-4323-4A49-883F-5339E690640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29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332487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2338</xdr:row>
      <xdr:rowOff>25400</xdr:rowOff>
    </xdr:from>
    <xdr:to>
      <xdr:col>11</xdr:col>
      <xdr:colOff>571500</xdr:colOff>
      <xdr:row>2339</xdr:row>
      <xdr:rowOff>0</xdr:rowOff>
    </xdr:to>
    <xdr:pic>
      <xdr:nvPicPr>
        <xdr:cNvPr id="12733" name="Рисунок 12732">
          <a:extLst>
            <a:ext uri="{FF2B5EF4-FFF2-40B4-BE49-F238E27FC236}">
              <a16:creationId xmlns:a16="http://schemas.microsoft.com/office/drawing/2014/main" id="{51F281AF-35BC-44CE-BBEE-720B65C8AFE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0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333058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2339</xdr:row>
      <xdr:rowOff>25400</xdr:rowOff>
    </xdr:from>
    <xdr:to>
      <xdr:col>11</xdr:col>
      <xdr:colOff>571500</xdr:colOff>
      <xdr:row>2340</xdr:row>
      <xdr:rowOff>0</xdr:rowOff>
    </xdr:to>
    <xdr:pic>
      <xdr:nvPicPr>
        <xdr:cNvPr id="12735" name="Рисунок 12734">
          <a:extLst>
            <a:ext uri="{FF2B5EF4-FFF2-40B4-BE49-F238E27FC236}">
              <a16:creationId xmlns:a16="http://schemas.microsoft.com/office/drawing/2014/main" id="{9F31F110-4427-45C1-A4D5-CD5659268A9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0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333630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2340</xdr:row>
      <xdr:rowOff>25400</xdr:rowOff>
    </xdr:from>
    <xdr:to>
      <xdr:col>11</xdr:col>
      <xdr:colOff>571500</xdr:colOff>
      <xdr:row>2341</xdr:row>
      <xdr:rowOff>0</xdr:rowOff>
    </xdr:to>
    <xdr:pic>
      <xdr:nvPicPr>
        <xdr:cNvPr id="12737" name="Рисунок 12736">
          <a:extLst>
            <a:ext uri="{FF2B5EF4-FFF2-40B4-BE49-F238E27FC236}">
              <a16:creationId xmlns:a16="http://schemas.microsoft.com/office/drawing/2014/main" id="{AC698052-738C-4E6D-9AFB-25551151818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0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334201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2341</xdr:row>
      <xdr:rowOff>25400</xdr:rowOff>
    </xdr:from>
    <xdr:to>
      <xdr:col>11</xdr:col>
      <xdr:colOff>571500</xdr:colOff>
      <xdr:row>2342</xdr:row>
      <xdr:rowOff>0</xdr:rowOff>
    </xdr:to>
    <xdr:pic>
      <xdr:nvPicPr>
        <xdr:cNvPr id="12739" name="Рисунок 12738">
          <a:extLst>
            <a:ext uri="{FF2B5EF4-FFF2-40B4-BE49-F238E27FC236}">
              <a16:creationId xmlns:a16="http://schemas.microsoft.com/office/drawing/2014/main" id="{0B9518B0-6DA5-43F2-8FCD-BB44132E3F1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0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334773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2342</xdr:row>
      <xdr:rowOff>25400</xdr:rowOff>
    </xdr:from>
    <xdr:to>
      <xdr:col>11</xdr:col>
      <xdr:colOff>571500</xdr:colOff>
      <xdr:row>2343</xdr:row>
      <xdr:rowOff>0</xdr:rowOff>
    </xdr:to>
    <xdr:pic>
      <xdr:nvPicPr>
        <xdr:cNvPr id="12741" name="Рисунок 12740">
          <a:extLst>
            <a:ext uri="{FF2B5EF4-FFF2-40B4-BE49-F238E27FC236}">
              <a16:creationId xmlns:a16="http://schemas.microsoft.com/office/drawing/2014/main" id="{FD0D7162-A648-4737-959B-74AA3C3FB7B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0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335344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2343</xdr:row>
      <xdr:rowOff>25400</xdr:rowOff>
    </xdr:from>
    <xdr:to>
      <xdr:col>11</xdr:col>
      <xdr:colOff>571500</xdr:colOff>
      <xdr:row>2344</xdr:row>
      <xdr:rowOff>0</xdr:rowOff>
    </xdr:to>
    <xdr:pic>
      <xdr:nvPicPr>
        <xdr:cNvPr id="12743" name="Рисунок 12742">
          <a:extLst>
            <a:ext uri="{FF2B5EF4-FFF2-40B4-BE49-F238E27FC236}">
              <a16:creationId xmlns:a16="http://schemas.microsoft.com/office/drawing/2014/main" id="{4BE35646-BD70-4011-94BA-04A9A98EB72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0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335916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2344</xdr:row>
      <xdr:rowOff>25400</xdr:rowOff>
    </xdr:from>
    <xdr:to>
      <xdr:col>11</xdr:col>
      <xdr:colOff>571500</xdr:colOff>
      <xdr:row>2345</xdr:row>
      <xdr:rowOff>0</xdr:rowOff>
    </xdr:to>
    <xdr:pic>
      <xdr:nvPicPr>
        <xdr:cNvPr id="12745" name="Рисунок 12744">
          <a:extLst>
            <a:ext uri="{FF2B5EF4-FFF2-40B4-BE49-F238E27FC236}">
              <a16:creationId xmlns:a16="http://schemas.microsoft.com/office/drawing/2014/main" id="{9BC08E14-A36D-4F45-8664-0E4342C71D3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0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336487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2345</xdr:row>
      <xdr:rowOff>25400</xdr:rowOff>
    </xdr:from>
    <xdr:to>
      <xdr:col>11</xdr:col>
      <xdr:colOff>571500</xdr:colOff>
      <xdr:row>2346</xdr:row>
      <xdr:rowOff>0</xdr:rowOff>
    </xdr:to>
    <xdr:pic>
      <xdr:nvPicPr>
        <xdr:cNvPr id="12747" name="Рисунок 12746">
          <a:extLst>
            <a:ext uri="{FF2B5EF4-FFF2-40B4-BE49-F238E27FC236}">
              <a16:creationId xmlns:a16="http://schemas.microsoft.com/office/drawing/2014/main" id="{FC3950E7-61CD-4E0A-99BF-C485F76F481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0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337059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2346</xdr:row>
      <xdr:rowOff>25400</xdr:rowOff>
    </xdr:from>
    <xdr:to>
      <xdr:col>11</xdr:col>
      <xdr:colOff>571500</xdr:colOff>
      <xdr:row>2347</xdr:row>
      <xdr:rowOff>0</xdr:rowOff>
    </xdr:to>
    <xdr:pic>
      <xdr:nvPicPr>
        <xdr:cNvPr id="12749" name="Рисунок 12748">
          <a:extLst>
            <a:ext uri="{FF2B5EF4-FFF2-40B4-BE49-F238E27FC236}">
              <a16:creationId xmlns:a16="http://schemas.microsoft.com/office/drawing/2014/main" id="{0B1968B6-ED62-480D-B896-3FA99EF7E8D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0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337630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2347</xdr:row>
      <xdr:rowOff>25400</xdr:rowOff>
    </xdr:from>
    <xdr:to>
      <xdr:col>11</xdr:col>
      <xdr:colOff>571500</xdr:colOff>
      <xdr:row>2348</xdr:row>
      <xdr:rowOff>0</xdr:rowOff>
    </xdr:to>
    <xdr:pic>
      <xdr:nvPicPr>
        <xdr:cNvPr id="12751" name="Рисунок 12750">
          <a:extLst>
            <a:ext uri="{FF2B5EF4-FFF2-40B4-BE49-F238E27FC236}">
              <a16:creationId xmlns:a16="http://schemas.microsoft.com/office/drawing/2014/main" id="{E7DB1768-7F3A-4078-A6AD-2AC8008EA25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0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338202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2348</xdr:row>
      <xdr:rowOff>25400</xdr:rowOff>
    </xdr:from>
    <xdr:to>
      <xdr:col>11</xdr:col>
      <xdr:colOff>571500</xdr:colOff>
      <xdr:row>2349</xdr:row>
      <xdr:rowOff>0</xdr:rowOff>
    </xdr:to>
    <xdr:pic>
      <xdr:nvPicPr>
        <xdr:cNvPr id="12753" name="Рисунок 12752">
          <a:extLst>
            <a:ext uri="{FF2B5EF4-FFF2-40B4-BE49-F238E27FC236}">
              <a16:creationId xmlns:a16="http://schemas.microsoft.com/office/drawing/2014/main" id="{ABEE970A-CE5F-42DF-9FB8-778F0DDEDB8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338773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2349</xdr:row>
      <xdr:rowOff>25400</xdr:rowOff>
    </xdr:from>
    <xdr:to>
      <xdr:col>11</xdr:col>
      <xdr:colOff>571500</xdr:colOff>
      <xdr:row>2350</xdr:row>
      <xdr:rowOff>0</xdr:rowOff>
    </xdr:to>
    <xdr:pic>
      <xdr:nvPicPr>
        <xdr:cNvPr id="12755" name="Рисунок 12754">
          <a:extLst>
            <a:ext uri="{FF2B5EF4-FFF2-40B4-BE49-F238E27FC236}">
              <a16:creationId xmlns:a16="http://schemas.microsoft.com/office/drawing/2014/main" id="{2DEB43EC-5229-49A8-B4C9-6669749B2C3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339345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2350</xdr:row>
      <xdr:rowOff>25400</xdr:rowOff>
    </xdr:from>
    <xdr:to>
      <xdr:col>11</xdr:col>
      <xdr:colOff>571500</xdr:colOff>
      <xdr:row>2351</xdr:row>
      <xdr:rowOff>0</xdr:rowOff>
    </xdr:to>
    <xdr:pic>
      <xdr:nvPicPr>
        <xdr:cNvPr id="12757" name="Рисунок 12756">
          <a:extLst>
            <a:ext uri="{FF2B5EF4-FFF2-40B4-BE49-F238E27FC236}">
              <a16:creationId xmlns:a16="http://schemas.microsoft.com/office/drawing/2014/main" id="{A4D6B7C2-51A1-4080-994B-260E67EAE7C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339916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2351</xdr:row>
      <xdr:rowOff>25400</xdr:rowOff>
    </xdr:from>
    <xdr:to>
      <xdr:col>11</xdr:col>
      <xdr:colOff>571500</xdr:colOff>
      <xdr:row>2352</xdr:row>
      <xdr:rowOff>0</xdr:rowOff>
    </xdr:to>
    <xdr:pic>
      <xdr:nvPicPr>
        <xdr:cNvPr id="12759" name="Рисунок 12758">
          <a:extLst>
            <a:ext uri="{FF2B5EF4-FFF2-40B4-BE49-F238E27FC236}">
              <a16:creationId xmlns:a16="http://schemas.microsoft.com/office/drawing/2014/main" id="{BCD7CA90-6FA1-4699-B81A-8ACC8CD601B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340488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2352</xdr:row>
      <xdr:rowOff>25400</xdr:rowOff>
    </xdr:from>
    <xdr:to>
      <xdr:col>11</xdr:col>
      <xdr:colOff>571500</xdr:colOff>
      <xdr:row>2353</xdr:row>
      <xdr:rowOff>0</xdr:rowOff>
    </xdr:to>
    <xdr:pic>
      <xdr:nvPicPr>
        <xdr:cNvPr id="12761" name="Рисунок 12760">
          <a:extLst>
            <a:ext uri="{FF2B5EF4-FFF2-40B4-BE49-F238E27FC236}">
              <a16:creationId xmlns:a16="http://schemas.microsoft.com/office/drawing/2014/main" id="{4CEFDE9B-979C-40B3-9BFE-3378D7BFC49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341059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2353</xdr:row>
      <xdr:rowOff>25400</xdr:rowOff>
    </xdr:from>
    <xdr:to>
      <xdr:col>11</xdr:col>
      <xdr:colOff>571500</xdr:colOff>
      <xdr:row>2354</xdr:row>
      <xdr:rowOff>0</xdr:rowOff>
    </xdr:to>
    <xdr:pic>
      <xdr:nvPicPr>
        <xdr:cNvPr id="12763" name="Рисунок 12762">
          <a:extLst>
            <a:ext uri="{FF2B5EF4-FFF2-40B4-BE49-F238E27FC236}">
              <a16:creationId xmlns:a16="http://schemas.microsoft.com/office/drawing/2014/main" id="{D610B819-A450-43D2-9B1F-88327812394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341631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2354</xdr:row>
      <xdr:rowOff>25400</xdr:rowOff>
    </xdr:from>
    <xdr:to>
      <xdr:col>11</xdr:col>
      <xdr:colOff>571500</xdr:colOff>
      <xdr:row>2355</xdr:row>
      <xdr:rowOff>0</xdr:rowOff>
    </xdr:to>
    <xdr:pic>
      <xdr:nvPicPr>
        <xdr:cNvPr id="12765" name="Рисунок 12764">
          <a:extLst>
            <a:ext uri="{FF2B5EF4-FFF2-40B4-BE49-F238E27FC236}">
              <a16:creationId xmlns:a16="http://schemas.microsoft.com/office/drawing/2014/main" id="{A495E688-8489-485F-8E9D-6262526BE03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342202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2355</xdr:row>
      <xdr:rowOff>25400</xdr:rowOff>
    </xdr:from>
    <xdr:to>
      <xdr:col>11</xdr:col>
      <xdr:colOff>571500</xdr:colOff>
      <xdr:row>2356</xdr:row>
      <xdr:rowOff>0</xdr:rowOff>
    </xdr:to>
    <xdr:pic>
      <xdr:nvPicPr>
        <xdr:cNvPr id="12767" name="Рисунок 12766">
          <a:extLst>
            <a:ext uri="{FF2B5EF4-FFF2-40B4-BE49-F238E27FC236}">
              <a16:creationId xmlns:a16="http://schemas.microsoft.com/office/drawing/2014/main" id="{521BE478-E51C-46E0-BAAC-87447DEEDF8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342774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2356</xdr:row>
      <xdr:rowOff>25400</xdr:rowOff>
    </xdr:from>
    <xdr:to>
      <xdr:col>11</xdr:col>
      <xdr:colOff>571500</xdr:colOff>
      <xdr:row>2357</xdr:row>
      <xdr:rowOff>0</xdr:rowOff>
    </xdr:to>
    <xdr:pic>
      <xdr:nvPicPr>
        <xdr:cNvPr id="12769" name="Рисунок 12768">
          <a:extLst>
            <a:ext uri="{FF2B5EF4-FFF2-40B4-BE49-F238E27FC236}">
              <a16:creationId xmlns:a16="http://schemas.microsoft.com/office/drawing/2014/main" id="{03EFF4B7-E682-4CC6-A705-23A6491F6B8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343345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2357</xdr:row>
      <xdr:rowOff>25400</xdr:rowOff>
    </xdr:from>
    <xdr:to>
      <xdr:col>11</xdr:col>
      <xdr:colOff>571500</xdr:colOff>
      <xdr:row>2358</xdr:row>
      <xdr:rowOff>0</xdr:rowOff>
    </xdr:to>
    <xdr:pic>
      <xdr:nvPicPr>
        <xdr:cNvPr id="12771" name="Рисунок 12770">
          <a:extLst>
            <a:ext uri="{FF2B5EF4-FFF2-40B4-BE49-F238E27FC236}">
              <a16:creationId xmlns:a16="http://schemas.microsoft.com/office/drawing/2014/main" id="{0204DEEE-E088-451C-99E4-D426FC7B575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343917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2358</xdr:row>
      <xdr:rowOff>25400</xdr:rowOff>
    </xdr:from>
    <xdr:to>
      <xdr:col>11</xdr:col>
      <xdr:colOff>571500</xdr:colOff>
      <xdr:row>2359</xdr:row>
      <xdr:rowOff>0</xdr:rowOff>
    </xdr:to>
    <xdr:pic>
      <xdr:nvPicPr>
        <xdr:cNvPr id="12773" name="Рисунок 12772">
          <a:extLst>
            <a:ext uri="{FF2B5EF4-FFF2-40B4-BE49-F238E27FC236}">
              <a16:creationId xmlns:a16="http://schemas.microsoft.com/office/drawing/2014/main" id="{9A2BCA39-BD62-4682-94DF-5D32C3762B6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344488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2359</xdr:row>
      <xdr:rowOff>25400</xdr:rowOff>
    </xdr:from>
    <xdr:to>
      <xdr:col>11</xdr:col>
      <xdr:colOff>571500</xdr:colOff>
      <xdr:row>2360</xdr:row>
      <xdr:rowOff>0</xdr:rowOff>
    </xdr:to>
    <xdr:pic>
      <xdr:nvPicPr>
        <xdr:cNvPr id="12775" name="Рисунок 12774">
          <a:extLst>
            <a:ext uri="{FF2B5EF4-FFF2-40B4-BE49-F238E27FC236}">
              <a16:creationId xmlns:a16="http://schemas.microsoft.com/office/drawing/2014/main" id="{D4375F9C-CDD4-4537-91DF-8AB5EB3A6AB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345060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2360</xdr:row>
      <xdr:rowOff>25400</xdr:rowOff>
    </xdr:from>
    <xdr:to>
      <xdr:col>11</xdr:col>
      <xdr:colOff>571500</xdr:colOff>
      <xdr:row>2361</xdr:row>
      <xdr:rowOff>0</xdr:rowOff>
    </xdr:to>
    <xdr:pic>
      <xdr:nvPicPr>
        <xdr:cNvPr id="12777" name="Рисунок 12776">
          <a:extLst>
            <a:ext uri="{FF2B5EF4-FFF2-40B4-BE49-F238E27FC236}">
              <a16:creationId xmlns:a16="http://schemas.microsoft.com/office/drawing/2014/main" id="{D577C649-E781-491D-88D0-7F8691F39ED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345631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2361</xdr:row>
      <xdr:rowOff>25400</xdr:rowOff>
    </xdr:from>
    <xdr:to>
      <xdr:col>11</xdr:col>
      <xdr:colOff>571500</xdr:colOff>
      <xdr:row>2362</xdr:row>
      <xdr:rowOff>0</xdr:rowOff>
    </xdr:to>
    <xdr:pic>
      <xdr:nvPicPr>
        <xdr:cNvPr id="12779" name="Рисунок 12778">
          <a:extLst>
            <a:ext uri="{FF2B5EF4-FFF2-40B4-BE49-F238E27FC236}">
              <a16:creationId xmlns:a16="http://schemas.microsoft.com/office/drawing/2014/main" id="{CD10864A-642D-41CF-913F-F9588EB6678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346203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2362</xdr:row>
      <xdr:rowOff>25400</xdr:rowOff>
    </xdr:from>
    <xdr:to>
      <xdr:col>11</xdr:col>
      <xdr:colOff>571500</xdr:colOff>
      <xdr:row>2363</xdr:row>
      <xdr:rowOff>0</xdr:rowOff>
    </xdr:to>
    <xdr:pic>
      <xdr:nvPicPr>
        <xdr:cNvPr id="12781" name="Рисунок 12780">
          <a:extLst>
            <a:ext uri="{FF2B5EF4-FFF2-40B4-BE49-F238E27FC236}">
              <a16:creationId xmlns:a16="http://schemas.microsoft.com/office/drawing/2014/main" id="{36284F7F-A274-4B06-8D7D-DEFF4B3D9F3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346774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2363</xdr:row>
      <xdr:rowOff>25400</xdr:rowOff>
    </xdr:from>
    <xdr:to>
      <xdr:col>11</xdr:col>
      <xdr:colOff>571500</xdr:colOff>
      <xdr:row>2364</xdr:row>
      <xdr:rowOff>0</xdr:rowOff>
    </xdr:to>
    <xdr:pic>
      <xdr:nvPicPr>
        <xdr:cNvPr id="12783" name="Рисунок 12782">
          <a:extLst>
            <a:ext uri="{FF2B5EF4-FFF2-40B4-BE49-F238E27FC236}">
              <a16:creationId xmlns:a16="http://schemas.microsoft.com/office/drawing/2014/main" id="{5499F187-B912-44AF-9CA8-6D30DB689F6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347346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2364</xdr:row>
      <xdr:rowOff>25400</xdr:rowOff>
    </xdr:from>
    <xdr:to>
      <xdr:col>11</xdr:col>
      <xdr:colOff>571500</xdr:colOff>
      <xdr:row>2365</xdr:row>
      <xdr:rowOff>0</xdr:rowOff>
    </xdr:to>
    <xdr:pic>
      <xdr:nvPicPr>
        <xdr:cNvPr id="12785" name="Рисунок 12784">
          <a:extLst>
            <a:ext uri="{FF2B5EF4-FFF2-40B4-BE49-F238E27FC236}">
              <a16:creationId xmlns:a16="http://schemas.microsoft.com/office/drawing/2014/main" id="{BBD831FA-29CB-48A3-9D09-0174CEEC97C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347917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2365</xdr:row>
      <xdr:rowOff>25400</xdr:rowOff>
    </xdr:from>
    <xdr:to>
      <xdr:col>11</xdr:col>
      <xdr:colOff>571500</xdr:colOff>
      <xdr:row>2366</xdr:row>
      <xdr:rowOff>0</xdr:rowOff>
    </xdr:to>
    <xdr:pic>
      <xdr:nvPicPr>
        <xdr:cNvPr id="12787" name="Рисунок 12786">
          <a:extLst>
            <a:ext uri="{FF2B5EF4-FFF2-40B4-BE49-F238E27FC236}">
              <a16:creationId xmlns:a16="http://schemas.microsoft.com/office/drawing/2014/main" id="{714F88CF-F87F-488E-B0C5-877A1D052E7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348489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2366</xdr:row>
      <xdr:rowOff>25400</xdr:rowOff>
    </xdr:from>
    <xdr:to>
      <xdr:col>11</xdr:col>
      <xdr:colOff>571500</xdr:colOff>
      <xdr:row>2367</xdr:row>
      <xdr:rowOff>0</xdr:rowOff>
    </xdr:to>
    <xdr:pic>
      <xdr:nvPicPr>
        <xdr:cNvPr id="12789" name="Рисунок 12788">
          <a:extLst>
            <a:ext uri="{FF2B5EF4-FFF2-40B4-BE49-F238E27FC236}">
              <a16:creationId xmlns:a16="http://schemas.microsoft.com/office/drawing/2014/main" id="{BE3E5140-5E51-4C39-85B8-46C784CBDB3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349060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2367</xdr:row>
      <xdr:rowOff>25400</xdr:rowOff>
    </xdr:from>
    <xdr:to>
      <xdr:col>11</xdr:col>
      <xdr:colOff>571500</xdr:colOff>
      <xdr:row>2368</xdr:row>
      <xdr:rowOff>0</xdr:rowOff>
    </xdr:to>
    <xdr:pic>
      <xdr:nvPicPr>
        <xdr:cNvPr id="12791" name="Рисунок 12790">
          <a:extLst>
            <a:ext uri="{FF2B5EF4-FFF2-40B4-BE49-F238E27FC236}">
              <a16:creationId xmlns:a16="http://schemas.microsoft.com/office/drawing/2014/main" id="{1A189A17-A2CC-4052-9DD1-00630FE8204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349632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2368</xdr:row>
      <xdr:rowOff>25400</xdr:rowOff>
    </xdr:from>
    <xdr:to>
      <xdr:col>11</xdr:col>
      <xdr:colOff>571500</xdr:colOff>
      <xdr:row>2369</xdr:row>
      <xdr:rowOff>0</xdr:rowOff>
    </xdr:to>
    <xdr:pic>
      <xdr:nvPicPr>
        <xdr:cNvPr id="12793" name="Рисунок 12792">
          <a:extLst>
            <a:ext uri="{FF2B5EF4-FFF2-40B4-BE49-F238E27FC236}">
              <a16:creationId xmlns:a16="http://schemas.microsoft.com/office/drawing/2014/main" id="{9DFA6416-A1F7-4EAB-8BA6-FAA45B2B0E9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350203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2369</xdr:row>
      <xdr:rowOff>25400</xdr:rowOff>
    </xdr:from>
    <xdr:to>
      <xdr:col>11</xdr:col>
      <xdr:colOff>571500</xdr:colOff>
      <xdr:row>2370</xdr:row>
      <xdr:rowOff>0</xdr:rowOff>
    </xdr:to>
    <xdr:pic>
      <xdr:nvPicPr>
        <xdr:cNvPr id="12795" name="Рисунок 12794">
          <a:extLst>
            <a:ext uri="{FF2B5EF4-FFF2-40B4-BE49-F238E27FC236}">
              <a16:creationId xmlns:a16="http://schemas.microsoft.com/office/drawing/2014/main" id="{FF48FDE0-AB6F-48B6-8D15-30CD4A713EF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3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350775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2370</xdr:row>
      <xdr:rowOff>25400</xdr:rowOff>
    </xdr:from>
    <xdr:to>
      <xdr:col>11</xdr:col>
      <xdr:colOff>571500</xdr:colOff>
      <xdr:row>2371</xdr:row>
      <xdr:rowOff>0</xdr:rowOff>
    </xdr:to>
    <xdr:pic>
      <xdr:nvPicPr>
        <xdr:cNvPr id="12797" name="Рисунок 12796">
          <a:extLst>
            <a:ext uri="{FF2B5EF4-FFF2-40B4-BE49-F238E27FC236}">
              <a16:creationId xmlns:a16="http://schemas.microsoft.com/office/drawing/2014/main" id="{1762768F-0788-40E4-B5A9-88F9C13B93B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3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351346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2371</xdr:row>
      <xdr:rowOff>25400</xdr:rowOff>
    </xdr:from>
    <xdr:to>
      <xdr:col>11</xdr:col>
      <xdr:colOff>571500</xdr:colOff>
      <xdr:row>2372</xdr:row>
      <xdr:rowOff>0</xdr:rowOff>
    </xdr:to>
    <xdr:pic>
      <xdr:nvPicPr>
        <xdr:cNvPr id="12799" name="Рисунок 12798">
          <a:extLst>
            <a:ext uri="{FF2B5EF4-FFF2-40B4-BE49-F238E27FC236}">
              <a16:creationId xmlns:a16="http://schemas.microsoft.com/office/drawing/2014/main" id="{D51B0761-85A5-4CA6-95C0-02087F35C82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3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351918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2372</xdr:row>
      <xdr:rowOff>25400</xdr:rowOff>
    </xdr:from>
    <xdr:to>
      <xdr:col>11</xdr:col>
      <xdr:colOff>571500</xdr:colOff>
      <xdr:row>2373</xdr:row>
      <xdr:rowOff>0</xdr:rowOff>
    </xdr:to>
    <xdr:pic>
      <xdr:nvPicPr>
        <xdr:cNvPr id="12801" name="Рисунок 12800">
          <a:extLst>
            <a:ext uri="{FF2B5EF4-FFF2-40B4-BE49-F238E27FC236}">
              <a16:creationId xmlns:a16="http://schemas.microsoft.com/office/drawing/2014/main" id="{4E79F2A4-9E24-4FB6-A87B-D2558D6F11B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3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352489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2373</xdr:row>
      <xdr:rowOff>25400</xdr:rowOff>
    </xdr:from>
    <xdr:to>
      <xdr:col>11</xdr:col>
      <xdr:colOff>571500</xdr:colOff>
      <xdr:row>2374</xdr:row>
      <xdr:rowOff>0</xdr:rowOff>
    </xdr:to>
    <xdr:pic>
      <xdr:nvPicPr>
        <xdr:cNvPr id="12803" name="Рисунок 12802">
          <a:extLst>
            <a:ext uri="{FF2B5EF4-FFF2-40B4-BE49-F238E27FC236}">
              <a16:creationId xmlns:a16="http://schemas.microsoft.com/office/drawing/2014/main" id="{8422C7C6-B829-4595-AA46-5C4E8753604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3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353061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2374</xdr:row>
      <xdr:rowOff>25400</xdr:rowOff>
    </xdr:from>
    <xdr:to>
      <xdr:col>11</xdr:col>
      <xdr:colOff>571500</xdr:colOff>
      <xdr:row>2375</xdr:row>
      <xdr:rowOff>0</xdr:rowOff>
    </xdr:to>
    <xdr:pic>
      <xdr:nvPicPr>
        <xdr:cNvPr id="12805" name="Рисунок 12804">
          <a:extLst>
            <a:ext uri="{FF2B5EF4-FFF2-40B4-BE49-F238E27FC236}">
              <a16:creationId xmlns:a16="http://schemas.microsoft.com/office/drawing/2014/main" id="{7E32C343-DA09-41C3-8E8A-D30F3F46A92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3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353632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2375</xdr:row>
      <xdr:rowOff>25400</xdr:rowOff>
    </xdr:from>
    <xdr:to>
      <xdr:col>11</xdr:col>
      <xdr:colOff>571500</xdr:colOff>
      <xdr:row>2376</xdr:row>
      <xdr:rowOff>0</xdr:rowOff>
    </xdr:to>
    <xdr:pic>
      <xdr:nvPicPr>
        <xdr:cNvPr id="12807" name="Рисунок 12806">
          <a:extLst>
            <a:ext uri="{FF2B5EF4-FFF2-40B4-BE49-F238E27FC236}">
              <a16:creationId xmlns:a16="http://schemas.microsoft.com/office/drawing/2014/main" id="{F321AF2E-1C6E-4163-861C-56A0D7D21F3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3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354204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2376</xdr:row>
      <xdr:rowOff>25400</xdr:rowOff>
    </xdr:from>
    <xdr:to>
      <xdr:col>11</xdr:col>
      <xdr:colOff>571500</xdr:colOff>
      <xdr:row>2377</xdr:row>
      <xdr:rowOff>0</xdr:rowOff>
    </xdr:to>
    <xdr:pic>
      <xdr:nvPicPr>
        <xdr:cNvPr id="12809" name="Рисунок 12808">
          <a:extLst>
            <a:ext uri="{FF2B5EF4-FFF2-40B4-BE49-F238E27FC236}">
              <a16:creationId xmlns:a16="http://schemas.microsoft.com/office/drawing/2014/main" id="{1DD760ED-8C46-4946-AA3D-6DE4E1B6B17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3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354775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2377</xdr:row>
      <xdr:rowOff>25400</xdr:rowOff>
    </xdr:from>
    <xdr:to>
      <xdr:col>11</xdr:col>
      <xdr:colOff>571500</xdr:colOff>
      <xdr:row>2378</xdr:row>
      <xdr:rowOff>0</xdr:rowOff>
    </xdr:to>
    <xdr:pic>
      <xdr:nvPicPr>
        <xdr:cNvPr id="12811" name="Рисунок 12810">
          <a:extLst>
            <a:ext uri="{FF2B5EF4-FFF2-40B4-BE49-F238E27FC236}">
              <a16:creationId xmlns:a16="http://schemas.microsoft.com/office/drawing/2014/main" id="{1A15C411-8DF3-4707-A233-B068BF9DEF8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3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355347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2378</xdr:row>
      <xdr:rowOff>25400</xdr:rowOff>
    </xdr:from>
    <xdr:to>
      <xdr:col>11</xdr:col>
      <xdr:colOff>571500</xdr:colOff>
      <xdr:row>2379</xdr:row>
      <xdr:rowOff>0</xdr:rowOff>
    </xdr:to>
    <xdr:pic>
      <xdr:nvPicPr>
        <xdr:cNvPr id="12813" name="Рисунок 12812">
          <a:extLst>
            <a:ext uri="{FF2B5EF4-FFF2-40B4-BE49-F238E27FC236}">
              <a16:creationId xmlns:a16="http://schemas.microsoft.com/office/drawing/2014/main" id="{84F126BE-85B8-43D2-8E8E-CEAFF99AD64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4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355918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2379</xdr:row>
      <xdr:rowOff>25400</xdr:rowOff>
    </xdr:from>
    <xdr:to>
      <xdr:col>11</xdr:col>
      <xdr:colOff>571500</xdr:colOff>
      <xdr:row>2380</xdr:row>
      <xdr:rowOff>0</xdr:rowOff>
    </xdr:to>
    <xdr:pic>
      <xdr:nvPicPr>
        <xdr:cNvPr id="12815" name="Рисунок 12814">
          <a:extLst>
            <a:ext uri="{FF2B5EF4-FFF2-40B4-BE49-F238E27FC236}">
              <a16:creationId xmlns:a16="http://schemas.microsoft.com/office/drawing/2014/main" id="{0F1A7EBC-C91B-4050-A013-0336D44DF65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4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356490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2380</xdr:row>
      <xdr:rowOff>25400</xdr:rowOff>
    </xdr:from>
    <xdr:to>
      <xdr:col>11</xdr:col>
      <xdr:colOff>571500</xdr:colOff>
      <xdr:row>2381</xdr:row>
      <xdr:rowOff>0</xdr:rowOff>
    </xdr:to>
    <xdr:pic>
      <xdr:nvPicPr>
        <xdr:cNvPr id="12817" name="Рисунок 12816">
          <a:extLst>
            <a:ext uri="{FF2B5EF4-FFF2-40B4-BE49-F238E27FC236}">
              <a16:creationId xmlns:a16="http://schemas.microsoft.com/office/drawing/2014/main" id="{891A6876-A871-4ECC-AF8E-23CBFFAF3B7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357061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2381</xdr:row>
      <xdr:rowOff>25400</xdr:rowOff>
    </xdr:from>
    <xdr:to>
      <xdr:col>11</xdr:col>
      <xdr:colOff>571500</xdr:colOff>
      <xdr:row>2382</xdr:row>
      <xdr:rowOff>0</xdr:rowOff>
    </xdr:to>
    <xdr:pic>
      <xdr:nvPicPr>
        <xdr:cNvPr id="12819" name="Рисунок 12818">
          <a:extLst>
            <a:ext uri="{FF2B5EF4-FFF2-40B4-BE49-F238E27FC236}">
              <a16:creationId xmlns:a16="http://schemas.microsoft.com/office/drawing/2014/main" id="{18CCE014-21C1-4E7C-B9E4-5DCD832EE74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357633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2382</xdr:row>
      <xdr:rowOff>25400</xdr:rowOff>
    </xdr:from>
    <xdr:to>
      <xdr:col>11</xdr:col>
      <xdr:colOff>571500</xdr:colOff>
      <xdr:row>2383</xdr:row>
      <xdr:rowOff>0</xdr:rowOff>
    </xdr:to>
    <xdr:pic>
      <xdr:nvPicPr>
        <xdr:cNvPr id="12821" name="Рисунок 12820">
          <a:extLst>
            <a:ext uri="{FF2B5EF4-FFF2-40B4-BE49-F238E27FC236}">
              <a16:creationId xmlns:a16="http://schemas.microsoft.com/office/drawing/2014/main" id="{3ACF9AC6-589D-4B8E-A82C-057CEC52E0D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358204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2383</xdr:row>
      <xdr:rowOff>25400</xdr:rowOff>
    </xdr:from>
    <xdr:to>
      <xdr:col>11</xdr:col>
      <xdr:colOff>571500</xdr:colOff>
      <xdr:row>2384</xdr:row>
      <xdr:rowOff>0</xdr:rowOff>
    </xdr:to>
    <xdr:pic>
      <xdr:nvPicPr>
        <xdr:cNvPr id="12823" name="Рисунок 12822">
          <a:extLst>
            <a:ext uri="{FF2B5EF4-FFF2-40B4-BE49-F238E27FC236}">
              <a16:creationId xmlns:a16="http://schemas.microsoft.com/office/drawing/2014/main" id="{B53A3C46-A445-4ECD-8377-8942C3BFD13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4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358776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2384</xdr:row>
      <xdr:rowOff>25400</xdr:rowOff>
    </xdr:from>
    <xdr:to>
      <xdr:col>11</xdr:col>
      <xdr:colOff>571500</xdr:colOff>
      <xdr:row>2385</xdr:row>
      <xdr:rowOff>0</xdr:rowOff>
    </xdr:to>
    <xdr:pic>
      <xdr:nvPicPr>
        <xdr:cNvPr id="12825" name="Рисунок 12824">
          <a:extLst>
            <a:ext uri="{FF2B5EF4-FFF2-40B4-BE49-F238E27FC236}">
              <a16:creationId xmlns:a16="http://schemas.microsoft.com/office/drawing/2014/main" id="{0003FAC2-67F5-454B-9856-C1400106116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4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359347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2385</xdr:row>
      <xdr:rowOff>25400</xdr:rowOff>
    </xdr:from>
    <xdr:to>
      <xdr:col>11</xdr:col>
      <xdr:colOff>571500</xdr:colOff>
      <xdr:row>2386</xdr:row>
      <xdr:rowOff>0</xdr:rowOff>
    </xdr:to>
    <xdr:pic>
      <xdr:nvPicPr>
        <xdr:cNvPr id="12827" name="Рисунок 12826">
          <a:extLst>
            <a:ext uri="{FF2B5EF4-FFF2-40B4-BE49-F238E27FC236}">
              <a16:creationId xmlns:a16="http://schemas.microsoft.com/office/drawing/2014/main" id="{C443127B-C5EE-4B3F-A561-2CAE2018747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4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359919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2386</xdr:row>
      <xdr:rowOff>25400</xdr:rowOff>
    </xdr:from>
    <xdr:to>
      <xdr:col>11</xdr:col>
      <xdr:colOff>571500</xdr:colOff>
      <xdr:row>2387</xdr:row>
      <xdr:rowOff>0</xdr:rowOff>
    </xdr:to>
    <xdr:pic>
      <xdr:nvPicPr>
        <xdr:cNvPr id="12829" name="Рисунок 12828">
          <a:extLst>
            <a:ext uri="{FF2B5EF4-FFF2-40B4-BE49-F238E27FC236}">
              <a16:creationId xmlns:a16="http://schemas.microsoft.com/office/drawing/2014/main" id="{B45A1B74-18D4-4456-B500-FB5468A376F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4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360490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2387</xdr:row>
      <xdr:rowOff>25400</xdr:rowOff>
    </xdr:from>
    <xdr:to>
      <xdr:col>11</xdr:col>
      <xdr:colOff>571500</xdr:colOff>
      <xdr:row>2388</xdr:row>
      <xdr:rowOff>0</xdr:rowOff>
    </xdr:to>
    <xdr:pic>
      <xdr:nvPicPr>
        <xdr:cNvPr id="12831" name="Рисунок 12830">
          <a:extLst>
            <a:ext uri="{FF2B5EF4-FFF2-40B4-BE49-F238E27FC236}">
              <a16:creationId xmlns:a16="http://schemas.microsoft.com/office/drawing/2014/main" id="{A16C120C-9A50-4184-8945-DAE021D4AE2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4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361062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2388</xdr:row>
      <xdr:rowOff>25400</xdr:rowOff>
    </xdr:from>
    <xdr:to>
      <xdr:col>11</xdr:col>
      <xdr:colOff>571500</xdr:colOff>
      <xdr:row>2389</xdr:row>
      <xdr:rowOff>0</xdr:rowOff>
    </xdr:to>
    <xdr:pic>
      <xdr:nvPicPr>
        <xdr:cNvPr id="12833" name="Рисунок 12832">
          <a:extLst>
            <a:ext uri="{FF2B5EF4-FFF2-40B4-BE49-F238E27FC236}">
              <a16:creationId xmlns:a16="http://schemas.microsoft.com/office/drawing/2014/main" id="{121986C9-5CFD-4678-AA59-E897A9F4FF4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5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361633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2389</xdr:row>
      <xdr:rowOff>25400</xdr:rowOff>
    </xdr:from>
    <xdr:to>
      <xdr:col>11</xdr:col>
      <xdr:colOff>571500</xdr:colOff>
      <xdr:row>2390</xdr:row>
      <xdr:rowOff>0</xdr:rowOff>
    </xdr:to>
    <xdr:pic>
      <xdr:nvPicPr>
        <xdr:cNvPr id="12835" name="Рисунок 12834">
          <a:extLst>
            <a:ext uri="{FF2B5EF4-FFF2-40B4-BE49-F238E27FC236}">
              <a16:creationId xmlns:a16="http://schemas.microsoft.com/office/drawing/2014/main" id="{F39B99D0-E8C9-433F-90E4-524325AE400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5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362205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2390</xdr:row>
      <xdr:rowOff>25400</xdr:rowOff>
    </xdr:from>
    <xdr:to>
      <xdr:col>11</xdr:col>
      <xdr:colOff>571500</xdr:colOff>
      <xdr:row>2391</xdr:row>
      <xdr:rowOff>0</xdr:rowOff>
    </xdr:to>
    <xdr:pic>
      <xdr:nvPicPr>
        <xdr:cNvPr id="12837" name="Рисунок 12836">
          <a:extLst>
            <a:ext uri="{FF2B5EF4-FFF2-40B4-BE49-F238E27FC236}">
              <a16:creationId xmlns:a16="http://schemas.microsoft.com/office/drawing/2014/main" id="{9FA83B74-BE37-4FC6-8E4B-48326AB51DF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362776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2391</xdr:row>
      <xdr:rowOff>25400</xdr:rowOff>
    </xdr:from>
    <xdr:to>
      <xdr:col>11</xdr:col>
      <xdr:colOff>571500</xdr:colOff>
      <xdr:row>2392</xdr:row>
      <xdr:rowOff>0</xdr:rowOff>
    </xdr:to>
    <xdr:pic>
      <xdr:nvPicPr>
        <xdr:cNvPr id="12839" name="Рисунок 12838">
          <a:extLst>
            <a:ext uri="{FF2B5EF4-FFF2-40B4-BE49-F238E27FC236}">
              <a16:creationId xmlns:a16="http://schemas.microsoft.com/office/drawing/2014/main" id="{D3A5D527-E805-4FE9-92A5-A69F1FB2068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5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363348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2392</xdr:row>
      <xdr:rowOff>25400</xdr:rowOff>
    </xdr:from>
    <xdr:to>
      <xdr:col>11</xdr:col>
      <xdr:colOff>571500</xdr:colOff>
      <xdr:row>2393</xdr:row>
      <xdr:rowOff>0</xdr:rowOff>
    </xdr:to>
    <xdr:pic>
      <xdr:nvPicPr>
        <xdr:cNvPr id="12841" name="Рисунок 12840">
          <a:extLst>
            <a:ext uri="{FF2B5EF4-FFF2-40B4-BE49-F238E27FC236}">
              <a16:creationId xmlns:a16="http://schemas.microsoft.com/office/drawing/2014/main" id="{3269B112-8BCB-4B52-BF4D-9E5A405B5E6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5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363919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2393</xdr:row>
      <xdr:rowOff>25400</xdr:rowOff>
    </xdr:from>
    <xdr:to>
      <xdr:col>11</xdr:col>
      <xdr:colOff>571500</xdr:colOff>
      <xdr:row>2394</xdr:row>
      <xdr:rowOff>0</xdr:rowOff>
    </xdr:to>
    <xdr:pic>
      <xdr:nvPicPr>
        <xdr:cNvPr id="12843" name="Рисунок 12842">
          <a:extLst>
            <a:ext uri="{FF2B5EF4-FFF2-40B4-BE49-F238E27FC236}">
              <a16:creationId xmlns:a16="http://schemas.microsoft.com/office/drawing/2014/main" id="{B89696EC-66F2-4F68-A94F-8E908919210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5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364491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2394</xdr:row>
      <xdr:rowOff>25400</xdr:rowOff>
    </xdr:from>
    <xdr:to>
      <xdr:col>11</xdr:col>
      <xdr:colOff>571500</xdr:colOff>
      <xdr:row>2395</xdr:row>
      <xdr:rowOff>0</xdr:rowOff>
    </xdr:to>
    <xdr:pic>
      <xdr:nvPicPr>
        <xdr:cNvPr id="12845" name="Рисунок 12844">
          <a:extLst>
            <a:ext uri="{FF2B5EF4-FFF2-40B4-BE49-F238E27FC236}">
              <a16:creationId xmlns:a16="http://schemas.microsoft.com/office/drawing/2014/main" id="{50A42770-FE2C-427D-BF8E-B3FB6BFDC8C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5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365062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2395</xdr:row>
      <xdr:rowOff>25400</xdr:rowOff>
    </xdr:from>
    <xdr:to>
      <xdr:col>11</xdr:col>
      <xdr:colOff>571500</xdr:colOff>
      <xdr:row>2396</xdr:row>
      <xdr:rowOff>0</xdr:rowOff>
    </xdr:to>
    <xdr:pic>
      <xdr:nvPicPr>
        <xdr:cNvPr id="12847" name="Рисунок 12846">
          <a:extLst>
            <a:ext uri="{FF2B5EF4-FFF2-40B4-BE49-F238E27FC236}">
              <a16:creationId xmlns:a16="http://schemas.microsoft.com/office/drawing/2014/main" id="{EB224648-236E-45DB-97A0-6784DA89B66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5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365634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2396</xdr:row>
      <xdr:rowOff>25400</xdr:rowOff>
    </xdr:from>
    <xdr:to>
      <xdr:col>11</xdr:col>
      <xdr:colOff>571500</xdr:colOff>
      <xdr:row>2397</xdr:row>
      <xdr:rowOff>0</xdr:rowOff>
    </xdr:to>
    <xdr:pic>
      <xdr:nvPicPr>
        <xdr:cNvPr id="12849" name="Рисунок 12848">
          <a:extLst>
            <a:ext uri="{FF2B5EF4-FFF2-40B4-BE49-F238E27FC236}">
              <a16:creationId xmlns:a16="http://schemas.microsoft.com/office/drawing/2014/main" id="{D90A764A-8464-4B56-A8CF-AF658C80CF5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5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366205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2397</xdr:row>
      <xdr:rowOff>25400</xdr:rowOff>
    </xdr:from>
    <xdr:to>
      <xdr:col>11</xdr:col>
      <xdr:colOff>571500</xdr:colOff>
      <xdr:row>2398</xdr:row>
      <xdr:rowOff>0</xdr:rowOff>
    </xdr:to>
    <xdr:pic>
      <xdr:nvPicPr>
        <xdr:cNvPr id="12851" name="Рисунок 12850">
          <a:extLst>
            <a:ext uri="{FF2B5EF4-FFF2-40B4-BE49-F238E27FC236}">
              <a16:creationId xmlns:a16="http://schemas.microsoft.com/office/drawing/2014/main" id="{579360A6-D222-4A08-9D0C-FAE895B9517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5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366777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2398</xdr:row>
      <xdr:rowOff>25400</xdr:rowOff>
    </xdr:from>
    <xdr:to>
      <xdr:col>11</xdr:col>
      <xdr:colOff>571500</xdr:colOff>
      <xdr:row>2399</xdr:row>
      <xdr:rowOff>0</xdr:rowOff>
    </xdr:to>
    <xdr:pic>
      <xdr:nvPicPr>
        <xdr:cNvPr id="12853" name="Рисунок 12852">
          <a:extLst>
            <a:ext uri="{FF2B5EF4-FFF2-40B4-BE49-F238E27FC236}">
              <a16:creationId xmlns:a16="http://schemas.microsoft.com/office/drawing/2014/main" id="{22F4AB37-9218-4F50-98CF-CD2A7C7FCF9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6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367348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2399</xdr:row>
      <xdr:rowOff>25400</xdr:rowOff>
    </xdr:from>
    <xdr:to>
      <xdr:col>11</xdr:col>
      <xdr:colOff>571500</xdr:colOff>
      <xdr:row>2400</xdr:row>
      <xdr:rowOff>0</xdr:rowOff>
    </xdr:to>
    <xdr:pic>
      <xdr:nvPicPr>
        <xdr:cNvPr id="12855" name="Рисунок 12854">
          <a:extLst>
            <a:ext uri="{FF2B5EF4-FFF2-40B4-BE49-F238E27FC236}">
              <a16:creationId xmlns:a16="http://schemas.microsoft.com/office/drawing/2014/main" id="{A1498E3B-D2B3-454B-97EC-6AED43CB9C1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6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367920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2400</xdr:row>
      <xdr:rowOff>25400</xdr:rowOff>
    </xdr:from>
    <xdr:to>
      <xdr:col>11</xdr:col>
      <xdr:colOff>571500</xdr:colOff>
      <xdr:row>2401</xdr:row>
      <xdr:rowOff>0</xdr:rowOff>
    </xdr:to>
    <xdr:pic>
      <xdr:nvPicPr>
        <xdr:cNvPr id="12857" name="Рисунок 12856">
          <a:extLst>
            <a:ext uri="{FF2B5EF4-FFF2-40B4-BE49-F238E27FC236}">
              <a16:creationId xmlns:a16="http://schemas.microsoft.com/office/drawing/2014/main" id="{EC03A7B9-5D85-48BA-8329-D47B6C3CBF5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6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368491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2401</xdr:row>
      <xdr:rowOff>25400</xdr:rowOff>
    </xdr:from>
    <xdr:to>
      <xdr:col>11</xdr:col>
      <xdr:colOff>571500</xdr:colOff>
      <xdr:row>2402</xdr:row>
      <xdr:rowOff>0</xdr:rowOff>
    </xdr:to>
    <xdr:pic>
      <xdr:nvPicPr>
        <xdr:cNvPr id="12859" name="Рисунок 12858">
          <a:extLst>
            <a:ext uri="{FF2B5EF4-FFF2-40B4-BE49-F238E27FC236}">
              <a16:creationId xmlns:a16="http://schemas.microsoft.com/office/drawing/2014/main" id="{1B9E2478-4D1D-44EA-B1C1-C9AEAA1A0A4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6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369063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2402</xdr:row>
      <xdr:rowOff>25400</xdr:rowOff>
    </xdr:from>
    <xdr:to>
      <xdr:col>11</xdr:col>
      <xdr:colOff>571500</xdr:colOff>
      <xdr:row>2403</xdr:row>
      <xdr:rowOff>0</xdr:rowOff>
    </xdr:to>
    <xdr:pic>
      <xdr:nvPicPr>
        <xdr:cNvPr id="12861" name="Рисунок 12860">
          <a:extLst>
            <a:ext uri="{FF2B5EF4-FFF2-40B4-BE49-F238E27FC236}">
              <a16:creationId xmlns:a16="http://schemas.microsoft.com/office/drawing/2014/main" id="{A8C6DB87-DE9E-46C1-BF9C-A98E1452EF6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6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369634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2403</xdr:row>
      <xdr:rowOff>25400</xdr:rowOff>
    </xdr:from>
    <xdr:to>
      <xdr:col>11</xdr:col>
      <xdr:colOff>571500</xdr:colOff>
      <xdr:row>2404</xdr:row>
      <xdr:rowOff>0</xdr:rowOff>
    </xdr:to>
    <xdr:pic>
      <xdr:nvPicPr>
        <xdr:cNvPr id="12863" name="Рисунок 12862">
          <a:extLst>
            <a:ext uri="{FF2B5EF4-FFF2-40B4-BE49-F238E27FC236}">
              <a16:creationId xmlns:a16="http://schemas.microsoft.com/office/drawing/2014/main" id="{A3B861D1-A36A-4818-8AA5-8CEFE1AE852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6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370206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2404</xdr:row>
      <xdr:rowOff>25400</xdr:rowOff>
    </xdr:from>
    <xdr:to>
      <xdr:col>11</xdr:col>
      <xdr:colOff>571500</xdr:colOff>
      <xdr:row>2405</xdr:row>
      <xdr:rowOff>0</xdr:rowOff>
    </xdr:to>
    <xdr:pic>
      <xdr:nvPicPr>
        <xdr:cNvPr id="12865" name="Рисунок 12864">
          <a:extLst>
            <a:ext uri="{FF2B5EF4-FFF2-40B4-BE49-F238E27FC236}">
              <a16:creationId xmlns:a16="http://schemas.microsoft.com/office/drawing/2014/main" id="{761CB518-2D92-431C-95C3-59B357581AA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6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370777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2405</xdr:row>
      <xdr:rowOff>25400</xdr:rowOff>
    </xdr:from>
    <xdr:to>
      <xdr:col>11</xdr:col>
      <xdr:colOff>571500</xdr:colOff>
      <xdr:row>2406</xdr:row>
      <xdr:rowOff>0</xdr:rowOff>
    </xdr:to>
    <xdr:pic>
      <xdr:nvPicPr>
        <xdr:cNvPr id="12867" name="Рисунок 12866">
          <a:extLst>
            <a:ext uri="{FF2B5EF4-FFF2-40B4-BE49-F238E27FC236}">
              <a16:creationId xmlns:a16="http://schemas.microsoft.com/office/drawing/2014/main" id="{131348A5-99D7-46A9-BF9E-7A3C30313A0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6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371349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2406</xdr:row>
      <xdr:rowOff>25400</xdr:rowOff>
    </xdr:from>
    <xdr:to>
      <xdr:col>11</xdr:col>
      <xdr:colOff>571500</xdr:colOff>
      <xdr:row>2407</xdr:row>
      <xdr:rowOff>0</xdr:rowOff>
    </xdr:to>
    <xdr:pic>
      <xdr:nvPicPr>
        <xdr:cNvPr id="12869" name="Рисунок 12868">
          <a:extLst>
            <a:ext uri="{FF2B5EF4-FFF2-40B4-BE49-F238E27FC236}">
              <a16:creationId xmlns:a16="http://schemas.microsoft.com/office/drawing/2014/main" id="{98A5B7FB-F848-434A-A55B-14826EEECB6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6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371920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2407</xdr:row>
      <xdr:rowOff>25400</xdr:rowOff>
    </xdr:from>
    <xdr:to>
      <xdr:col>11</xdr:col>
      <xdr:colOff>571500</xdr:colOff>
      <xdr:row>2408</xdr:row>
      <xdr:rowOff>0</xdr:rowOff>
    </xdr:to>
    <xdr:pic>
      <xdr:nvPicPr>
        <xdr:cNvPr id="12871" name="Рисунок 12870">
          <a:extLst>
            <a:ext uri="{FF2B5EF4-FFF2-40B4-BE49-F238E27FC236}">
              <a16:creationId xmlns:a16="http://schemas.microsoft.com/office/drawing/2014/main" id="{5F816A31-B288-493B-B782-05930200FC1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6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372492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2408</xdr:row>
      <xdr:rowOff>25400</xdr:rowOff>
    </xdr:from>
    <xdr:to>
      <xdr:col>11</xdr:col>
      <xdr:colOff>571500</xdr:colOff>
      <xdr:row>2409</xdr:row>
      <xdr:rowOff>0</xdr:rowOff>
    </xdr:to>
    <xdr:pic>
      <xdr:nvPicPr>
        <xdr:cNvPr id="12873" name="Рисунок 12872">
          <a:extLst>
            <a:ext uri="{FF2B5EF4-FFF2-40B4-BE49-F238E27FC236}">
              <a16:creationId xmlns:a16="http://schemas.microsoft.com/office/drawing/2014/main" id="{FDFC3EFE-0978-41EC-9BD6-F01289E178D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7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373063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2409</xdr:row>
      <xdr:rowOff>25400</xdr:rowOff>
    </xdr:from>
    <xdr:to>
      <xdr:col>11</xdr:col>
      <xdr:colOff>571500</xdr:colOff>
      <xdr:row>2410</xdr:row>
      <xdr:rowOff>0</xdr:rowOff>
    </xdr:to>
    <xdr:pic>
      <xdr:nvPicPr>
        <xdr:cNvPr id="12875" name="Рисунок 12874">
          <a:extLst>
            <a:ext uri="{FF2B5EF4-FFF2-40B4-BE49-F238E27FC236}">
              <a16:creationId xmlns:a16="http://schemas.microsoft.com/office/drawing/2014/main" id="{39E6F7F9-D4D1-4388-9712-8CE79007C07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7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373635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2410</xdr:row>
      <xdr:rowOff>25400</xdr:rowOff>
    </xdr:from>
    <xdr:to>
      <xdr:col>11</xdr:col>
      <xdr:colOff>571500</xdr:colOff>
      <xdr:row>2411</xdr:row>
      <xdr:rowOff>0</xdr:rowOff>
    </xdr:to>
    <xdr:pic>
      <xdr:nvPicPr>
        <xdr:cNvPr id="12877" name="Рисунок 12876">
          <a:extLst>
            <a:ext uri="{FF2B5EF4-FFF2-40B4-BE49-F238E27FC236}">
              <a16:creationId xmlns:a16="http://schemas.microsoft.com/office/drawing/2014/main" id="{D66FF720-2C19-40A0-AE19-00C1D17E40D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7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374206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2411</xdr:row>
      <xdr:rowOff>25400</xdr:rowOff>
    </xdr:from>
    <xdr:to>
      <xdr:col>11</xdr:col>
      <xdr:colOff>571500</xdr:colOff>
      <xdr:row>2412</xdr:row>
      <xdr:rowOff>0</xdr:rowOff>
    </xdr:to>
    <xdr:pic>
      <xdr:nvPicPr>
        <xdr:cNvPr id="12879" name="Рисунок 12878">
          <a:extLst>
            <a:ext uri="{FF2B5EF4-FFF2-40B4-BE49-F238E27FC236}">
              <a16:creationId xmlns:a16="http://schemas.microsoft.com/office/drawing/2014/main" id="{EB20460E-616E-43D5-8583-14A467A70DA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7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374778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2412</xdr:row>
      <xdr:rowOff>25400</xdr:rowOff>
    </xdr:from>
    <xdr:to>
      <xdr:col>11</xdr:col>
      <xdr:colOff>571500</xdr:colOff>
      <xdr:row>2413</xdr:row>
      <xdr:rowOff>0</xdr:rowOff>
    </xdr:to>
    <xdr:pic>
      <xdr:nvPicPr>
        <xdr:cNvPr id="12881" name="Рисунок 12880">
          <a:extLst>
            <a:ext uri="{FF2B5EF4-FFF2-40B4-BE49-F238E27FC236}">
              <a16:creationId xmlns:a16="http://schemas.microsoft.com/office/drawing/2014/main" id="{3E9AC0F1-1FC6-4D1B-933E-E06F8CA08F5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7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375349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2413</xdr:row>
      <xdr:rowOff>25400</xdr:rowOff>
    </xdr:from>
    <xdr:to>
      <xdr:col>11</xdr:col>
      <xdr:colOff>571500</xdr:colOff>
      <xdr:row>2414</xdr:row>
      <xdr:rowOff>0</xdr:rowOff>
    </xdr:to>
    <xdr:pic>
      <xdr:nvPicPr>
        <xdr:cNvPr id="12883" name="Рисунок 12882">
          <a:extLst>
            <a:ext uri="{FF2B5EF4-FFF2-40B4-BE49-F238E27FC236}">
              <a16:creationId xmlns:a16="http://schemas.microsoft.com/office/drawing/2014/main" id="{515AB13B-3E5D-4829-9B54-DBAFB7F6FB7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7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375921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2414</xdr:row>
      <xdr:rowOff>25400</xdr:rowOff>
    </xdr:from>
    <xdr:to>
      <xdr:col>11</xdr:col>
      <xdr:colOff>571500</xdr:colOff>
      <xdr:row>2415</xdr:row>
      <xdr:rowOff>0</xdr:rowOff>
    </xdr:to>
    <xdr:pic>
      <xdr:nvPicPr>
        <xdr:cNvPr id="12885" name="Рисунок 12884">
          <a:extLst>
            <a:ext uri="{FF2B5EF4-FFF2-40B4-BE49-F238E27FC236}">
              <a16:creationId xmlns:a16="http://schemas.microsoft.com/office/drawing/2014/main" id="{41CD46BF-A9F6-4470-A00D-C32D3053F2C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7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376492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2415</xdr:row>
      <xdr:rowOff>25400</xdr:rowOff>
    </xdr:from>
    <xdr:to>
      <xdr:col>11</xdr:col>
      <xdr:colOff>571500</xdr:colOff>
      <xdr:row>2416</xdr:row>
      <xdr:rowOff>0</xdr:rowOff>
    </xdr:to>
    <xdr:pic>
      <xdr:nvPicPr>
        <xdr:cNvPr id="12887" name="Рисунок 12886">
          <a:extLst>
            <a:ext uri="{FF2B5EF4-FFF2-40B4-BE49-F238E27FC236}">
              <a16:creationId xmlns:a16="http://schemas.microsoft.com/office/drawing/2014/main" id="{9023C286-B1B1-4AE4-AE2A-223EDB441B2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7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377064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2416</xdr:row>
      <xdr:rowOff>25400</xdr:rowOff>
    </xdr:from>
    <xdr:to>
      <xdr:col>11</xdr:col>
      <xdr:colOff>571500</xdr:colOff>
      <xdr:row>2417</xdr:row>
      <xdr:rowOff>0</xdr:rowOff>
    </xdr:to>
    <xdr:pic>
      <xdr:nvPicPr>
        <xdr:cNvPr id="12889" name="Рисунок 12888">
          <a:extLst>
            <a:ext uri="{FF2B5EF4-FFF2-40B4-BE49-F238E27FC236}">
              <a16:creationId xmlns:a16="http://schemas.microsoft.com/office/drawing/2014/main" id="{2E5CB70E-7E09-49DA-8910-F7CE0480DDA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7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377635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2417</xdr:row>
      <xdr:rowOff>25400</xdr:rowOff>
    </xdr:from>
    <xdr:to>
      <xdr:col>11</xdr:col>
      <xdr:colOff>571500</xdr:colOff>
      <xdr:row>2418</xdr:row>
      <xdr:rowOff>0</xdr:rowOff>
    </xdr:to>
    <xdr:pic>
      <xdr:nvPicPr>
        <xdr:cNvPr id="12891" name="Рисунок 12890">
          <a:extLst>
            <a:ext uri="{FF2B5EF4-FFF2-40B4-BE49-F238E27FC236}">
              <a16:creationId xmlns:a16="http://schemas.microsoft.com/office/drawing/2014/main" id="{EFBF97B4-CB28-432B-A8F2-3FAC27EB7C9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7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378207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2418</xdr:row>
      <xdr:rowOff>25400</xdr:rowOff>
    </xdr:from>
    <xdr:to>
      <xdr:col>11</xdr:col>
      <xdr:colOff>571500</xdr:colOff>
      <xdr:row>2419</xdr:row>
      <xdr:rowOff>0</xdr:rowOff>
    </xdr:to>
    <xdr:pic>
      <xdr:nvPicPr>
        <xdr:cNvPr id="12893" name="Рисунок 12892">
          <a:extLst>
            <a:ext uri="{FF2B5EF4-FFF2-40B4-BE49-F238E27FC236}">
              <a16:creationId xmlns:a16="http://schemas.microsoft.com/office/drawing/2014/main" id="{950613F8-693F-4F8F-9A9A-E693A32ECA7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8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378778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2419</xdr:row>
      <xdr:rowOff>25400</xdr:rowOff>
    </xdr:from>
    <xdr:to>
      <xdr:col>11</xdr:col>
      <xdr:colOff>571500</xdr:colOff>
      <xdr:row>2420</xdr:row>
      <xdr:rowOff>0</xdr:rowOff>
    </xdr:to>
    <xdr:pic>
      <xdr:nvPicPr>
        <xdr:cNvPr id="12895" name="Рисунок 12894">
          <a:extLst>
            <a:ext uri="{FF2B5EF4-FFF2-40B4-BE49-F238E27FC236}">
              <a16:creationId xmlns:a16="http://schemas.microsoft.com/office/drawing/2014/main" id="{3FAAA362-FCC6-43E5-8295-BF61B661081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8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379350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2420</xdr:row>
      <xdr:rowOff>25400</xdr:rowOff>
    </xdr:from>
    <xdr:to>
      <xdr:col>11</xdr:col>
      <xdr:colOff>571500</xdr:colOff>
      <xdr:row>2421</xdr:row>
      <xdr:rowOff>0</xdr:rowOff>
    </xdr:to>
    <xdr:pic>
      <xdr:nvPicPr>
        <xdr:cNvPr id="12897" name="Рисунок 12896">
          <a:extLst>
            <a:ext uri="{FF2B5EF4-FFF2-40B4-BE49-F238E27FC236}">
              <a16:creationId xmlns:a16="http://schemas.microsoft.com/office/drawing/2014/main" id="{46DCF59A-A58D-4A0A-BAF3-736C85A3579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8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379921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2421</xdr:row>
      <xdr:rowOff>25400</xdr:rowOff>
    </xdr:from>
    <xdr:to>
      <xdr:col>11</xdr:col>
      <xdr:colOff>571500</xdr:colOff>
      <xdr:row>2422</xdr:row>
      <xdr:rowOff>0</xdr:rowOff>
    </xdr:to>
    <xdr:pic>
      <xdr:nvPicPr>
        <xdr:cNvPr id="12899" name="Рисунок 12898">
          <a:extLst>
            <a:ext uri="{FF2B5EF4-FFF2-40B4-BE49-F238E27FC236}">
              <a16:creationId xmlns:a16="http://schemas.microsoft.com/office/drawing/2014/main" id="{11D4633E-694C-4AEC-AF5D-D8780B00862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8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380493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2422</xdr:row>
      <xdr:rowOff>25400</xdr:rowOff>
    </xdr:from>
    <xdr:to>
      <xdr:col>11</xdr:col>
      <xdr:colOff>571500</xdr:colOff>
      <xdr:row>2423</xdr:row>
      <xdr:rowOff>0</xdr:rowOff>
    </xdr:to>
    <xdr:pic>
      <xdr:nvPicPr>
        <xdr:cNvPr id="12901" name="Рисунок 12900">
          <a:extLst>
            <a:ext uri="{FF2B5EF4-FFF2-40B4-BE49-F238E27FC236}">
              <a16:creationId xmlns:a16="http://schemas.microsoft.com/office/drawing/2014/main" id="{4D59C3D5-5D8C-40C1-B6B4-9BA89C8391F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8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381064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2423</xdr:row>
      <xdr:rowOff>25400</xdr:rowOff>
    </xdr:from>
    <xdr:to>
      <xdr:col>11</xdr:col>
      <xdr:colOff>571500</xdr:colOff>
      <xdr:row>2424</xdr:row>
      <xdr:rowOff>0</xdr:rowOff>
    </xdr:to>
    <xdr:pic>
      <xdr:nvPicPr>
        <xdr:cNvPr id="12903" name="Рисунок 12902">
          <a:extLst>
            <a:ext uri="{FF2B5EF4-FFF2-40B4-BE49-F238E27FC236}">
              <a16:creationId xmlns:a16="http://schemas.microsoft.com/office/drawing/2014/main" id="{02B18A01-C3AB-43FB-BE90-6CA54BBF159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8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381636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2424</xdr:row>
      <xdr:rowOff>25400</xdr:rowOff>
    </xdr:from>
    <xdr:to>
      <xdr:col>11</xdr:col>
      <xdr:colOff>571500</xdr:colOff>
      <xdr:row>2425</xdr:row>
      <xdr:rowOff>0</xdr:rowOff>
    </xdr:to>
    <xdr:pic>
      <xdr:nvPicPr>
        <xdr:cNvPr id="12905" name="Рисунок 12904">
          <a:extLst>
            <a:ext uri="{FF2B5EF4-FFF2-40B4-BE49-F238E27FC236}">
              <a16:creationId xmlns:a16="http://schemas.microsoft.com/office/drawing/2014/main" id="{4ABDF831-5E64-4812-A43A-0B398BBB981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8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382207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2425</xdr:row>
      <xdr:rowOff>25400</xdr:rowOff>
    </xdr:from>
    <xdr:to>
      <xdr:col>11</xdr:col>
      <xdr:colOff>571500</xdr:colOff>
      <xdr:row>2426</xdr:row>
      <xdr:rowOff>0</xdr:rowOff>
    </xdr:to>
    <xdr:pic>
      <xdr:nvPicPr>
        <xdr:cNvPr id="12907" name="Рисунок 12906">
          <a:extLst>
            <a:ext uri="{FF2B5EF4-FFF2-40B4-BE49-F238E27FC236}">
              <a16:creationId xmlns:a16="http://schemas.microsoft.com/office/drawing/2014/main" id="{CCC61337-8711-47D4-AC71-6985F79B649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8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382779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2426</xdr:row>
      <xdr:rowOff>25400</xdr:rowOff>
    </xdr:from>
    <xdr:to>
      <xdr:col>11</xdr:col>
      <xdr:colOff>571500</xdr:colOff>
      <xdr:row>2427</xdr:row>
      <xdr:rowOff>0</xdr:rowOff>
    </xdr:to>
    <xdr:pic>
      <xdr:nvPicPr>
        <xdr:cNvPr id="12909" name="Рисунок 12908">
          <a:extLst>
            <a:ext uri="{FF2B5EF4-FFF2-40B4-BE49-F238E27FC236}">
              <a16:creationId xmlns:a16="http://schemas.microsoft.com/office/drawing/2014/main" id="{C3C236E7-3AA9-421B-A4F4-3EAACE2B8B7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8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383350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2427</xdr:row>
      <xdr:rowOff>25400</xdr:rowOff>
    </xdr:from>
    <xdr:to>
      <xdr:col>11</xdr:col>
      <xdr:colOff>571500</xdr:colOff>
      <xdr:row>2428</xdr:row>
      <xdr:rowOff>0</xdr:rowOff>
    </xdr:to>
    <xdr:pic>
      <xdr:nvPicPr>
        <xdr:cNvPr id="12911" name="Рисунок 12910">
          <a:extLst>
            <a:ext uri="{FF2B5EF4-FFF2-40B4-BE49-F238E27FC236}">
              <a16:creationId xmlns:a16="http://schemas.microsoft.com/office/drawing/2014/main" id="{03BE65FF-3E31-4C48-876C-E244323262E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8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383922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2428</xdr:row>
      <xdr:rowOff>25400</xdr:rowOff>
    </xdr:from>
    <xdr:to>
      <xdr:col>11</xdr:col>
      <xdr:colOff>571500</xdr:colOff>
      <xdr:row>2429</xdr:row>
      <xdr:rowOff>0</xdr:rowOff>
    </xdr:to>
    <xdr:pic>
      <xdr:nvPicPr>
        <xdr:cNvPr id="12913" name="Рисунок 12912">
          <a:extLst>
            <a:ext uri="{FF2B5EF4-FFF2-40B4-BE49-F238E27FC236}">
              <a16:creationId xmlns:a16="http://schemas.microsoft.com/office/drawing/2014/main" id="{80848211-20C7-4B9F-9FC8-87A9E80F17E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9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384493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2429</xdr:row>
      <xdr:rowOff>25400</xdr:rowOff>
    </xdr:from>
    <xdr:to>
      <xdr:col>11</xdr:col>
      <xdr:colOff>571500</xdr:colOff>
      <xdr:row>2430</xdr:row>
      <xdr:rowOff>0</xdr:rowOff>
    </xdr:to>
    <xdr:pic>
      <xdr:nvPicPr>
        <xdr:cNvPr id="12915" name="Рисунок 12914">
          <a:extLst>
            <a:ext uri="{FF2B5EF4-FFF2-40B4-BE49-F238E27FC236}">
              <a16:creationId xmlns:a16="http://schemas.microsoft.com/office/drawing/2014/main" id="{6075AA7F-3404-4ECE-AD28-AF51026CF01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9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385065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2430</xdr:row>
      <xdr:rowOff>25400</xdr:rowOff>
    </xdr:from>
    <xdr:to>
      <xdr:col>11</xdr:col>
      <xdr:colOff>571500</xdr:colOff>
      <xdr:row>2431</xdr:row>
      <xdr:rowOff>0</xdr:rowOff>
    </xdr:to>
    <xdr:pic>
      <xdr:nvPicPr>
        <xdr:cNvPr id="12917" name="Рисунок 12916">
          <a:extLst>
            <a:ext uri="{FF2B5EF4-FFF2-40B4-BE49-F238E27FC236}">
              <a16:creationId xmlns:a16="http://schemas.microsoft.com/office/drawing/2014/main" id="{36C7E545-E863-497A-9D50-108538B1508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9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385636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2431</xdr:row>
      <xdr:rowOff>25400</xdr:rowOff>
    </xdr:from>
    <xdr:to>
      <xdr:col>11</xdr:col>
      <xdr:colOff>571500</xdr:colOff>
      <xdr:row>2432</xdr:row>
      <xdr:rowOff>0</xdr:rowOff>
    </xdr:to>
    <xdr:pic>
      <xdr:nvPicPr>
        <xdr:cNvPr id="12919" name="Рисунок 12918">
          <a:extLst>
            <a:ext uri="{FF2B5EF4-FFF2-40B4-BE49-F238E27FC236}">
              <a16:creationId xmlns:a16="http://schemas.microsoft.com/office/drawing/2014/main" id="{0C769BCE-B172-43DB-8C48-DE43662BE00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9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386208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2432</xdr:row>
      <xdr:rowOff>25400</xdr:rowOff>
    </xdr:from>
    <xdr:to>
      <xdr:col>11</xdr:col>
      <xdr:colOff>571500</xdr:colOff>
      <xdr:row>2433</xdr:row>
      <xdr:rowOff>0</xdr:rowOff>
    </xdr:to>
    <xdr:pic>
      <xdr:nvPicPr>
        <xdr:cNvPr id="12921" name="Рисунок 12920">
          <a:extLst>
            <a:ext uri="{FF2B5EF4-FFF2-40B4-BE49-F238E27FC236}">
              <a16:creationId xmlns:a16="http://schemas.microsoft.com/office/drawing/2014/main" id="{B2217573-A48D-4180-B82F-1577E60EBC1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9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386779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2433</xdr:row>
      <xdr:rowOff>25400</xdr:rowOff>
    </xdr:from>
    <xdr:to>
      <xdr:col>11</xdr:col>
      <xdr:colOff>571500</xdr:colOff>
      <xdr:row>2434</xdr:row>
      <xdr:rowOff>0</xdr:rowOff>
    </xdr:to>
    <xdr:pic>
      <xdr:nvPicPr>
        <xdr:cNvPr id="12923" name="Рисунок 12922">
          <a:extLst>
            <a:ext uri="{FF2B5EF4-FFF2-40B4-BE49-F238E27FC236}">
              <a16:creationId xmlns:a16="http://schemas.microsoft.com/office/drawing/2014/main" id="{AAAC0D00-DF81-4D36-9B61-7E2C019EAAF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9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387351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2434</xdr:row>
      <xdr:rowOff>25400</xdr:rowOff>
    </xdr:from>
    <xdr:to>
      <xdr:col>11</xdr:col>
      <xdr:colOff>571500</xdr:colOff>
      <xdr:row>2435</xdr:row>
      <xdr:rowOff>0</xdr:rowOff>
    </xdr:to>
    <xdr:pic>
      <xdr:nvPicPr>
        <xdr:cNvPr id="12925" name="Рисунок 12924">
          <a:extLst>
            <a:ext uri="{FF2B5EF4-FFF2-40B4-BE49-F238E27FC236}">
              <a16:creationId xmlns:a16="http://schemas.microsoft.com/office/drawing/2014/main" id="{D4A82804-B012-4CD6-A25A-DD120C21E83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9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387922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2435</xdr:row>
      <xdr:rowOff>25400</xdr:rowOff>
    </xdr:from>
    <xdr:to>
      <xdr:col>11</xdr:col>
      <xdr:colOff>571500</xdr:colOff>
      <xdr:row>2436</xdr:row>
      <xdr:rowOff>0</xdr:rowOff>
    </xdr:to>
    <xdr:pic>
      <xdr:nvPicPr>
        <xdr:cNvPr id="12927" name="Рисунок 12926">
          <a:extLst>
            <a:ext uri="{FF2B5EF4-FFF2-40B4-BE49-F238E27FC236}">
              <a16:creationId xmlns:a16="http://schemas.microsoft.com/office/drawing/2014/main" id="{43D97B40-E89C-4FCB-AD0E-8A5E502E1C5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9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388494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2436</xdr:row>
      <xdr:rowOff>25400</xdr:rowOff>
    </xdr:from>
    <xdr:to>
      <xdr:col>11</xdr:col>
      <xdr:colOff>571500</xdr:colOff>
      <xdr:row>2437</xdr:row>
      <xdr:rowOff>0</xdr:rowOff>
    </xdr:to>
    <xdr:pic>
      <xdr:nvPicPr>
        <xdr:cNvPr id="12929" name="Рисунок 12928">
          <a:extLst>
            <a:ext uri="{FF2B5EF4-FFF2-40B4-BE49-F238E27FC236}">
              <a16:creationId xmlns:a16="http://schemas.microsoft.com/office/drawing/2014/main" id="{3DA25B16-4CF8-468A-A32A-685139752F8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9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389065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2437</xdr:row>
      <xdr:rowOff>25400</xdr:rowOff>
    </xdr:from>
    <xdr:to>
      <xdr:col>11</xdr:col>
      <xdr:colOff>571500</xdr:colOff>
      <xdr:row>2438</xdr:row>
      <xdr:rowOff>0</xdr:rowOff>
    </xdr:to>
    <xdr:pic>
      <xdr:nvPicPr>
        <xdr:cNvPr id="12931" name="Рисунок 12930">
          <a:extLst>
            <a:ext uri="{FF2B5EF4-FFF2-40B4-BE49-F238E27FC236}">
              <a16:creationId xmlns:a16="http://schemas.microsoft.com/office/drawing/2014/main" id="{4BCC8827-414F-454D-B60D-0BA3B2CB59F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39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389637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2438</xdr:row>
      <xdr:rowOff>25400</xdr:rowOff>
    </xdr:from>
    <xdr:to>
      <xdr:col>11</xdr:col>
      <xdr:colOff>571500</xdr:colOff>
      <xdr:row>2439</xdr:row>
      <xdr:rowOff>0</xdr:rowOff>
    </xdr:to>
    <xdr:pic>
      <xdr:nvPicPr>
        <xdr:cNvPr id="12933" name="Рисунок 12932">
          <a:extLst>
            <a:ext uri="{FF2B5EF4-FFF2-40B4-BE49-F238E27FC236}">
              <a16:creationId xmlns:a16="http://schemas.microsoft.com/office/drawing/2014/main" id="{0ADCDFB3-54F6-48B7-A9D3-E68CE943126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0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390208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2439</xdr:row>
      <xdr:rowOff>25400</xdr:rowOff>
    </xdr:from>
    <xdr:to>
      <xdr:col>11</xdr:col>
      <xdr:colOff>571500</xdr:colOff>
      <xdr:row>2440</xdr:row>
      <xdr:rowOff>0</xdr:rowOff>
    </xdr:to>
    <xdr:pic>
      <xdr:nvPicPr>
        <xdr:cNvPr id="12935" name="Рисунок 12934">
          <a:extLst>
            <a:ext uri="{FF2B5EF4-FFF2-40B4-BE49-F238E27FC236}">
              <a16:creationId xmlns:a16="http://schemas.microsoft.com/office/drawing/2014/main" id="{B1827771-54B7-4E97-BD93-9DC4ECF76F9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0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390780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2440</xdr:row>
      <xdr:rowOff>25400</xdr:rowOff>
    </xdr:from>
    <xdr:to>
      <xdr:col>11</xdr:col>
      <xdr:colOff>571500</xdr:colOff>
      <xdr:row>2441</xdr:row>
      <xdr:rowOff>0</xdr:rowOff>
    </xdr:to>
    <xdr:pic>
      <xdr:nvPicPr>
        <xdr:cNvPr id="12937" name="Рисунок 12936">
          <a:extLst>
            <a:ext uri="{FF2B5EF4-FFF2-40B4-BE49-F238E27FC236}">
              <a16:creationId xmlns:a16="http://schemas.microsoft.com/office/drawing/2014/main" id="{4FDB1A8C-1E70-48BD-A933-B0675BD6A1B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0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391351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2441</xdr:row>
      <xdr:rowOff>25400</xdr:rowOff>
    </xdr:from>
    <xdr:to>
      <xdr:col>11</xdr:col>
      <xdr:colOff>571500</xdr:colOff>
      <xdr:row>2442</xdr:row>
      <xdr:rowOff>0</xdr:rowOff>
    </xdr:to>
    <xdr:pic>
      <xdr:nvPicPr>
        <xdr:cNvPr id="12939" name="Рисунок 12938">
          <a:extLst>
            <a:ext uri="{FF2B5EF4-FFF2-40B4-BE49-F238E27FC236}">
              <a16:creationId xmlns:a16="http://schemas.microsoft.com/office/drawing/2014/main" id="{EC312683-C08D-48BF-A257-18238C9E127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0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391923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2442</xdr:row>
      <xdr:rowOff>25400</xdr:rowOff>
    </xdr:from>
    <xdr:to>
      <xdr:col>11</xdr:col>
      <xdr:colOff>571500</xdr:colOff>
      <xdr:row>2443</xdr:row>
      <xdr:rowOff>0</xdr:rowOff>
    </xdr:to>
    <xdr:pic>
      <xdr:nvPicPr>
        <xdr:cNvPr id="12941" name="Рисунок 12940">
          <a:extLst>
            <a:ext uri="{FF2B5EF4-FFF2-40B4-BE49-F238E27FC236}">
              <a16:creationId xmlns:a16="http://schemas.microsoft.com/office/drawing/2014/main" id="{952FAE10-4942-4654-B949-9778AF4FC57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0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392494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2443</xdr:row>
      <xdr:rowOff>25400</xdr:rowOff>
    </xdr:from>
    <xdr:to>
      <xdr:col>11</xdr:col>
      <xdr:colOff>571500</xdr:colOff>
      <xdr:row>2444</xdr:row>
      <xdr:rowOff>0</xdr:rowOff>
    </xdr:to>
    <xdr:pic>
      <xdr:nvPicPr>
        <xdr:cNvPr id="12943" name="Рисунок 12942">
          <a:extLst>
            <a:ext uri="{FF2B5EF4-FFF2-40B4-BE49-F238E27FC236}">
              <a16:creationId xmlns:a16="http://schemas.microsoft.com/office/drawing/2014/main" id="{EA9C4EC6-010C-461E-B198-1082F88552D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0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393066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2444</xdr:row>
      <xdr:rowOff>25400</xdr:rowOff>
    </xdr:from>
    <xdr:to>
      <xdr:col>11</xdr:col>
      <xdr:colOff>571500</xdr:colOff>
      <xdr:row>2445</xdr:row>
      <xdr:rowOff>0</xdr:rowOff>
    </xdr:to>
    <xdr:pic>
      <xdr:nvPicPr>
        <xdr:cNvPr id="12945" name="Рисунок 12944">
          <a:extLst>
            <a:ext uri="{FF2B5EF4-FFF2-40B4-BE49-F238E27FC236}">
              <a16:creationId xmlns:a16="http://schemas.microsoft.com/office/drawing/2014/main" id="{BA50FFC8-58E1-4820-9970-4FFCEBF367E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0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393637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2445</xdr:row>
      <xdr:rowOff>25400</xdr:rowOff>
    </xdr:from>
    <xdr:to>
      <xdr:col>11</xdr:col>
      <xdr:colOff>571500</xdr:colOff>
      <xdr:row>2446</xdr:row>
      <xdr:rowOff>0</xdr:rowOff>
    </xdr:to>
    <xdr:pic>
      <xdr:nvPicPr>
        <xdr:cNvPr id="12947" name="Рисунок 12946">
          <a:extLst>
            <a:ext uri="{FF2B5EF4-FFF2-40B4-BE49-F238E27FC236}">
              <a16:creationId xmlns:a16="http://schemas.microsoft.com/office/drawing/2014/main" id="{850B84BA-5D58-4488-A816-A9AA50E7913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0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394209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2446</xdr:row>
      <xdr:rowOff>25400</xdr:rowOff>
    </xdr:from>
    <xdr:to>
      <xdr:col>11</xdr:col>
      <xdr:colOff>571500</xdr:colOff>
      <xdr:row>2447</xdr:row>
      <xdr:rowOff>0</xdr:rowOff>
    </xdr:to>
    <xdr:pic>
      <xdr:nvPicPr>
        <xdr:cNvPr id="12949" name="Рисунок 12948">
          <a:extLst>
            <a:ext uri="{FF2B5EF4-FFF2-40B4-BE49-F238E27FC236}">
              <a16:creationId xmlns:a16="http://schemas.microsoft.com/office/drawing/2014/main" id="{14141DAB-FD9B-4788-B386-C8B1523719D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0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394780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2447</xdr:row>
      <xdr:rowOff>25400</xdr:rowOff>
    </xdr:from>
    <xdr:to>
      <xdr:col>11</xdr:col>
      <xdr:colOff>571500</xdr:colOff>
      <xdr:row>2448</xdr:row>
      <xdr:rowOff>0</xdr:rowOff>
    </xdr:to>
    <xdr:pic>
      <xdr:nvPicPr>
        <xdr:cNvPr id="12951" name="Рисунок 12950">
          <a:extLst>
            <a:ext uri="{FF2B5EF4-FFF2-40B4-BE49-F238E27FC236}">
              <a16:creationId xmlns:a16="http://schemas.microsoft.com/office/drawing/2014/main" id="{72113EE2-5EE0-4494-95BF-46BD2BDDCF3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0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395352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2448</xdr:row>
      <xdr:rowOff>25400</xdr:rowOff>
    </xdr:from>
    <xdr:to>
      <xdr:col>11</xdr:col>
      <xdr:colOff>571500</xdr:colOff>
      <xdr:row>2449</xdr:row>
      <xdr:rowOff>0</xdr:rowOff>
    </xdr:to>
    <xdr:pic>
      <xdr:nvPicPr>
        <xdr:cNvPr id="12953" name="Рисунок 12952">
          <a:extLst>
            <a:ext uri="{FF2B5EF4-FFF2-40B4-BE49-F238E27FC236}">
              <a16:creationId xmlns:a16="http://schemas.microsoft.com/office/drawing/2014/main" id="{2BBCDE62-6E95-4D17-B03D-7545988F5A6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395923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2449</xdr:row>
      <xdr:rowOff>25400</xdr:rowOff>
    </xdr:from>
    <xdr:to>
      <xdr:col>11</xdr:col>
      <xdr:colOff>571500</xdr:colOff>
      <xdr:row>2450</xdr:row>
      <xdr:rowOff>0</xdr:rowOff>
    </xdr:to>
    <xdr:pic>
      <xdr:nvPicPr>
        <xdr:cNvPr id="12955" name="Рисунок 12954">
          <a:extLst>
            <a:ext uri="{FF2B5EF4-FFF2-40B4-BE49-F238E27FC236}">
              <a16:creationId xmlns:a16="http://schemas.microsoft.com/office/drawing/2014/main" id="{6AEB376C-18A2-41A5-BC10-30BFEA97863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396495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2450</xdr:row>
      <xdr:rowOff>25400</xdr:rowOff>
    </xdr:from>
    <xdr:to>
      <xdr:col>11</xdr:col>
      <xdr:colOff>571500</xdr:colOff>
      <xdr:row>2451</xdr:row>
      <xdr:rowOff>0</xdr:rowOff>
    </xdr:to>
    <xdr:pic>
      <xdr:nvPicPr>
        <xdr:cNvPr id="12957" name="Рисунок 12956">
          <a:extLst>
            <a:ext uri="{FF2B5EF4-FFF2-40B4-BE49-F238E27FC236}">
              <a16:creationId xmlns:a16="http://schemas.microsoft.com/office/drawing/2014/main" id="{94946AEA-9B7B-464C-8A5F-ED8FEC60633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397066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2451</xdr:row>
      <xdr:rowOff>25400</xdr:rowOff>
    </xdr:from>
    <xdr:to>
      <xdr:col>11</xdr:col>
      <xdr:colOff>571500</xdr:colOff>
      <xdr:row>2452</xdr:row>
      <xdr:rowOff>0</xdr:rowOff>
    </xdr:to>
    <xdr:pic>
      <xdr:nvPicPr>
        <xdr:cNvPr id="12959" name="Рисунок 12958">
          <a:extLst>
            <a:ext uri="{FF2B5EF4-FFF2-40B4-BE49-F238E27FC236}">
              <a16:creationId xmlns:a16="http://schemas.microsoft.com/office/drawing/2014/main" id="{DD114A90-2563-4A2E-8423-7C3A7291E56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397638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2452</xdr:row>
      <xdr:rowOff>25400</xdr:rowOff>
    </xdr:from>
    <xdr:to>
      <xdr:col>11</xdr:col>
      <xdr:colOff>571500</xdr:colOff>
      <xdr:row>2453</xdr:row>
      <xdr:rowOff>0</xdr:rowOff>
    </xdr:to>
    <xdr:pic>
      <xdr:nvPicPr>
        <xdr:cNvPr id="12961" name="Рисунок 12960">
          <a:extLst>
            <a:ext uri="{FF2B5EF4-FFF2-40B4-BE49-F238E27FC236}">
              <a16:creationId xmlns:a16="http://schemas.microsoft.com/office/drawing/2014/main" id="{8E406926-4B61-479B-BF03-F4FDE9F2AB9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398209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2453</xdr:row>
      <xdr:rowOff>25400</xdr:rowOff>
    </xdr:from>
    <xdr:to>
      <xdr:col>11</xdr:col>
      <xdr:colOff>571500</xdr:colOff>
      <xdr:row>2454</xdr:row>
      <xdr:rowOff>0</xdr:rowOff>
    </xdr:to>
    <xdr:pic>
      <xdr:nvPicPr>
        <xdr:cNvPr id="12963" name="Рисунок 12962">
          <a:extLst>
            <a:ext uri="{FF2B5EF4-FFF2-40B4-BE49-F238E27FC236}">
              <a16:creationId xmlns:a16="http://schemas.microsoft.com/office/drawing/2014/main" id="{A6AF28A0-FB88-4C4F-9947-199B7142A8B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398781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2454</xdr:row>
      <xdr:rowOff>25400</xdr:rowOff>
    </xdr:from>
    <xdr:to>
      <xdr:col>11</xdr:col>
      <xdr:colOff>571500</xdr:colOff>
      <xdr:row>2455</xdr:row>
      <xdr:rowOff>0</xdr:rowOff>
    </xdr:to>
    <xdr:pic>
      <xdr:nvPicPr>
        <xdr:cNvPr id="12965" name="Рисунок 12964">
          <a:extLst>
            <a:ext uri="{FF2B5EF4-FFF2-40B4-BE49-F238E27FC236}">
              <a16:creationId xmlns:a16="http://schemas.microsoft.com/office/drawing/2014/main" id="{70BDFA9E-3E7D-40F1-86F8-3F098D5FF71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399352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2455</xdr:row>
      <xdr:rowOff>25400</xdr:rowOff>
    </xdr:from>
    <xdr:to>
      <xdr:col>11</xdr:col>
      <xdr:colOff>571500</xdr:colOff>
      <xdr:row>2456</xdr:row>
      <xdr:rowOff>0</xdr:rowOff>
    </xdr:to>
    <xdr:pic>
      <xdr:nvPicPr>
        <xdr:cNvPr id="12967" name="Рисунок 12966">
          <a:extLst>
            <a:ext uri="{FF2B5EF4-FFF2-40B4-BE49-F238E27FC236}">
              <a16:creationId xmlns:a16="http://schemas.microsoft.com/office/drawing/2014/main" id="{8A34E13E-F823-4996-ABE0-308A2D8EFFA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399924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2456</xdr:row>
      <xdr:rowOff>25400</xdr:rowOff>
    </xdr:from>
    <xdr:to>
      <xdr:col>11</xdr:col>
      <xdr:colOff>571500</xdr:colOff>
      <xdr:row>2457</xdr:row>
      <xdr:rowOff>0</xdr:rowOff>
    </xdr:to>
    <xdr:pic>
      <xdr:nvPicPr>
        <xdr:cNvPr id="12969" name="Рисунок 12968">
          <a:extLst>
            <a:ext uri="{FF2B5EF4-FFF2-40B4-BE49-F238E27FC236}">
              <a16:creationId xmlns:a16="http://schemas.microsoft.com/office/drawing/2014/main" id="{2A4296E1-A868-4F50-8517-E81F7ED9561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400495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2457</xdr:row>
      <xdr:rowOff>25400</xdr:rowOff>
    </xdr:from>
    <xdr:to>
      <xdr:col>11</xdr:col>
      <xdr:colOff>571500</xdr:colOff>
      <xdr:row>2458</xdr:row>
      <xdr:rowOff>0</xdr:rowOff>
    </xdr:to>
    <xdr:pic>
      <xdr:nvPicPr>
        <xdr:cNvPr id="12971" name="Рисунок 12970">
          <a:extLst>
            <a:ext uri="{FF2B5EF4-FFF2-40B4-BE49-F238E27FC236}">
              <a16:creationId xmlns:a16="http://schemas.microsoft.com/office/drawing/2014/main" id="{DA914669-CBE6-4F1B-8640-F839825BA4E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401067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2458</xdr:row>
      <xdr:rowOff>25400</xdr:rowOff>
    </xdr:from>
    <xdr:to>
      <xdr:col>11</xdr:col>
      <xdr:colOff>571500</xdr:colOff>
      <xdr:row>2459</xdr:row>
      <xdr:rowOff>0</xdr:rowOff>
    </xdr:to>
    <xdr:pic>
      <xdr:nvPicPr>
        <xdr:cNvPr id="12973" name="Рисунок 12972">
          <a:extLst>
            <a:ext uri="{FF2B5EF4-FFF2-40B4-BE49-F238E27FC236}">
              <a16:creationId xmlns:a16="http://schemas.microsoft.com/office/drawing/2014/main" id="{F5CB6E88-5D46-4E5F-ADF4-3FEE3EC44CF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401638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2459</xdr:row>
      <xdr:rowOff>25400</xdr:rowOff>
    </xdr:from>
    <xdr:to>
      <xdr:col>11</xdr:col>
      <xdr:colOff>571500</xdr:colOff>
      <xdr:row>2460</xdr:row>
      <xdr:rowOff>0</xdr:rowOff>
    </xdr:to>
    <xdr:pic>
      <xdr:nvPicPr>
        <xdr:cNvPr id="12975" name="Рисунок 12974">
          <a:extLst>
            <a:ext uri="{FF2B5EF4-FFF2-40B4-BE49-F238E27FC236}">
              <a16:creationId xmlns:a16="http://schemas.microsoft.com/office/drawing/2014/main" id="{B1E68D0F-E81A-43BE-8F88-7CC92C8677C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402210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2460</xdr:row>
      <xdr:rowOff>25400</xdr:rowOff>
    </xdr:from>
    <xdr:to>
      <xdr:col>11</xdr:col>
      <xdr:colOff>587883</xdr:colOff>
      <xdr:row>2461</xdr:row>
      <xdr:rowOff>0</xdr:rowOff>
    </xdr:to>
    <xdr:pic>
      <xdr:nvPicPr>
        <xdr:cNvPr id="12977" name="Рисунок 12976">
          <a:extLst>
            <a:ext uri="{FF2B5EF4-FFF2-40B4-BE49-F238E27FC236}">
              <a16:creationId xmlns:a16="http://schemas.microsoft.com/office/drawing/2014/main" id="{31E2E14C-4855-400D-9027-769D19D6101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402781675"/>
          <a:ext cx="562483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2461</xdr:row>
      <xdr:rowOff>25400</xdr:rowOff>
    </xdr:from>
    <xdr:to>
      <xdr:col>11</xdr:col>
      <xdr:colOff>571500</xdr:colOff>
      <xdr:row>2462</xdr:row>
      <xdr:rowOff>0</xdr:rowOff>
    </xdr:to>
    <xdr:pic>
      <xdr:nvPicPr>
        <xdr:cNvPr id="12979" name="Рисунок 12978">
          <a:extLst>
            <a:ext uri="{FF2B5EF4-FFF2-40B4-BE49-F238E27FC236}">
              <a16:creationId xmlns:a16="http://schemas.microsoft.com/office/drawing/2014/main" id="{FDC3D431-AEC1-49EE-8E53-E5B0BEF47FA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403353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2462</xdr:row>
      <xdr:rowOff>25400</xdr:rowOff>
    </xdr:from>
    <xdr:to>
      <xdr:col>11</xdr:col>
      <xdr:colOff>571500</xdr:colOff>
      <xdr:row>2463</xdr:row>
      <xdr:rowOff>0</xdr:rowOff>
    </xdr:to>
    <xdr:pic>
      <xdr:nvPicPr>
        <xdr:cNvPr id="12981" name="Рисунок 12980">
          <a:extLst>
            <a:ext uri="{FF2B5EF4-FFF2-40B4-BE49-F238E27FC236}">
              <a16:creationId xmlns:a16="http://schemas.microsoft.com/office/drawing/2014/main" id="{8CF8FC10-B6B8-4F60-A45E-F5038787F82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403924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2463</xdr:row>
      <xdr:rowOff>25400</xdr:rowOff>
    </xdr:from>
    <xdr:to>
      <xdr:col>11</xdr:col>
      <xdr:colOff>571500</xdr:colOff>
      <xdr:row>2464</xdr:row>
      <xdr:rowOff>0</xdr:rowOff>
    </xdr:to>
    <xdr:pic>
      <xdr:nvPicPr>
        <xdr:cNvPr id="12983" name="Рисунок 12982">
          <a:extLst>
            <a:ext uri="{FF2B5EF4-FFF2-40B4-BE49-F238E27FC236}">
              <a16:creationId xmlns:a16="http://schemas.microsoft.com/office/drawing/2014/main" id="{C2E61741-9AD3-41C0-B8F4-FEE1FDD7EA7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404496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2464</xdr:row>
      <xdr:rowOff>25400</xdr:rowOff>
    </xdr:from>
    <xdr:to>
      <xdr:col>11</xdr:col>
      <xdr:colOff>571500</xdr:colOff>
      <xdr:row>2465</xdr:row>
      <xdr:rowOff>0</xdr:rowOff>
    </xdr:to>
    <xdr:pic>
      <xdr:nvPicPr>
        <xdr:cNvPr id="12985" name="Рисунок 12984">
          <a:extLst>
            <a:ext uri="{FF2B5EF4-FFF2-40B4-BE49-F238E27FC236}">
              <a16:creationId xmlns:a16="http://schemas.microsoft.com/office/drawing/2014/main" id="{77928F1C-8214-4BE6-B228-5D8E491997D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405067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2465</xdr:row>
      <xdr:rowOff>25400</xdr:rowOff>
    </xdr:from>
    <xdr:to>
      <xdr:col>11</xdr:col>
      <xdr:colOff>571500</xdr:colOff>
      <xdr:row>2466</xdr:row>
      <xdr:rowOff>0</xdr:rowOff>
    </xdr:to>
    <xdr:pic>
      <xdr:nvPicPr>
        <xdr:cNvPr id="12987" name="Рисунок 12986">
          <a:extLst>
            <a:ext uri="{FF2B5EF4-FFF2-40B4-BE49-F238E27FC236}">
              <a16:creationId xmlns:a16="http://schemas.microsoft.com/office/drawing/2014/main" id="{1DC7D439-42DC-4C92-8F25-EC2EA309851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405639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2466</xdr:row>
      <xdr:rowOff>25400</xdr:rowOff>
    </xdr:from>
    <xdr:to>
      <xdr:col>11</xdr:col>
      <xdr:colOff>571500</xdr:colOff>
      <xdr:row>2467</xdr:row>
      <xdr:rowOff>0</xdr:rowOff>
    </xdr:to>
    <xdr:pic>
      <xdr:nvPicPr>
        <xdr:cNvPr id="12989" name="Рисунок 12988">
          <a:extLst>
            <a:ext uri="{FF2B5EF4-FFF2-40B4-BE49-F238E27FC236}">
              <a16:creationId xmlns:a16="http://schemas.microsoft.com/office/drawing/2014/main" id="{809D7C1E-3258-4A9C-BF94-68FADDB6530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406210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2467</xdr:row>
      <xdr:rowOff>25400</xdr:rowOff>
    </xdr:from>
    <xdr:to>
      <xdr:col>11</xdr:col>
      <xdr:colOff>571500</xdr:colOff>
      <xdr:row>2468</xdr:row>
      <xdr:rowOff>0</xdr:rowOff>
    </xdr:to>
    <xdr:pic>
      <xdr:nvPicPr>
        <xdr:cNvPr id="12991" name="Рисунок 12990">
          <a:extLst>
            <a:ext uri="{FF2B5EF4-FFF2-40B4-BE49-F238E27FC236}">
              <a16:creationId xmlns:a16="http://schemas.microsoft.com/office/drawing/2014/main" id="{B9D77834-5080-4C6F-9D61-07BFB3FFD30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406782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2468</xdr:row>
      <xdr:rowOff>25400</xdr:rowOff>
    </xdr:from>
    <xdr:to>
      <xdr:col>11</xdr:col>
      <xdr:colOff>571500</xdr:colOff>
      <xdr:row>2469</xdr:row>
      <xdr:rowOff>0</xdr:rowOff>
    </xdr:to>
    <xdr:pic>
      <xdr:nvPicPr>
        <xdr:cNvPr id="12993" name="Рисунок 12992">
          <a:extLst>
            <a:ext uri="{FF2B5EF4-FFF2-40B4-BE49-F238E27FC236}">
              <a16:creationId xmlns:a16="http://schemas.microsoft.com/office/drawing/2014/main" id="{9F462C3A-BFA2-4B05-8F11-DB72F4B05E6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407353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2469</xdr:row>
      <xdr:rowOff>25400</xdr:rowOff>
    </xdr:from>
    <xdr:to>
      <xdr:col>11</xdr:col>
      <xdr:colOff>571500</xdr:colOff>
      <xdr:row>2470</xdr:row>
      <xdr:rowOff>0</xdr:rowOff>
    </xdr:to>
    <xdr:pic>
      <xdr:nvPicPr>
        <xdr:cNvPr id="12995" name="Рисунок 12994">
          <a:extLst>
            <a:ext uri="{FF2B5EF4-FFF2-40B4-BE49-F238E27FC236}">
              <a16:creationId xmlns:a16="http://schemas.microsoft.com/office/drawing/2014/main" id="{7F8D2CF5-2C29-4D12-97B1-7EAB1172B12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3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407925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2470</xdr:row>
      <xdr:rowOff>25400</xdr:rowOff>
    </xdr:from>
    <xdr:to>
      <xdr:col>11</xdr:col>
      <xdr:colOff>571500</xdr:colOff>
      <xdr:row>2471</xdr:row>
      <xdr:rowOff>0</xdr:rowOff>
    </xdr:to>
    <xdr:pic>
      <xdr:nvPicPr>
        <xdr:cNvPr id="12997" name="Рисунок 12996">
          <a:extLst>
            <a:ext uri="{FF2B5EF4-FFF2-40B4-BE49-F238E27FC236}">
              <a16:creationId xmlns:a16="http://schemas.microsoft.com/office/drawing/2014/main" id="{197E425F-32B9-40C4-99ED-88A41E6F30C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3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408496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2471</xdr:row>
      <xdr:rowOff>25400</xdr:rowOff>
    </xdr:from>
    <xdr:to>
      <xdr:col>11</xdr:col>
      <xdr:colOff>571500</xdr:colOff>
      <xdr:row>2472</xdr:row>
      <xdr:rowOff>0</xdr:rowOff>
    </xdr:to>
    <xdr:pic>
      <xdr:nvPicPr>
        <xdr:cNvPr id="12999" name="Рисунок 12998">
          <a:extLst>
            <a:ext uri="{FF2B5EF4-FFF2-40B4-BE49-F238E27FC236}">
              <a16:creationId xmlns:a16="http://schemas.microsoft.com/office/drawing/2014/main" id="{746E4DB4-0784-4211-9CDA-782436FE5A9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3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409068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2472</xdr:row>
      <xdr:rowOff>25400</xdr:rowOff>
    </xdr:from>
    <xdr:to>
      <xdr:col>11</xdr:col>
      <xdr:colOff>571500</xdr:colOff>
      <xdr:row>2473</xdr:row>
      <xdr:rowOff>0</xdr:rowOff>
    </xdr:to>
    <xdr:pic>
      <xdr:nvPicPr>
        <xdr:cNvPr id="13001" name="Рисунок 13000">
          <a:extLst>
            <a:ext uri="{FF2B5EF4-FFF2-40B4-BE49-F238E27FC236}">
              <a16:creationId xmlns:a16="http://schemas.microsoft.com/office/drawing/2014/main" id="{E0864127-5AFF-4476-939A-1DA5F37DB8D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3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409639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2473</xdr:row>
      <xdr:rowOff>25400</xdr:rowOff>
    </xdr:from>
    <xdr:to>
      <xdr:col>11</xdr:col>
      <xdr:colOff>571500</xdr:colOff>
      <xdr:row>2474</xdr:row>
      <xdr:rowOff>0</xdr:rowOff>
    </xdr:to>
    <xdr:pic>
      <xdr:nvPicPr>
        <xdr:cNvPr id="13003" name="Рисунок 13002">
          <a:extLst>
            <a:ext uri="{FF2B5EF4-FFF2-40B4-BE49-F238E27FC236}">
              <a16:creationId xmlns:a16="http://schemas.microsoft.com/office/drawing/2014/main" id="{85893DA7-02EF-486F-BAA0-04EE3B8F3FA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3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410211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2474</xdr:row>
      <xdr:rowOff>25400</xdr:rowOff>
    </xdr:from>
    <xdr:to>
      <xdr:col>11</xdr:col>
      <xdr:colOff>571500</xdr:colOff>
      <xdr:row>2475</xdr:row>
      <xdr:rowOff>0</xdr:rowOff>
    </xdr:to>
    <xdr:pic>
      <xdr:nvPicPr>
        <xdr:cNvPr id="13005" name="Рисунок 13004">
          <a:extLst>
            <a:ext uri="{FF2B5EF4-FFF2-40B4-BE49-F238E27FC236}">
              <a16:creationId xmlns:a16="http://schemas.microsoft.com/office/drawing/2014/main" id="{C100CDCB-C235-464B-B8C4-93CBAD25889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3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410782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2475</xdr:row>
      <xdr:rowOff>25400</xdr:rowOff>
    </xdr:from>
    <xdr:to>
      <xdr:col>11</xdr:col>
      <xdr:colOff>571500</xdr:colOff>
      <xdr:row>2476</xdr:row>
      <xdr:rowOff>0</xdr:rowOff>
    </xdr:to>
    <xdr:pic>
      <xdr:nvPicPr>
        <xdr:cNvPr id="13007" name="Рисунок 13006">
          <a:extLst>
            <a:ext uri="{FF2B5EF4-FFF2-40B4-BE49-F238E27FC236}">
              <a16:creationId xmlns:a16="http://schemas.microsoft.com/office/drawing/2014/main" id="{E5366DAB-A858-4F0F-8954-56D3947D6B5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3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411354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2476</xdr:row>
      <xdr:rowOff>25400</xdr:rowOff>
    </xdr:from>
    <xdr:to>
      <xdr:col>11</xdr:col>
      <xdr:colOff>571500</xdr:colOff>
      <xdr:row>2477</xdr:row>
      <xdr:rowOff>0</xdr:rowOff>
    </xdr:to>
    <xdr:pic>
      <xdr:nvPicPr>
        <xdr:cNvPr id="13009" name="Рисунок 13008">
          <a:extLst>
            <a:ext uri="{FF2B5EF4-FFF2-40B4-BE49-F238E27FC236}">
              <a16:creationId xmlns:a16="http://schemas.microsoft.com/office/drawing/2014/main" id="{2E985B46-91B3-40AB-AE41-AAF73BF94B4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3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411925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2477</xdr:row>
      <xdr:rowOff>25400</xdr:rowOff>
    </xdr:from>
    <xdr:to>
      <xdr:col>11</xdr:col>
      <xdr:colOff>571500</xdr:colOff>
      <xdr:row>2478</xdr:row>
      <xdr:rowOff>0</xdr:rowOff>
    </xdr:to>
    <xdr:pic>
      <xdr:nvPicPr>
        <xdr:cNvPr id="13011" name="Рисунок 13010">
          <a:extLst>
            <a:ext uri="{FF2B5EF4-FFF2-40B4-BE49-F238E27FC236}">
              <a16:creationId xmlns:a16="http://schemas.microsoft.com/office/drawing/2014/main" id="{2D5ED3D6-DD0D-4437-95D4-8D649731EB3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3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412497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2478</xdr:row>
      <xdr:rowOff>25400</xdr:rowOff>
    </xdr:from>
    <xdr:to>
      <xdr:col>11</xdr:col>
      <xdr:colOff>571500</xdr:colOff>
      <xdr:row>2479</xdr:row>
      <xdr:rowOff>0</xdr:rowOff>
    </xdr:to>
    <xdr:pic>
      <xdr:nvPicPr>
        <xdr:cNvPr id="13013" name="Рисунок 13012">
          <a:extLst>
            <a:ext uri="{FF2B5EF4-FFF2-40B4-BE49-F238E27FC236}">
              <a16:creationId xmlns:a16="http://schemas.microsoft.com/office/drawing/2014/main" id="{B8E3B536-6CB8-4346-A737-FD8B0164CFC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4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413068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2479</xdr:row>
      <xdr:rowOff>25400</xdr:rowOff>
    </xdr:from>
    <xdr:to>
      <xdr:col>11</xdr:col>
      <xdr:colOff>571500</xdr:colOff>
      <xdr:row>2480</xdr:row>
      <xdr:rowOff>0</xdr:rowOff>
    </xdr:to>
    <xdr:pic>
      <xdr:nvPicPr>
        <xdr:cNvPr id="13015" name="Рисунок 13014">
          <a:extLst>
            <a:ext uri="{FF2B5EF4-FFF2-40B4-BE49-F238E27FC236}">
              <a16:creationId xmlns:a16="http://schemas.microsoft.com/office/drawing/2014/main" id="{203DBC88-C2B3-4986-8586-AB656AF1348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4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413640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2480</xdr:row>
      <xdr:rowOff>25400</xdr:rowOff>
    </xdr:from>
    <xdr:to>
      <xdr:col>11</xdr:col>
      <xdr:colOff>571500</xdr:colOff>
      <xdr:row>2481</xdr:row>
      <xdr:rowOff>0</xdr:rowOff>
    </xdr:to>
    <xdr:pic>
      <xdr:nvPicPr>
        <xdr:cNvPr id="13017" name="Рисунок 13016">
          <a:extLst>
            <a:ext uri="{FF2B5EF4-FFF2-40B4-BE49-F238E27FC236}">
              <a16:creationId xmlns:a16="http://schemas.microsoft.com/office/drawing/2014/main" id="{8297CE2B-95DF-4E17-A925-6B0C7A16D52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414211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2481</xdr:row>
      <xdr:rowOff>25400</xdr:rowOff>
    </xdr:from>
    <xdr:to>
      <xdr:col>11</xdr:col>
      <xdr:colOff>571500</xdr:colOff>
      <xdr:row>2482</xdr:row>
      <xdr:rowOff>0</xdr:rowOff>
    </xdr:to>
    <xdr:pic>
      <xdr:nvPicPr>
        <xdr:cNvPr id="13019" name="Рисунок 13018">
          <a:extLst>
            <a:ext uri="{FF2B5EF4-FFF2-40B4-BE49-F238E27FC236}">
              <a16:creationId xmlns:a16="http://schemas.microsoft.com/office/drawing/2014/main" id="{E5353F8C-7201-4529-BBD7-8E416F6CB3C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414783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2482</xdr:row>
      <xdr:rowOff>25400</xdr:rowOff>
    </xdr:from>
    <xdr:to>
      <xdr:col>11</xdr:col>
      <xdr:colOff>571500</xdr:colOff>
      <xdr:row>2483</xdr:row>
      <xdr:rowOff>0</xdr:rowOff>
    </xdr:to>
    <xdr:pic>
      <xdr:nvPicPr>
        <xdr:cNvPr id="13021" name="Рисунок 13020">
          <a:extLst>
            <a:ext uri="{FF2B5EF4-FFF2-40B4-BE49-F238E27FC236}">
              <a16:creationId xmlns:a16="http://schemas.microsoft.com/office/drawing/2014/main" id="{BE6AF3B0-ACA9-4819-9256-A167E077438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415354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2483</xdr:row>
      <xdr:rowOff>25400</xdr:rowOff>
    </xdr:from>
    <xdr:to>
      <xdr:col>11</xdr:col>
      <xdr:colOff>571500</xdr:colOff>
      <xdr:row>2484</xdr:row>
      <xdr:rowOff>0</xdr:rowOff>
    </xdr:to>
    <xdr:pic>
      <xdr:nvPicPr>
        <xdr:cNvPr id="13023" name="Рисунок 13022">
          <a:extLst>
            <a:ext uri="{FF2B5EF4-FFF2-40B4-BE49-F238E27FC236}">
              <a16:creationId xmlns:a16="http://schemas.microsoft.com/office/drawing/2014/main" id="{BD9EA33D-AD07-41AF-AA11-7ACD66F31B4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4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415926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2484</xdr:row>
      <xdr:rowOff>25400</xdr:rowOff>
    </xdr:from>
    <xdr:to>
      <xdr:col>11</xdr:col>
      <xdr:colOff>571500</xdr:colOff>
      <xdr:row>2485</xdr:row>
      <xdr:rowOff>0</xdr:rowOff>
    </xdr:to>
    <xdr:pic>
      <xdr:nvPicPr>
        <xdr:cNvPr id="13025" name="Рисунок 13024">
          <a:extLst>
            <a:ext uri="{FF2B5EF4-FFF2-40B4-BE49-F238E27FC236}">
              <a16:creationId xmlns:a16="http://schemas.microsoft.com/office/drawing/2014/main" id="{947C4B2B-E243-4C1B-B2C8-307FE34CFFF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4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416497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2485</xdr:row>
      <xdr:rowOff>25400</xdr:rowOff>
    </xdr:from>
    <xdr:to>
      <xdr:col>11</xdr:col>
      <xdr:colOff>571500</xdr:colOff>
      <xdr:row>2486</xdr:row>
      <xdr:rowOff>0</xdr:rowOff>
    </xdr:to>
    <xdr:pic>
      <xdr:nvPicPr>
        <xdr:cNvPr id="13027" name="Рисунок 13026">
          <a:extLst>
            <a:ext uri="{FF2B5EF4-FFF2-40B4-BE49-F238E27FC236}">
              <a16:creationId xmlns:a16="http://schemas.microsoft.com/office/drawing/2014/main" id="{05F89952-33E3-4E55-AFB6-98E3EDED392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4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417069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2486</xdr:row>
      <xdr:rowOff>25400</xdr:rowOff>
    </xdr:from>
    <xdr:to>
      <xdr:col>11</xdr:col>
      <xdr:colOff>571500</xdr:colOff>
      <xdr:row>2487</xdr:row>
      <xdr:rowOff>0</xdr:rowOff>
    </xdr:to>
    <xdr:pic>
      <xdr:nvPicPr>
        <xdr:cNvPr id="13029" name="Рисунок 13028">
          <a:extLst>
            <a:ext uri="{FF2B5EF4-FFF2-40B4-BE49-F238E27FC236}">
              <a16:creationId xmlns:a16="http://schemas.microsoft.com/office/drawing/2014/main" id="{4F2C044F-61E3-42E9-BF96-E93F599B5EF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4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417640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2487</xdr:row>
      <xdr:rowOff>25400</xdr:rowOff>
    </xdr:from>
    <xdr:to>
      <xdr:col>11</xdr:col>
      <xdr:colOff>571500</xdr:colOff>
      <xdr:row>2488</xdr:row>
      <xdr:rowOff>0</xdr:rowOff>
    </xdr:to>
    <xdr:pic>
      <xdr:nvPicPr>
        <xdr:cNvPr id="13031" name="Рисунок 13030">
          <a:extLst>
            <a:ext uri="{FF2B5EF4-FFF2-40B4-BE49-F238E27FC236}">
              <a16:creationId xmlns:a16="http://schemas.microsoft.com/office/drawing/2014/main" id="{9C0F692F-7FD1-4ED9-AB64-868D5840A7E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4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418212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2488</xdr:row>
      <xdr:rowOff>25400</xdr:rowOff>
    </xdr:from>
    <xdr:to>
      <xdr:col>11</xdr:col>
      <xdr:colOff>571500</xdr:colOff>
      <xdr:row>2489</xdr:row>
      <xdr:rowOff>0</xdr:rowOff>
    </xdr:to>
    <xdr:pic>
      <xdr:nvPicPr>
        <xdr:cNvPr id="13033" name="Рисунок 13032">
          <a:extLst>
            <a:ext uri="{FF2B5EF4-FFF2-40B4-BE49-F238E27FC236}">
              <a16:creationId xmlns:a16="http://schemas.microsoft.com/office/drawing/2014/main" id="{AF5B2DDE-17DA-4046-88F6-F6E37E810A2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5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418783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2489</xdr:row>
      <xdr:rowOff>25400</xdr:rowOff>
    </xdr:from>
    <xdr:to>
      <xdr:col>11</xdr:col>
      <xdr:colOff>571500</xdr:colOff>
      <xdr:row>2490</xdr:row>
      <xdr:rowOff>0</xdr:rowOff>
    </xdr:to>
    <xdr:pic>
      <xdr:nvPicPr>
        <xdr:cNvPr id="13035" name="Рисунок 13034">
          <a:extLst>
            <a:ext uri="{FF2B5EF4-FFF2-40B4-BE49-F238E27FC236}">
              <a16:creationId xmlns:a16="http://schemas.microsoft.com/office/drawing/2014/main" id="{5ADC88DF-448E-4F65-9E69-A5322795797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5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419355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2490</xdr:row>
      <xdr:rowOff>25400</xdr:rowOff>
    </xdr:from>
    <xdr:to>
      <xdr:col>11</xdr:col>
      <xdr:colOff>571500</xdr:colOff>
      <xdr:row>2491</xdr:row>
      <xdr:rowOff>0</xdr:rowOff>
    </xdr:to>
    <xdr:pic>
      <xdr:nvPicPr>
        <xdr:cNvPr id="13037" name="Рисунок 13036">
          <a:extLst>
            <a:ext uri="{FF2B5EF4-FFF2-40B4-BE49-F238E27FC236}">
              <a16:creationId xmlns:a16="http://schemas.microsoft.com/office/drawing/2014/main" id="{FDA93D2D-9CC2-4584-849C-27C5CEA2461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419926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2491</xdr:row>
      <xdr:rowOff>25400</xdr:rowOff>
    </xdr:from>
    <xdr:to>
      <xdr:col>11</xdr:col>
      <xdr:colOff>571500</xdr:colOff>
      <xdr:row>2492</xdr:row>
      <xdr:rowOff>0</xdr:rowOff>
    </xdr:to>
    <xdr:pic>
      <xdr:nvPicPr>
        <xdr:cNvPr id="13039" name="Рисунок 13038">
          <a:extLst>
            <a:ext uri="{FF2B5EF4-FFF2-40B4-BE49-F238E27FC236}">
              <a16:creationId xmlns:a16="http://schemas.microsoft.com/office/drawing/2014/main" id="{99E9F91B-2BF7-4477-8177-5021967AA4B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5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420498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2492</xdr:row>
      <xdr:rowOff>25400</xdr:rowOff>
    </xdr:from>
    <xdr:to>
      <xdr:col>11</xdr:col>
      <xdr:colOff>571500</xdr:colOff>
      <xdr:row>2493</xdr:row>
      <xdr:rowOff>0</xdr:rowOff>
    </xdr:to>
    <xdr:pic>
      <xdr:nvPicPr>
        <xdr:cNvPr id="13041" name="Рисунок 13040">
          <a:extLst>
            <a:ext uri="{FF2B5EF4-FFF2-40B4-BE49-F238E27FC236}">
              <a16:creationId xmlns:a16="http://schemas.microsoft.com/office/drawing/2014/main" id="{329E3869-8DB3-400D-B822-812E2E6896C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5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421069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2493</xdr:row>
      <xdr:rowOff>25400</xdr:rowOff>
    </xdr:from>
    <xdr:to>
      <xdr:col>11</xdr:col>
      <xdr:colOff>571500</xdr:colOff>
      <xdr:row>2494</xdr:row>
      <xdr:rowOff>0</xdr:rowOff>
    </xdr:to>
    <xdr:pic>
      <xdr:nvPicPr>
        <xdr:cNvPr id="13043" name="Рисунок 13042">
          <a:extLst>
            <a:ext uri="{FF2B5EF4-FFF2-40B4-BE49-F238E27FC236}">
              <a16:creationId xmlns:a16="http://schemas.microsoft.com/office/drawing/2014/main" id="{17C320CA-9E4A-4EA3-9EAB-8B51B64342E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5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421641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2494</xdr:row>
      <xdr:rowOff>25400</xdr:rowOff>
    </xdr:from>
    <xdr:to>
      <xdr:col>11</xdr:col>
      <xdr:colOff>571500</xdr:colOff>
      <xdr:row>2495</xdr:row>
      <xdr:rowOff>0</xdr:rowOff>
    </xdr:to>
    <xdr:pic>
      <xdr:nvPicPr>
        <xdr:cNvPr id="13045" name="Рисунок 13044">
          <a:extLst>
            <a:ext uri="{FF2B5EF4-FFF2-40B4-BE49-F238E27FC236}">
              <a16:creationId xmlns:a16="http://schemas.microsoft.com/office/drawing/2014/main" id="{3585AC50-A5F2-40B3-A11F-4824C967480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5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422212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2495</xdr:row>
      <xdr:rowOff>25400</xdr:rowOff>
    </xdr:from>
    <xdr:to>
      <xdr:col>11</xdr:col>
      <xdr:colOff>571500</xdr:colOff>
      <xdr:row>2496</xdr:row>
      <xdr:rowOff>0</xdr:rowOff>
    </xdr:to>
    <xdr:pic>
      <xdr:nvPicPr>
        <xdr:cNvPr id="13047" name="Рисунок 13046">
          <a:extLst>
            <a:ext uri="{FF2B5EF4-FFF2-40B4-BE49-F238E27FC236}">
              <a16:creationId xmlns:a16="http://schemas.microsoft.com/office/drawing/2014/main" id="{F5EC3AF0-3CF8-43D1-9110-A1D73A93FAE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5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422784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2496</xdr:row>
      <xdr:rowOff>25400</xdr:rowOff>
    </xdr:from>
    <xdr:to>
      <xdr:col>11</xdr:col>
      <xdr:colOff>571500</xdr:colOff>
      <xdr:row>2497</xdr:row>
      <xdr:rowOff>0</xdr:rowOff>
    </xdr:to>
    <xdr:pic>
      <xdr:nvPicPr>
        <xdr:cNvPr id="13049" name="Рисунок 13048">
          <a:extLst>
            <a:ext uri="{FF2B5EF4-FFF2-40B4-BE49-F238E27FC236}">
              <a16:creationId xmlns:a16="http://schemas.microsoft.com/office/drawing/2014/main" id="{7FBC3AA2-2545-4B4A-9E6C-6AF62377AAB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5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423355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2497</xdr:row>
      <xdr:rowOff>25400</xdr:rowOff>
    </xdr:from>
    <xdr:to>
      <xdr:col>11</xdr:col>
      <xdr:colOff>571500</xdr:colOff>
      <xdr:row>2498</xdr:row>
      <xdr:rowOff>0</xdr:rowOff>
    </xdr:to>
    <xdr:pic>
      <xdr:nvPicPr>
        <xdr:cNvPr id="13051" name="Рисунок 13050">
          <a:extLst>
            <a:ext uri="{FF2B5EF4-FFF2-40B4-BE49-F238E27FC236}">
              <a16:creationId xmlns:a16="http://schemas.microsoft.com/office/drawing/2014/main" id="{11CDB77A-1506-491E-B238-946991F1F3C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5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423927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2498</xdr:row>
      <xdr:rowOff>25400</xdr:rowOff>
    </xdr:from>
    <xdr:to>
      <xdr:col>11</xdr:col>
      <xdr:colOff>571500</xdr:colOff>
      <xdr:row>2499</xdr:row>
      <xdr:rowOff>0</xdr:rowOff>
    </xdr:to>
    <xdr:pic>
      <xdr:nvPicPr>
        <xdr:cNvPr id="13053" name="Рисунок 13052">
          <a:extLst>
            <a:ext uri="{FF2B5EF4-FFF2-40B4-BE49-F238E27FC236}">
              <a16:creationId xmlns:a16="http://schemas.microsoft.com/office/drawing/2014/main" id="{8BF38117-A775-40D2-B22E-CDB1C465E29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6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424498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2499</xdr:row>
      <xdr:rowOff>25400</xdr:rowOff>
    </xdr:from>
    <xdr:to>
      <xdr:col>11</xdr:col>
      <xdr:colOff>571500</xdr:colOff>
      <xdr:row>2500</xdr:row>
      <xdr:rowOff>0</xdr:rowOff>
    </xdr:to>
    <xdr:pic>
      <xdr:nvPicPr>
        <xdr:cNvPr id="13055" name="Рисунок 13054">
          <a:extLst>
            <a:ext uri="{FF2B5EF4-FFF2-40B4-BE49-F238E27FC236}">
              <a16:creationId xmlns:a16="http://schemas.microsoft.com/office/drawing/2014/main" id="{787F08B6-965D-4CC4-9835-BAEB5E65413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6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425070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2500</xdr:row>
      <xdr:rowOff>25400</xdr:rowOff>
    </xdr:from>
    <xdr:to>
      <xdr:col>11</xdr:col>
      <xdr:colOff>571500</xdr:colOff>
      <xdr:row>2501</xdr:row>
      <xdr:rowOff>0</xdr:rowOff>
    </xdr:to>
    <xdr:pic>
      <xdr:nvPicPr>
        <xdr:cNvPr id="13057" name="Рисунок 13056">
          <a:extLst>
            <a:ext uri="{FF2B5EF4-FFF2-40B4-BE49-F238E27FC236}">
              <a16:creationId xmlns:a16="http://schemas.microsoft.com/office/drawing/2014/main" id="{5086B0E3-12CC-4A21-9B3A-9F82823DDDE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6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425641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2501</xdr:row>
      <xdr:rowOff>25400</xdr:rowOff>
    </xdr:from>
    <xdr:to>
      <xdr:col>11</xdr:col>
      <xdr:colOff>571500</xdr:colOff>
      <xdr:row>2502</xdr:row>
      <xdr:rowOff>0</xdr:rowOff>
    </xdr:to>
    <xdr:pic>
      <xdr:nvPicPr>
        <xdr:cNvPr id="13059" name="Рисунок 13058">
          <a:extLst>
            <a:ext uri="{FF2B5EF4-FFF2-40B4-BE49-F238E27FC236}">
              <a16:creationId xmlns:a16="http://schemas.microsoft.com/office/drawing/2014/main" id="{2556D54C-9AAE-4562-B74D-947E4B4FD5D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6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426213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2502</xdr:row>
      <xdr:rowOff>25400</xdr:rowOff>
    </xdr:from>
    <xdr:to>
      <xdr:col>11</xdr:col>
      <xdr:colOff>571500</xdr:colOff>
      <xdr:row>2503</xdr:row>
      <xdr:rowOff>0</xdr:rowOff>
    </xdr:to>
    <xdr:pic>
      <xdr:nvPicPr>
        <xdr:cNvPr id="13061" name="Рисунок 13060">
          <a:extLst>
            <a:ext uri="{FF2B5EF4-FFF2-40B4-BE49-F238E27FC236}">
              <a16:creationId xmlns:a16="http://schemas.microsoft.com/office/drawing/2014/main" id="{7DCA0604-D705-4B3E-8389-AB1F1539304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6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426784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2503</xdr:row>
      <xdr:rowOff>25400</xdr:rowOff>
    </xdr:from>
    <xdr:to>
      <xdr:col>11</xdr:col>
      <xdr:colOff>571500</xdr:colOff>
      <xdr:row>2504</xdr:row>
      <xdr:rowOff>0</xdr:rowOff>
    </xdr:to>
    <xdr:pic>
      <xdr:nvPicPr>
        <xdr:cNvPr id="13063" name="Рисунок 13062">
          <a:extLst>
            <a:ext uri="{FF2B5EF4-FFF2-40B4-BE49-F238E27FC236}">
              <a16:creationId xmlns:a16="http://schemas.microsoft.com/office/drawing/2014/main" id="{9E0050A9-C893-4E35-8497-0C637731F0A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6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427356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2504</xdr:row>
      <xdr:rowOff>25400</xdr:rowOff>
    </xdr:from>
    <xdr:to>
      <xdr:col>11</xdr:col>
      <xdr:colOff>571500</xdr:colOff>
      <xdr:row>2505</xdr:row>
      <xdr:rowOff>0</xdr:rowOff>
    </xdr:to>
    <xdr:pic>
      <xdr:nvPicPr>
        <xdr:cNvPr id="13065" name="Рисунок 13064">
          <a:extLst>
            <a:ext uri="{FF2B5EF4-FFF2-40B4-BE49-F238E27FC236}">
              <a16:creationId xmlns:a16="http://schemas.microsoft.com/office/drawing/2014/main" id="{B9A6A3DA-9FD3-45B7-ABDE-FC010DBA89A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6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427927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2505</xdr:row>
      <xdr:rowOff>25400</xdr:rowOff>
    </xdr:from>
    <xdr:to>
      <xdr:col>11</xdr:col>
      <xdr:colOff>571500</xdr:colOff>
      <xdr:row>2506</xdr:row>
      <xdr:rowOff>0</xdr:rowOff>
    </xdr:to>
    <xdr:pic>
      <xdr:nvPicPr>
        <xdr:cNvPr id="13067" name="Рисунок 13066">
          <a:extLst>
            <a:ext uri="{FF2B5EF4-FFF2-40B4-BE49-F238E27FC236}">
              <a16:creationId xmlns:a16="http://schemas.microsoft.com/office/drawing/2014/main" id="{D679497A-F9A5-4982-B374-1233FEF451E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6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428499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2506</xdr:row>
      <xdr:rowOff>25400</xdr:rowOff>
    </xdr:from>
    <xdr:to>
      <xdr:col>11</xdr:col>
      <xdr:colOff>571500</xdr:colOff>
      <xdr:row>2507</xdr:row>
      <xdr:rowOff>0</xdr:rowOff>
    </xdr:to>
    <xdr:pic>
      <xdr:nvPicPr>
        <xdr:cNvPr id="13069" name="Рисунок 13068">
          <a:extLst>
            <a:ext uri="{FF2B5EF4-FFF2-40B4-BE49-F238E27FC236}">
              <a16:creationId xmlns:a16="http://schemas.microsoft.com/office/drawing/2014/main" id="{30709EB0-8583-4E5C-AA7A-9C35E1578B5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6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429070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2507</xdr:row>
      <xdr:rowOff>25400</xdr:rowOff>
    </xdr:from>
    <xdr:to>
      <xdr:col>11</xdr:col>
      <xdr:colOff>571500</xdr:colOff>
      <xdr:row>2508</xdr:row>
      <xdr:rowOff>0</xdr:rowOff>
    </xdr:to>
    <xdr:pic>
      <xdr:nvPicPr>
        <xdr:cNvPr id="13071" name="Рисунок 13070">
          <a:extLst>
            <a:ext uri="{FF2B5EF4-FFF2-40B4-BE49-F238E27FC236}">
              <a16:creationId xmlns:a16="http://schemas.microsoft.com/office/drawing/2014/main" id="{39F6900B-A1D7-46C0-84EA-B770EE3B489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6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429642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2508</xdr:row>
      <xdr:rowOff>25400</xdr:rowOff>
    </xdr:from>
    <xdr:to>
      <xdr:col>11</xdr:col>
      <xdr:colOff>571500</xdr:colOff>
      <xdr:row>2509</xdr:row>
      <xdr:rowOff>0</xdr:rowOff>
    </xdr:to>
    <xdr:pic>
      <xdr:nvPicPr>
        <xdr:cNvPr id="13073" name="Рисунок 13072">
          <a:extLst>
            <a:ext uri="{FF2B5EF4-FFF2-40B4-BE49-F238E27FC236}">
              <a16:creationId xmlns:a16="http://schemas.microsoft.com/office/drawing/2014/main" id="{B8326CC2-36AE-4292-9331-08B17B3942C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7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430213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2509</xdr:row>
      <xdr:rowOff>25400</xdr:rowOff>
    </xdr:from>
    <xdr:to>
      <xdr:col>11</xdr:col>
      <xdr:colOff>571500</xdr:colOff>
      <xdr:row>2510</xdr:row>
      <xdr:rowOff>0</xdr:rowOff>
    </xdr:to>
    <xdr:pic>
      <xdr:nvPicPr>
        <xdr:cNvPr id="13075" name="Рисунок 13074">
          <a:extLst>
            <a:ext uri="{FF2B5EF4-FFF2-40B4-BE49-F238E27FC236}">
              <a16:creationId xmlns:a16="http://schemas.microsoft.com/office/drawing/2014/main" id="{DB44A55D-C863-463A-A502-F01A8E1B606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7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430785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2510</xdr:row>
      <xdr:rowOff>25400</xdr:rowOff>
    </xdr:from>
    <xdr:to>
      <xdr:col>11</xdr:col>
      <xdr:colOff>571500</xdr:colOff>
      <xdr:row>2511</xdr:row>
      <xdr:rowOff>0</xdr:rowOff>
    </xdr:to>
    <xdr:pic>
      <xdr:nvPicPr>
        <xdr:cNvPr id="13077" name="Рисунок 13076">
          <a:extLst>
            <a:ext uri="{FF2B5EF4-FFF2-40B4-BE49-F238E27FC236}">
              <a16:creationId xmlns:a16="http://schemas.microsoft.com/office/drawing/2014/main" id="{CC7D368F-7C5F-496C-844B-3DB5F9EA4BC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7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431356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2511</xdr:row>
      <xdr:rowOff>25400</xdr:rowOff>
    </xdr:from>
    <xdr:to>
      <xdr:col>11</xdr:col>
      <xdr:colOff>571500</xdr:colOff>
      <xdr:row>2512</xdr:row>
      <xdr:rowOff>0</xdr:rowOff>
    </xdr:to>
    <xdr:pic>
      <xdr:nvPicPr>
        <xdr:cNvPr id="13079" name="Рисунок 13078">
          <a:extLst>
            <a:ext uri="{FF2B5EF4-FFF2-40B4-BE49-F238E27FC236}">
              <a16:creationId xmlns:a16="http://schemas.microsoft.com/office/drawing/2014/main" id="{8DB77FD6-650D-4ADD-A2C7-7C2D0ECB97C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7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431928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2512</xdr:row>
      <xdr:rowOff>25400</xdr:rowOff>
    </xdr:from>
    <xdr:to>
      <xdr:col>11</xdr:col>
      <xdr:colOff>571500</xdr:colOff>
      <xdr:row>2513</xdr:row>
      <xdr:rowOff>0</xdr:rowOff>
    </xdr:to>
    <xdr:pic>
      <xdr:nvPicPr>
        <xdr:cNvPr id="13081" name="Рисунок 13080">
          <a:extLst>
            <a:ext uri="{FF2B5EF4-FFF2-40B4-BE49-F238E27FC236}">
              <a16:creationId xmlns:a16="http://schemas.microsoft.com/office/drawing/2014/main" id="{AAA4CE34-AD47-4B40-8DF5-072978BFB5D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7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432499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2513</xdr:row>
      <xdr:rowOff>25400</xdr:rowOff>
    </xdr:from>
    <xdr:to>
      <xdr:col>11</xdr:col>
      <xdr:colOff>571500</xdr:colOff>
      <xdr:row>2514</xdr:row>
      <xdr:rowOff>0</xdr:rowOff>
    </xdr:to>
    <xdr:pic>
      <xdr:nvPicPr>
        <xdr:cNvPr id="13083" name="Рисунок 13082">
          <a:extLst>
            <a:ext uri="{FF2B5EF4-FFF2-40B4-BE49-F238E27FC236}">
              <a16:creationId xmlns:a16="http://schemas.microsoft.com/office/drawing/2014/main" id="{C92C599B-5915-4F98-9B76-9355A6A23E0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7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433071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2514</xdr:row>
      <xdr:rowOff>25400</xdr:rowOff>
    </xdr:from>
    <xdr:to>
      <xdr:col>11</xdr:col>
      <xdr:colOff>571500</xdr:colOff>
      <xdr:row>2515</xdr:row>
      <xdr:rowOff>0</xdr:rowOff>
    </xdr:to>
    <xdr:pic>
      <xdr:nvPicPr>
        <xdr:cNvPr id="13085" name="Рисунок 13084">
          <a:extLst>
            <a:ext uri="{FF2B5EF4-FFF2-40B4-BE49-F238E27FC236}">
              <a16:creationId xmlns:a16="http://schemas.microsoft.com/office/drawing/2014/main" id="{C8650059-0C69-4817-B693-333C301C37E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7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433642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2515</xdr:row>
      <xdr:rowOff>25400</xdr:rowOff>
    </xdr:from>
    <xdr:to>
      <xdr:col>11</xdr:col>
      <xdr:colOff>571500</xdr:colOff>
      <xdr:row>2516</xdr:row>
      <xdr:rowOff>0</xdr:rowOff>
    </xdr:to>
    <xdr:pic>
      <xdr:nvPicPr>
        <xdr:cNvPr id="13087" name="Рисунок 13086">
          <a:extLst>
            <a:ext uri="{FF2B5EF4-FFF2-40B4-BE49-F238E27FC236}">
              <a16:creationId xmlns:a16="http://schemas.microsoft.com/office/drawing/2014/main" id="{3B31FFDA-C81B-42DF-A874-694E3A0A5B2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7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434214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2516</xdr:row>
      <xdr:rowOff>25400</xdr:rowOff>
    </xdr:from>
    <xdr:to>
      <xdr:col>11</xdr:col>
      <xdr:colOff>571500</xdr:colOff>
      <xdr:row>2517</xdr:row>
      <xdr:rowOff>0</xdr:rowOff>
    </xdr:to>
    <xdr:pic>
      <xdr:nvPicPr>
        <xdr:cNvPr id="13089" name="Рисунок 13088">
          <a:extLst>
            <a:ext uri="{FF2B5EF4-FFF2-40B4-BE49-F238E27FC236}">
              <a16:creationId xmlns:a16="http://schemas.microsoft.com/office/drawing/2014/main" id="{B7076324-C578-4B4D-93FF-B15DD2E2207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7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434785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2517</xdr:row>
      <xdr:rowOff>25400</xdr:rowOff>
    </xdr:from>
    <xdr:to>
      <xdr:col>11</xdr:col>
      <xdr:colOff>571500</xdr:colOff>
      <xdr:row>2518</xdr:row>
      <xdr:rowOff>0</xdr:rowOff>
    </xdr:to>
    <xdr:pic>
      <xdr:nvPicPr>
        <xdr:cNvPr id="13091" name="Рисунок 13090">
          <a:extLst>
            <a:ext uri="{FF2B5EF4-FFF2-40B4-BE49-F238E27FC236}">
              <a16:creationId xmlns:a16="http://schemas.microsoft.com/office/drawing/2014/main" id="{45585163-057D-4AB4-B96B-EFA66C26C02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7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435357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2518</xdr:row>
      <xdr:rowOff>25400</xdr:rowOff>
    </xdr:from>
    <xdr:to>
      <xdr:col>11</xdr:col>
      <xdr:colOff>571500</xdr:colOff>
      <xdr:row>2519</xdr:row>
      <xdr:rowOff>0</xdr:rowOff>
    </xdr:to>
    <xdr:pic>
      <xdr:nvPicPr>
        <xdr:cNvPr id="13093" name="Рисунок 13092">
          <a:extLst>
            <a:ext uri="{FF2B5EF4-FFF2-40B4-BE49-F238E27FC236}">
              <a16:creationId xmlns:a16="http://schemas.microsoft.com/office/drawing/2014/main" id="{BAC60F9A-9EE2-4734-BEA8-5F56FA0B936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8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435928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2519</xdr:row>
      <xdr:rowOff>25400</xdr:rowOff>
    </xdr:from>
    <xdr:to>
      <xdr:col>11</xdr:col>
      <xdr:colOff>571500</xdr:colOff>
      <xdr:row>2520</xdr:row>
      <xdr:rowOff>0</xdr:rowOff>
    </xdr:to>
    <xdr:pic>
      <xdr:nvPicPr>
        <xdr:cNvPr id="13095" name="Рисунок 13094">
          <a:extLst>
            <a:ext uri="{FF2B5EF4-FFF2-40B4-BE49-F238E27FC236}">
              <a16:creationId xmlns:a16="http://schemas.microsoft.com/office/drawing/2014/main" id="{AA305FDE-BF5F-4DEB-A546-E21E3401675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8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436500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2520</xdr:row>
      <xdr:rowOff>25400</xdr:rowOff>
    </xdr:from>
    <xdr:to>
      <xdr:col>11</xdr:col>
      <xdr:colOff>571500</xdr:colOff>
      <xdr:row>2521</xdr:row>
      <xdr:rowOff>0</xdr:rowOff>
    </xdr:to>
    <xdr:pic>
      <xdr:nvPicPr>
        <xdr:cNvPr id="13097" name="Рисунок 13096">
          <a:extLst>
            <a:ext uri="{FF2B5EF4-FFF2-40B4-BE49-F238E27FC236}">
              <a16:creationId xmlns:a16="http://schemas.microsoft.com/office/drawing/2014/main" id="{0CF31B7C-C2F8-4A75-B71E-B57B51E5AD8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8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437071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2521</xdr:row>
      <xdr:rowOff>25400</xdr:rowOff>
    </xdr:from>
    <xdr:to>
      <xdr:col>11</xdr:col>
      <xdr:colOff>571500</xdr:colOff>
      <xdr:row>2522</xdr:row>
      <xdr:rowOff>0</xdr:rowOff>
    </xdr:to>
    <xdr:pic>
      <xdr:nvPicPr>
        <xdr:cNvPr id="13099" name="Рисунок 13098">
          <a:extLst>
            <a:ext uri="{FF2B5EF4-FFF2-40B4-BE49-F238E27FC236}">
              <a16:creationId xmlns:a16="http://schemas.microsoft.com/office/drawing/2014/main" id="{29663FB2-4456-444B-8284-6481BD0C6BF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8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437643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2522</xdr:row>
      <xdr:rowOff>25400</xdr:rowOff>
    </xdr:from>
    <xdr:to>
      <xdr:col>11</xdr:col>
      <xdr:colOff>571500</xdr:colOff>
      <xdr:row>2523</xdr:row>
      <xdr:rowOff>0</xdr:rowOff>
    </xdr:to>
    <xdr:pic>
      <xdr:nvPicPr>
        <xdr:cNvPr id="13101" name="Рисунок 13100">
          <a:extLst>
            <a:ext uri="{FF2B5EF4-FFF2-40B4-BE49-F238E27FC236}">
              <a16:creationId xmlns:a16="http://schemas.microsoft.com/office/drawing/2014/main" id="{9582DAB3-8F1C-4D5E-9083-A76E1295179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8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438214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2523</xdr:row>
      <xdr:rowOff>25400</xdr:rowOff>
    </xdr:from>
    <xdr:to>
      <xdr:col>11</xdr:col>
      <xdr:colOff>571500</xdr:colOff>
      <xdr:row>2524</xdr:row>
      <xdr:rowOff>0</xdr:rowOff>
    </xdr:to>
    <xdr:pic>
      <xdr:nvPicPr>
        <xdr:cNvPr id="13103" name="Рисунок 13102">
          <a:extLst>
            <a:ext uri="{FF2B5EF4-FFF2-40B4-BE49-F238E27FC236}">
              <a16:creationId xmlns:a16="http://schemas.microsoft.com/office/drawing/2014/main" id="{CD6BF036-30BE-42EA-9601-2E60004289E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8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438786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2524</xdr:row>
      <xdr:rowOff>25400</xdr:rowOff>
    </xdr:from>
    <xdr:to>
      <xdr:col>11</xdr:col>
      <xdr:colOff>571500</xdr:colOff>
      <xdr:row>2525</xdr:row>
      <xdr:rowOff>0</xdr:rowOff>
    </xdr:to>
    <xdr:pic>
      <xdr:nvPicPr>
        <xdr:cNvPr id="13105" name="Рисунок 13104">
          <a:extLst>
            <a:ext uri="{FF2B5EF4-FFF2-40B4-BE49-F238E27FC236}">
              <a16:creationId xmlns:a16="http://schemas.microsoft.com/office/drawing/2014/main" id="{0EE0E920-AA3C-4E02-9A13-7FF6B660EA5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8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439357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2525</xdr:row>
      <xdr:rowOff>25400</xdr:rowOff>
    </xdr:from>
    <xdr:to>
      <xdr:col>11</xdr:col>
      <xdr:colOff>571500</xdr:colOff>
      <xdr:row>2526</xdr:row>
      <xdr:rowOff>0</xdr:rowOff>
    </xdr:to>
    <xdr:pic>
      <xdr:nvPicPr>
        <xdr:cNvPr id="13107" name="Рисунок 13106">
          <a:extLst>
            <a:ext uri="{FF2B5EF4-FFF2-40B4-BE49-F238E27FC236}">
              <a16:creationId xmlns:a16="http://schemas.microsoft.com/office/drawing/2014/main" id="{87F0FD70-446B-4F38-B554-16062781894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8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439929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2526</xdr:row>
      <xdr:rowOff>25400</xdr:rowOff>
    </xdr:from>
    <xdr:to>
      <xdr:col>11</xdr:col>
      <xdr:colOff>571500</xdr:colOff>
      <xdr:row>2527</xdr:row>
      <xdr:rowOff>0</xdr:rowOff>
    </xdr:to>
    <xdr:pic>
      <xdr:nvPicPr>
        <xdr:cNvPr id="13109" name="Рисунок 13108">
          <a:extLst>
            <a:ext uri="{FF2B5EF4-FFF2-40B4-BE49-F238E27FC236}">
              <a16:creationId xmlns:a16="http://schemas.microsoft.com/office/drawing/2014/main" id="{16DEF491-7765-4FA3-99B2-E98FCF92440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8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440500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2527</xdr:row>
      <xdr:rowOff>25400</xdr:rowOff>
    </xdr:from>
    <xdr:to>
      <xdr:col>11</xdr:col>
      <xdr:colOff>571500</xdr:colOff>
      <xdr:row>2528</xdr:row>
      <xdr:rowOff>0</xdr:rowOff>
    </xdr:to>
    <xdr:pic>
      <xdr:nvPicPr>
        <xdr:cNvPr id="13111" name="Рисунок 13110">
          <a:extLst>
            <a:ext uri="{FF2B5EF4-FFF2-40B4-BE49-F238E27FC236}">
              <a16:creationId xmlns:a16="http://schemas.microsoft.com/office/drawing/2014/main" id="{64D6EBBD-CC6F-410E-957E-E0761361B82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8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441072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2528</xdr:row>
      <xdr:rowOff>25400</xdr:rowOff>
    </xdr:from>
    <xdr:to>
      <xdr:col>11</xdr:col>
      <xdr:colOff>571500</xdr:colOff>
      <xdr:row>2529</xdr:row>
      <xdr:rowOff>0</xdr:rowOff>
    </xdr:to>
    <xdr:pic>
      <xdr:nvPicPr>
        <xdr:cNvPr id="13113" name="Рисунок 13112">
          <a:extLst>
            <a:ext uri="{FF2B5EF4-FFF2-40B4-BE49-F238E27FC236}">
              <a16:creationId xmlns:a16="http://schemas.microsoft.com/office/drawing/2014/main" id="{508491C3-989A-4F76-ACB7-81DAA1D6394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9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441643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2529</xdr:row>
      <xdr:rowOff>25400</xdr:rowOff>
    </xdr:from>
    <xdr:to>
      <xdr:col>11</xdr:col>
      <xdr:colOff>571500</xdr:colOff>
      <xdr:row>2530</xdr:row>
      <xdr:rowOff>0</xdr:rowOff>
    </xdr:to>
    <xdr:pic>
      <xdr:nvPicPr>
        <xdr:cNvPr id="13115" name="Рисунок 13114">
          <a:extLst>
            <a:ext uri="{FF2B5EF4-FFF2-40B4-BE49-F238E27FC236}">
              <a16:creationId xmlns:a16="http://schemas.microsoft.com/office/drawing/2014/main" id="{70F07726-2FF6-432A-9641-31BD0B635FF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9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442215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2530</xdr:row>
      <xdr:rowOff>25400</xdr:rowOff>
    </xdr:from>
    <xdr:to>
      <xdr:col>11</xdr:col>
      <xdr:colOff>571500</xdr:colOff>
      <xdr:row>2531</xdr:row>
      <xdr:rowOff>0</xdr:rowOff>
    </xdr:to>
    <xdr:pic>
      <xdr:nvPicPr>
        <xdr:cNvPr id="13117" name="Рисунок 13116">
          <a:extLst>
            <a:ext uri="{FF2B5EF4-FFF2-40B4-BE49-F238E27FC236}">
              <a16:creationId xmlns:a16="http://schemas.microsoft.com/office/drawing/2014/main" id="{5B539220-376D-43A0-931D-8F10E12E94F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9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442786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2531</xdr:row>
      <xdr:rowOff>25400</xdr:rowOff>
    </xdr:from>
    <xdr:to>
      <xdr:col>11</xdr:col>
      <xdr:colOff>571500</xdr:colOff>
      <xdr:row>2532</xdr:row>
      <xdr:rowOff>0</xdr:rowOff>
    </xdr:to>
    <xdr:pic>
      <xdr:nvPicPr>
        <xdr:cNvPr id="13119" name="Рисунок 13118">
          <a:extLst>
            <a:ext uri="{FF2B5EF4-FFF2-40B4-BE49-F238E27FC236}">
              <a16:creationId xmlns:a16="http://schemas.microsoft.com/office/drawing/2014/main" id="{A8D7060D-7494-4DD6-8232-B60CF1414CC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9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443358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2532</xdr:row>
      <xdr:rowOff>25400</xdr:rowOff>
    </xdr:from>
    <xdr:to>
      <xdr:col>11</xdr:col>
      <xdr:colOff>571500</xdr:colOff>
      <xdr:row>2533</xdr:row>
      <xdr:rowOff>0</xdr:rowOff>
    </xdr:to>
    <xdr:pic>
      <xdr:nvPicPr>
        <xdr:cNvPr id="13121" name="Рисунок 13120">
          <a:extLst>
            <a:ext uri="{FF2B5EF4-FFF2-40B4-BE49-F238E27FC236}">
              <a16:creationId xmlns:a16="http://schemas.microsoft.com/office/drawing/2014/main" id="{B86CA7F1-37F4-4DDC-8830-15E8130A683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9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443929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2533</xdr:row>
      <xdr:rowOff>25400</xdr:rowOff>
    </xdr:from>
    <xdr:to>
      <xdr:col>11</xdr:col>
      <xdr:colOff>571500</xdr:colOff>
      <xdr:row>2534</xdr:row>
      <xdr:rowOff>0</xdr:rowOff>
    </xdr:to>
    <xdr:pic>
      <xdr:nvPicPr>
        <xdr:cNvPr id="13123" name="Рисунок 13122">
          <a:extLst>
            <a:ext uri="{FF2B5EF4-FFF2-40B4-BE49-F238E27FC236}">
              <a16:creationId xmlns:a16="http://schemas.microsoft.com/office/drawing/2014/main" id="{16AEED9F-CCBC-4205-AF2B-381533A921F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9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444501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2534</xdr:row>
      <xdr:rowOff>25400</xdr:rowOff>
    </xdr:from>
    <xdr:to>
      <xdr:col>11</xdr:col>
      <xdr:colOff>571500</xdr:colOff>
      <xdr:row>2535</xdr:row>
      <xdr:rowOff>0</xdr:rowOff>
    </xdr:to>
    <xdr:pic>
      <xdr:nvPicPr>
        <xdr:cNvPr id="13125" name="Рисунок 13124">
          <a:extLst>
            <a:ext uri="{FF2B5EF4-FFF2-40B4-BE49-F238E27FC236}">
              <a16:creationId xmlns:a16="http://schemas.microsoft.com/office/drawing/2014/main" id="{9FB483C1-C3C6-4418-B53B-E85FC96129D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9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445072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2535</xdr:row>
      <xdr:rowOff>25400</xdr:rowOff>
    </xdr:from>
    <xdr:to>
      <xdr:col>11</xdr:col>
      <xdr:colOff>571500</xdr:colOff>
      <xdr:row>2536</xdr:row>
      <xdr:rowOff>0</xdr:rowOff>
    </xdr:to>
    <xdr:pic>
      <xdr:nvPicPr>
        <xdr:cNvPr id="13127" name="Рисунок 13126">
          <a:extLst>
            <a:ext uri="{FF2B5EF4-FFF2-40B4-BE49-F238E27FC236}">
              <a16:creationId xmlns:a16="http://schemas.microsoft.com/office/drawing/2014/main" id="{3DE51CC2-BCA4-4449-9B7A-E0D5A3371C2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9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445644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2536</xdr:row>
      <xdr:rowOff>25400</xdr:rowOff>
    </xdr:from>
    <xdr:to>
      <xdr:col>11</xdr:col>
      <xdr:colOff>571500</xdr:colOff>
      <xdr:row>2537</xdr:row>
      <xdr:rowOff>0</xdr:rowOff>
    </xdr:to>
    <xdr:pic>
      <xdr:nvPicPr>
        <xdr:cNvPr id="13129" name="Рисунок 13128">
          <a:extLst>
            <a:ext uri="{FF2B5EF4-FFF2-40B4-BE49-F238E27FC236}">
              <a16:creationId xmlns:a16="http://schemas.microsoft.com/office/drawing/2014/main" id="{26E78E1F-8DE9-446A-8E9F-1C8A1F1FC2F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9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446215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2537</xdr:row>
      <xdr:rowOff>25400</xdr:rowOff>
    </xdr:from>
    <xdr:to>
      <xdr:col>11</xdr:col>
      <xdr:colOff>571500</xdr:colOff>
      <xdr:row>2538</xdr:row>
      <xdr:rowOff>0</xdr:rowOff>
    </xdr:to>
    <xdr:pic>
      <xdr:nvPicPr>
        <xdr:cNvPr id="13131" name="Рисунок 13130">
          <a:extLst>
            <a:ext uri="{FF2B5EF4-FFF2-40B4-BE49-F238E27FC236}">
              <a16:creationId xmlns:a16="http://schemas.microsoft.com/office/drawing/2014/main" id="{0C3DA793-5568-43D5-A524-C3F913ACD03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49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446787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2538</xdr:row>
      <xdr:rowOff>25400</xdr:rowOff>
    </xdr:from>
    <xdr:to>
      <xdr:col>11</xdr:col>
      <xdr:colOff>571500</xdr:colOff>
      <xdr:row>2539</xdr:row>
      <xdr:rowOff>0</xdr:rowOff>
    </xdr:to>
    <xdr:pic>
      <xdr:nvPicPr>
        <xdr:cNvPr id="13133" name="Рисунок 13132">
          <a:extLst>
            <a:ext uri="{FF2B5EF4-FFF2-40B4-BE49-F238E27FC236}">
              <a16:creationId xmlns:a16="http://schemas.microsoft.com/office/drawing/2014/main" id="{EAE8E6E3-61D3-4C0C-B67B-4B672512386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0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447358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2539</xdr:row>
      <xdr:rowOff>25400</xdr:rowOff>
    </xdr:from>
    <xdr:to>
      <xdr:col>11</xdr:col>
      <xdr:colOff>571500</xdr:colOff>
      <xdr:row>2540</xdr:row>
      <xdr:rowOff>0</xdr:rowOff>
    </xdr:to>
    <xdr:pic>
      <xdr:nvPicPr>
        <xdr:cNvPr id="13135" name="Рисунок 13134">
          <a:extLst>
            <a:ext uri="{FF2B5EF4-FFF2-40B4-BE49-F238E27FC236}">
              <a16:creationId xmlns:a16="http://schemas.microsoft.com/office/drawing/2014/main" id="{E25F38EF-0F7C-428B-8606-3BB4EBBAD76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0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447930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2540</xdr:row>
      <xdr:rowOff>25400</xdr:rowOff>
    </xdr:from>
    <xdr:to>
      <xdr:col>11</xdr:col>
      <xdr:colOff>571500</xdr:colOff>
      <xdr:row>2541</xdr:row>
      <xdr:rowOff>0</xdr:rowOff>
    </xdr:to>
    <xdr:pic>
      <xdr:nvPicPr>
        <xdr:cNvPr id="13137" name="Рисунок 13136">
          <a:extLst>
            <a:ext uri="{FF2B5EF4-FFF2-40B4-BE49-F238E27FC236}">
              <a16:creationId xmlns:a16="http://schemas.microsoft.com/office/drawing/2014/main" id="{1E4D3814-D158-4313-8823-3CEAB004082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0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448501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2541</xdr:row>
      <xdr:rowOff>25400</xdr:rowOff>
    </xdr:from>
    <xdr:to>
      <xdr:col>11</xdr:col>
      <xdr:colOff>571500</xdr:colOff>
      <xdr:row>2542</xdr:row>
      <xdr:rowOff>0</xdr:rowOff>
    </xdr:to>
    <xdr:pic>
      <xdr:nvPicPr>
        <xdr:cNvPr id="13139" name="Рисунок 13138">
          <a:extLst>
            <a:ext uri="{FF2B5EF4-FFF2-40B4-BE49-F238E27FC236}">
              <a16:creationId xmlns:a16="http://schemas.microsoft.com/office/drawing/2014/main" id="{3A043C58-852E-49A1-B29E-D383C690D28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0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449073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2542</xdr:row>
      <xdr:rowOff>25400</xdr:rowOff>
    </xdr:from>
    <xdr:to>
      <xdr:col>11</xdr:col>
      <xdr:colOff>571500</xdr:colOff>
      <xdr:row>2543</xdr:row>
      <xdr:rowOff>0</xdr:rowOff>
    </xdr:to>
    <xdr:pic>
      <xdr:nvPicPr>
        <xdr:cNvPr id="13141" name="Рисунок 13140">
          <a:extLst>
            <a:ext uri="{FF2B5EF4-FFF2-40B4-BE49-F238E27FC236}">
              <a16:creationId xmlns:a16="http://schemas.microsoft.com/office/drawing/2014/main" id="{9640E812-92F1-4826-B7DF-99C9448CE9B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0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449644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2543</xdr:row>
      <xdr:rowOff>25400</xdr:rowOff>
    </xdr:from>
    <xdr:to>
      <xdr:col>11</xdr:col>
      <xdr:colOff>571500</xdr:colOff>
      <xdr:row>2544</xdr:row>
      <xdr:rowOff>0</xdr:rowOff>
    </xdr:to>
    <xdr:pic>
      <xdr:nvPicPr>
        <xdr:cNvPr id="13143" name="Рисунок 13142">
          <a:extLst>
            <a:ext uri="{FF2B5EF4-FFF2-40B4-BE49-F238E27FC236}">
              <a16:creationId xmlns:a16="http://schemas.microsoft.com/office/drawing/2014/main" id="{B665C184-E9C2-4594-AC4C-69537F654DB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0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450216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2544</xdr:row>
      <xdr:rowOff>25400</xdr:rowOff>
    </xdr:from>
    <xdr:to>
      <xdr:col>11</xdr:col>
      <xdr:colOff>571500</xdr:colOff>
      <xdr:row>2545</xdr:row>
      <xdr:rowOff>0</xdr:rowOff>
    </xdr:to>
    <xdr:pic>
      <xdr:nvPicPr>
        <xdr:cNvPr id="13145" name="Рисунок 13144">
          <a:extLst>
            <a:ext uri="{FF2B5EF4-FFF2-40B4-BE49-F238E27FC236}">
              <a16:creationId xmlns:a16="http://schemas.microsoft.com/office/drawing/2014/main" id="{5F4D0A2D-42C9-4775-BF4F-FF065D47C62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0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450787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2545</xdr:row>
      <xdr:rowOff>25400</xdr:rowOff>
    </xdr:from>
    <xdr:to>
      <xdr:col>11</xdr:col>
      <xdr:colOff>571500</xdr:colOff>
      <xdr:row>2546</xdr:row>
      <xdr:rowOff>0</xdr:rowOff>
    </xdr:to>
    <xdr:pic>
      <xdr:nvPicPr>
        <xdr:cNvPr id="13147" name="Рисунок 13146">
          <a:extLst>
            <a:ext uri="{FF2B5EF4-FFF2-40B4-BE49-F238E27FC236}">
              <a16:creationId xmlns:a16="http://schemas.microsoft.com/office/drawing/2014/main" id="{368A0325-B491-4ACB-B925-1EA805358B2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0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451359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2546</xdr:row>
      <xdr:rowOff>25400</xdr:rowOff>
    </xdr:from>
    <xdr:to>
      <xdr:col>11</xdr:col>
      <xdr:colOff>571500</xdr:colOff>
      <xdr:row>2547</xdr:row>
      <xdr:rowOff>0</xdr:rowOff>
    </xdr:to>
    <xdr:pic>
      <xdr:nvPicPr>
        <xdr:cNvPr id="13149" name="Рисунок 13148">
          <a:extLst>
            <a:ext uri="{FF2B5EF4-FFF2-40B4-BE49-F238E27FC236}">
              <a16:creationId xmlns:a16="http://schemas.microsoft.com/office/drawing/2014/main" id="{5F60AE49-89F2-4767-9C04-3A2006CC890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0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451930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2547</xdr:row>
      <xdr:rowOff>25400</xdr:rowOff>
    </xdr:from>
    <xdr:to>
      <xdr:col>11</xdr:col>
      <xdr:colOff>571500</xdr:colOff>
      <xdr:row>2548</xdr:row>
      <xdr:rowOff>0</xdr:rowOff>
    </xdr:to>
    <xdr:pic>
      <xdr:nvPicPr>
        <xdr:cNvPr id="13151" name="Рисунок 13150">
          <a:extLst>
            <a:ext uri="{FF2B5EF4-FFF2-40B4-BE49-F238E27FC236}">
              <a16:creationId xmlns:a16="http://schemas.microsoft.com/office/drawing/2014/main" id="{136B6DE4-2093-4A68-8F8B-A66088DBB5D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0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452502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2548</xdr:row>
      <xdr:rowOff>25400</xdr:rowOff>
    </xdr:from>
    <xdr:to>
      <xdr:col>11</xdr:col>
      <xdr:colOff>571500</xdr:colOff>
      <xdr:row>2549</xdr:row>
      <xdr:rowOff>0</xdr:rowOff>
    </xdr:to>
    <xdr:pic>
      <xdr:nvPicPr>
        <xdr:cNvPr id="13153" name="Рисунок 13152">
          <a:extLst>
            <a:ext uri="{FF2B5EF4-FFF2-40B4-BE49-F238E27FC236}">
              <a16:creationId xmlns:a16="http://schemas.microsoft.com/office/drawing/2014/main" id="{235B9644-F58C-4B62-8492-F3929412DE0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453073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2549</xdr:row>
      <xdr:rowOff>25400</xdr:rowOff>
    </xdr:from>
    <xdr:to>
      <xdr:col>11</xdr:col>
      <xdr:colOff>571500</xdr:colOff>
      <xdr:row>2550</xdr:row>
      <xdr:rowOff>0</xdr:rowOff>
    </xdr:to>
    <xdr:pic>
      <xdr:nvPicPr>
        <xdr:cNvPr id="13155" name="Рисунок 13154">
          <a:extLst>
            <a:ext uri="{FF2B5EF4-FFF2-40B4-BE49-F238E27FC236}">
              <a16:creationId xmlns:a16="http://schemas.microsoft.com/office/drawing/2014/main" id="{E1CF4B95-5D3C-4E1F-8BEB-AEA539C12CD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453645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2550</xdr:row>
      <xdr:rowOff>25400</xdr:rowOff>
    </xdr:from>
    <xdr:to>
      <xdr:col>11</xdr:col>
      <xdr:colOff>571500</xdr:colOff>
      <xdr:row>2551</xdr:row>
      <xdr:rowOff>0</xdr:rowOff>
    </xdr:to>
    <xdr:pic>
      <xdr:nvPicPr>
        <xdr:cNvPr id="13157" name="Рисунок 13156">
          <a:extLst>
            <a:ext uri="{FF2B5EF4-FFF2-40B4-BE49-F238E27FC236}">
              <a16:creationId xmlns:a16="http://schemas.microsoft.com/office/drawing/2014/main" id="{821869FB-AE3E-4B7F-BA61-662A17C8196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454216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2551</xdr:row>
      <xdr:rowOff>25400</xdr:rowOff>
    </xdr:from>
    <xdr:to>
      <xdr:col>11</xdr:col>
      <xdr:colOff>571500</xdr:colOff>
      <xdr:row>2552</xdr:row>
      <xdr:rowOff>0</xdr:rowOff>
    </xdr:to>
    <xdr:pic>
      <xdr:nvPicPr>
        <xdr:cNvPr id="13159" name="Рисунок 13158">
          <a:extLst>
            <a:ext uri="{FF2B5EF4-FFF2-40B4-BE49-F238E27FC236}">
              <a16:creationId xmlns:a16="http://schemas.microsoft.com/office/drawing/2014/main" id="{023CB404-9FD2-4655-85AA-F622BFE7B46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454788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2552</xdr:row>
      <xdr:rowOff>25400</xdr:rowOff>
    </xdr:from>
    <xdr:to>
      <xdr:col>11</xdr:col>
      <xdr:colOff>571500</xdr:colOff>
      <xdr:row>2553</xdr:row>
      <xdr:rowOff>0</xdr:rowOff>
    </xdr:to>
    <xdr:pic>
      <xdr:nvPicPr>
        <xdr:cNvPr id="13161" name="Рисунок 13160">
          <a:extLst>
            <a:ext uri="{FF2B5EF4-FFF2-40B4-BE49-F238E27FC236}">
              <a16:creationId xmlns:a16="http://schemas.microsoft.com/office/drawing/2014/main" id="{FD4D0647-18D8-49BC-AB5B-DA52B3BA97B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455359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2553</xdr:row>
      <xdr:rowOff>25400</xdr:rowOff>
    </xdr:from>
    <xdr:to>
      <xdr:col>11</xdr:col>
      <xdr:colOff>571500</xdr:colOff>
      <xdr:row>2554</xdr:row>
      <xdr:rowOff>0</xdr:rowOff>
    </xdr:to>
    <xdr:pic>
      <xdr:nvPicPr>
        <xdr:cNvPr id="13163" name="Рисунок 13162">
          <a:extLst>
            <a:ext uri="{FF2B5EF4-FFF2-40B4-BE49-F238E27FC236}">
              <a16:creationId xmlns:a16="http://schemas.microsoft.com/office/drawing/2014/main" id="{D1CABA2C-B2D4-443F-9643-CFAFD298C22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455931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2554</xdr:row>
      <xdr:rowOff>25400</xdr:rowOff>
    </xdr:from>
    <xdr:to>
      <xdr:col>11</xdr:col>
      <xdr:colOff>571500</xdr:colOff>
      <xdr:row>2555</xdr:row>
      <xdr:rowOff>0</xdr:rowOff>
    </xdr:to>
    <xdr:pic>
      <xdr:nvPicPr>
        <xdr:cNvPr id="13165" name="Рисунок 13164">
          <a:extLst>
            <a:ext uri="{FF2B5EF4-FFF2-40B4-BE49-F238E27FC236}">
              <a16:creationId xmlns:a16="http://schemas.microsoft.com/office/drawing/2014/main" id="{BEF4DD44-3D3B-4AD8-A4AD-22B5486C888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456502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2555</xdr:row>
      <xdr:rowOff>25400</xdr:rowOff>
    </xdr:from>
    <xdr:to>
      <xdr:col>11</xdr:col>
      <xdr:colOff>571500</xdr:colOff>
      <xdr:row>2556</xdr:row>
      <xdr:rowOff>0</xdr:rowOff>
    </xdr:to>
    <xdr:pic>
      <xdr:nvPicPr>
        <xdr:cNvPr id="13167" name="Рисунок 13166">
          <a:extLst>
            <a:ext uri="{FF2B5EF4-FFF2-40B4-BE49-F238E27FC236}">
              <a16:creationId xmlns:a16="http://schemas.microsoft.com/office/drawing/2014/main" id="{03374DC6-3E6C-4E69-91B7-1199C7A1D54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457074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2556</xdr:row>
      <xdr:rowOff>25400</xdr:rowOff>
    </xdr:from>
    <xdr:to>
      <xdr:col>11</xdr:col>
      <xdr:colOff>571500</xdr:colOff>
      <xdr:row>2557</xdr:row>
      <xdr:rowOff>0</xdr:rowOff>
    </xdr:to>
    <xdr:pic>
      <xdr:nvPicPr>
        <xdr:cNvPr id="13169" name="Рисунок 13168">
          <a:extLst>
            <a:ext uri="{FF2B5EF4-FFF2-40B4-BE49-F238E27FC236}">
              <a16:creationId xmlns:a16="http://schemas.microsoft.com/office/drawing/2014/main" id="{005D39BA-394A-4241-B085-190F24CAF24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457645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2557</xdr:row>
      <xdr:rowOff>25400</xdr:rowOff>
    </xdr:from>
    <xdr:to>
      <xdr:col>11</xdr:col>
      <xdr:colOff>571500</xdr:colOff>
      <xdr:row>2558</xdr:row>
      <xdr:rowOff>0</xdr:rowOff>
    </xdr:to>
    <xdr:pic>
      <xdr:nvPicPr>
        <xdr:cNvPr id="13171" name="Рисунок 13170">
          <a:extLst>
            <a:ext uri="{FF2B5EF4-FFF2-40B4-BE49-F238E27FC236}">
              <a16:creationId xmlns:a16="http://schemas.microsoft.com/office/drawing/2014/main" id="{84B39D03-53C4-4C04-BEDE-BF2BEA0FE4F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458217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2558</xdr:row>
      <xdr:rowOff>25400</xdr:rowOff>
    </xdr:from>
    <xdr:to>
      <xdr:col>11</xdr:col>
      <xdr:colOff>571500</xdr:colOff>
      <xdr:row>2559</xdr:row>
      <xdr:rowOff>0</xdr:rowOff>
    </xdr:to>
    <xdr:pic>
      <xdr:nvPicPr>
        <xdr:cNvPr id="13173" name="Рисунок 13172">
          <a:extLst>
            <a:ext uri="{FF2B5EF4-FFF2-40B4-BE49-F238E27FC236}">
              <a16:creationId xmlns:a16="http://schemas.microsoft.com/office/drawing/2014/main" id="{41968A15-4D7D-4BD0-AA25-7BDCE11DE02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458788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2559</xdr:row>
      <xdr:rowOff>25400</xdr:rowOff>
    </xdr:from>
    <xdr:to>
      <xdr:col>11</xdr:col>
      <xdr:colOff>571500</xdr:colOff>
      <xdr:row>2560</xdr:row>
      <xdr:rowOff>0</xdr:rowOff>
    </xdr:to>
    <xdr:pic>
      <xdr:nvPicPr>
        <xdr:cNvPr id="13175" name="Рисунок 13174">
          <a:extLst>
            <a:ext uri="{FF2B5EF4-FFF2-40B4-BE49-F238E27FC236}">
              <a16:creationId xmlns:a16="http://schemas.microsoft.com/office/drawing/2014/main" id="{9A97572E-0FF4-4354-A589-908C4D4A3E9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459360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2560</xdr:row>
      <xdr:rowOff>25400</xdr:rowOff>
    </xdr:from>
    <xdr:to>
      <xdr:col>11</xdr:col>
      <xdr:colOff>571500</xdr:colOff>
      <xdr:row>2561</xdr:row>
      <xdr:rowOff>0</xdr:rowOff>
    </xdr:to>
    <xdr:pic>
      <xdr:nvPicPr>
        <xdr:cNvPr id="13177" name="Рисунок 13176">
          <a:extLst>
            <a:ext uri="{FF2B5EF4-FFF2-40B4-BE49-F238E27FC236}">
              <a16:creationId xmlns:a16="http://schemas.microsoft.com/office/drawing/2014/main" id="{E8563C50-96C7-4CA7-9E30-BC987F19734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459931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2561</xdr:row>
      <xdr:rowOff>25400</xdr:rowOff>
    </xdr:from>
    <xdr:to>
      <xdr:col>11</xdr:col>
      <xdr:colOff>571500</xdr:colOff>
      <xdr:row>2562</xdr:row>
      <xdr:rowOff>0</xdr:rowOff>
    </xdr:to>
    <xdr:pic>
      <xdr:nvPicPr>
        <xdr:cNvPr id="13179" name="Рисунок 13178">
          <a:extLst>
            <a:ext uri="{FF2B5EF4-FFF2-40B4-BE49-F238E27FC236}">
              <a16:creationId xmlns:a16="http://schemas.microsoft.com/office/drawing/2014/main" id="{1CDFA4A9-3A31-4AA4-8366-B9CC947FAA8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460503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2562</xdr:row>
      <xdr:rowOff>25400</xdr:rowOff>
    </xdr:from>
    <xdr:to>
      <xdr:col>11</xdr:col>
      <xdr:colOff>571500</xdr:colOff>
      <xdr:row>2563</xdr:row>
      <xdr:rowOff>0</xdr:rowOff>
    </xdr:to>
    <xdr:pic>
      <xdr:nvPicPr>
        <xdr:cNvPr id="13181" name="Рисунок 13180">
          <a:extLst>
            <a:ext uri="{FF2B5EF4-FFF2-40B4-BE49-F238E27FC236}">
              <a16:creationId xmlns:a16="http://schemas.microsoft.com/office/drawing/2014/main" id="{62F25753-2701-4FEA-A6BD-82BCAF708D8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461074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2563</xdr:row>
      <xdr:rowOff>25400</xdr:rowOff>
    </xdr:from>
    <xdr:to>
      <xdr:col>11</xdr:col>
      <xdr:colOff>571500</xdr:colOff>
      <xdr:row>2564</xdr:row>
      <xdr:rowOff>0</xdr:rowOff>
    </xdr:to>
    <xdr:pic>
      <xdr:nvPicPr>
        <xdr:cNvPr id="13183" name="Рисунок 13182">
          <a:extLst>
            <a:ext uri="{FF2B5EF4-FFF2-40B4-BE49-F238E27FC236}">
              <a16:creationId xmlns:a16="http://schemas.microsoft.com/office/drawing/2014/main" id="{9717CE17-01FD-4E02-8096-ABF374B832D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461646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2564</xdr:row>
      <xdr:rowOff>25400</xdr:rowOff>
    </xdr:from>
    <xdr:to>
      <xdr:col>11</xdr:col>
      <xdr:colOff>571500</xdr:colOff>
      <xdr:row>2565</xdr:row>
      <xdr:rowOff>0</xdr:rowOff>
    </xdr:to>
    <xdr:pic>
      <xdr:nvPicPr>
        <xdr:cNvPr id="13185" name="Рисунок 13184">
          <a:extLst>
            <a:ext uri="{FF2B5EF4-FFF2-40B4-BE49-F238E27FC236}">
              <a16:creationId xmlns:a16="http://schemas.microsoft.com/office/drawing/2014/main" id="{6FCE3C02-0BB8-4678-9631-998F5DEE6CE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462217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2565</xdr:row>
      <xdr:rowOff>25400</xdr:rowOff>
    </xdr:from>
    <xdr:to>
      <xdr:col>11</xdr:col>
      <xdr:colOff>571500</xdr:colOff>
      <xdr:row>2566</xdr:row>
      <xdr:rowOff>0</xdr:rowOff>
    </xdr:to>
    <xdr:pic>
      <xdr:nvPicPr>
        <xdr:cNvPr id="13187" name="Рисунок 13186">
          <a:extLst>
            <a:ext uri="{FF2B5EF4-FFF2-40B4-BE49-F238E27FC236}">
              <a16:creationId xmlns:a16="http://schemas.microsoft.com/office/drawing/2014/main" id="{9B23D83D-79C7-429E-9F37-9D7B9E5D032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462789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2566</xdr:row>
      <xdr:rowOff>25400</xdr:rowOff>
    </xdr:from>
    <xdr:to>
      <xdr:col>11</xdr:col>
      <xdr:colOff>571500</xdr:colOff>
      <xdr:row>2567</xdr:row>
      <xdr:rowOff>0</xdr:rowOff>
    </xdr:to>
    <xdr:pic>
      <xdr:nvPicPr>
        <xdr:cNvPr id="13189" name="Рисунок 13188">
          <a:extLst>
            <a:ext uri="{FF2B5EF4-FFF2-40B4-BE49-F238E27FC236}">
              <a16:creationId xmlns:a16="http://schemas.microsoft.com/office/drawing/2014/main" id="{EFE8FE80-9051-48EF-96F1-ED33EC9A7E9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463360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2567</xdr:row>
      <xdr:rowOff>25400</xdr:rowOff>
    </xdr:from>
    <xdr:to>
      <xdr:col>11</xdr:col>
      <xdr:colOff>571500</xdr:colOff>
      <xdr:row>2568</xdr:row>
      <xdr:rowOff>0</xdr:rowOff>
    </xdr:to>
    <xdr:pic>
      <xdr:nvPicPr>
        <xdr:cNvPr id="13191" name="Рисунок 13190">
          <a:extLst>
            <a:ext uri="{FF2B5EF4-FFF2-40B4-BE49-F238E27FC236}">
              <a16:creationId xmlns:a16="http://schemas.microsoft.com/office/drawing/2014/main" id="{0B9C93FF-10BB-4F96-8FB9-AD3B5388932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463932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2568</xdr:row>
      <xdr:rowOff>25400</xdr:rowOff>
    </xdr:from>
    <xdr:to>
      <xdr:col>11</xdr:col>
      <xdr:colOff>571500</xdr:colOff>
      <xdr:row>2569</xdr:row>
      <xdr:rowOff>0</xdr:rowOff>
    </xdr:to>
    <xdr:pic>
      <xdr:nvPicPr>
        <xdr:cNvPr id="13193" name="Рисунок 13192">
          <a:extLst>
            <a:ext uri="{FF2B5EF4-FFF2-40B4-BE49-F238E27FC236}">
              <a16:creationId xmlns:a16="http://schemas.microsoft.com/office/drawing/2014/main" id="{1677C374-C7F5-4229-9A72-98F1C505B68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464503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2569</xdr:row>
      <xdr:rowOff>25400</xdr:rowOff>
    </xdr:from>
    <xdr:to>
      <xdr:col>11</xdr:col>
      <xdr:colOff>571500</xdr:colOff>
      <xdr:row>2570</xdr:row>
      <xdr:rowOff>0</xdr:rowOff>
    </xdr:to>
    <xdr:pic>
      <xdr:nvPicPr>
        <xdr:cNvPr id="13195" name="Рисунок 13194">
          <a:extLst>
            <a:ext uri="{FF2B5EF4-FFF2-40B4-BE49-F238E27FC236}">
              <a16:creationId xmlns:a16="http://schemas.microsoft.com/office/drawing/2014/main" id="{FA6C734C-DE94-4A2C-A8D8-064C42FC5A9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3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465075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2570</xdr:row>
      <xdr:rowOff>25400</xdr:rowOff>
    </xdr:from>
    <xdr:to>
      <xdr:col>11</xdr:col>
      <xdr:colOff>571500</xdr:colOff>
      <xdr:row>2571</xdr:row>
      <xdr:rowOff>0</xdr:rowOff>
    </xdr:to>
    <xdr:pic>
      <xdr:nvPicPr>
        <xdr:cNvPr id="13197" name="Рисунок 13196">
          <a:extLst>
            <a:ext uri="{FF2B5EF4-FFF2-40B4-BE49-F238E27FC236}">
              <a16:creationId xmlns:a16="http://schemas.microsoft.com/office/drawing/2014/main" id="{A322CA52-759E-48D4-B4D7-BCB8FC2A45A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3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465646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2571</xdr:row>
      <xdr:rowOff>25400</xdr:rowOff>
    </xdr:from>
    <xdr:to>
      <xdr:col>11</xdr:col>
      <xdr:colOff>571500</xdr:colOff>
      <xdr:row>2572</xdr:row>
      <xdr:rowOff>0</xdr:rowOff>
    </xdr:to>
    <xdr:pic>
      <xdr:nvPicPr>
        <xdr:cNvPr id="13199" name="Рисунок 13198">
          <a:extLst>
            <a:ext uri="{FF2B5EF4-FFF2-40B4-BE49-F238E27FC236}">
              <a16:creationId xmlns:a16="http://schemas.microsoft.com/office/drawing/2014/main" id="{2FE1A56F-6926-4622-A664-4837D8F4088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3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466218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2572</xdr:row>
      <xdr:rowOff>25400</xdr:rowOff>
    </xdr:from>
    <xdr:to>
      <xdr:col>11</xdr:col>
      <xdr:colOff>571500</xdr:colOff>
      <xdr:row>2573</xdr:row>
      <xdr:rowOff>0</xdr:rowOff>
    </xdr:to>
    <xdr:pic>
      <xdr:nvPicPr>
        <xdr:cNvPr id="13201" name="Рисунок 13200">
          <a:extLst>
            <a:ext uri="{FF2B5EF4-FFF2-40B4-BE49-F238E27FC236}">
              <a16:creationId xmlns:a16="http://schemas.microsoft.com/office/drawing/2014/main" id="{EB41562B-9E86-4641-AA4C-1AAF30917A2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3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466789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2573</xdr:row>
      <xdr:rowOff>25400</xdr:rowOff>
    </xdr:from>
    <xdr:to>
      <xdr:col>11</xdr:col>
      <xdr:colOff>571500</xdr:colOff>
      <xdr:row>2574</xdr:row>
      <xdr:rowOff>0</xdr:rowOff>
    </xdr:to>
    <xdr:pic>
      <xdr:nvPicPr>
        <xdr:cNvPr id="13203" name="Рисунок 13202">
          <a:extLst>
            <a:ext uri="{FF2B5EF4-FFF2-40B4-BE49-F238E27FC236}">
              <a16:creationId xmlns:a16="http://schemas.microsoft.com/office/drawing/2014/main" id="{094C92DE-174F-4D4B-8112-0789E02723D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3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467361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2574</xdr:row>
      <xdr:rowOff>25400</xdr:rowOff>
    </xdr:from>
    <xdr:to>
      <xdr:col>11</xdr:col>
      <xdr:colOff>571500</xdr:colOff>
      <xdr:row>2575</xdr:row>
      <xdr:rowOff>0</xdr:rowOff>
    </xdr:to>
    <xdr:pic>
      <xdr:nvPicPr>
        <xdr:cNvPr id="13205" name="Рисунок 13204">
          <a:extLst>
            <a:ext uri="{FF2B5EF4-FFF2-40B4-BE49-F238E27FC236}">
              <a16:creationId xmlns:a16="http://schemas.microsoft.com/office/drawing/2014/main" id="{783221CE-1D41-4472-853E-085EC13C13C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3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467932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2575</xdr:row>
      <xdr:rowOff>25400</xdr:rowOff>
    </xdr:from>
    <xdr:to>
      <xdr:col>11</xdr:col>
      <xdr:colOff>571500</xdr:colOff>
      <xdr:row>2576</xdr:row>
      <xdr:rowOff>0</xdr:rowOff>
    </xdr:to>
    <xdr:pic>
      <xdr:nvPicPr>
        <xdr:cNvPr id="13207" name="Рисунок 13206">
          <a:extLst>
            <a:ext uri="{FF2B5EF4-FFF2-40B4-BE49-F238E27FC236}">
              <a16:creationId xmlns:a16="http://schemas.microsoft.com/office/drawing/2014/main" id="{BABA077E-CA0D-449B-A1E9-9C15E6E0422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3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468504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2576</xdr:row>
      <xdr:rowOff>25400</xdr:rowOff>
    </xdr:from>
    <xdr:to>
      <xdr:col>11</xdr:col>
      <xdr:colOff>571500</xdr:colOff>
      <xdr:row>2577</xdr:row>
      <xdr:rowOff>0</xdr:rowOff>
    </xdr:to>
    <xdr:pic>
      <xdr:nvPicPr>
        <xdr:cNvPr id="13209" name="Рисунок 13208">
          <a:extLst>
            <a:ext uri="{FF2B5EF4-FFF2-40B4-BE49-F238E27FC236}">
              <a16:creationId xmlns:a16="http://schemas.microsoft.com/office/drawing/2014/main" id="{FC021F5D-A62E-46B6-9E32-22A57AA6810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3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469075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2577</xdr:row>
      <xdr:rowOff>25400</xdr:rowOff>
    </xdr:from>
    <xdr:to>
      <xdr:col>11</xdr:col>
      <xdr:colOff>571500</xdr:colOff>
      <xdr:row>2578</xdr:row>
      <xdr:rowOff>0</xdr:rowOff>
    </xdr:to>
    <xdr:pic>
      <xdr:nvPicPr>
        <xdr:cNvPr id="13211" name="Рисунок 13210">
          <a:extLst>
            <a:ext uri="{FF2B5EF4-FFF2-40B4-BE49-F238E27FC236}">
              <a16:creationId xmlns:a16="http://schemas.microsoft.com/office/drawing/2014/main" id="{BBFFDA3D-0D73-4F14-9818-7C6D72A64FD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3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469647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2578</xdr:row>
      <xdr:rowOff>25400</xdr:rowOff>
    </xdr:from>
    <xdr:to>
      <xdr:col>11</xdr:col>
      <xdr:colOff>571500</xdr:colOff>
      <xdr:row>2579</xdr:row>
      <xdr:rowOff>0</xdr:rowOff>
    </xdr:to>
    <xdr:pic>
      <xdr:nvPicPr>
        <xdr:cNvPr id="13213" name="Рисунок 13212">
          <a:extLst>
            <a:ext uri="{FF2B5EF4-FFF2-40B4-BE49-F238E27FC236}">
              <a16:creationId xmlns:a16="http://schemas.microsoft.com/office/drawing/2014/main" id="{EF811D8C-A9C6-42FF-BB0F-FEA0CF41D7E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4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470218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2579</xdr:row>
      <xdr:rowOff>25400</xdr:rowOff>
    </xdr:from>
    <xdr:to>
      <xdr:col>11</xdr:col>
      <xdr:colOff>571500</xdr:colOff>
      <xdr:row>2580</xdr:row>
      <xdr:rowOff>0</xdr:rowOff>
    </xdr:to>
    <xdr:pic>
      <xdr:nvPicPr>
        <xdr:cNvPr id="13215" name="Рисунок 13214">
          <a:extLst>
            <a:ext uri="{FF2B5EF4-FFF2-40B4-BE49-F238E27FC236}">
              <a16:creationId xmlns:a16="http://schemas.microsoft.com/office/drawing/2014/main" id="{E9A8A9FE-50D3-4DF0-8599-D7B7C560411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4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470790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2580</xdr:row>
      <xdr:rowOff>25400</xdr:rowOff>
    </xdr:from>
    <xdr:to>
      <xdr:col>11</xdr:col>
      <xdr:colOff>571500</xdr:colOff>
      <xdr:row>2581</xdr:row>
      <xdr:rowOff>0</xdr:rowOff>
    </xdr:to>
    <xdr:pic>
      <xdr:nvPicPr>
        <xdr:cNvPr id="13217" name="Рисунок 13216">
          <a:extLst>
            <a:ext uri="{FF2B5EF4-FFF2-40B4-BE49-F238E27FC236}">
              <a16:creationId xmlns:a16="http://schemas.microsoft.com/office/drawing/2014/main" id="{7E6CBC14-8231-433F-856C-8EEDC1A5759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471361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2581</xdr:row>
      <xdr:rowOff>25400</xdr:rowOff>
    </xdr:from>
    <xdr:to>
      <xdr:col>11</xdr:col>
      <xdr:colOff>571500</xdr:colOff>
      <xdr:row>2582</xdr:row>
      <xdr:rowOff>0</xdr:rowOff>
    </xdr:to>
    <xdr:pic>
      <xdr:nvPicPr>
        <xdr:cNvPr id="13219" name="Рисунок 13218">
          <a:extLst>
            <a:ext uri="{FF2B5EF4-FFF2-40B4-BE49-F238E27FC236}">
              <a16:creationId xmlns:a16="http://schemas.microsoft.com/office/drawing/2014/main" id="{90D923B1-9745-450A-AD17-C963DFEDE84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471933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2582</xdr:row>
      <xdr:rowOff>25400</xdr:rowOff>
    </xdr:from>
    <xdr:to>
      <xdr:col>11</xdr:col>
      <xdr:colOff>571500</xdr:colOff>
      <xdr:row>2583</xdr:row>
      <xdr:rowOff>0</xdr:rowOff>
    </xdr:to>
    <xdr:pic>
      <xdr:nvPicPr>
        <xdr:cNvPr id="13221" name="Рисунок 13220">
          <a:extLst>
            <a:ext uri="{FF2B5EF4-FFF2-40B4-BE49-F238E27FC236}">
              <a16:creationId xmlns:a16="http://schemas.microsoft.com/office/drawing/2014/main" id="{4F2B03B3-8CD5-4825-B131-86520024653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472504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2583</xdr:row>
      <xdr:rowOff>25400</xdr:rowOff>
    </xdr:from>
    <xdr:to>
      <xdr:col>11</xdr:col>
      <xdr:colOff>571500</xdr:colOff>
      <xdr:row>2584</xdr:row>
      <xdr:rowOff>0</xdr:rowOff>
    </xdr:to>
    <xdr:pic>
      <xdr:nvPicPr>
        <xdr:cNvPr id="13223" name="Рисунок 13222">
          <a:extLst>
            <a:ext uri="{FF2B5EF4-FFF2-40B4-BE49-F238E27FC236}">
              <a16:creationId xmlns:a16="http://schemas.microsoft.com/office/drawing/2014/main" id="{E4D850DD-DB03-44AD-A005-C8725C2B9C7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4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473076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2584</xdr:row>
      <xdr:rowOff>25400</xdr:rowOff>
    </xdr:from>
    <xdr:to>
      <xdr:col>11</xdr:col>
      <xdr:colOff>571500</xdr:colOff>
      <xdr:row>2585</xdr:row>
      <xdr:rowOff>0</xdr:rowOff>
    </xdr:to>
    <xdr:pic>
      <xdr:nvPicPr>
        <xdr:cNvPr id="13225" name="Рисунок 13224">
          <a:extLst>
            <a:ext uri="{FF2B5EF4-FFF2-40B4-BE49-F238E27FC236}">
              <a16:creationId xmlns:a16="http://schemas.microsoft.com/office/drawing/2014/main" id="{A0920557-1332-47BB-B75C-ED5C7EECE2B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4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473647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2585</xdr:row>
      <xdr:rowOff>25400</xdr:rowOff>
    </xdr:from>
    <xdr:to>
      <xdr:col>11</xdr:col>
      <xdr:colOff>571500</xdr:colOff>
      <xdr:row>2586</xdr:row>
      <xdr:rowOff>0</xdr:rowOff>
    </xdr:to>
    <xdr:pic>
      <xdr:nvPicPr>
        <xdr:cNvPr id="13227" name="Рисунок 13226">
          <a:extLst>
            <a:ext uri="{FF2B5EF4-FFF2-40B4-BE49-F238E27FC236}">
              <a16:creationId xmlns:a16="http://schemas.microsoft.com/office/drawing/2014/main" id="{C66D12F9-1696-4EA4-B44B-1DA2AC929D8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4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474219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2586</xdr:row>
      <xdr:rowOff>25400</xdr:rowOff>
    </xdr:from>
    <xdr:to>
      <xdr:col>11</xdr:col>
      <xdr:colOff>571500</xdr:colOff>
      <xdr:row>2587</xdr:row>
      <xdr:rowOff>0</xdr:rowOff>
    </xdr:to>
    <xdr:pic>
      <xdr:nvPicPr>
        <xdr:cNvPr id="13229" name="Рисунок 13228">
          <a:extLst>
            <a:ext uri="{FF2B5EF4-FFF2-40B4-BE49-F238E27FC236}">
              <a16:creationId xmlns:a16="http://schemas.microsoft.com/office/drawing/2014/main" id="{D3C6B321-7873-4226-B230-34B0BC2AC8A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4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474790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2587</xdr:row>
      <xdr:rowOff>25400</xdr:rowOff>
    </xdr:from>
    <xdr:to>
      <xdr:col>11</xdr:col>
      <xdr:colOff>571500</xdr:colOff>
      <xdr:row>2588</xdr:row>
      <xdr:rowOff>0</xdr:rowOff>
    </xdr:to>
    <xdr:pic>
      <xdr:nvPicPr>
        <xdr:cNvPr id="13231" name="Рисунок 13230">
          <a:extLst>
            <a:ext uri="{FF2B5EF4-FFF2-40B4-BE49-F238E27FC236}">
              <a16:creationId xmlns:a16="http://schemas.microsoft.com/office/drawing/2014/main" id="{10C0E837-0418-47C5-93EB-D9FADBD70A3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4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475362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2588</xdr:row>
      <xdr:rowOff>25400</xdr:rowOff>
    </xdr:from>
    <xdr:to>
      <xdr:col>11</xdr:col>
      <xdr:colOff>571500</xdr:colOff>
      <xdr:row>2589</xdr:row>
      <xdr:rowOff>0</xdr:rowOff>
    </xdr:to>
    <xdr:pic>
      <xdr:nvPicPr>
        <xdr:cNvPr id="13233" name="Рисунок 13232">
          <a:extLst>
            <a:ext uri="{FF2B5EF4-FFF2-40B4-BE49-F238E27FC236}">
              <a16:creationId xmlns:a16="http://schemas.microsoft.com/office/drawing/2014/main" id="{9FAA697B-7ECE-4490-AF32-3F6896EF183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5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475933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2589</xdr:row>
      <xdr:rowOff>25400</xdr:rowOff>
    </xdr:from>
    <xdr:to>
      <xdr:col>11</xdr:col>
      <xdr:colOff>571500</xdr:colOff>
      <xdr:row>2590</xdr:row>
      <xdr:rowOff>0</xdr:rowOff>
    </xdr:to>
    <xdr:pic>
      <xdr:nvPicPr>
        <xdr:cNvPr id="13235" name="Рисунок 13234">
          <a:extLst>
            <a:ext uri="{FF2B5EF4-FFF2-40B4-BE49-F238E27FC236}">
              <a16:creationId xmlns:a16="http://schemas.microsoft.com/office/drawing/2014/main" id="{C841983A-6F0F-4116-9DA9-55FA0734953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5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476505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2590</xdr:row>
      <xdr:rowOff>25400</xdr:rowOff>
    </xdr:from>
    <xdr:to>
      <xdr:col>11</xdr:col>
      <xdr:colOff>571500</xdr:colOff>
      <xdr:row>2591</xdr:row>
      <xdr:rowOff>0</xdr:rowOff>
    </xdr:to>
    <xdr:pic>
      <xdr:nvPicPr>
        <xdr:cNvPr id="13237" name="Рисунок 13236">
          <a:extLst>
            <a:ext uri="{FF2B5EF4-FFF2-40B4-BE49-F238E27FC236}">
              <a16:creationId xmlns:a16="http://schemas.microsoft.com/office/drawing/2014/main" id="{E66F7B1A-2274-4DBC-9A1B-E73ADB8CFA6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477076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2591</xdr:row>
      <xdr:rowOff>25400</xdr:rowOff>
    </xdr:from>
    <xdr:to>
      <xdr:col>11</xdr:col>
      <xdr:colOff>571500</xdr:colOff>
      <xdr:row>2592</xdr:row>
      <xdr:rowOff>0</xdr:rowOff>
    </xdr:to>
    <xdr:pic>
      <xdr:nvPicPr>
        <xdr:cNvPr id="13239" name="Рисунок 13238">
          <a:extLst>
            <a:ext uri="{FF2B5EF4-FFF2-40B4-BE49-F238E27FC236}">
              <a16:creationId xmlns:a16="http://schemas.microsoft.com/office/drawing/2014/main" id="{4F61B837-C531-4B2B-B94F-64E939EB873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5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477648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2592</xdr:row>
      <xdr:rowOff>25400</xdr:rowOff>
    </xdr:from>
    <xdr:to>
      <xdr:col>11</xdr:col>
      <xdr:colOff>571500</xdr:colOff>
      <xdr:row>2593</xdr:row>
      <xdr:rowOff>0</xdr:rowOff>
    </xdr:to>
    <xdr:pic>
      <xdr:nvPicPr>
        <xdr:cNvPr id="13241" name="Рисунок 13240">
          <a:extLst>
            <a:ext uri="{FF2B5EF4-FFF2-40B4-BE49-F238E27FC236}">
              <a16:creationId xmlns:a16="http://schemas.microsoft.com/office/drawing/2014/main" id="{FD3C350C-80C7-4041-AD9F-061C1097A46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5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478219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2593</xdr:row>
      <xdr:rowOff>25400</xdr:rowOff>
    </xdr:from>
    <xdr:to>
      <xdr:col>11</xdr:col>
      <xdr:colOff>571500</xdr:colOff>
      <xdr:row>2594</xdr:row>
      <xdr:rowOff>0</xdr:rowOff>
    </xdr:to>
    <xdr:pic>
      <xdr:nvPicPr>
        <xdr:cNvPr id="13243" name="Рисунок 13242">
          <a:extLst>
            <a:ext uri="{FF2B5EF4-FFF2-40B4-BE49-F238E27FC236}">
              <a16:creationId xmlns:a16="http://schemas.microsoft.com/office/drawing/2014/main" id="{C6E59C49-D858-4E3E-8723-7DB890D6CA6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5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478791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2594</xdr:row>
      <xdr:rowOff>25400</xdr:rowOff>
    </xdr:from>
    <xdr:to>
      <xdr:col>11</xdr:col>
      <xdr:colOff>571500</xdr:colOff>
      <xdr:row>2595</xdr:row>
      <xdr:rowOff>0</xdr:rowOff>
    </xdr:to>
    <xdr:pic>
      <xdr:nvPicPr>
        <xdr:cNvPr id="13245" name="Рисунок 13244">
          <a:extLst>
            <a:ext uri="{FF2B5EF4-FFF2-40B4-BE49-F238E27FC236}">
              <a16:creationId xmlns:a16="http://schemas.microsoft.com/office/drawing/2014/main" id="{E7D9154F-1A7A-4492-B81A-50F67DA8414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5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479362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2595</xdr:row>
      <xdr:rowOff>25400</xdr:rowOff>
    </xdr:from>
    <xdr:to>
      <xdr:col>11</xdr:col>
      <xdr:colOff>571500</xdr:colOff>
      <xdr:row>2596</xdr:row>
      <xdr:rowOff>0</xdr:rowOff>
    </xdr:to>
    <xdr:pic>
      <xdr:nvPicPr>
        <xdr:cNvPr id="13247" name="Рисунок 13246">
          <a:extLst>
            <a:ext uri="{FF2B5EF4-FFF2-40B4-BE49-F238E27FC236}">
              <a16:creationId xmlns:a16="http://schemas.microsoft.com/office/drawing/2014/main" id="{299BC52A-178F-43DE-8527-931D9E79069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5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479934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2596</xdr:row>
      <xdr:rowOff>25400</xdr:rowOff>
    </xdr:from>
    <xdr:to>
      <xdr:col>11</xdr:col>
      <xdr:colOff>571500</xdr:colOff>
      <xdr:row>2597</xdr:row>
      <xdr:rowOff>0</xdr:rowOff>
    </xdr:to>
    <xdr:pic>
      <xdr:nvPicPr>
        <xdr:cNvPr id="13249" name="Рисунок 13248">
          <a:extLst>
            <a:ext uri="{FF2B5EF4-FFF2-40B4-BE49-F238E27FC236}">
              <a16:creationId xmlns:a16="http://schemas.microsoft.com/office/drawing/2014/main" id="{1C53B133-4B4A-4346-9576-25CF857E97B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5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480505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2597</xdr:row>
      <xdr:rowOff>25400</xdr:rowOff>
    </xdr:from>
    <xdr:to>
      <xdr:col>11</xdr:col>
      <xdr:colOff>571500</xdr:colOff>
      <xdr:row>2598</xdr:row>
      <xdr:rowOff>0</xdr:rowOff>
    </xdr:to>
    <xdr:pic>
      <xdr:nvPicPr>
        <xdr:cNvPr id="13251" name="Рисунок 13250">
          <a:extLst>
            <a:ext uri="{FF2B5EF4-FFF2-40B4-BE49-F238E27FC236}">
              <a16:creationId xmlns:a16="http://schemas.microsoft.com/office/drawing/2014/main" id="{488E83AA-6845-4870-975B-5F0CB4B2FBC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5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481077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2598</xdr:row>
      <xdr:rowOff>25400</xdr:rowOff>
    </xdr:from>
    <xdr:to>
      <xdr:col>11</xdr:col>
      <xdr:colOff>571500</xdr:colOff>
      <xdr:row>2599</xdr:row>
      <xdr:rowOff>0</xdr:rowOff>
    </xdr:to>
    <xdr:pic>
      <xdr:nvPicPr>
        <xdr:cNvPr id="13253" name="Рисунок 13252">
          <a:extLst>
            <a:ext uri="{FF2B5EF4-FFF2-40B4-BE49-F238E27FC236}">
              <a16:creationId xmlns:a16="http://schemas.microsoft.com/office/drawing/2014/main" id="{6D1107C5-C42D-4E58-B1F0-86D87B72C16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6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481648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2599</xdr:row>
      <xdr:rowOff>25400</xdr:rowOff>
    </xdr:from>
    <xdr:to>
      <xdr:col>11</xdr:col>
      <xdr:colOff>571500</xdr:colOff>
      <xdr:row>2600</xdr:row>
      <xdr:rowOff>0</xdr:rowOff>
    </xdr:to>
    <xdr:pic>
      <xdr:nvPicPr>
        <xdr:cNvPr id="13255" name="Рисунок 13254">
          <a:extLst>
            <a:ext uri="{FF2B5EF4-FFF2-40B4-BE49-F238E27FC236}">
              <a16:creationId xmlns:a16="http://schemas.microsoft.com/office/drawing/2014/main" id="{8586B176-13BE-4575-97E5-C83401D9BCA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6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482220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2600</xdr:row>
      <xdr:rowOff>25400</xdr:rowOff>
    </xdr:from>
    <xdr:to>
      <xdr:col>11</xdr:col>
      <xdr:colOff>571500</xdr:colOff>
      <xdr:row>2601</xdr:row>
      <xdr:rowOff>0</xdr:rowOff>
    </xdr:to>
    <xdr:pic>
      <xdr:nvPicPr>
        <xdr:cNvPr id="13257" name="Рисунок 13256">
          <a:extLst>
            <a:ext uri="{FF2B5EF4-FFF2-40B4-BE49-F238E27FC236}">
              <a16:creationId xmlns:a16="http://schemas.microsoft.com/office/drawing/2014/main" id="{4D80423C-6800-4330-B3AD-E53A35EA775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6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482791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2601</xdr:row>
      <xdr:rowOff>25400</xdr:rowOff>
    </xdr:from>
    <xdr:to>
      <xdr:col>11</xdr:col>
      <xdr:colOff>571500</xdr:colOff>
      <xdr:row>2602</xdr:row>
      <xdr:rowOff>0</xdr:rowOff>
    </xdr:to>
    <xdr:pic>
      <xdr:nvPicPr>
        <xdr:cNvPr id="13259" name="Рисунок 13258">
          <a:extLst>
            <a:ext uri="{FF2B5EF4-FFF2-40B4-BE49-F238E27FC236}">
              <a16:creationId xmlns:a16="http://schemas.microsoft.com/office/drawing/2014/main" id="{F4352BE5-C892-4B89-A3F6-6DB9F85F2F9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6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483363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2602</xdr:row>
      <xdr:rowOff>25400</xdr:rowOff>
    </xdr:from>
    <xdr:to>
      <xdr:col>11</xdr:col>
      <xdr:colOff>571500</xdr:colOff>
      <xdr:row>2603</xdr:row>
      <xdr:rowOff>0</xdr:rowOff>
    </xdr:to>
    <xdr:pic>
      <xdr:nvPicPr>
        <xdr:cNvPr id="13261" name="Рисунок 13260">
          <a:extLst>
            <a:ext uri="{FF2B5EF4-FFF2-40B4-BE49-F238E27FC236}">
              <a16:creationId xmlns:a16="http://schemas.microsoft.com/office/drawing/2014/main" id="{99701D08-D3E8-4D60-ACC8-7CD995A3B1F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6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483934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2603</xdr:row>
      <xdr:rowOff>25400</xdr:rowOff>
    </xdr:from>
    <xdr:to>
      <xdr:col>11</xdr:col>
      <xdr:colOff>571500</xdr:colOff>
      <xdr:row>2604</xdr:row>
      <xdr:rowOff>0</xdr:rowOff>
    </xdr:to>
    <xdr:pic>
      <xdr:nvPicPr>
        <xdr:cNvPr id="13263" name="Рисунок 13262">
          <a:extLst>
            <a:ext uri="{FF2B5EF4-FFF2-40B4-BE49-F238E27FC236}">
              <a16:creationId xmlns:a16="http://schemas.microsoft.com/office/drawing/2014/main" id="{45C55420-2AA1-43D1-BA62-9871879A8C1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6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484506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2604</xdr:row>
      <xdr:rowOff>25400</xdr:rowOff>
    </xdr:from>
    <xdr:to>
      <xdr:col>11</xdr:col>
      <xdr:colOff>571500</xdr:colOff>
      <xdr:row>2605</xdr:row>
      <xdr:rowOff>0</xdr:rowOff>
    </xdr:to>
    <xdr:pic>
      <xdr:nvPicPr>
        <xdr:cNvPr id="13265" name="Рисунок 13264">
          <a:extLst>
            <a:ext uri="{FF2B5EF4-FFF2-40B4-BE49-F238E27FC236}">
              <a16:creationId xmlns:a16="http://schemas.microsoft.com/office/drawing/2014/main" id="{D916451F-78C9-4337-B5A3-B3765E7314F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6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485077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2605</xdr:row>
      <xdr:rowOff>25400</xdr:rowOff>
    </xdr:from>
    <xdr:to>
      <xdr:col>11</xdr:col>
      <xdr:colOff>571500</xdr:colOff>
      <xdr:row>2606</xdr:row>
      <xdr:rowOff>0</xdr:rowOff>
    </xdr:to>
    <xdr:pic>
      <xdr:nvPicPr>
        <xdr:cNvPr id="13267" name="Рисунок 13266">
          <a:extLst>
            <a:ext uri="{FF2B5EF4-FFF2-40B4-BE49-F238E27FC236}">
              <a16:creationId xmlns:a16="http://schemas.microsoft.com/office/drawing/2014/main" id="{D58AB0FB-8773-4740-81FA-B582A9DD9DB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6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485649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2606</xdr:row>
      <xdr:rowOff>25400</xdr:rowOff>
    </xdr:from>
    <xdr:to>
      <xdr:col>11</xdr:col>
      <xdr:colOff>571500</xdr:colOff>
      <xdr:row>2607</xdr:row>
      <xdr:rowOff>0</xdr:rowOff>
    </xdr:to>
    <xdr:pic>
      <xdr:nvPicPr>
        <xdr:cNvPr id="13269" name="Рисунок 13268">
          <a:extLst>
            <a:ext uri="{FF2B5EF4-FFF2-40B4-BE49-F238E27FC236}">
              <a16:creationId xmlns:a16="http://schemas.microsoft.com/office/drawing/2014/main" id="{76E58B9B-620E-462F-89C4-2E0E1ED0BD8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6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486220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2607</xdr:row>
      <xdr:rowOff>25400</xdr:rowOff>
    </xdr:from>
    <xdr:to>
      <xdr:col>11</xdr:col>
      <xdr:colOff>571500</xdr:colOff>
      <xdr:row>2608</xdr:row>
      <xdr:rowOff>0</xdr:rowOff>
    </xdr:to>
    <xdr:pic>
      <xdr:nvPicPr>
        <xdr:cNvPr id="13271" name="Рисунок 13270">
          <a:extLst>
            <a:ext uri="{FF2B5EF4-FFF2-40B4-BE49-F238E27FC236}">
              <a16:creationId xmlns:a16="http://schemas.microsoft.com/office/drawing/2014/main" id="{54F6C410-2FB1-44FC-AAB3-C55AA41C599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6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486792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2608</xdr:row>
      <xdr:rowOff>25400</xdr:rowOff>
    </xdr:from>
    <xdr:to>
      <xdr:col>11</xdr:col>
      <xdr:colOff>571500</xdr:colOff>
      <xdr:row>2609</xdr:row>
      <xdr:rowOff>0</xdr:rowOff>
    </xdr:to>
    <xdr:pic>
      <xdr:nvPicPr>
        <xdr:cNvPr id="13273" name="Рисунок 13272">
          <a:extLst>
            <a:ext uri="{FF2B5EF4-FFF2-40B4-BE49-F238E27FC236}">
              <a16:creationId xmlns:a16="http://schemas.microsoft.com/office/drawing/2014/main" id="{2B7EDED9-57A6-444E-9DB9-615EEB750E7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7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487363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2609</xdr:row>
      <xdr:rowOff>25400</xdr:rowOff>
    </xdr:from>
    <xdr:to>
      <xdr:col>11</xdr:col>
      <xdr:colOff>571500</xdr:colOff>
      <xdr:row>2610</xdr:row>
      <xdr:rowOff>0</xdr:rowOff>
    </xdr:to>
    <xdr:pic>
      <xdr:nvPicPr>
        <xdr:cNvPr id="13275" name="Рисунок 13274">
          <a:extLst>
            <a:ext uri="{FF2B5EF4-FFF2-40B4-BE49-F238E27FC236}">
              <a16:creationId xmlns:a16="http://schemas.microsoft.com/office/drawing/2014/main" id="{FA2E1628-122C-4617-9CAF-56461FADFB7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7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487935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2610</xdr:row>
      <xdr:rowOff>25400</xdr:rowOff>
    </xdr:from>
    <xdr:to>
      <xdr:col>11</xdr:col>
      <xdr:colOff>571500</xdr:colOff>
      <xdr:row>2611</xdr:row>
      <xdr:rowOff>0</xdr:rowOff>
    </xdr:to>
    <xdr:pic>
      <xdr:nvPicPr>
        <xdr:cNvPr id="13277" name="Рисунок 13276">
          <a:extLst>
            <a:ext uri="{FF2B5EF4-FFF2-40B4-BE49-F238E27FC236}">
              <a16:creationId xmlns:a16="http://schemas.microsoft.com/office/drawing/2014/main" id="{7D48C569-161E-4E24-8D1A-034614E64B7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7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488506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2611</xdr:row>
      <xdr:rowOff>25400</xdr:rowOff>
    </xdr:from>
    <xdr:to>
      <xdr:col>11</xdr:col>
      <xdr:colOff>571500</xdr:colOff>
      <xdr:row>2612</xdr:row>
      <xdr:rowOff>0</xdr:rowOff>
    </xdr:to>
    <xdr:pic>
      <xdr:nvPicPr>
        <xdr:cNvPr id="13279" name="Рисунок 13278">
          <a:extLst>
            <a:ext uri="{FF2B5EF4-FFF2-40B4-BE49-F238E27FC236}">
              <a16:creationId xmlns:a16="http://schemas.microsoft.com/office/drawing/2014/main" id="{0C3E6BFA-DC6C-4B2A-B1AA-ACAA7F81348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7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489078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2612</xdr:row>
      <xdr:rowOff>25400</xdr:rowOff>
    </xdr:from>
    <xdr:to>
      <xdr:col>11</xdr:col>
      <xdr:colOff>571500</xdr:colOff>
      <xdr:row>2613</xdr:row>
      <xdr:rowOff>0</xdr:rowOff>
    </xdr:to>
    <xdr:pic>
      <xdr:nvPicPr>
        <xdr:cNvPr id="13281" name="Рисунок 13280">
          <a:extLst>
            <a:ext uri="{FF2B5EF4-FFF2-40B4-BE49-F238E27FC236}">
              <a16:creationId xmlns:a16="http://schemas.microsoft.com/office/drawing/2014/main" id="{5C4A4E92-849C-4334-A054-C910BE9F753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7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489649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2613</xdr:row>
      <xdr:rowOff>25400</xdr:rowOff>
    </xdr:from>
    <xdr:to>
      <xdr:col>11</xdr:col>
      <xdr:colOff>571500</xdr:colOff>
      <xdr:row>2614</xdr:row>
      <xdr:rowOff>0</xdr:rowOff>
    </xdr:to>
    <xdr:pic>
      <xdr:nvPicPr>
        <xdr:cNvPr id="13283" name="Рисунок 13282">
          <a:extLst>
            <a:ext uri="{FF2B5EF4-FFF2-40B4-BE49-F238E27FC236}">
              <a16:creationId xmlns:a16="http://schemas.microsoft.com/office/drawing/2014/main" id="{3F9E2FDC-CEEF-48B8-B1A5-4D9A34C4079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7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490221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2614</xdr:row>
      <xdr:rowOff>25400</xdr:rowOff>
    </xdr:from>
    <xdr:to>
      <xdr:col>11</xdr:col>
      <xdr:colOff>571500</xdr:colOff>
      <xdr:row>2615</xdr:row>
      <xdr:rowOff>0</xdr:rowOff>
    </xdr:to>
    <xdr:pic>
      <xdr:nvPicPr>
        <xdr:cNvPr id="13285" name="Рисунок 13284">
          <a:extLst>
            <a:ext uri="{FF2B5EF4-FFF2-40B4-BE49-F238E27FC236}">
              <a16:creationId xmlns:a16="http://schemas.microsoft.com/office/drawing/2014/main" id="{2F703F50-44C4-423D-861C-0EE9C8C91BE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7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490792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2615</xdr:row>
      <xdr:rowOff>25400</xdr:rowOff>
    </xdr:from>
    <xdr:to>
      <xdr:col>11</xdr:col>
      <xdr:colOff>571500</xdr:colOff>
      <xdr:row>2616</xdr:row>
      <xdr:rowOff>0</xdr:rowOff>
    </xdr:to>
    <xdr:pic>
      <xdr:nvPicPr>
        <xdr:cNvPr id="13287" name="Рисунок 13286">
          <a:extLst>
            <a:ext uri="{FF2B5EF4-FFF2-40B4-BE49-F238E27FC236}">
              <a16:creationId xmlns:a16="http://schemas.microsoft.com/office/drawing/2014/main" id="{ABC4D519-CBD7-487C-BC11-2C198628A6D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7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491364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2616</xdr:row>
      <xdr:rowOff>25400</xdr:rowOff>
    </xdr:from>
    <xdr:to>
      <xdr:col>11</xdr:col>
      <xdr:colOff>571500</xdr:colOff>
      <xdr:row>2617</xdr:row>
      <xdr:rowOff>0</xdr:rowOff>
    </xdr:to>
    <xdr:pic>
      <xdr:nvPicPr>
        <xdr:cNvPr id="13289" name="Рисунок 13288">
          <a:extLst>
            <a:ext uri="{FF2B5EF4-FFF2-40B4-BE49-F238E27FC236}">
              <a16:creationId xmlns:a16="http://schemas.microsoft.com/office/drawing/2014/main" id="{B2D0EF7C-B11F-4D82-98F9-0DDE7B1356E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7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491935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2617</xdr:row>
      <xdr:rowOff>25400</xdr:rowOff>
    </xdr:from>
    <xdr:to>
      <xdr:col>11</xdr:col>
      <xdr:colOff>571500</xdr:colOff>
      <xdr:row>2618</xdr:row>
      <xdr:rowOff>0</xdr:rowOff>
    </xdr:to>
    <xdr:pic>
      <xdr:nvPicPr>
        <xdr:cNvPr id="13291" name="Рисунок 13290">
          <a:extLst>
            <a:ext uri="{FF2B5EF4-FFF2-40B4-BE49-F238E27FC236}">
              <a16:creationId xmlns:a16="http://schemas.microsoft.com/office/drawing/2014/main" id="{FCFF9041-117D-491C-A2AD-0DA7A503EBC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7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492507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2618</xdr:row>
      <xdr:rowOff>25400</xdr:rowOff>
    </xdr:from>
    <xdr:to>
      <xdr:col>11</xdr:col>
      <xdr:colOff>571500</xdr:colOff>
      <xdr:row>2619</xdr:row>
      <xdr:rowOff>0</xdr:rowOff>
    </xdr:to>
    <xdr:pic>
      <xdr:nvPicPr>
        <xdr:cNvPr id="13293" name="Рисунок 13292">
          <a:extLst>
            <a:ext uri="{FF2B5EF4-FFF2-40B4-BE49-F238E27FC236}">
              <a16:creationId xmlns:a16="http://schemas.microsoft.com/office/drawing/2014/main" id="{8C45AE01-856C-4E64-9027-F70C9F39679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8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493078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2619</xdr:row>
      <xdr:rowOff>25400</xdr:rowOff>
    </xdr:from>
    <xdr:to>
      <xdr:col>11</xdr:col>
      <xdr:colOff>571500</xdr:colOff>
      <xdr:row>2620</xdr:row>
      <xdr:rowOff>0</xdr:rowOff>
    </xdr:to>
    <xdr:pic>
      <xdr:nvPicPr>
        <xdr:cNvPr id="13295" name="Рисунок 13294">
          <a:extLst>
            <a:ext uri="{FF2B5EF4-FFF2-40B4-BE49-F238E27FC236}">
              <a16:creationId xmlns:a16="http://schemas.microsoft.com/office/drawing/2014/main" id="{7EA5F767-8F0F-4D58-AD4C-050887B5BB2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8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493650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2620</xdr:row>
      <xdr:rowOff>25400</xdr:rowOff>
    </xdr:from>
    <xdr:to>
      <xdr:col>11</xdr:col>
      <xdr:colOff>571500</xdr:colOff>
      <xdr:row>2621</xdr:row>
      <xdr:rowOff>0</xdr:rowOff>
    </xdr:to>
    <xdr:pic>
      <xdr:nvPicPr>
        <xdr:cNvPr id="13297" name="Рисунок 13296">
          <a:extLst>
            <a:ext uri="{FF2B5EF4-FFF2-40B4-BE49-F238E27FC236}">
              <a16:creationId xmlns:a16="http://schemas.microsoft.com/office/drawing/2014/main" id="{C972EAF3-EDE1-4D3E-9DA1-09961A38583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8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494221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2621</xdr:row>
      <xdr:rowOff>25400</xdr:rowOff>
    </xdr:from>
    <xdr:to>
      <xdr:col>11</xdr:col>
      <xdr:colOff>571500</xdr:colOff>
      <xdr:row>2622</xdr:row>
      <xdr:rowOff>0</xdr:rowOff>
    </xdr:to>
    <xdr:pic>
      <xdr:nvPicPr>
        <xdr:cNvPr id="13299" name="Рисунок 13298">
          <a:extLst>
            <a:ext uri="{FF2B5EF4-FFF2-40B4-BE49-F238E27FC236}">
              <a16:creationId xmlns:a16="http://schemas.microsoft.com/office/drawing/2014/main" id="{8477236A-1141-411A-ABD0-AABBC2B7D7A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8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494793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2622</xdr:row>
      <xdr:rowOff>25400</xdr:rowOff>
    </xdr:from>
    <xdr:to>
      <xdr:col>11</xdr:col>
      <xdr:colOff>571500</xdr:colOff>
      <xdr:row>2623</xdr:row>
      <xdr:rowOff>0</xdr:rowOff>
    </xdr:to>
    <xdr:pic>
      <xdr:nvPicPr>
        <xdr:cNvPr id="13301" name="Рисунок 13300">
          <a:extLst>
            <a:ext uri="{FF2B5EF4-FFF2-40B4-BE49-F238E27FC236}">
              <a16:creationId xmlns:a16="http://schemas.microsoft.com/office/drawing/2014/main" id="{A686FCD6-091F-4F18-8F03-634BCBE6FD1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8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495364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2623</xdr:row>
      <xdr:rowOff>25400</xdr:rowOff>
    </xdr:from>
    <xdr:to>
      <xdr:col>11</xdr:col>
      <xdr:colOff>571500</xdr:colOff>
      <xdr:row>2624</xdr:row>
      <xdr:rowOff>0</xdr:rowOff>
    </xdr:to>
    <xdr:pic>
      <xdr:nvPicPr>
        <xdr:cNvPr id="13303" name="Рисунок 13302">
          <a:extLst>
            <a:ext uri="{FF2B5EF4-FFF2-40B4-BE49-F238E27FC236}">
              <a16:creationId xmlns:a16="http://schemas.microsoft.com/office/drawing/2014/main" id="{3C73DA5C-199C-4555-9B07-B5A07E64A84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8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495936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2624</xdr:row>
      <xdr:rowOff>25400</xdr:rowOff>
    </xdr:from>
    <xdr:to>
      <xdr:col>11</xdr:col>
      <xdr:colOff>571500</xdr:colOff>
      <xdr:row>2625</xdr:row>
      <xdr:rowOff>0</xdr:rowOff>
    </xdr:to>
    <xdr:pic>
      <xdr:nvPicPr>
        <xdr:cNvPr id="13305" name="Рисунок 13304">
          <a:extLst>
            <a:ext uri="{FF2B5EF4-FFF2-40B4-BE49-F238E27FC236}">
              <a16:creationId xmlns:a16="http://schemas.microsoft.com/office/drawing/2014/main" id="{254041DD-C0A4-4AC8-AC1F-B2FE77D2DA8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8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496507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2625</xdr:row>
      <xdr:rowOff>25400</xdr:rowOff>
    </xdr:from>
    <xdr:to>
      <xdr:col>11</xdr:col>
      <xdr:colOff>571500</xdr:colOff>
      <xdr:row>2626</xdr:row>
      <xdr:rowOff>0</xdr:rowOff>
    </xdr:to>
    <xdr:pic>
      <xdr:nvPicPr>
        <xdr:cNvPr id="13307" name="Рисунок 13306">
          <a:extLst>
            <a:ext uri="{FF2B5EF4-FFF2-40B4-BE49-F238E27FC236}">
              <a16:creationId xmlns:a16="http://schemas.microsoft.com/office/drawing/2014/main" id="{7FE21A57-FC51-44C9-BB3D-388F50D554D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8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497079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2626</xdr:row>
      <xdr:rowOff>25400</xdr:rowOff>
    </xdr:from>
    <xdr:to>
      <xdr:col>11</xdr:col>
      <xdr:colOff>571500</xdr:colOff>
      <xdr:row>2627</xdr:row>
      <xdr:rowOff>0</xdr:rowOff>
    </xdr:to>
    <xdr:pic>
      <xdr:nvPicPr>
        <xdr:cNvPr id="13309" name="Рисунок 13308">
          <a:extLst>
            <a:ext uri="{FF2B5EF4-FFF2-40B4-BE49-F238E27FC236}">
              <a16:creationId xmlns:a16="http://schemas.microsoft.com/office/drawing/2014/main" id="{3BDB96C8-560A-4D46-8D81-84D13C57F2D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8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497650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2627</xdr:row>
      <xdr:rowOff>25400</xdr:rowOff>
    </xdr:from>
    <xdr:to>
      <xdr:col>11</xdr:col>
      <xdr:colOff>571500</xdr:colOff>
      <xdr:row>2628</xdr:row>
      <xdr:rowOff>0</xdr:rowOff>
    </xdr:to>
    <xdr:pic>
      <xdr:nvPicPr>
        <xdr:cNvPr id="13311" name="Рисунок 13310">
          <a:extLst>
            <a:ext uri="{FF2B5EF4-FFF2-40B4-BE49-F238E27FC236}">
              <a16:creationId xmlns:a16="http://schemas.microsoft.com/office/drawing/2014/main" id="{79C73D66-2C4F-44C7-8477-7455D8964FD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8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498222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2628</xdr:row>
      <xdr:rowOff>25400</xdr:rowOff>
    </xdr:from>
    <xdr:to>
      <xdr:col>11</xdr:col>
      <xdr:colOff>571500</xdr:colOff>
      <xdr:row>2629</xdr:row>
      <xdr:rowOff>0</xdr:rowOff>
    </xdr:to>
    <xdr:pic>
      <xdr:nvPicPr>
        <xdr:cNvPr id="13313" name="Рисунок 13312">
          <a:extLst>
            <a:ext uri="{FF2B5EF4-FFF2-40B4-BE49-F238E27FC236}">
              <a16:creationId xmlns:a16="http://schemas.microsoft.com/office/drawing/2014/main" id="{E4861C5F-42EA-4B66-A7E9-DAE8936ED3F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9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498793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2629</xdr:row>
      <xdr:rowOff>25400</xdr:rowOff>
    </xdr:from>
    <xdr:to>
      <xdr:col>11</xdr:col>
      <xdr:colOff>571500</xdr:colOff>
      <xdr:row>2630</xdr:row>
      <xdr:rowOff>0</xdr:rowOff>
    </xdr:to>
    <xdr:pic>
      <xdr:nvPicPr>
        <xdr:cNvPr id="13315" name="Рисунок 13314">
          <a:extLst>
            <a:ext uri="{FF2B5EF4-FFF2-40B4-BE49-F238E27FC236}">
              <a16:creationId xmlns:a16="http://schemas.microsoft.com/office/drawing/2014/main" id="{7AA464BC-8FE8-4CF8-AF70-B30331A394B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9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499365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2630</xdr:row>
      <xdr:rowOff>25400</xdr:rowOff>
    </xdr:from>
    <xdr:to>
      <xdr:col>11</xdr:col>
      <xdr:colOff>571500</xdr:colOff>
      <xdr:row>2631</xdr:row>
      <xdr:rowOff>0</xdr:rowOff>
    </xdr:to>
    <xdr:pic>
      <xdr:nvPicPr>
        <xdr:cNvPr id="13317" name="Рисунок 13316">
          <a:extLst>
            <a:ext uri="{FF2B5EF4-FFF2-40B4-BE49-F238E27FC236}">
              <a16:creationId xmlns:a16="http://schemas.microsoft.com/office/drawing/2014/main" id="{7108514D-5F29-4579-8B81-06FD1315695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9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499936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2631</xdr:row>
      <xdr:rowOff>25400</xdr:rowOff>
    </xdr:from>
    <xdr:to>
      <xdr:col>11</xdr:col>
      <xdr:colOff>571500</xdr:colOff>
      <xdr:row>2632</xdr:row>
      <xdr:rowOff>0</xdr:rowOff>
    </xdr:to>
    <xdr:pic>
      <xdr:nvPicPr>
        <xdr:cNvPr id="13319" name="Рисунок 13318">
          <a:extLst>
            <a:ext uri="{FF2B5EF4-FFF2-40B4-BE49-F238E27FC236}">
              <a16:creationId xmlns:a16="http://schemas.microsoft.com/office/drawing/2014/main" id="{9F9FE042-5A92-483D-B298-F98ABE3647A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9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500508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2632</xdr:row>
      <xdr:rowOff>25400</xdr:rowOff>
    </xdr:from>
    <xdr:to>
      <xdr:col>11</xdr:col>
      <xdr:colOff>571500</xdr:colOff>
      <xdr:row>2633</xdr:row>
      <xdr:rowOff>0</xdr:rowOff>
    </xdr:to>
    <xdr:pic>
      <xdr:nvPicPr>
        <xdr:cNvPr id="13321" name="Рисунок 13320">
          <a:extLst>
            <a:ext uri="{FF2B5EF4-FFF2-40B4-BE49-F238E27FC236}">
              <a16:creationId xmlns:a16="http://schemas.microsoft.com/office/drawing/2014/main" id="{4C37B704-28A1-46BF-BC4C-68DACD645F2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9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501079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2633</xdr:row>
      <xdr:rowOff>25400</xdr:rowOff>
    </xdr:from>
    <xdr:to>
      <xdr:col>11</xdr:col>
      <xdr:colOff>571500</xdr:colOff>
      <xdr:row>2634</xdr:row>
      <xdr:rowOff>0</xdr:rowOff>
    </xdr:to>
    <xdr:pic>
      <xdr:nvPicPr>
        <xdr:cNvPr id="13323" name="Рисунок 13322">
          <a:extLst>
            <a:ext uri="{FF2B5EF4-FFF2-40B4-BE49-F238E27FC236}">
              <a16:creationId xmlns:a16="http://schemas.microsoft.com/office/drawing/2014/main" id="{4BFA5E81-9B31-415F-A4A5-BC1D19ACFAB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9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501651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2634</xdr:row>
      <xdr:rowOff>25400</xdr:rowOff>
    </xdr:from>
    <xdr:to>
      <xdr:col>11</xdr:col>
      <xdr:colOff>571500</xdr:colOff>
      <xdr:row>2635</xdr:row>
      <xdr:rowOff>0</xdr:rowOff>
    </xdr:to>
    <xdr:pic>
      <xdr:nvPicPr>
        <xdr:cNvPr id="13325" name="Рисунок 13324">
          <a:extLst>
            <a:ext uri="{FF2B5EF4-FFF2-40B4-BE49-F238E27FC236}">
              <a16:creationId xmlns:a16="http://schemas.microsoft.com/office/drawing/2014/main" id="{625DA0A9-DB8C-402A-AB6D-B4D6053F4DA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9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502222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2635</xdr:row>
      <xdr:rowOff>25400</xdr:rowOff>
    </xdr:from>
    <xdr:to>
      <xdr:col>11</xdr:col>
      <xdr:colOff>571500</xdr:colOff>
      <xdr:row>2636</xdr:row>
      <xdr:rowOff>0</xdr:rowOff>
    </xdr:to>
    <xdr:pic>
      <xdr:nvPicPr>
        <xdr:cNvPr id="13327" name="Рисунок 13326">
          <a:extLst>
            <a:ext uri="{FF2B5EF4-FFF2-40B4-BE49-F238E27FC236}">
              <a16:creationId xmlns:a16="http://schemas.microsoft.com/office/drawing/2014/main" id="{79D88582-CF5A-4F34-BAEB-D7A037AA73C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9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502794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2636</xdr:row>
      <xdr:rowOff>25400</xdr:rowOff>
    </xdr:from>
    <xdr:to>
      <xdr:col>11</xdr:col>
      <xdr:colOff>571500</xdr:colOff>
      <xdr:row>2637</xdr:row>
      <xdr:rowOff>0</xdr:rowOff>
    </xdr:to>
    <xdr:pic>
      <xdr:nvPicPr>
        <xdr:cNvPr id="13329" name="Рисунок 13328">
          <a:extLst>
            <a:ext uri="{FF2B5EF4-FFF2-40B4-BE49-F238E27FC236}">
              <a16:creationId xmlns:a16="http://schemas.microsoft.com/office/drawing/2014/main" id="{F0351E03-D252-42BD-B27B-2BFFD399F2F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9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503365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2637</xdr:row>
      <xdr:rowOff>25400</xdr:rowOff>
    </xdr:from>
    <xdr:to>
      <xdr:col>11</xdr:col>
      <xdr:colOff>571500</xdr:colOff>
      <xdr:row>2638</xdr:row>
      <xdr:rowOff>0</xdr:rowOff>
    </xdr:to>
    <xdr:pic>
      <xdr:nvPicPr>
        <xdr:cNvPr id="13331" name="Рисунок 13330">
          <a:extLst>
            <a:ext uri="{FF2B5EF4-FFF2-40B4-BE49-F238E27FC236}">
              <a16:creationId xmlns:a16="http://schemas.microsoft.com/office/drawing/2014/main" id="{C901C9CA-EB3B-449C-BC72-FF927DDD2C9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59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503937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2638</xdr:row>
      <xdr:rowOff>25400</xdr:rowOff>
    </xdr:from>
    <xdr:to>
      <xdr:col>11</xdr:col>
      <xdr:colOff>571500</xdr:colOff>
      <xdr:row>2639</xdr:row>
      <xdr:rowOff>0</xdr:rowOff>
    </xdr:to>
    <xdr:pic>
      <xdr:nvPicPr>
        <xdr:cNvPr id="13333" name="Рисунок 13332">
          <a:extLst>
            <a:ext uri="{FF2B5EF4-FFF2-40B4-BE49-F238E27FC236}">
              <a16:creationId xmlns:a16="http://schemas.microsoft.com/office/drawing/2014/main" id="{2BD5D77B-BB90-468F-9842-57D3729DD1D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0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504508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2639</xdr:row>
      <xdr:rowOff>25400</xdr:rowOff>
    </xdr:from>
    <xdr:to>
      <xdr:col>11</xdr:col>
      <xdr:colOff>571500</xdr:colOff>
      <xdr:row>2640</xdr:row>
      <xdr:rowOff>0</xdr:rowOff>
    </xdr:to>
    <xdr:pic>
      <xdr:nvPicPr>
        <xdr:cNvPr id="13335" name="Рисунок 13334">
          <a:extLst>
            <a:ext uri="{FF2B5EF4-FFF2-40B4-BE49-F238E27FC236}">
              <a16:creationId xmlns:a16="http://schemas.microsoft.com/office/drawing/2014/main" id="{7B35736F-46B2-46B4-9395-10C4301A6CC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0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505080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2640</xdr:row>
      <xdr:rowOff>25400</xdr:rowOff>
    </xdr:from>
    <xdr:to>
      <xdr:col>11</xdr:col>
      <xdr:colOff>571500</xdr:colOff>
      <xdr:row>2641</xdr:row>
      <xdr:rowOff>0</xdr:rowOff>
    </xdr:to>
    <xdr:pic>
      <xdr:nvPicPr>
        <xdr:cNvPr id="13337" name="Рисунок 13336">
          <a:extLst>
            <a:ext uri="{FF2B5EF4-FFF2-40B4-BE49-F238E27FC236}">
              <a16:creationId xmlns:a16="http://schemas.microsoft.com/office/drawing/2014/main" id="{C7BEE6FF-8432-4C0B-B660-9D9A86D7612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0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505651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2641</xdr:row>
      <xdr:rowOff>25400</xdr:rowOff>
    </xdr:from>
    <xdr:to>
      <xdr:col>11</xdr:col>
      <xdr:colOff>571500</xdr:colOff>
      <xdr:row>2642</xdr:row>
      <xdr:rowOff>0</xdr:rowOff>
    </xdr:to>
    <xdr:pic>
      <xdr:nvPicPr>
        <xdr:cNvPr id="13339" name="Рисунок 13338">
          <a:extLst>
            <a:ext uri="{FF2B5EF4-FFF2-40B4-BE49-F238E27FC236}">
              <a16:creationId xmlns:a16="http://schemas.microsoft.com/office/drawing/2014/main" id="{40D0E09C-59E3-4CB1-89EB-C69B80BE19C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0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506223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2642</xdr:row>
      <xdr:rowOff>25400</xdr:rowOff>
    </xdr:from>
    <xdr:to>
      <xdr:col>11</xdr:col>
      <xdr:colOff>571500</xdr:colOff>
      <xdr:row>2643</xdr:row>
      <xdr:rowOff>0</xdr:rowOff>
    </xdr:to>
    <xdr:pic>
      <xdr:nvPicPr>
        <xdr:cNvPr id="13341" name="Рисунок 13340">
          <a:extLst>
            <a:ext uri="{FF2B5EF4-FFF2-40B4-BE49-F238E27FC236}">
              <a16:creationId xmlns:a16="http://schemas.microsoft.com/office/drawing/2014/main" id="{24337AA8-3FDC-4802-AFC9-A7321DD6BD3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0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506794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2643</xdr:row>
      <xdr:rowOff>25400</xdr:rowOff>
    </xdr:from>
    <xdr:to>
      <xdr:col>11</xdr:col>
      <xdr:colOff>571500</xdr:colOff>
      <xdr:row>2644</xdr:row>
      <xdr:rowOff>0</xdr:rowOff>
    </xdr:to>
    <xdr:pic>
      <xdr:nvPicPr>
        <xdr:cNvPr id="13343" name="Рисунок 13342">
          <a:extLst>
            <a:ext uri="{FF2B5EF4-FFF2-40B4-BE49-F238E27FC236}">
              <a16:creationId xmlns:a16="http://schemas.microsoft.com/office/drawing/2014/main" id="{F0939D39-FCA5-4ED5-9F8E-F5975963F88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0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507366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2644</xdr:row>
      <xdr:rowOff>25400</xdr:rowOff>
    </xdr:from>
    <xdr:to>
      <xdr:col>11</xdr:col>
      <xdr:colOff>571500</xdr:colOff>
      <xdr:row>2645</xdr:row>
      <xdr:rowOff>0</xdr:rowOff>
    </xdr:to>
    <xdr:pic>
      <xdr:nvPicPr>
        <xdr:cNvPr id="13345" name="Рисунок 13344">
          <a:extLst>
            <a:ext uri="{FF2B5EF4-FFF2-40B4-BE49-F238E27FC236}">
              <a16:creationId xmlns:a16="http://schemas.microsoft.com/office/drawing/2014/main" id="{AD9884B2-0FE7-44D7-9E01-8D331AEE0DC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0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507937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2645</xdr:row>
      <xdr:rowOff>25400</xdr:rowOff>
    </xdr:from>
    <xdr:to>
      <xdr:col>11</xdr:col>
      <xdr:colOff>571500</xdr:colOff>
      <xdr:row>2646</xdr:row>
      <xdr:rowOff>0</xdr:rowOff>
    </xdr:to>
    <xdr:pic>
      <xdr:nvPicPr>
        <xdr:cNvPr id="13347" name="Рисунок 13346">
          <a:extLst>
            <a:ext uri="{FF2B5EF4-FFF2-40B4-BE49-F238E27FC236}">
              <a16:creationId xmlns:a16="http://schemas.microsoft.com/office/drawing/2014/main" id="{5A1C2BEE-4441-43FF-831B-3207C5B5668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0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508509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2646</xdr:row>
      <xdr:rowOff>25400</xdr:rowOff>
    </xdr:from>
    <xdr:to>
      <xdr:col>11</xdr:col>
      <xdr:colOff>571500</xdr:colOff>
      <xdr:row>2647</xdr:row>
      <xdr:rowOff>0</xdr:rowOff>
    </xdr:to>
    <xdr:pic>
      <xdr:nvPicPr>
        <xdr:cNvPr id="13349" name="Рисунок 13348">
          <a:extLst>
            <a:ext uri="{FF2B5EF4-FFF2-40B4-BE49-F238E27FC236}">
              <a16:creationId xmlns:a16="http://schemas.microsoft.com/office/drawing/2014/main" id="{122BF86D-B059-4797-A12D-1584CB3C60A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0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509080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2647</xdr:row>
      <xdr:rowOff>25400</xdr:rowOff>
    </xdr:from>
    <xdr:to>
      <xdr:col>11</xdr:col>
      <xdr:colOff>571500</xdr:colOff>
      <xdr:row>2648</xdr:row>
      <xdr:rowOff>0</xdr:rowOff>
    </xdr:to>
    <xdr:pic>
      <xdr:nvPicPr>
        <xdr:cNvPr id="13351" name="Рисунок 13350">
          <a:extLst>
            <a:ext uri="{FF2B5EF4-FFF2-40B4-BE49-F238E27FC236}">
              <a16:creationId xmlns:a16="http://schemas.microsoft.com/office/drawing/2014/main" id="{2EF58163-BF13-41E1-BC79-D5FC1555AC2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0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509652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2648</xdr:row>
      <xdr:rowOff>25400</xdr:rowOff>
    </xdr:from>
    <xdr:to>
      <xdr:col>11</xdr:col>
      <xdr:colOff>571500</xdr:colOff>
      <xdr:row>2649</xdr:row>
      <xdr:rowOff>0</xdr:rowOff>
    </xdr:to>
    <xdr:pic>
      <xdr:nvPicPr>
        <xdr:cNvPr id="13353" name="Рисунок 13352">
          <a:extLst>
            <a:ext uri="{FF2B5EF4-FFF2-40B4-BE49-F238E27FC236}">
              <a16:creationId xmlns:a16="http://schemas.microsoft.com/office/drawing/2014/main" id="{BF7EEBD1-AB4C-47E2-A25D-5DC5756CD3A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510223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2649</xdr:row>
      <xdr:rowOff>25400</xdr:rowOff>
    </xdr:from>
    <xdr:to>
      <xdr:col>11</xdr:col>
      <xdr:colOff>571500</xdr:colOff>
      <xdr:row>2650</xdr:row>
      <xdr:rowOff>0</xdr:rowOff>
    </xdr:to>
    <xdr:pic>
      <xdr:nvPicPr>
        <xdr:cNvPr id="13355" name="Рисунок 13354">
          <a:extLst>
            <a:ext uri="{FF2B5EF4-FFF2-40B4-BE49-F238E27FC236}">
              <a16:creationId xmlns:a16="http://schemas.microsoft.com/office/drawing/2014/main" id="{616C779A-DEF3-48FD-AD2F-ACCE430EA5E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510795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2650</xdr:row>
      <xdr:rowOff>25400</xdr:rowOff>
    </xdr:from>
    <xdr:to>
      <xdr:col>11</xdr:col>
      <xdr:colOff>571500</xdr:colOff>
      <xdr:row>2651</xdr:row>
      <xdr:rowOff>0</xdr:rowOff>
    </xdr:to>
    <xdr:pic>
      <xdr:nvPicPr>
        <xdr:cNvPr id="13357" name="Рисунок 13356">
          <a:extLst>
            <a:ext uri="{FF2B5EF4-FFF2-40B4-BE49-F238E27FC236}">
              <a16:creationId xmlns:a16="http://schemas.microsoft.com/office/drawing/2014/main" id="{3565D08F-EB3A-4AAA-BE6E-DA1AB1D6B2B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511366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2651</xdr:row>
      <xdr:rowOff>25400</xdr:rowOff>
    </xdr:from>
    <xdr:to>
      <xdr:col>11</xdr:col>
      <xdr:colOff>571500</xdr:colOff>
      <xdr:row>2652</xdr:row>
      <xdr:rowOff>0</xdr:rowOff>
    </xdr:to>
    <xdr:pic>
      <xdr:nvPicPr>
        <xdr:cNvPr id="13359" name="Рисунок 13358">
          <a:extLst>
            <a:ext uri="{FF2B5EF4-FFF2-40B4-BE49-F238E27FC236}">
              <a16:creationId xmlns:a16="http://schemas.microsoft.com/office/drawing/2014/main" id="{421EEFB5-400F-48BA-B6D9-2D67F9853CA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511938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2652</xdr:row>
      <xdr:rowOff>25400</xdr:rowOff>
    </xdr:from>
    <xdr:to>
      <xdr:col>11</xdr:col>
      <xdr:colOff>571500</xdr:colOff>
      <xdr:row>2653</xdr:row>
      <xdr:rowOff>0</xdr:rowOff>
    </xdr:to>
    <xdr:pic>
      <xdr:nvPicPr>
        <xdr:cNvPr id="13361" name="Рисунок 13360">
          <a:extLst>
            <a:ext uri="{FF2B5EF4-FFF2-40B4-BE49-F238E27FC236}">
              <a16:creationId xmlns:a16="http://schemas.microsoft.com/office/drawing/2014/main" id="{E4C92A86-D0EF-4FD9-A0AF-047FB469E2D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512509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2653</xdr:row>
      <xdr:rowOff>25400</xdr:rowOff>
    </xdr:from>
    <xdr:to>
      <xdr:col>11</xdr:col>
      <xdr:colOff>571500</xdr:colOff>
      <xdr:row>2654</xdr:row>
      <xdr:rowOff>0</xdr:rowOff>
    </xdr:to>
    <xdr:pic>
      <xdr:nvPicPr>
        <xdr:cNvPr id="13363" name="Рисунок 13362">
          <a:extLst>
            <a:ext uri="{FF2B5EF4-FFF2-40B4-BE49-F238E27FC236}">
              <a16:creationId xmlns:a16="http://schemas.microsoft.com/office/drawing/2014/main" id="{F241CB76-49B3-40DC-B036-82CFC73867A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513081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2654</xdr:row>
      <xdr:rowOff>25400</xdr:rowOff>
    </xdr:from>
    <xdr:to>
      <xdr:col>11</xdr:col>
      <xdr:colOff>571500</xdr:colOff>
      <xdr:row>2655</xdr:row>
      <xdr:rowOff>0</xdr:rowOff>
    </xdr:to>
    <xdr:pic>
      <xdr:nvPicPr>
        <xdr:cNvPr id="13365" name="Рисунок 13364">
          <a:extLst>
            <a:ext uri="{FF2B5EF4-FFF2-40B4-BE49-F238E27FC236}">
              <a16:creationId xmlns:a16="http://schemas.microsoft.com/office/drawing/2014/main" id="{8B48AF1D-37DC-42CC-885E-D55689905FB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513652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2655</xdr:row>
      <xdr:rowOff>25400</xdr:rowOff>
    </xdr:from>
    <xdr:to>
      <xdr:col>11</xdr:col>
      <xdr:colOff>571500</xdr:colOff>
      <xdr:row>2656</xdr:row>
      <xdr:rowOff>0</xdr:rowOff>
    </xdr:to>
    <xdr:pic>
      <xdr:nvPicPr>
        <xdr:cNvPr id="13367" name="Рисунок 13366">
          <a:extLst>
            <a:ext uri="{FF2B5EF4-FFF2-40B4-BE49-F238E27FC236}">
              <a16:creationId xmlns:a16="http://schemas.microsoft.com/office/drawing/2014/main" id="{3482567C-0748-4D5F-8511-6DC8E996501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514224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2656</xdr:row>
      <xdr:rowOff>25400</xdr:rowOff>
    </xdr:from>
    <xdr:to>
      <xdr:col>11</xdr:col>
      <xdr:colOff>571500</xdr:colOff>
      <xdr:row>2657</xdr:row>
      <xdr:rowOff>0</xdr:rowOff>
    </xdr:to>
    <xdr:pic>
      <xdr:nvPicPr>
        <xdr:cNvPr id="13369" name="Рисунок 13368">
          <a:extLst>
            <a:ext uri="{FF2B5EF4-FFF2-40B4-BE49-F238E27FC236}">
              <a16:creationId xmlns:a16="http://schemas.microsoft.com/office/drawing/2014/main" id="{C988AFD4-32AC-45FC-A1BF-58A68395504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514795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2657</xdr:row>
      <xdr:rowOff>25400</xdr:rowOff>
    </xdr:from>
    <xdr:to>
      <xdr:col>11</xdr:col>
      <xdr:colOff>571500</xdr:colOff>
      <xdr:row>2658</xdr:row>
      <xdr:rowOff>0</xdr:rowOff>
    </xdr:to>
    <xdr:pic>
      <xdr:nvPicPr>
        <xdr:cNvPr id="13371" name="Рисунок 13370">
          <a:extLst>
            <a:ext uri="{FF2B5EF4-FFF2-40B4-BE49-F238E27FC236}">
              <a16:creationId xmlns:a16="http://schemas.microsoft.com/office/drawing/2014/main" id="{A72AB845-0E4B-4DAF-B851-FC8FFDE9B6B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515367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2658</xdr:row>
      <xdr:rowOff>25400</xdr:rowOff>
    </xdr:from>
    <xdr:to>
      <xdr:col>11</xdr:col>
      <xdr:colOff>571500</xdr:colOff>
      <xdr:row>2659</xdr:row>
      <xdr:rowOff>0</xdr:rowOff>
    </xdr:to>
    <xdr:pic>
      <xdr:nvPicPr>
        <xdr:cNvPr id="13373" name="Рисунок 13372">
          <a:extLst>
            <a:ext uri="{FF2B5EF4-FFF2-40B4-BE49-F238E27FC236}">
              <a16:creationId xmlns:a16="http://schemas.microsoft.com/office/drawing/2014/main" id="{A487DF52-2998-4C62-8F19-4CCC5BCC226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515938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2659</xdr:row>
      <xdr:rowOff>25400</xdr:rowOff>
    </xdr:from>
    <xdr:to>
      <xdr:col>11</xdr:col>
      <xdr:colOff>571500</xdr:colOff>
      <xdr:row>2660</xdr:row>
      <xdr:rowOff>0</xdr:rowOff>
    </xdr:to>
    <xdr:pic>
      <xdr:nvPicPr>
        <xdr:cNvPr id="13375" name="Рисунок 13374">
          <a:extLst>
            <a:ext uri="{FF2B5EF4-FFF2-40B4-BE49-F238E27FC236}">
              <a16:creationId xmlns:a16="http://schemas.microsoft.com/office/drawing/2014/main" id="{BE32A90D-1AEB-4C12-9F23-3903BDD103C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516510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2660</xdr:row>
      <xdr:rowOff>25400</xdr:rowOff>
    </xdr:from>
    <xdr:to>
      <xdr:col>11</xdr:col>
      <xdr:colOff>571500</xdr:colOff>
      <xdr:row>2661</xdr:row>
      <xdr:rowOff>0</xdr:rowOff>
    </xdr:to>
    <xdr:pic>
      <xdr:nvPicPr>
        <xdr:cNvPr id="13377" name="Рисунок 13376">
          <a:extLst>
            <a:ext uri="{FF2B5EF4-FFF2-40B4-BE49-F238E27FC236}">
              <a16:creationId xmlns:a16="http://schemas.microsoft.com/office/drawing/2014/main" id="{23DEFE47-5112-4E45-9AF0-ECC6CCDC7BA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517081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2661</xdr:row>
      <xdr:rowOff>25400</xdr:rowOff>
    </xdr:from>
    <xdr:to>
      <xdr:col>11</xdr:col>
      <xdr:colOff>571500</xdr:colOff>
      <xdr:row>2662</xdr:row>
      <xdr:rowOff>0</xdr:rowOff>
    </xdr:to>
    <xdr:pic>
      <xdr:nvPicPr>
        <xdr:cNvPr id="13379" name="Рисунок 13378">
          <a:extLst>
            <a:ext uri="{FF2B5EF4-FFF2-40B4-BE49-F238E27FC236}">
              <a16:creationId xmlns:a16="http://schemas.microsoft.com/office/drawing/2014/main" id="{4C2F2205-D4C0-470B-8E15-E22B18000E0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517653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2662</xdr:row>
      <xdr:rowOff>25400</xdr:rowOff>
    </xdr:from>
    <xdr:to>
      <xdr:col>11</xdr:col>
      <xdr:colOff>571500</xdr:colOff>
      <xdr:row>2663</xdr:row>
      <xdr:rowOff>0</xdr:rowOff>
    </xdr:to>
    <xdr:pic>
      <xdr:nvPicPr>
        <xdr:cNvPr id="13381" name="Рисунок 13380">
          <a:extLst>
            <a:ext uri="{FF2B5EF4-FFF2-40B4-BE49-F238E27FC236}">
              <a16:creationId xmlns:a16="http://schemas.microsoft.com/office/drawing/2014/main" id="{92F969F4-34FF-47C4-889C-D006109A8B8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518224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2663</xdr:row>
      <xdr:rowOff>25400</xdr:rowOff>
    </xdr:from>
    <xdr:to>
      <xdr:col>11</xdr:col>
      <xdr:colOff>571500</xdr:colOff>
      <xdr:row>2664</xdr:row>
      <xdr:rowOff>0</xdr:rowOff>
    </xdr:to>
    <xdr:pic>
      <xdr:nvPicPr>
        <xdr:cNvPr id="13383" name="Рисунок 13382">
          <a:extLst>
            <a:ext uri="{FF2B5EF4-FFF2-40B4-BE49-F238E27FC236}">
              <a16:creationId xmlns:a16="http://schemas.microsoft.com/office/drawing/2014/main" id="{F5660075-E8E7-4363-BB51-331DD6175AE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518796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2664</xdr:row>
      <xdr:rowOff>25400</xdr:rowOff>
    </xdr:from>
    <xdr:to>
      <xdr:col>11</xdr:col>
      <xdr:colOff>571500</xdr:colOff>
      <xdr:row>2665</xdr:row>
      <xdr:rowOff>0</xdr:rowOff>
    </xdr:to>
    <xdr:pic>
      <xdr:nvPicPr>
        <xdr:cNvPr id="13385" name="Рисунок 13384">
          <a:extLst>
            <a:ext uri="{FF2B5EF4-FFF2-40B4-BE49-F238E27FC236}">
              <a16:creationId xmlns:a16="http://schemas.microsoft.com/office/drawing/2014/main" id="{DABAA123-34BD-443D-8BF9-5A66C282A03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519367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2665</xdr:row>
      <xdr:rowOff>25400</xdr:rowOff>
    </xdr:from>
    <xdr:to>
      <xdr:col>11</xdr:col>
      <xdr:colOff>571500</xdr:colOff>
      <xdr:row>2666</xdr:row>
      <xdr:rowOff>0</xdr:rowOff>
    </xdr:to>
    <xdr:pic>
      <xdr:nvPicPr>
        <xdr:cNvPr id="13387" name="Рисунок 13386">
          <a:extLst>
            <a:ext uri="{FF2B5EF4-FFF2-40B4-BE49-F238E27FC236}">
              <a16:creationId xmlns:a16="http://schemas.microsoft.com/office/drawing/2014/main" id="{C2820FCB-7A39-49D5-8BD4-46D063BD417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519939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2666</xdr:row>
      <xdr:rowOff>25400</xdr:rowOff>
    </xdr:from>
    <xdr:to>
      <xdr:col>11</xdr:col>
      <xdr:colOff>571500</xdr:colOff>
      <xdr:row>2667</xdr:row>
      <xdr:rowOff>0</xdr:rowOff>
    </xdr:to>
    <xdr:pic>
      <xdr:nvPicPr>
        <xdr:cNvPr id="13389" name="Рисунок 13388">
          <a:extLst>
            <a:ext uri="{FF2B5EF4-FFF2-40B4-BE49-F238E27FC236}">
              <a16:creationId xmlns:a16="http://schemas.microsoft.com/office/drawing/2014/main" id="{B61DC5AB-E49E-4BA3-8D98-FB335BFB1C5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520510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2667</xdr:row>
      <xdr:rowOff>25400</xdr:rowOff>
    </xdr:from>
    <xdr:to>
      <xdr:col>11</xdr:col>
      <xdr:colOff>571500</xdr:colOff>
      <xdr:row>2668</xdr:row>
      <xdr:rowOff>0</xdr:rowOff>
    </xdr:to>
    <xdr:pic>
      <xdr:nvPicPr>
        <xdr:cNvPr id="13391" name="Рисунок 13390">
          <a:extLst>
            <a:ext uri="{FF2B5EF4-FFF2-40B4-BE49-F238E27FC236}">
              <a16:creationId xmlns:a16="http://schemas.microsoft.com/office/drawing/2014/main" id="{B82E2EB8-F516-4C78-A574-B314D664BAE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521082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2668</xdr:row>
      <xdr:rowOff>25400</xdr:rowOff>
    </xdr:from>
    <xdr:to>
      <xdr:col>11</xdr:col>
      <xdr:colOff>571500</xdr:colOff>
      <xdr:row>2669</xdr:row>
      <xdr:rowOff>0</xdr:rowOff>
    </xdr:to>
    <xdr:pic>
      <xdr:nvPicPr>
        <xdr:cNvPr id="13393" name="Рисунок 13392">
          <a:extLst>
            <a:ext uri="{FF2B5EF4-FFF2-40B4-BE49-F238E27FC236}">
              <a16:creationId xmlns:a16="http://schemas.microsoft.com/office/drawing/2014/main" id="{2DC7A3E1-11C0-46C0-A941-2A4A39BF23C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521653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2669</xdr:row>
      <xdr:rowOff>25400</xdr:rowOff>
    </xdr:from>
    <xdr:to>
      <xdr:col>11</xdr:col>
      <xdr:colOff>571500</xdr:colOff>
      <xdr:row>2670</xdr:row>
      <xdr:rowOff>0</xdr:rowOff>
    </xdr:to>
    <xdr:pic>
      <xdr:nvPicPr>
        <xdr:cNvPr id="13395" name="Рисунок 13394">
          <a:extLst>
            <a:ext uri="{FF2B5EF4-FFF2-40B4-BE49-F238E27FC236}">
              <a16:creationId xmlns:a16="http://schemas.microsoft.com/office/drawing/2014/main" id="{7645B73D-FBF9-41C8-80C9-3843B36662C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3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522225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2670</xdr:row>
      <xdr:rowOff>25400</xdr:rowOff>
    </xdr:from>
    <xdr:to>
      <xdr:col>11</xdr:col>
      <xdr:colOff>571500</xdr:colOff>
      <xdr:row>2671</xdr:row>
      <xdr:rowOff>0</xdr:rowOff>
    </xdr:to>
    <xdr:pic>
      <xdr:nvPicPr>
        <xdr:cNvPr id="13397" name="Рисунок 13396">
          <a:extLst>
            <a:ext uri="{FF2B5EF4-FFF2-40B4-BE49-F238E27FC236}">
              <a16:creationId xmlns:a16="http://schemas.microsoft.com/office/drawing/2014/main" id="{F5ACE477-9541-4233-9347-9FE8B1C1BE3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3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522796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2671</xdr:row>
      <xdr:rowOff>25400</xdr:rowOff>
    </xdr:from>
    <xdr:to>
      <xdr:col>11</xdr:col>
      <xdr:colOff>571500</xdr:colOff>
      <xdr:row>2672</xdr:row>
      <xdr:rowOff>0</xdr:rowOff>
    </xdr:to>
    <xdr:pic>
      <xdr:nvPicPr>
        <xdr:cNvPr id="13399" name="Рисунок 13398">
          <a:extLst>
            <a:ext uri="{FF2B5EF4-FFF2-40B4-BE49-F238E27FC236}">
              <a16:creationId xmlns:a16="http://schemas.microsoft.com/office/drawing/2014/main" id="{A3182F62-136D-4039-9D61-520D22B47E6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3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523368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2672</xdr:row>
      <xdr:rowOff>25400</xdr:rowOff>
    </xdr:from>
    <xdr:to>
      <xdr:col>11</xdr:col>
      <xdr:colOff>571500</xdr:colOff>
      <xdr:row>2673</xdr:row>
      <xdr:rowOff>0</xdr:rowOff>
    </xdr:to>
    <xdr:pic>
      <xdr:nvPicPr>
        <xdr:cNvPr id="13401" name="Рисунок 13400">
          <a:extLst>
            <a:ext uri="{FF2B5EF4-FFF2-40B4-BE49-F238E27FC236}">
              <a16:creationId xmlns:a16="http://schemas.microsoft.com/office/drawing/2014/main" id="{8E05B6DB-F4D9-40B5-915D-6CB55A035E1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3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523939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2673</xdr:row>
      <xdr:rowOff>25400</xdr:rowOff>
    </xdr:from>
    <xdr:to>
      <xdr:col>11</xdr:col>
      <xdr:colOff>571500</xdr:colOff>
      <xdr:row>2674</xdr:row>
      <xdr:rowOff>0</xdr:rowOff>
    </xdr:to>
    <xdr:pic>
      <xdr:nvPicPr>
        <xdr:cNvPr id="13403" name="Рисунок 13402">
          <a:extLst>
            <a:ext uri="{FF2B5EF4-FFF2-40B4-BE49-F238E27FC236}">
              <a16:creationId xmlns:a16="http://schemas.microsoft.com/office/drawing/2014/main" id="{22FFF827-C28E-4C9E-A063-7837C377141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3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524511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2674</xdr:row>
      <xdr:rowOff>25400</xdr:rowOff>
    </xdr:from>
    <xdr:to>
      <xdr:col>11</xdr:col>
      <xdr:colOff>571500</xdr:colOff>
      <xdr:row>2675</xdr:row>
      <xdr:rowOff>0</xdr:rowOff>
    </xdr:to>
    <xdr:pic>
      <xdr:nvPicPr>
        <xdr:cNvPr id="13405" name="Рисунок 13404">
          <a:extLst>
            <a:ext uri="{FF2B5EF4-FFF2-40B4-BE49-F238E27FC236}">
              <a16:creationId xmlns:a16="http://schemas.microsoft.com/office/drawing/2014/main" id="{4D2BEC26-2BB5-4F69-B54B-4FE295EB162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3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525082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2675</xdr:row>
      <xdr:rowOff>25400</xdr:rowOff>
    </xdr:from>
    <xdr:to>
      <xdr:col>11</xdr:col>
      <xdr:colOff>571500</xdr:colOff>
      <xdr:row>2676</xdr:row>
      <xdr:rowOff>0</xdr:rowOff>
    </xdr:to>
    <xdr:pic>
      <xdr:nvPicPr>
        <xdr:cNvPr id="13407" name="Рисунок 13406">
          <a:extLst>
            <a:ext uri="{FF2B5EF4-FFF2-40B4-BE49-F238E27FC236}">
              <a16:creationId xmlns:a16="http://schemas.microsoft.com/office/drawing/2014/main" id="{DD023F7E-CDB1-4D0C-B81B-A835A0E85AF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3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525654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2676</xdr:row>
      <xdr:rowOff>25400</xdr:rowOff>
    </xdr:from>
    <xdr:to>
      <xdr:col>11</xdr:col>
      <xdr:colOff>571500</xdr:colOff>
      <xdr:row>2677</xdr:row>
      <xdr:rowOff>0</xdr:rowOff>
    </xdr:to>
    <xdr:pic>
      <xdr:nvPicPr>
        <xdr:cNvPr id="13409" name="Рисунок 13408">
          <a:extLst>
            <a:ext uri="{FF2B5EF4-FFF2-40B4-BE49-F238E27FC236}">
              <a16:creationId xmlns:a16="http://schemas.microsoft.com/office/drawing/2014/main" id="{1E4ABAD9-9BDC-4FA8-AA6C-447D1B91671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3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526225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2677</xdr:row>
      <xdr:rowOff>25400</xdr:rowOff>
    </xdr:from>
    <xdr:to>
      <xdr:col>11</xdr:col>
      <xdr:colOff>571500</xdr:colOff>
      <xdr:row>2678</xdr:row>
      <xdr:rowOff>0</xdr:rowOff>
    </xdr:to>
    <xdr:pic>
      <xdr:nvPicPr>
        <xdr:cNvPr id="13411" name="Рисунок 13410">
          <a:extLst>
            <a:ext uri="{FF2B5EF4-FFF2-40B4-BE49-F238E27FC236}">
              <a16:creationId xmlns:a16="http://schemas.microsoft.com/office/drawing/2014/main" id="{A6B9C2FD-E775-4C05-9391-0D49A054763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3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526797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2678</xdr:row>
      <xdr:rowOff>25400</xdr:rowOff>
    </xdr:from>
    <xdr:to>
      <xdr:col>11</xdr:col>
      <xdr:colOff>571500</xdr:colOff>
      <xdr:row>2679</xdr:row>
      <xdr:rowOff>0</xdr:rowOff>
    </xdr:to>
    <xdr:pic>
      <xdr:nvPicPr>
        <xdr:cNvPr id="13413" name="Рисунок 13412">
          <a:extLst>
            <a:ext uri="{FF2B5EF4-FFF2-40B4-BE49-F238E27FC236}">
              <a16:creationId xmlns:a16="http://schemas.microsoft.com/office/drawing/2014/main" id="{6B836EE5-850B-45ED-9C35-696AF32D1B2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4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527368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2679</xdr:row>
      <xdr:rowOff>25400</xdr:rowOff>
    </xdr:from>
    <xdr:to>
      <xdr:col>11</xdr:col>
      <xdr:colOff>571500</xdr:colOff>
      <xdr:row>2680</xdr:row>
      <xdr:rowOff>0</xdr:rowOff>
    </xdr:to>
    <xdr:pic>
      <xdr:nvPicPr>
        <xdr:cNvPr id="13415" name="Рисунок 13414">
          <a:extLst>
            <a:ext uri="{FF2B5EF4-FFF2-40B4-BE49-F238E27FC236}">
              <a16:creationId xmlns:a16="http://schemas.microsoft.com/office/drawing/2014/main" id="{D7FA1FA9-917D-4494-B37D-F0E6EEE8444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4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527940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2680</xdr:row>
      <xdr:rowOff>25400</xdr:rowOff>
    </xdr:from>
    <xdr:to>
      <xdr:col>11</xdr:col>
      <xdr:colOff>571500</xdr:colOff>
      <xdr:row>2681</xdr:row>
      <xdr:rowOff>0</xdr:rowOff>
    </xdr:to>
    <xdr:pic>
      <xdr:nvPicPr>
        <xdr:cNvPr id="13417" name="Рисунок 13416">
          <a:extLst>
            <a:ext uri="{FF2B5EF4-FFF2-40B4-BE49-F238E27FC236}">
              <a16:creationId xmlns:a16="http://schemas.microsoft.com/office/drawing/2014/main" id="{2BB22234-99FE-42DA-87E2-AA63439EE48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528511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2681</xdr:row>
      <xdr:rowOff>25400</xdr:rowOff>
    </xdr:from>
    <xdr:to>
      <xdr:col>11</xdr:col>
      <xdr:colOff>571500</xdr:colOff>
      <xdr:row>2682</xdr:row>
      <xdr:rowOff>0</xdr:rowOff>
    </xdr:to>
    <xdr:pic>
      <xdr:nvPicPr>
        <xdr:cNvPr id="13419" name="Рисунок 13418">
          <a:extLst>
            <a:ext uri="{FF2B5EF4-FFF2-40B4-BE49-F238E27FC236}">
              <a16:creationId xmlns:a16="http://schemas.microsoft.com/office/drawing/2014/main" id="{082460B5-D771-4BF3-8F35-67B0A458FA5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529083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2682</xdr:row>
      <xdr:rowOff>25400</xdr:rowOff>
    </xdr:from>
    <xdr:to>
      <xdr:col>11</xdr:col>
      <xdr:colOff>571500</xdr:colOff>
      <xdr:row>2683</xdr:row>
      <xdr:rowOff>0</xdr:rowOff>
    </xdr:to>
    <xdr:pic>
      <xdr:nvPicPr>
        <xdr:cNvPr id="13421" name="Рисунок 13420">
          <a:extLst>
            <a:ext uri="{FF2B5EF4-FFF2-40B4-BE49-F238E27FC236}">
              <a16:creationId xmlns:a16="http://schemas.microsoft.com/office/drawing/2014/main" id="{FC668EE9-EDBD-4F07-A79C-7E734F6348D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529654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2683</xdr:row>
      <xdr:rowOff>25400</xdr:rowOff>
    </xdr:from>
    <xdr:to>
      <xdr:col>11</xdr:col>
      <xdr:colOff>571500</xdr:colOff>
      <xdr:row>2684</xdr:row>
      <xdr:rowOff>0</xdr:rowOff>
    </xdr:to>
    <xdr:pic>
      <xdr:nvPicPr>
        <xdr:cNvPr id="13423" name="Рисунок 13422">
          <a:extLst>
            <a:ext uri="{FF2B5EF4-FFF2-40B4-BE49-F238E27FC236}">
              <a16:creationId xmlns:a16="http://schemas.microsoft.com/office/drawing/2014/main" id="{2C349E52-BBAF-4888-95EF-B654E06F6EB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4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530226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2684</xdr:row>
      <xdr:rowOff>25400</xdr:rowOff>
    </xdr:from>
    <xdr:to>
      <xdr:col>11</xdr:col>
      <xdr:colOff>571500</xdr:colOff>
      <xdr:row>2685</xdr:row>
      <xdr:rowOff>0</xdr:rowOff>
    </xdr:to>
    <xdr:pic>
      <xdr:nvPicPr>
        <xdr:cNvPr id="13425" name="Рисунок 13424">
          <a:extLst>
            <a:ext uri="{FF2B5EF4-FFF2-40B4-BE49-F238E27FC236}">
              <a16:creationId xmlns:a16="http://schemas.microsoft.com/office/drawing/2014/main" id="{AC499CDF-BAF6-4F86-B19D-F02CA2878F9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4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530797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2685</xdr:row>
      <xdr:rowOff>25400</xdr:rowOff>
    </xdr:from>
    <xdr:to>
      <xdr:col>11</xdr:col>
      <xdr:colOff>571500</xdr:colOff>
      <xdr:row>2686</xdr:row>
      <xdr:rowOff>0</xdr:rowOff>
    </xdr:to>
    <xdr:pic>
      <xdr:nvPicPr>
        <xdr:cNvPr id="13427" name="Рисунок 13426">
          <a:extLst>
            <a:ext uri="{FF2B5EF4-FFF2-40B4-BE49-F238E27FC236}">
              <a16:creationId xmlns:a16="http://schemas.microsoft.com/office/drawing/2014/main" id="{BDD54190-167E-41BB-9D8E-7F17E7374FE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4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531369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2686</xdr:row>
      <xdr:rowOff>25400</xdr:rowOff>
    </xdr:from>
    <xdr:to>
      <xdr:col>11</xdr:col>
      <xdr:colOff>571500</xdr:colOff>
      <xdr:row>2687</xdr:row>
      <xdr:rowOff>0</xdr:rowOff>
    </xdr:to>
    <xdr:pic>
      <xdr:nvPicPr>
        <xdr:cNvPr id="13429" name="Рисунок 13428">
          <a:extLst>
            <a:ext uri="{FF2B5EF4-FFF2-40B4-BE49-F238E27FC236}">
              <a16:creationId xmlns:a16="http://schemas.microsoft.com/office/drawing/2014/main" id="{212B67A5-477C-4359-B6E9-873AE22F80C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4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531940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2687</xdr:row>
      <xdr:rowOff>25400</xdr:rowOff>
    </xdr:from>
    <xdr:to>
      <xdr:col>11</xdr:col>
      <xdr:colOff>571500</xdr:colOff>
      <xdr:row>2688</xdr:row>
      <xdr:rowOff>0</xdr:rowOff>
    </xdr:to>
    <xdr:pic>
      <xdr:nvPicPr>
        <xdr:cNvPr id="13431" name="Рисунок 13430">
          <a:extLst>
            <a:ext uri="{FF2B5EF4-FFF2-40B4-BE49-F238E27FC236}">
              <a16:creationId xmlns:a16="http://schemas.microsoft.com/office/drawing/2014/main" id="{CFED4612-CD30-4A20-AC2C-D22BD897358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4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532512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2688</xdr:row>
      <xdr:rowOff>25400</xdr:rowOff>
    </xdr:from>
    <xdr:to>
      <xdr:col>11</xdr:col>
      <xdr:colOff>571500</xdr:colOff>
      <xdr:row>2689</xdr:row>
      <xdr:rowOff>0</xdr:rowOff>
    </xdr:to>
    <xdr:pic>
      <xdr:nvPicPr>
        <xdr:cNvPr id="13433" name="Рисунок 13432">
          <a:extLst>
            <a:ext uri="{FF2B5EF4-FFF2-40B4-BE49-F238E27FC236}">
              <a16:creationId xmlns:a16="http://schemas.microsoft.com/office/drawing/2014/main" id="{E5E3F775-CED9-47AF-8F82-BED49E69B3C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5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533083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2689</xdr:row>
      <xdr:rowOff>25400</xdr:rowOff>
    </xdr:from>
    <xdr:to>
      <xdr:col>11</xdr:col>
      <xdr:colOff>571500</xdr:colOff>
      <xdr:row>2690</xdr:row>
      <xdr:rowOff>0</xdr:rowOff>
    </xdr:to>
    <xdr:pic>
      <xdr:nvPicPr>
        <xdr:cNvPr id="13435" name="Рисунок 13434">
          <a:extLst>
            <a:ext uri="{FF2B5EF4-FFF2-40B4-BE49-F238E27FC236}">
              <a16:creationId xmlns:a16="http://schemas.microsoft.com/office/drawing/2014/main" id="{EFDD3AB6-531F-44DA-B5B3-E7211586A4A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5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533655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2690</xdr:row>
      <xdr:rowOff>25400</xdr:rowOff>
    </xdr:from>
    <xdr:to>
      <xdr:col>11</xdr:col>
      <xdr:colOff>571500</xdr:colOff>
      <xdr:row>2691</xdr:row>
      <xdr:rowOff>0</xdr:rowOff>
    </xdr:to>
    <xdr:pic>
      <xdr:nvPicPr>
        <xdr:cNvPr id="13437" name="Рисунок 13436">
          <a:extLst>
            <a:ext uri="{FF2B5EF4-FFF2-40B4-BE49-F238E27FC236}">
              <a16:creationId xmlns:a16="http://schemas.microsoft.com/office/drawing/2014/main" id="{B7C0AB18-5503-44EA-AF37-13C3CFE4D39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534226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2691</xdr:row>
      <xdr:rowOff>25400</xdr:rowOff>
    </xdr:from>
    <xdr:to>
      <xdr:col>11</xdr:col>
      <xdr:colOff>571500</xdr:colOff>
      <xdr:row>2692</xdr:row>
      <xdr:rowOff>0</xdr:rowOff>
    </xdr:to>
    <xdr:pic>
      <xdr:nvPicPr>
        <xdr:cNvPr id="13439" name="Рисунок 13438">
          <a:extLst>
            <a:ext uri="{FF2B5EF4-FFF2-40B4-BE49-F238E27FC236}">
              <a16:creationId xmlns:a16="http://schemas.microsoft.com/office/drawing/2014/main" id="{FDF09BC6-4F47-462D-BAA3-AF2F2543A3C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5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534798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2692</xdr:row>
      <xdr:rowOff>25400</xdr:rowOff>
    </xdr:from>
    <xdr:to>
      <xdr:col>11</xdr:col>
      <xdr:colOff>571500</xdr:colOff>
      <xdr:row>2693</xdr:row>
      <xdr:rowOff>0</xdr:rowOff>
    </xdr:to>
    <xdr:pic>
      <xdr:nvPicPr>
        <xdr:cNvPr id="13441" name="Рисунок 13440">
          <a:extLst>
            <a:ext uri="{FF2B5EF4-FFF2-40B4-BE49-F238E27FC236}">
              <a16:creationId xmlns:a16="http://schemas.microsoft.com/office/drawing/2014/main" id="{51FB7AA7-CCAC-48FD-B756-3A466D2B896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5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535369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2693</xdr:row>
      <xdr:rowOff>25400</xdr:rowOff>
    </xdr:from>
    <xdr:to>
      <xdr:col>11</xdr:col>
      <xdr:colOff>571500</xdr:colOff>
      <xdr:row>2694</xdr:row>
      <xdr:rowOff>0</xdr:rowOff>
    </xdr:to>
    <xdr:pic>
      <xdr:nvPicPr>
        <xdr:cNvPr id="13443" name="Рисунок 13442">
          <a:extLst>
            <a:ext uri="{FF2B5EF4-FFF2-40B4-BE49-F238E27FC236}">
              <a16:creationId xmlns:a16="http://schemas.microsoft.com/office/drawing/2014/main" id="{6853A7BF-D705-4399-B394-F0C5AB28D2B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5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535941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2694</xdr:row>
      <xdr:rowOff>25400</xdr:rowOff>
    </xdr:from>
    <xdr:to>
      <xdr:col>11</xdr:col>
      <xdr:colOff>571500</xdr:colOff>
      <xdr:row>2695</xdr:row>
      <xdr:rowOff>0</xdr:rowOff>
    </xdr:to>
    <xdr:pic>
      <xdr:nvPicPr>
        <xdr:cNvPr id="13445" name="Рисунок 13444">
          <a:extLst>
            <a:ext uri="{FF2B5EF4-FFF2-40B4-BE49-F238E27FC236}">
              <a16:creationId xmlns:a16="http://schemas.microsoft.com/office/drawing/2014/main" id="{D286A516-BA99-424D-8B5B-E95CB78959B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5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536512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2695</xdr:row>
      <xdr:rowOff>25400</xdr:rowOff>
    </xdr:from>
    <xdr:to>
      <xdr:col>11</xdr:col>
      <xdr:colOff>571500</xdr:colOff>
      <xdr:row>2696</xdr:row>
      <xdr:rowOff>0</xdr:rowOff>
    </xdr:to>
    <xdr:pic>
      <xdr:nvPicPr>
        <xdr:cNvPr id="13447" name="Рисунок 13446">
          <a:extLst>
            <a:ext uri="{FF2B5EF4-FFF2-40B4-BE49-F238E27FC236}">
              <a16:creationId xmlns:a16="http://schemas.microsoft.com/office/drawing/2014/main" id="{3F6B2040-2F1B-481A-BC68-81A1AA60B2F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5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537084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2696</xdr:row>
      <xdr:rowOff>25400</xdr:rowOff>
    </xdr:from>
    <xdr:to>
      <xdr:col>11</xdr:col>
      <xdr:colOff>571500</xdr:colOff>
      <xdr:row>2697</xdr:row>
      <xdr:rowOff>0</xdr:rowOff>
    </xdr:to>
    <xdr:pic>
      <xdr:nvPicPr>
        <xdr:cNvPr id="13449" name="Рисунок 13448">
          <a:extLst>
            <a:ext uri="{FF2B5EF4-FFF2-40B4-BE49-F238E27FC236}">
              <a16:creationId xmlns:a16="http://schemas.microsoft.com/office/drawing/2014/main" id="{E73D5D42-8DAC-4782-97BD-2BF7E56F05C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5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537655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2697</xdr:row>
      <xdr:rowOff>25400</xdr:rowOff>
    </xdr:from>
    <xdr:to>
      <xdr:col>11</xdr:col>
      <xdr:colOff>571500</xdr:colOff>
      <xdr:row>2698</xdr:row>
      <xdr:rowOff>0</xdr:rowOff>
    </xdr:to>
    <xdr:pic>
      <xdr:nvPicPr>
        <xdr:cNvPr id="13451" name="Рисунок 13450">
          <a:extLst>
            <a:ext uri="{FF2B5EF4-FFF2-40B4-BE49-F238E27FC236}">
              <a16:creationId xmlns:a16="http://schemas.microsoft.com/office/drawing/2014/main" id="{11EF8503-48B5-47EE-A226-96F1B625B7B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5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538227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2698</xdr:row>
      <xdr:rowOff>25400</xdr:rowOff>
    </xdr:from>
    <xdr:to>
      <xdr:col>11</xdr:col>
      <xdr:colOff>571500</xdr:colOff>
      <xdr:row>2699</xdr:row>
      <xdr:rowOff>0</xdr:rowOff>
    </xdr:to>
    <xdr:pic>
      <xdr:nvPicPr>
        <xdr:cNvPr id="13453" name="Рисунок 13452">
          <a:extLst>
            <a:ext uri="{FF2B5EF4-FFF2-40B4-BE49-F238E27FC236}">
              <a16:creationId xmlns:a16="http://schemas.microsoft.com/office/drawing/2014/main" id="{20BFEFE1-E0C8-4F16-9D57-A2194C7F07F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6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538798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2699</xdr:row>
      <xdr:rowOff>25400</xdr:rowOff>
    </xdr:from>
    <xdr:to>
      <xdr:col>11</xdr:col>
      <xdr:colOff>571500</xdr:colOff>
      <xdr:row>2700</xdr:row>
      <xdr:rowOff>0</xdr:rowOff>
    </xdr:to>
    <xdr:pic>
      <xdr:nvPicPr>
        <xdr:cNvPr id="13455" name="Рисунок 13454">
          <a:extLst>
            <a:ext uri="{FF2B5EF4-FFF2-40B4-BE49-F238E27FC236}">
              <a16:creationId xmlns:a16="http://schemas.microsoft.com/office/drawing/2014/main" id="{9F5C8520-44D9-4BBC-88F0-257F8F2B6F8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6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539370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2700</xdr:row>
      <xdr:rowOff>25400</xdr:rowOff>
    </xdr:from>
    <xdr:to>
      <xdr:col>11</xdr:col>
      <xdr:colOff>571500</xdr:colOff>
      <xdr:row>2701</xdr:row>
      <xdr:rowOff>0</xdr:rowOff>
    </xdr:to>
    <xdr:pic>
      <xdr:nvPicPr>
        <xdr:cNvPr id="13457" name="Рисунок 13456">
          <a:extLst>
            <a:ext uri="{FF2B5EF4-FFF2-40B4-BE49-F238E27FC236}">
              <a16:creationId xmlns:a16="http://schemas.microsoft.com/office/drawing/2014/main" id="{9EEE2EBB-6A65-44CB-91A0-F230CB01DEC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6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539941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2701</xdr:row>
      <xdr:rowOff>25400</xdr:rowOff>
    </xdr:from>
    <xdr:to>
      <xdr:col>11</xdr:col>
      <xdr:colOff>571500</xdr:colOff>
      <xdr:row>2702</xdr:row>
      <xdr:rowOff>0</xdr:rowOff>
    </xdr:to>
    <xdr:pic>
      <xdr:nvPicPr>
        <xdr:cNvPr id="13459" name="Рисунок 13458">
          <a:extLst>
            <a:ext uri="{FF2B5EF4-FFF2-40B4-BE49-F238E27FC236}">
              <a16:creationId xmlns:a16="http://schemas.microsoft.com/office/drawing/2014/main" id="{FDC55AD8-9B78-4D78-9F46-EEB03728D9B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6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540513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2702</xdr:row>
      <xdr:rowOff>25400</xdr:rowOff>
    </xdr:from>
    <xdr:to>
      <xdr:col>11</xdr:col>
      <xdr:colOff>571500</xdr:colOff>
      <xdr:row>2703</xdr:row>
      <xdr:rowOff>0</xdr:rowOff>
    </xdr:to>
    <xdr:pic>
      <xdr:nvPicPr>
        <xdr:cNvPr id="13461" name="Рисунок 13460">
          <a:extLst>
            <a:ext uri="{FF2B5EF4-FFF2-40B4-BE49-F238E27FC236}">
              <a16:creationId xmlns:a16="http://schemas.microsoft.com/office/drawing/2014/main" id="{63568D0B-CFEA-402E-B148-E84ED524FE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6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541084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2703</xdr:row>
      <xdr:rowOff>25400</xdr:rowOff>
    </xdr:from>
    <xdr:to>
      <xdr:col>11</xdr:col>
      <xdr:colOff>571500</xdr:colOff>
      <xdr:row>2704</xdr:row>
      <xdr:rowOff>0</xdr:rowOff>
    </xdr:to>
    <xdr:pic>
      <xdr:nvPicPr>
        <xdr:cNvPr id="13463" name="Рисунок 13462">
          <a:extLst>
            <a:ext uri="{FF2B5EF4-FFF2-40B4-BE49-F238E27FC236}">
              <a16:creationId xmlns:a16="http://schemas.microsoft.com/office/drawing/2014/main" id="{6AFEC3F1-9F39-46D0-A370-A2197433675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6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541656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2704</xdr:row>
      <xdr:rowOff>25400</xdr:rowOff>
    </xdr:from>
    <xdr:to>
      <xdr:col>11</xdr:col>
      <xdr:colOff>571500</xdr:colOff>
      <xdr:row>2705</xdr:row>
      <xdr:rowOff>0</xdr:rowOff>
    </xdr:to>
    <xdr:pic>
      <xdr:nvPicPr>
        <xdr:cNvPr id="13465" name="Рисунок 13464">
          <a:extLst>
            <a:ext uri="{FF2B5EF4-FFF2-40B4-BE49-F238E27FC236}">
              <a16:creationId xmlns:a16="http://schemas.microsoft.com/office/drawing/2014/main" id="{1B316A07-0C1F-4D4A-8A3D-3272D721FCA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6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542227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2705</xdr:row>
      <xdr:rowOff>25400</xdr:rowOff>
    </xdr:from>
    <xdr:to>
      <xdr:col>11</xdr:col>
      <xdr:colOff>571500</xdr:colOff>
      <xdr:row>2706</xdr:row>
      <xdr:rowOff>0</xdr:rowOff>
    </xdr:to>
    <xdr:pic>
      <xdr:nvPicPr>
        <xdr:cNvPr id="13467" name="Рисунок 13466">
          <a:extLst>
            <a:ext uri="{FF2B5EF4-FFF2-40B4-BE49-F238E27FC236}">
              <a16:creationId xmlns:a16="http://schemas.microsoft.com/office/drawing/2014/main" id="{E6E14D72-BA05-4330-BFD6-E051AC4B6BE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6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542799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2706</xdr:row>
      <xdr:rowOff>25400</xdr:rowOff>
    </xdr:from>
    <xdr:to>
      <xdr:col>11</xdr:col>
      <xdr:colOff>571500</xdr:colOff>
      <xdr:row>2707</xdr:row>
      <xdr:rowOff>0</xdr:rowOff>
    </xdr:to>
    <xdr:pic>
      <xdr:nvPicPr>
        <xdr:cNvPr id="13469" name="Рисунок 13468">
          <a:extLst>
            <a:ext uri="{FF2B5EF4-FFF2-40B4-BE49-F238E27FC236}">
              <a16:creationId xmlns:a16="http://schemas.microsoft.com/office/drawing/2014/main" id="{4A5AFB99-3854-4B28-8E0C-5078CF46492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6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543370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2707</xdr:row>
      <xdr:rowOff>25400</xdr:rowOff>
    </xdr:from>
    <xdr:to>
      <xdr:col>11</xdr:col>
      <xdr:colOff>571500</xdr:colOff>
      <xdr:row>2708</xdr:row>
      <xdr:rowOff>0</xdr:rowOff>
    </xdr:to>
    <xdr:pic>
      <xdr:nvPicPr>
        <xdr:cNvPr id="13471" name="Рисунок 13470">
          <a:extLst>
            <a:ext uri="{FF2B5EF4-FFF2-40B4-BE49-F238E27FC236}">
              <a16:creationId xmlns:a16="http://schemas.microsoft.com/office/drawing/2014/main" id="{6FA6405E-3408-4240-A84E-108CF4C7FE4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6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543942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2708</xdr:row>
      <xdr:rowOff>25400</xdr:rowOff>
    </xdr:from>
    <xdr:to>
      <xdr:col>11</xdr:col>
      <xdr:colOff>571500</xdr:colOff>
      <xdr:row>2709</xdr:row>
      <xdr:rowOff>0</xdr:rowOff>
    </xdr:to>
    <xdr:pic>
      <xdr:nvPicPr>
        <xdr:cNvPr id="13473" name="Рисунок 13472">
          <a:extLst>
            <a:ext uri="{FF2B5EF4-FFF2-40B4-BE49-F238E27FC236}">
              <a16:creationId xmlns:a16="http://schemas.microsoft.com/office/drawing/2014/main" id="{6573120F-2C7F-4936-B5D7-8BDF828BCAE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7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544513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2709</xdr:row>
      <xdr:rowOff>25400</xdr:rowOff>
    </xdr:from>
    <xdr:to>
      <xdr:col>11</xdr:col>
      <xdr:colOff>571500</xdr:colOff>
      <xdr:row>2710</xdr:row>
      <xdr:rowOff>0</xdr:rowOff>
    </xdr:to>
    <xdr:pic>
      <xdr:nvPicPr>
        <xdr:cNvPr id="13475" name="Рисунок 13474">
          <a:extLst>
            <a:ext uri="{FF2B5EF4-FFF2-40B4-BE49-F238E27FC236}">
              <a16:creationId xmlns:a16="http://schemas.microsoft.com/office/drawing/2014/main" id="{4A07B37A-8790-44E0-908F-E93A81CFA33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7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545085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2710</xdr:row>
      <xdr:rowOff>25400</xdr:rowOff>
    </xdr:from>
    <xdr:to>
      <xdr:col>11</xdr:col>
      <xdr:colOff>571500</xdr:colOff>
      <xdr:row>2711</xdr:row>
      <xdr:rowOff>0</xdr:rowOff>
    </xdr:to>
    <xdr:pic>
      <xdr:nvPicPr>
        <xdr:cNvPr id="13477" name="Рисунок 13476">
          <a:extLst>
            <a:ext uri="{FF2B5EF4-FFF2-40B4-BE49-F238E27FC236}">
              <a16:creationId xmlns:a16="http://schemas.microsoft.com/office/drawing/2014/main" id="{99D0AF65-EE5D-49C6-B24D-597BF97BE3D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7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545656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2711</xdr:row>
      <xdr:rowOff>25400</xdr:rowOff>
    </xdr:from>
    <xdr:to>
      <xdr:col>11</xdr:col>
      <xdr:colOff>571500</xdr:colOff>
      <xdr:row>2712</xdr:row>
      <xdr:rowOff>0</xdr:rowOff>
    </xdr:to>
    <xdr:pic>
      <xdr:nvPicPr>
        <xdr:cNvPr id="13479" name="Рисунок 13478">
          <a:extLst>
            <a:ext uri="{FF2B5EF4-FFF2-40B4-BE49-F238E27FC236}">
              <a16:creationId xmlns:a16="http://schemas.microsoft.com/office/drawing/2014/main" id="{3341AB4E-4024-4B01-85AC-9E0F4B0599F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7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546228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2712</xdr:row>
      <xdr:rowOff>25400</xdr:rowOff>
    </xdr:from>
    <xdr:to>
      <xdr:col>11</xdr:col>
      <xdr:colOff>571500</xdr:colOff>
      <xdr:row>2713</xdr:row>
      <xdr:rowOff>0</xdr:rowOff>
    </xdr:to>
    <xdr:pic>
      <xdr:nvPicPr>
        <xdr:cNvPr id="13481" name="Рисунок 13480">
          <a:extLst>
            <a:ext uri="{FF2B5EF4-FFF2-40B4-BE49-F238E27FC236}">
              <a16:creationId xmlns:a16="http://schemas.microsoft.com/office/drawing/2014/main" id="{0C616924-8AAB-4AC8-8A4E-FA7984F5E56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7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546799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2713</xdr:row>
      <xdr:rowOff>25400</xdr:rowOff>
    </xdr:from>
    <xdr:to>
      <xdr:col>11</xdr:col>
      <xdr:colOff>571500</xdr:colOff>
      <xdr:row>2714</xdr:row>
      <xdr:rowOff>0</xdr:rowOff>
    </xdr:to>
    <xdr:pic>
      <xdr:nvPicPr>
        <xdr:cNvPr id="13483" name="Рисунок 13482">
          <a:extLst>
            <a:ext uri="{FF2B5EF4-FFF2-40B4-BE49-F238E27FC236}">
              <a16:creationId xmlns:a16="http://schemas.microsoft.com/office/drawing/2014/main" id="{DAE274E0-AE84-4C42-BA9E-EFB7CD5C92C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7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547371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2714</xdr:row>
      <xdr:rowOff>25400</xdr:rowOff>
    </xdr:from>
    <xdr:to>
      <xdr:col>11</xdr:col>
      <xdr:colOff>571500</xdr:colOff>
      <xdr:row>2715</xdr:row>
      <xdr:rowOff>0</xdr:rowOff>
    </xdr:to>
    <xdr:pic>
      <xdr:nvPicPr>
        <xdr:cNvPr id="13485" name="Рисунок 13484">
          <a:extLst>
            <a:ext uri="{FF2B5EF4-FFF2-40B4-BE49-F238E27FC236}">
              <a16:creationId xmlns:a16="http://schemas.microsoft.com/office/drawing/2014/main" id="{57262341-D3CD-412A-98B0-94D4BD308BD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7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547942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2715</xdr:row>
      <xdr:rowOff>25400</xdr:rowOff>
    </xdr:from>
    <xdr:to>
      <xdr:col>11</xdr:col>
      <xdr:colOff>571500</xdr:colOff>
      <xdr:row>2716</xdr:row>
      <xdr:rowOff>0</xdr:rowOff>
    </xdr:to>
    <xdr:pic>
      <xdr:nvPicPr>
        <xdr:cNvPr id="13487" name="Рисунок 13486">
          <a:extLst>
            <a:ext uri="{FF2B5EF4-FFF2-40B4-BE49-F238E27FC236}">
              <a16:creationId xmlns:a16="http://schemas.microsoft.com/office/drawing/2014/main" id="{97783FFA-7656-4F11-9F76-EB55728AE37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7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548514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2716</xdr:row>
      <xdr:rowOff>25400</xdr:rowOff>
    </xdr:from>
    <xdr:to>
      <xdr:col>11</xdr:col>
      <xdr:colOff>571500</xdr:colOff>
      <xdr:row>2717</xdr:row>
      <xdr:rowOff>0</xdr:rowOff>
    </xdr:to>
    <xdr:pic>
      <xdr:nvPicPr>
        <xdr:cNvPr id="13489" name="Рисунок 13488">
          <a:extLst>
            <a:ext uri="{FF2B5EF4-FFF2-40B4-BE49-F238E27FC236}">
              <a16:creationId xmlns:a16="http://schemas.microsoft.com/office/drawing/2014/main" id="{B155FF48-6611-4256-B209-0C100220A5E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7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549085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2717</xdr:row>
      <xdr:rowOff>25400</xdr:rowOff>
    </xdr:from>
    <xdr:to>
      <xdr:col>11</xdr:col>
      <xdr:colOff>571500</xdr:colOff>
      <xdr:row>2718</xdr:row>
      <xdr:rowOff>0</xdr:rowOff>
    </xdr:to>
    <xdr:pic>
      <xdr:nvPicPr>
        <xdr:cNvPr id="13491" name="Рисунок 13490">
          <a:extLst>
            <a:ext uri="{FF2B5EF4-FFF2-40B4-BE49-F238E27FC236}">
              <a16:creationId xmlns:a16="http://schemas.microsoft.com/office/drawing/2014/main" id="{208C7C55-D473-4DB0-A778-85FC930602E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7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549657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2718</xdr:row>
      <xdr:rowOff>25400</xdr:rowOff>
    </xdr:from>
    <xdr:to>
      <xdr:col>11</xdr:col>
      <xdr:colOff>571500</xdr:colOff>
      <xdr:row>2719</xdr:row>
      <xdr:rowOff>0</xdr:rowOff>
    </xdr:to>
    <xdr:pic>
      <xdr:nvPicPr>
        <xdr:cNvPr id="13493" name="Рисунок 13492">
          <a:extLst>
            <a:ext uri="{FF2B5EF4-FFF2-40B4-BE49-F238E27FC236}">
              <a16:creationId xmlns:a16="http://schemas.microsoft.com/office/drawing/2014/main" id="{C905FEFA-C749-4F6B-A556-4378BA4A9B4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8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550228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2719</xdr:row>
      <xdr:rowOff>25400</xdr:rowOff>
    </xdr:from>
    <xdr:to>
      <xdr:col>11</xdr:col>
      <xdr:colOff>571500</xdr:colOff>
      <xdr:row>2720</xdr:row>
      <xdr:rowOff>0</xdr:rowOff>
    </xdr:to>
    <xdr:pic>
      <xdr:nvPicPr>
        <xdr:cNvPr id="13495" name="Рисунок 13494">
          <a:extLst>
            <a:ext uri="{FF2B5EF4-FFF2-40B4-BE49-F238E27FC236}">
              <a16:creationId xmlns:a16="http://schemas.microsoft.com/office/drawing/2014/main" id="{E35F8FF9-9E04-4293-88C7-6E6DB8C0746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8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550800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2720</xdr:row>
      <xdr:rowOff>25400</xdr:rowOff>
    </xdr:from>
    <xdr:to>
      <xdr:col>11</xdr:col>
      <xdr:colOff>571500</xdr:colOff>
      <xdr:row>2721</xdr:row>
      <xdr:rowOff>0</xdr:rowOff>
    </xdr:to>
    <xdr:pic>
      <xdr:nvPicPr>
        <xdr:cNvPr id="13497" name="Рисунок 13496">
          <a:extLst>
            <a:ext uri="{FF2B5EF4-FFF2-40B4-BE49-F238E27FC236}">
              <a16:creationId xmlns:a16="http://schemas.microsoft.com/office/drawing/2014/main" id="{50D1F706-0B1B-4C78-BAB2-531FAD24670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8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551371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2721</xdr:row>
      <xdr:rowOff>25400</xdr:rowOff>
    </xdr:from>
    <xdr:to>
      <xdr:col>11</xdr:col>
      <xdr:colOff>571500</xdr:colOff>
      <xdr:row>2722</xdr:row>
      <xdr:rowOff>0</xdr:rowOff>
    </xdr:to>
    <xdr:pic>
      <xdr:nvPicPr>
        <xdr:cNvPr id="13499" name="Рисунок 13498">
          <a:extLst>
            <a:ext uri="{FF2B5EF4-FFF2-40B4-BE49-F238E27FC236}">
              <a16:creationId xmlns:a16="http://schemas.microsoft.com/office/drawing/2014/main" id="{6A7ABADB-2D56-4E2A-9322-9688695A329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8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551943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2722</xdr:row>
      <xdr:rowOff>25400</xdr:rowOff>
    </xdr:from>
    <xdr:to>
      <xdr:col>11</xdr:col>
      <xdr:colOff>571500</xdr:colOff>
      <xdr:row>2723</xdr:row>
      <xdr:rowOff>0</xdr:rowOff>
    </xdr:to>
    <xdr:pic>
      <xdr:nvPicPr>
        <xdr:cNvPr id="13501" name="Рисунок 13500">
          <a:extLst>
            <a:ext uri="{FF2B5EF4-FFF2-40B4-BE49-F238E27FC236}">
              <a16:creationId xmlns:a16="http://schemas.microsoft.com/office/drawing/2014/main" id="{06B9CE48-D150-4644-9E76-2E46B163F7E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8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552514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2723</xdr:row>
      <xdr:rowOff>25400</xdr:rowOff>
    </xdr:from>
    <xdr:to>
      <xdr:col>11</xdr:col>
      <xdr:colOff>571500</xdr:colOff>
      <xdr:row>2724</xdr:row>
      <xdr:rowOff>0</xdr:rowOff>
    </xdr:to>
    <xdr:pic>
      <xdr:nvPicPr>
        <xdr:cNvPr id="13503" name="Рисунок 13502">
          <a:extLst>
            <a:ext uri="{FF2B5EF4-FFF2-40B4-BE49-F238E27FC236}">
              <a16:creationId xmlns:a16="http://schemas.microsoft.com/office/drawing/2014/main" id="{66B813FA-638E-45B3-A880-36C27123934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8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553086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2724</xdr:row>
      <xdr:rowOff>25400</xdr:rowOff>
    </xdr:from>
    <xdr:to>
      <xdr:col>11</xdr:col>
      <xdr:colOff>571500</xdr:colOff>
      <xdr:row>2725</xdr:row>
      <xdr:rowOff>0</xdr:rowOff>
    </xdr:to>
    <xdr:pic>
      <xdr:nvPicPr>
        <xdr:cNvPr id="13505" name="Рисунок 13504">
          <a:extLst>
            <a:ext uri="{FF2B5EF4-FFF2-40B4-BE49-F238E27FC236}">
              <a16:creationId xmlns:a16="http://schemas.microsoft.com/office/drawing/2014/main" id="{0F826C29-02AE-4C24-AF80-8861A8C9240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8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553657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2725</xdr:row>
      <xdr:rowOff>25400</xdr:rowOff>
    </xdr:from>
    <xdr:to>
      <xdr:col>11</xdr:col>
      <xdr:colOff>571500</xdr:colOff>
      <xdr:row>2726</xdr:row>
      <xdr:rowOff>0</xdr:rowOff>
    </xdr:to>
    <xdr:pic>
      <xdr:nvPicPr>
        <xdr:cNvPr id="13507" name="Рисунок 13506">
          <a:extLst>
            <a:ext uri="{FF2B5EF4-FFF2-40B4-BE49-F238E27FC236}">
              <a16:creationId xmlns:a16="http://schemas.microsoft.com/office/drawing/2014/main" id="{5A3A08EB-BB0C-467D-8DEC-7D50B506F0F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8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554229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2726</xdr:row>
      <xdr:rowOff>25400</xdr:rowOff>
    </xdr:from>
    <xdr:to>
      <xdr:col>11</xdr:col>
      <xdr:colOff>571500</xdr:colOff>
      <xdr:row>2727</xdr:row>
      <xdr:rowOff>0</xdr:rowOff>
    </xdr:to>
    <xdr:pic>
      <xdr:nvPicPr>
        <xdr:cNvPr id="13509" name="Рисунок 13508">
          <a:extLst>
            <a:ext uri="{FF2B5EF4-FFF2-40B4-BE49-F238E27FC236}">
              <a16:creationId xmlns:a16="http://schemas.microsoft.com/office/drawing/2014/main" id="{0B7DFBF9-1C91-4683-92A4-B4592B129E1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8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554800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2727</xdr:row>
      <xdr:rowOff>25400</xdr:rowOff>
    </xdr:from>
    <xdr:to>
      <xdr:col>11</xdr:col>
      <xdr:colOff>571500</xdr:colOff>
      <xdr:row>2728</xdr:row>
      <xdr:rowOff>0</xdr:rowOff>
    </xdr:to>
    <xdr:pic>
      <xdr:nvPicPr>
        <xdr:cNvPr id="13511" name="Рисунок 13510">
          <a:extLst>
            <a:ext uri="{FF2B5EF4-FFF2-40B4-BE49-F238E27FC236}">
              <a16:creationId xmlns:a16="http://schemas.microsoft.com/office/drawing/2014/main" id="{47D9E1BF-4B2A-4CC3-9FAE-440235348DC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8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555372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2728</xdr:row>
      <xdr:rowOff>25400</xdr:rowOff>
    </xdr:from>
    <xdr:to>
      <xdr:col>11</xdr:col>
      <xdr:colOff>571500</xdr:colOff>
      <xdr:row>2729</xdr:row>
      <xdr:rowOff>0</xdr:rowOff>
    </xdr:to>
    <xdr:pic>
      <xdr:nvPicPr>
        <xdr:cNvPr id="13513" name="Рисунок 13512">
          <a:extLst>
            <a:ext uri="{FF2B5EF4-FFF2-40B4-BE49-F238E27FC236}">
              <a16:creationId xmlns:a16="http://schemas.microsoft.com/office/drawing/2014/main" id="{749DC7FF-3FC5-4140-AFBC-04500BB419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9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555943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2729</xdr:row>
      <xdr:rowOff>25400</xdr:rowOff>
    </xdr:from>
    <xdr:to>
      <xdr:col>11</xdr:col>
      <xdr:colOff>571500</xdr:colOff>
      <xdr:row>2730</xdr:row>
      <xdr:rowOff>0</xdr:rowOff>
    </xdr:to>
    <xdr:pic>
      <xdr:nvPicPr>
        <xdr:cNvPr id="13515" name="Рисунок 13514">
          <a:extLst>
            <a:ext uri="{FF2B5EF4-FFF2-40B4-BE49-F238E27FC236}">
              <a16:creationId xmlns:a16="http://schemas.microsoft.com/office/drawing/2014/main" id="{218BDA60-7CCC-49BA-9205-7E812275F87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9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556515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2730</xdr:row>
      <xdr:rowOff>25400</xdr:rowOff>
    </xdr:from>
    <xdr:to>
      <xdr:col>11</xdr:col>
      <xdr:colOff>571500</xdr:colOff>
      <xdr:row>2731</xdr:row>
      <xdr:rowOff>0</xdr:rowOff>
    </xdr:to>
    <xdr:pic>
      <xdr:nvPicPr>
        <xdr:cNvPr id="13517" name="Рисунок 13516">
          <a:extLst>
            <a:ext uri="{FF2B5EF4-FFF2-40B4-BE49-F238E27FC236}">
              <a16:creationId xmlns:a16="http://schemas.microsoft.com/office/drawing/2014/main" id="{0ABB27B1-72E0-4C17-BB1C-B11CF111A05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9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557086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2731</xdr:row>
      <xdr:rowOff>25400</xdr:rowOff>
    </xdr:from>
    <xdr:to>
      <xdr:col>11</xdr:col>
      <xdr:colOff>571500</xdr:colOff>
      <xdr:row>2732</xdr:row>
      <xdr:rowOff>0</xdr:rowOff>
    </xdr:to>
    <xdr:pic>
      <xdr:nvPicPr>
        <xdr:cNvPr id="13519" name="Рисунок 13518">
          <a:extLst>
            <a:ext uri="{FF2B5EF4-FFF2-40B4-BE49-F238E27FC236}">
              <a16:creationId xmlns:a16="http://schemas.microsoft.com/office/drawing/2014/main" id="{E665E3CF-ED62-43BB-9994-83B6C3853D3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9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557658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2732</xdr:row>
      <xdr:rowOff>25400</xdr:rowOff>
    </xdr:from>
    <xdr:to>
      <xdr:col>11</xdr:col>
      <xdr:colOff>571500</xdr:colOff>
      <xdr:row>2733</xdr:row>
      <xdr:rowOff>0</xdr:rowOff>
    </xdr:to>
    <xdr:pic>
      <xdr:nvPicPr>
        <xdr:cNvPr id="13521" name="Рисунок 13520">
          <a:extLst>
            <a:ext uri="{FF2B5EF4-FFF2-40B4-BE49-F238E27FC236}">
              <a16:creationId xmlns:a16="http://schemas.microsoft.com/office/drawing/2014/main" id="{152343A1-14B6-4918-B611-174665708DA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9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558229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2733</xdr:row>
      <xdr:rowOff>25400</xdr:rowOff>
    </xdr:from>
    <xdr:to>
      <xdr:col>11</xdr:col>
      <xdr:colOff>571500</xdr:colOff>
      <xdr:row>2734</xdr:row>
      <xdr:rowOff>0</xdr:rowOff>
    </xdr:to>
    <xdr:pic>
      <xdr:nvPicPr>
        <xdr:cNvPr id="13523" name="Рисунок 13522">
          <a:extLst>
            <a:ext uri="{FF2B5EF4-FFF2-40B4-BE49-F238E27FC236}">
              <a16:creationId xmlns:a16="http://schemas.microsoft.com/office/drawing/2014/main" id="{C0044B17-46EB-4866-B751-0517D5B373B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9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558801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2734</xdr:row>
      <xdr:rowOff>25400</xdr:rowOff>
    </xdr:from>
    <xdr:to>
      <xdr:col>11</xdr:col>
      <xdr:colOff>571500</xdr:colOff>
      <xdr:row>2735</xdr:row>
      <xdr:rowOff>0</xdr:rowOff>
    </xdr:to>
    <xdr:pic>
      <xdr:nvPicPr>
        <xdr:cNvPr id="13525" name="Рисунок 13524">
          <a:extLst>
            <a:ext uri="{FF2B5EF4-FFF2-40B4-BE49-F238E27FC236}">
              <a16:creationId xmlns:a16="http://schemas.microsoft.com/office/drawing/2014/main" id="{9D7B1AA6-8505-47F7-BC3E-5882AC9226F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9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559372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2735</xdr:row>
      <xdr:rowOff>25400</xdr:rowOff>
    </xdr:from>
    <xdr:to>
      <xdr:col>11</xdr:col>
      <xdr:colOff>571500</xdr:colOff>
      <xdr:row>2736</xdr:row>
      <xdr:rowOff>0</xdr:rowOff>
    </xdr:to>
    <xdr:pic>
      <xdr:nvPicPr>
        <xdr:cNvPr id="13527" name="Рисунок 13526">
          <a:extLst>
            <a:ext uri="{FF2B5EF4-FFF2-40B4-BE49-F238E27FC236}">
              <a16:creationId xmlns:a16="http://schemas.microsoft.com/office/drawing/2014/main" id="{B0A6A64E-9E46-4B50-8F75-9A71F9B89C9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9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559944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2736</xdr:row>
      <xdr:rowOff>25400</xdr:rowOff>
    </xdr:from>
    <xdr:to>
      <xdr:col>11</xdr:col>
      <xdr:colOff>571500</xdr:colOff>
      <xdr:row>2737</xdr:row>
      <xdr:rowOff>0</xdr:rowOff>
    </xdr:to>
    <xdr:pic>
      <xdr:nvPicPr>
        <xdr:cNvPr id="13529" name="Рисунок 13528">
          <a:extLst>
            <a:ext uri="{FF2B5EF4-FFF2-40B4-BE49-F238E27FC236}">
              <a16:creationId xmlns:a16="http://schemas.microsoft.com/office/drawing/2014/main" id="{790BF6B0-704B-48CC-A96D-A8AFF558B21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9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560515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2737</xdr:row>
      <xdr:rowOff>25400</xdr:rowOff>
    </xdr:from>
    <xdr:to>
      <xdr:col>11</xdr:col>
      <xdr:colOff>571500</xdr:colOff>
      <xdr:row>2738</xdr:row>
      <xdr:rowOff>0</xdr:rowOff>
    </xdr:to>
    <xdr:pic>
      <xdr:nvPicPr>
        <xdr:cNvPr id="13531" name="Рисунок 13530">
          <a:extLst>
            <a:ext uri="{FF2B5EF4-FFF2-40B4-BE49-F238E27FC236}">
              <a16:creationId xmlns:a16="http://schemas.microsoft.com/office/drawing/2014/main" id="{41A10E17-2620-42EC-B5EF-BD955D606E0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69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561087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2738</xdr:row>
      <xdr:rowOff>25400</xdr:rowOff>
    </xdr:from>
    <xdr:to>
      <xdr:col>11</xdr:col>
      <xdr:colOff>571500</xdr:colOff>
      <xdr:row>2739</xdr:row>
      <xdr:rowOff>0</xdr:rowOff>
    </xdr:to>
    <xdr:pic>
      <xdr:nvPicPr>
        <xdr:cNvPr id="13533" name="Рисунок 13532">
          <a:extLst>
            <a:ext uri="{FF2B5EF4-FFF2-40B4-BE49-F238E27FC236}">
              <a16:creationId xmlns:a16="http://schemas.microsoft.com/office/drawing/2014/main" id="{31ECF86A-E5AC-4FCB-87CB-4F20023240E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0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561658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2739</xdr:row>
      <xdr:rowOff>25400</xdr:rowOff>
    </xdr:from>
    <xdr:to>
      <xdr:col>11</xdr:col>
      <xdr:colOff>571500</xdr:colOff>
      <xdr:row>2740</xdr:row>
      <xdr:rowOff>0</xdr:rowOff>
    </xdr:to>
    <xdr:pic>
      <xdr:nvPicPr>
        <xdr:cNvPr id="13535" name="Рисунок 13534">
          <a:extLst>
            <a:ext uri="{FF2B5EF4-FFF2-40B4-BE49-F238E27FC236}">
              <a16:creationId xmlns:a16="http://schemas.microsoft.com/office/drawing/2014/main" id="{67DB9D36-40A7-47CC-857E-84F700BF1E7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0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562230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2740</xdr:row>
      <xdr:rowOff>25400</xdr:rowOff>
    </xdr:from>
    <xdr:to>
      <xdr:col>11</xdr:col>
      <xdr:colOff>571500</xdr:colOff>
      <xdr:row>2741</xdr:row>
      <xdr:rowOff>0</xdr:rowOff>
    </xdr:to>
    <xdr:pic>
      <xdr:nvPicPr>
        <xdr:cNvPr id="13537" name="Рисунок 13536">
          <a:extLst>
            <a:ext uri="{FF2B5EF4-FFF2-40B4-BE49-F238E27FC236}">
              <a16:creationId xmlns:a16="http://schemas.microsoft.com/office/drawing/2014/main" id="{31D09325-5B20-47AA-BAEE-CAA12D7A766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0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562801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2741</xdr:row>
      <xdr:rowOff>25400</xdr:rowOff>
    </xdr:from>
    <xdr:to>
      <xdr:col>11</xdr:col>
      <xdr:colOff>571500</xdr:colOff>
      <xdr:row>2742</xdr:row>
      <xdr:rowOff>0</xdr:rowOff>
    </xdr:to>
    <xdr:pic>
      <xdr:nvPicPr>
        <xdr:cNvPr id="13539" name="Рисунок 13538">
          <a:extLst>
            <a:ext uri="{FF2B5EF4-FFF2-40B4-BE49-F238E27FC236}">
              <a16:creationId xmlns:a16="http://schemas.microsoft.com/office/drawing/2014/main" id="{2AC4F25D-74A2-4EDA-A3D1-1962D3B4EE7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0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563373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2742</xdr:row>
      <xdr:rowOff>25400</xdr:rowOff>
    </xdr:from>
    <xdr:to>
      <xdr:col>11</xdr:col>
      <xdr:colOff>571500</xdr:colOff>
      <xdr:row>2743</xdr:row>
      <xdr:rowOff>0</xdr:rowOff>
    </xdr:to>
    <xdr:pic>
      <xdr:nvPicPr>
        <xdr:cNvPr id="13541" name="Рисунок 13540">
          <a:extLst>
            <a:ext uri="{FF2B5EF4-FFF2-40B4-BE49-F238E27FC236}">
              <a16:creationId xmlns:a16="http://schemas.microsoft.com/office/drawing/2014/main" id="{E5E77A73-6527-4102-966C-CD007060A6A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0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563944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2743</xdr:row>
      <xdr:rowOff>25400</xdr:rowOff>
    </xdr:from>
    <xdr:to>
      <xdr:col>11</xdr:col>
      <xdr:colOff>571500</xdr:colOff>
      <xdr:row>2744</xdr:row>
      <xdr:rowOff>0</xdr:rowOff>
    </xdr:to>
    <xdr:pic>
      <xdr:nvPicPr>
        <xdr:cNvPr id="13543" name="Рисунок 13542">
          <a:extLst>
            <a:ext uri="{FF2B5EF4-FFF2-40B4-BE49-F238E27FC236}">
              <a16:creationId xmlns:a16="http://schemas.microsoft.com/office/drawing/2014/main" id="{0942C713-00AB-4107-90D2-A7D0957EACF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0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564516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2744</xdr:row>
      <xdr:rowOff>25400</xdr:rowOff>
    </xdr:from>
    <xdr:to>
      <xdr:col>11</xdr:col>
      <xdr:colOff>571500</xdr:colOff>
      <xdr:row>2745</xdr:row>
      <xdr:rowOff>0</xdr:rowOff>
    </xdr:to>
    <xdr:pic>
      <xdr:nvPicPr>
        <xdr:cNvPr id="13545" name="Рисунок 13544">
          <a:extLst>
            <a:ext uri="{FF2B5EF4-FFF2-40B4-BE49-F238E27FC236}">
              <a16:creationId xmlns:a16="http://schemas.microsoft.com/office/drawing/2014/main" id="{16819BF1-1567-485E-B369-796BB464712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0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565087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2745</xdr:row>
      <xdr:rowOff>25400</xdr:rowOff>
    </xdr:from>
    <xdr:to>
      <xdr:col>11</xdr:col>
      <xdr:colOff>571500</xdr:colOff>
      <xdr:row>2746</xdr:row>
      <xdr:rowOff>0</xdr:rowOff>
    </xdr:to>
    <xdr:pic>
      <xdr:nvPicPr>
        <xdr:cNvPr id="13547" name="Рисунок 13546">
          <a:extLst>
            <a:ext uri="{FF2B5EF4-FFF2-40B4-BE49-F238E27FC236}">
              <a16:creationId xmlns:a16="http://schemas.microsoft.com/office/drawing/2014/main" id="{A122D11C-8E95-4F3D-B82C-4566BB514B1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0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565659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2746</xdr:row>
      <xdr:rowOff>25400</xdr:rowOff>
    </xdr:from>
    <xdr:to>
      <xdr:col>11</xdr:col>
      <xdr:colOff>571500</xdr:colOff>
      <xdr:row>2747</xdr:row>
      <xdr:rowOff>0</xdr:rowOff>
    </xdr:to>
    <xdr:pic>
      <xdr:nvPicPr>
        <xdr:cNvPr id="13549" name="Рисунок 13548">
          <a:extLst>
            <a:ext uri="{FF2B5EF4-FFF2-40B4-BE49-F238E27FC236}">
              <a16:creationId xmlns:a16="http://schemas.microsoft.com/office/drawing/2014/main" id="{140F0A78-ABCA-4401-903E-BF51CCC73EB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0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566230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2747</xdr:row>
      <xdr:rowOff>25400</xdr:rowOff>
    </xdr:from>
    <xdr:to>
      <xdr:col>11</xdr:col>
      <xdr:colOff>571500</xdr:colOff>
      <xdr:row>2748</xdr:row>
      <xdr:rowOff>0</xdr:rowOff>
    </xdr:to>
    <xdr:pic>
      <xdr:nvPicPr>
        <xdr:cNvPr id="13551" name="Рисунок 13550">
          <a:extLst>
            <a:ext uri="{FF2B5EF4-FFF2-40B4-BE49-F238E27FC236}">
              <a16:creationId xmlns:a16="http://schemas.microsoft.com/office/drawing/2014/main" id="{9A514AA1-B1F0-4830-B937-AD3F14C7593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0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566802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2748</xdr:row>
      <xdr:rowOff>25400</xdr:rowOff>
    </xdr:from>
    <xdr:to>
      <xdr:col>11</xdr:col>
      <xdr:colOff>571500</xdr:colOff>
      <xdr:row>2749</xdr:row>
      <xdr:rowOff>0</xdr:rowOff>
    </xdr:to>
    <xdr:pic>
      <xdr:nvPicPr>
        <xdr:cNvPr id="13553" name="Рисунок 13552">
          <a:extLst>
            <a:ext uri="{FF2B5EF4-FFF2-40B4-BE49-F238E27FC236}">
              <a16:creationId xmlns:a16="http://schemas.microsoft.com/office/drawing/2014/main" id="{0562557E-B9E8-4956-BF19-5B9660E1E84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567373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2749</xdr:row>
      <xdr:rowOff>25400</xdr:rowOff>
    </xdr:from>
    <xdr:to>
      <xdr:col>11</xdr:col>
      <xdr:colOff>571500</xdr:colOff>
      <xdr:row>2750</xdr:row>
      <xdr:rowOff>0</xdr:rowOff>
    </xdr:to>
    <xdr:pic>
      <xdr:nvPicPr>
        <xdr:cNvPr id="13555" name="Рисунок 13554">
          <a:extLst>
            <a:ext uri="{FF2B5EF4-FFF2-40B4-BE49-F238E27FC236}">
              <a16:creationId xmlns:a16="http://schemas.microsoft.com/office/drawing/2014/main" id="{34CD0012-0DD5-4AA9-BF34-32423801AB7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567945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2750</xdr:row>
      <xdr:rowOff>25400</xdr:rowOff>
    </xdr:from>
    <xdr:to>
      <xdr:col>11</xdr:col>
      <xdr:colOff>571500</xdr:colOff>
      <xdr:row>2751</xdr:row>
      <xdr:rowOff>0</xdr:rowOff>
    </xdr:to>
    <xdr:pic>
      <xdr:nvPicPr>
        <xdr:cNvPr id="13557" name="Рисунок 13556">
          <a:extLst>
            <a:ext uri="{FF2B5EF4-FFF2-40B4-BE49-F238E27FC236}">
              <a16:creationId xmlns:a16="http://schemas.microsoft.com/office/drawing/2014/main" id="{8442A29D-FF39-40A1-B4D3-C9002F25528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568516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2751</xdr:row>
      <xdr:rowOff>25400</xdr:rowOff>
    </xdr:from>
    <xdr:to>
      <xdr:col>11</xdr:col>
      <xdr:colOff>571500</xdr:colOff>
      <xdr:row>2752</xdr:row>
      <xdr:rowOff>0</xdr:rowOff>
    </xdr:to>
    <xdr:pic>
      <xdr:nvPicPr>
        <xdr:cNvPr id="13559" name="Рисунок 13558">
          <a:extLst>
            <a:ext uri="{FF2B5EF4-FFF2-40B4-BE49-F238E27FC236}">
              <a16:creationId xmlns:a16="http://schemas.microsoft.com/office/drawing/2014/main" id="{058F0989-6F53-4694-AB60-A9E43E1134E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569088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2752</xdr:row>
      <xdr:rowOff>25400</xdr:rowOff>
    </xdr:from>
    <xdr:to>
      <xdr:col>11</xdr:col>
      <xdr:colOff>571500</xdr:colOff>
      <xdr:row>2753</xdr:row>
      <xdr:rowOff>0</xdr:rowOff>
    </xdr:to>
    <xdr:pic>
      <xdr:nvPicPr>
        <xdr:cNvPr id="13561" name="Рисунок 13560">
          <a:extLst>
            <a:ext uri="{FF2B5EF4-FFF2-40B4-BE49-F238E27FC236}">
              <a16:creationId xmlns:a16="http://schemas.microsoft.com/office/drawing/2014/main" id="{69C19539-829E-465B-B039-9B0F776189A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569659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2753</xdr:row>
      <xdr:rowOff>25400</xdr:rowOff>
    </xdr:from>
    <xdr:to>
      <xdr:col>11</xdr:col>
      <xdr:colOff>571500</xdr:colOff>
      <xdr:row>2754</xdr:row>
      <xdr:rowOff>0</xdr:rowOff>
    </xdr:to>
    <xdr:pic>
      <xdr:nvPicPr>
        <xdr:cNvPr id="13563" name="Рисунок 13562">
          <a:extLst>
            <a:ext uri="{FF2B5EF4-FFF2-40B4-BE49-F238E27FC236}">
              <a16:creationId xmlns:a16="http://schemas.microsoft.com/office/drawing/2014/main" id="{D27E6C85-86FA-4D9F-9B72-A8D1066B186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570231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2754</xdr:row>
      <xdr:rowOff>25400</xdr:rowOff>
    </xdr:from>
    <xdr:to>
      <xdr:col>11</xdr:col>
      <xdr:colOff>571500</xdr:colOff>
      <xdr:row>2755</xdr:row>
      <xdr:rowOff>0</xdr:rowOff>
    </xdr:to>
    <xdr:pic>
      <xdr:nvPicPr>
        <xdr:cNvPr id="13565" name="Рисунок 13564">
          <a:extLst>
            <a:ext uri="{FF2B5EF4-FFF2-40B4-BE49-F238E27FC236}">
              <a16:creationId xmlns:a16="http://schemas.microsoft.com/office/drawing/2014/main" id="{49EA8E12-A539-4CD6-9946-C933F9A171D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570802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2755</xdr:row>
      <xdr:rowOff>25400</xdr:rowOff>
    </xdr:from>
    <xdr:to>
      <xdr:col>11</xdr:col>
      <xdr:colOff>571500</xdr:colOff>
      <xdr:row>2756</xdr:row>
      <xdr:rowOff>0</xdr:rowOff>
    </xdr:to>
    <xdr:pic>
      <xdr:nvPicPr>
        <xdr:cNvPr id="13567" name="Рисунок 13566">
          <a:extLst>
            <a:ext uri="{FF2B5EF4-FFF2-40B4-BE49-F238E27FC236}">
              <a16:creationId xmlns:a16="http://schemas.microsoft.com/office/drawing/2014/main" id="{06545B5F-E41E-441D-AEBC-76175B2C0D6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571374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2756</xdr:row>
      <xdr:rowOff>25400</xdr:rowOff>
    </xdr:from>
    <xdr:to>
      <xdr:col>11</xdr:col>
      <xdr:colOff>571500</xdr:colOff>
      <xdr:row>2757</xdr:row>
      <xdr:rowOff>0</xdr:rowOff>
    </xdr:to>
    <xdr:pic>
      <xdr:nvPicPr>
        <xdr:cNvPr id="13569" name="Рисунок 13568">
          <a:extLst>
            <a:ext uri="{FF2B5EF4-FFF2-40B4-BE49-F238E27FC236}">
              <a16:creationId xmlns:a16="http://schemas.microsoft.com/office/drawing/2014/main" id="{437C3527-87EC-4C2C-8505-DA3CB0EB2EA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571945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2757</xdr:row>
      <xdr:rowOff>25400</xdr:rowOff>
    </xdr:from>
    <xdr:to>
      <xdr:col>11</xdr:col>
      <xdr:colOff>571500</xdr:colOff>
      <xdr:row>2758</xdr:row>
      <xdr:rowOff>0</xdr:rowOff>
    </xdr:to>
    <xdr:pic>
      <xdr:nvPicPr>
        <xdr:cNvPr id="13571" name="Рисунок 13570">
          <a:extLst>
            <a:ext uri="{FF2B5EF4-FFF2-40B4-BE49-F238E27FC236}">
              <a16:creationId xmlns:a16="http://schemas.microsoft.com/office/drawing/2014/main" id="{780E6413-CA49-4E77-8888-0199AA821CF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572517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2758</xdr:row>
      <xdr:rowOff>25400</xdr:rowOff>
    </xdr:from>
    <xdr:to>
      <xdr:col>11</xdr:col>
      <xdr:colOff>571500</xdr:colOff>
      <xdr:row>2759</xdr:row>
      <xdr:rowOff>0</xdr:rowOff>
    </xdr:to>
    <xdr:pic>
      <xdr:nvPicPr>
        <xdr:cNvPr id="13573" name="Рисунок 13572">
          <a:extLst>
            <a:ext uri="{FF2B5EF4-FFF2-40B4-BE49-F238E27FC236}">
              <a16:creationId xmlns:a16="http://schemas.microsoft.com/office/drawing/2014/main" id="{871B28E3-5764-4A36-A640-48B45EA02D2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573088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2759</xdr:row>
      <xdr:rowOff>25400</xdr:rowOff>
    </xdr:from>
    <xdr:to>
      <xdr:col>11</xdr:col>
      <xdr:colOff>571500</xdr:colOff>
      <xdr:row>2760</xdr:row>
      <xdr:rowOff>0</xdr:rowOff>
    </xdr:to>
    <xdr:pic>
      <xdr:nvPicPr>
        <xdr:cNvPr id="13575" name="Рисунок 13574">
          <a:extLst>
            <a:ext uri="{FF2B5EF4-FFF2-40B4-BE49-F238E27FC236}">
              <a16:creationId xmlns:a16="http://schemas.microsoft.com/office/drawing/2014/main" id="{8B34DCDC-CBC3-4BA5-8C3A-96C35B89352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573660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2760</xdr:row>
      <xdr:rowOff>25400</xdr:rowOff>
    </xdr:from>
    <xdr:to>
      <xdr:col>11</xdr:col>
      <xdr:colOff>571500</xdr:colOff>
      <xdr:row>2761</xdr:row>
      <xdr:rowOff>0</xdr:rowOff>
    </xdr:to>
    <xdr:pic>
      <xdr:nvPicPr>
        <xdr:cNvPr id="13577" name="Рисунок 13576">
          <a:extLst>
            <a:ext uri="{FF2B5EF4-FFF2-40B4-BE49-F238E27FC236}">
              <a16:creationId xmlns:a16="http://schemas.microsoft.com/office/drawing/2014/main" id="{AE6BF2D7-C6CA-4614-ABDF-AD15DAEE62D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574231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2761</xdr:row>
      <xdr:rowOff>25400</xdr:rowOff>
    </xdr:from>
    <xdr:to>
      <xdr:col>11</xdr:col>
      <xdr:colOff>571500</xdr:colOff>
      <xdr:row>2762</xdr:row>
      <xdr:rowOff>0</xdr:rowOff>
    </xdr:to>
    <xdr:pic>
      <xdr:nvPicPr>
        <xdr:cNvPr id="13579" name="Рисунок 13578">
          <a:extLst>
            <a:ext uri="{FF2B5EF4-FFF2-40B4-BE49-F238E27FC236}">
              <a16:creationId xmlns:a16="http://schemas.microsoft.com/office/drawing/2014/main" id="{1D75A07A-6816-4BD0-92E3-385AF52FC3B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574803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2762</xdr:row>
      <xdr:rowOff>25400</xdr:rowOff>
    </xdr:from>
    <xdr:to>
      <xdr:col>11</xdr:col>
      <xdr:colOff>571500</xdr:colOff>
      <xdr:row>2763</xdr:row>
      <xdr:rowOff>0</xdr:rowOff>
    </xdr:to>
    <xdr:pic>
      <xdr:nvPicPr>
        <xdr:cNvPr id="13581" name="Рисунок 13580">
          <a:extLst>
            <a:ext uri="{FF2B5EF4-FFF2-40B4-BE49-F238E27FC236}">
              <a16:creationId xmlns:a16="http://schemas.microsoft.com/office/drawing/2014/main" id="{6E35E4C9-8589-4882-AFA3-A5BAE3D2FA5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575374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2763</xdr:row>
      <xdr:rowOff>25400</xdr:rowOff>
    </xdr:from>
    <xdr:to>
      <xdr:col>11</xdr:col>
      <xdr:colOff>571500</xdr:colOff>
      <xdr:row>2764</xdr:row>
      <xdr:rowOff>0</xdr:rowOff>
    </xdr:to>
    <xdr:pic>
      <xdr:nvPicPr>
        <xdr:cNvPr id="13583" name="Рисунок 13582">
          <a:extLst>
            <a:ext uri="{FF2B5EF4-FFF2-40B4-BE49-F238E27FC236}">
              <a16:creationId xmlns:a16="http://schemas.microsoft.com/office/drawing/2014/main" id="{355222FE-E84A-43E6-8A3F-4787EAD3864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575946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2764</xdr:row>
      <xdr:rowOff>25400</xdr:rowOff>
    </xdr:from>
    <xdr:to>
      <xdr:col>11</xdr:col>
      <xdr:colOff>571500</xdr:colOff>
      <xdr:row>2765</xdr:row>
      <xdr:rowOff>0</xdr:rowOff>
    </xdr:to>
    <xdr:pic>
      <xdr:nvPicPr>
        <xdr:cNvPr id="13585" name="Рисунок 13584">
          <a:extLst>
            <a:ext uri="{FF2B5EF4-FFF2-40B4-BE49-F238E27FC236}">
              <a16:creationId xmlns:a16="http://schemas.microsoft.com/office/drawing/2014/main" id="{E9E6E3BE-BAC2-4192-91F7-2CBB6B1CD45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576517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2765</xdr:row>
      <xdr:rowOff>25400</xdr:rowOff>
    </xdr:from>
    <xdr:to>
      <xdr:col>11</xdr:col>
      <xdr:colOff>571500</xdr:colOff>
      <xdr:row>2766</xdr:row>
      <xdr:rowOff>0</xdr:rowOff>
    </xdr:to>
    <xdr:pic>
      <xdr:nvPicPr>
        <xdr:cNvPr id="13587" name="Рисунок 13586">
          <a:extLst>
            <a:ext uri="{FF2B5EF4-FFF2-40B4-BE49-F238E27FC236}">
              <a16:creationId xmlns:a16="http://schemas.microsoft.com/office/drawing/2014/main" id="{ED77736C-56B9-4392-98D7-F42A95F3ADB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577089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2766</xdr:row>
      <xdr:rowOff>25400</xdr:rowOff>
    </xdr:from>
    <xdr:to>
      <xdr:col>11</xdr:col>
      <xdr:colOff>571500</xdr:colOff>
      <xdr:row>2767</xdr:row>
      <xdr:rowOff>0</xdr:rowOff>
    </xdr:to>
    <xdr:pic>
      <xdr:nvPicPr>
        <xdr:cNvPr id="13589" name="Рисунок 13588">
          <a:extLst>
            <a:ext uri="{FF2B5EF4-FFF2-40B4-BE49-F238E27FC236}">
              <a16:creationId xmlns:a16="http://schemas.microsoft.com/office/drawing/2014/main" id="{DA01A0C0-0470-476D-B93F-D49DC53C6B3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577660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2767</xdr:row>
      <xdr:rowOff>25400</xdr:rowOff>
    </xdr:from>
    <xdr:to>
      <xdr:col>11</xdr:col>
      <xdr:colOff>571500</xdr:colOff>
      <xdr:row>2768</xdr:row>
      <xdr:rowOff>0</xdr:rowOff>
    </xdr:to>
    <xdr:pic>
      <xdr:nvPicPr>
        <xdr:cNvPr id="13591" name="Рисунок 13590">
          <a:extLst>
            <a:ext uri="{FF2B5EF4-FFF2-40B4-BE49-F238E27FC236}">
              <a16:creationId xmlns:a16="http://schemas.microsoft.com/office/drawing/2014/main" id="{5E58DCF5-4E77-4347-9CF6-35EEDD6F0E0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578232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2768</xdr:row>
      <xdr:rowOff>25400</xdr:rowOff>
    </xdr:from>
    <xdr:to>
      <xdr:col>11</xdr:col>
      <xdr:colOff>571500</xdr:colOff>
      <xdr:row>2769</xdr:row>
      <xdr:rowOff>0</xdr:rowOff>
    </xdr:to>
    <xdr:pic>
      <xdr:nvPicPr>
        <xdr:cNvPr id="13593" name="Рисунок 13592">
          <a:extLst>
            <a:ext uri="{FF2B5EF4-FFF2-40B4-BE49-F238E27FC236}">
              <a16:creationId xmlns:a16="http://schemas.microsoft.com/office/drawing/2014/main" id="{D31D4B0A-5336-40D2-B426-7FB1AAC34F3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578803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2769</xdr:row>
      <xdr:rowOff>25400</xdr:rowOff>
    </xdr:from>
    <xdr:to>
      <xdr:col>11</xdr:col>
      <xdr:colOff>571500</xdr:colOff>
      <xdr:row>2770</xdr:row>
      <xdr:rowOff>0</xdr:rowOff>
    </xdr:to>
    <xdr:pic>
      <xdr:nvPicPr>
        <xdr:cNvPr id="13595" name="Рисунок 13594">
          <a:extLst>
            <a:ext uri="{FF2B5EF4-FFF2-40B4-BE49-F238E27FC236}">
              <a16:creationId xmlns:a16="http://schemas.microsoft.com/office/drawing/2014/main" id="{A18E2401-578F-4BE8-9CC0-B7CAFA40615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3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579375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2770</xdr:row>
      <xdr:rowOff>25400</xdr:rowOff>
    </xdr:from>
    <xdr:to>
      <xdr:col>11</xdr:col>
      <xdr:colOff>571500</xdr:colOff>
      <xdr:row>2771</xdr:row>
      <xdr:rowOff>0</xdr:rowOff>
    </xdr:to>
    <xdr:pic>
      <xdr:nvPicPr>
        <xdr:cNvPr id="13597" name="Рисунок 13596">
          <a:extLst>
            <a:ext uri="{FF2B5EF4-FFF2-40B4-BE49-F238E27FC236}">
              <a16:creationId xmlns:a16="http://schemas.microsoft.com/office/drawing/2014/main" id="{566FF04F-3CAC-4428-A292-3EA2C502B53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3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579946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2771</xdr:row>
      <xdr:rowOff>25400</xdr:rowOff>
    </xdr:from>
    <xdr:to>
      <xdr:col>11</xdr:col>
      <xdr:colOff>571500</xdr:colOff>
      <xdr:row>2772</xdr:row>
      <xdr:rowOff>0</xdr:rowOff>
    </xdr:to>
    <xdr:pic>
      <xdr:nvPicPr>
        <xdr:cNvPr id="13599" name="Рисунок 13598">
          <a:extLst>
            <a:ext uri="{FF2B5EF4-FFF2-40B4-BE49-F238E27FC236}">
              <a16:creationId xmlns:a16="http://schemas.microsoft.com/office/drawing/2014/main" id="{314D55BD-3F3E-4793-81F9-B74875AFE3F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3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580518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2772</xdr:row>
      <xdr:rowOff>25400</xdr:rowOff>
    </xdr:from>
    <xdr:to>
      <xdr:col>11</xdr:col>
      <xdr:colOff>571500</xdr:colOff>
      <xdr:row>2773</xdr:row>
      <xdr:rowOff>0</xdr:rowOff>
    </xdr:to>
    <xdr:pic>
      <xdr:nvPicPr>
        <xdr:cNvPr id="13601" name="Рисунок 13600">
          <a:extLst>
            <a:ext uri="{FF2B5EF4-FFF2-40B4-BE49-F238E27FC236}">
              <a16:creationId xmlns:a16="http://schemas.microsoft.com/office/drawing/2014/main" id="{7112F7DF-6CD5-4C95-8F7E-DD7046DAC43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3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581089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2773</xdr:row>
      <xdr:rowOff>25400</xdr:rowOff>
    </xdr:from>
    <xdr:to>
      <xdr:col>11</xdr:col>
      <xdr:colOff>571500</xdr:colOff>
      <xdr:row>2774</xdr:row>
      <xdr:rowOff>0</xdr:rowOff>
    </xdr:to>
    <xdr:pic>
      <xdr:nvPicPr>
        <xdr:cNvPr id="13603" name="Рисунок 13602">
          <a:extLst>
            <a:ext uri="{FF2B5EF4-FFF2-40B4-BE49-F238E27FC236}">
              <a16:creationId xmlns:a16="http://schemas.microsoft.com/office/drawing/2014/main" id="{CC7F5414-1622-4E6F-8902-59123D45691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3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581661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2774</xdr:row>
      <xdr:rowOff>25400</xdr:rowOff>
    </xdr:from>
    <xdr:to>
      <xdr:col>11</xdr:col>
      <xdr:colOff>571500</xdr:colOff>
      <xdr:row>2775</xdr:row>
      <xdr:rowOff>0</xdr:rowOff>
    </xdr:to>
    <xdr:pic>
      <xdr:nvPicPr>
        <xdr:cNvPr id="13605" name="Рисунок 13604">
          <a:extLst>
            <a:ext uri="{FF2B5EF4-FFF2-40B4-BE49-F238E27FC236}">
              <a16:creationId xmlns:a16="http://schemas.microsoft.com/office/drawing/2014/main" id="{279B1698-21A3-4F5F-95DE-B6E0EC48265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3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582232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2775</xdr:row>
      <xdr:rowOff>25400</xdr:rowOff>
    </xdr:from>
    <xdr:to>
      <xdr:col>11</xdr:col>
      <xdr:colOff>571500</xdr:colOff>
      <xdr:row>2776</xdr:row>
      <xdr:rowOff>0</xdr:rowOff>
    </xdr:to>
    <xdr:pic>
      <xdr:nvPicPr>
        <xdr:cNvPr id="13607" name="Рисунок 13606">
          <a:extLst>
            <a:ext uri="{FF2B5EF4-FFF2-40B4-BE49-F238E27FC236}">
              <a16:creationId xmlns:a16="http://schemas.microsoft.com/office/drawing/2014/main" id="{2A50B8AD-4A8E-49AD-AE00-A517E6BF9B7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3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582804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2776</xdr:row>
      <xdr:rowOff>25400</xdr:rowOff>
    </xdr:from>
    <xdr:to>
      <xdr:col>11</xdr:col>
      <xdr:colOff>571500</xdr:colOff>
      <xdr:row>2777</xdr:row>
      <xdr:rowOff>0</xdr:rowOff>
    </xdr:to>
    <xdr:pic>
      <xdr:nvPicPr>
        <xdr:cNvPr id="13609" name="Рисунок 13608">
          <a:extLst>
            <a:ext uri="{FF2B5EF4-FFF2-40B4-BE49-F238E27FC236}">
              <a16:creationId xmlns:a16="http://schemas.microsoft.com/office/drawing/2014/main" id="{AF84DAB0-011C-499F-8BF0-24EFA12A20F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3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583375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2777</xdr:row>
      <xdr:rowOff>25400</xdr:rowOff>
    </xdr:from>
    <xdr:to>
      <xdr:col>11</xdr:col>
      <xdr:colOff>571500</xdr:colOff>
      <xdr:row>2778</xdr:row>
      <xdr:rowOff>0</xdr:rowOff>
    </xdr:to>
    <xdr:pic>
      <xdr:nvPicPr>
        <xdr:cNvPr id="13611" name="Рисунок 13610">
          <a:extLst>
            <a:ext uri="{FF2B5EF4-FFF2-40B4-BE49-F238E27FC236}">
              <a16:creationId xmlns:a16="http://schemas.microsoft.com/office/drawing/2014/main" id="{D3B663D7-89E0-4E01-B747-8F8043DC27E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3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583947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2778</xdr:row>
      <xdr:rowOff>25400</xdr:rowOff>
    </xdr:from>
    <xdr:to>
      <xdr:col>11</xdr:col>
      <xdr:colOff>571500</xdr:colOff>
      <xdr:row>2779</xdr:row>
      <xdr:rowOff>0</xdr:rowOff>
    </xdr:to>
    <xdr:pic>
      <xdr:nvPicPr>
        <xdr:cNvPr id="13613" name="Рисунок 13612">
          <a:extLst>
            <a:ext uri="{FF2B5EF4-FFF2-40B4-BE49-F238E27FC236}">
              <a16:creationId xmlns:a16="http://schemas.microsoft.com/office/drawing/2014/main" id="{3A0913C3-D1A8-49FB-828F-D231B988222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4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584518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2779</xdr:row>
      <xdr:rowOff>25400</xdr:rowOff>
    </xdr:from>
    <xdr:to>
      <xdr:col>11</xdr:col>
      <xdr:colOff>571500</xdr:colOff>
      <xdr:row>2780</xdr:row>
      <xdr:rowOff>0</xdr:rowOff>
    </xdr:to>
    <xdr:pic>
      <xdr:nvPicPr>
        <xdr:cNvPr id="13615" name="Рисунок 13614">
          <a:extLst>
            <a:ext uri="{FF2B5EF4-FFF2-40B4-BE49-F238E27FC236}">
              <a16:creationId xmlns:a16="http://schemas.microsoft.com/office/drawing/2014/main" id="{1F246B9B-4119-4C86-8CBC-B96F00C1B26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4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585090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2780</xdr:row>
      <xdr:rowOff>25400</xdr:rowOff>
    </xdr:from>
    <xdr:to>
      <xdr:col>11</xdr:col>
      <xdr:colOff>571500</xdr:colOff>
      <xdr:row>2781</xdr:row>
      <xdr:rowOff>0</xdr:rowOff>
    </xdr:to>
    <xdr:pic>
      <xdr:nvPicPr>
        <xdr:cNvPr id="13617" name="Рисунок 13616">
          <a:extLst>
            <a:ext uri="{FF2B5EF4-FFF2-40B4-BE49-F238E27FC236}">
              <a16:creationId xmlns:a16="http://schemas.microsoft.com/office/drawing/2014/main" id="{81714844-C0BC-46F3-BC76-9C143280C5E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585661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2781</xdr:row>
      <xdr:rowOff>25400</xdr:rowOff>
    </xdr:from>
    <xdr:to>
      <xdr:col>11</xdr:col>
      <xdr:colOff>571500</xdr:colOff>
      <xdr:row>2782</xdr:row>
      <xdr:rowOff>0</xdr:rowOff>
    </xdr:to>
    <xdr:pic>
      <xdr:nvPicPr>
        <xdr:cNvPr id="13619" name="Рисунок 13618">
          <a:extLst>
            <a:ext uri="{FF2B5EF4-FFF2-40B4-BE49-F238E27FC236}">
              <a16:creationId xmlns:a16="http://schemas.microsoft.com/office/drawing/2014/main" id="{E59DED97-623D-49E2-9627-9BA0E6F776C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586233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2782</xdr:row>
      <xdr:rowOff>25400</xdr:rowOff>
    </xdr:from>
    <xdr:to>
      <xdr:col>11</xdr:col>
      <xdr:colOff>571500</xdr:colOff>
      <xdr:row>2783</xdr:row>
      <xdr:rowOff>0</xdr:rowOff>
    </xdr:to>
    <xdr:pic>
      <xdr:nvPicPr>
        <xdr:cNvPr id="13621" name="Рисунок 13620">
          <a:extLst>
            <a:ext uri="{FF2B5EF4-FFF2-40B4-BE49-F238E27FC236}">
              <a16:creationId xmlns:a16="http://schemas.microsoft.com/office/drawing/2014/main" id="{CCAD275C-5562-40C6-BBBC-2CA85B9DD6F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586804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2783</xdr:row>
      <xdr:rowOff>25400</xdr:rowOff>
    </xdr:from>
    <xdr:to>
      <xdr:col>11</xdr:col>
      <xdr:colOff>571500</xdr:colOff>
      <xdr:row>2784</xdr:row>
      <xdr:rowOff>0</xdr:rowOff>
    </xdr:to>
    <xdr:pic>
      <xdr:nvPicPr>
        <xdr:cNvPr id="13623" name="Рисунок 13622">
          <a:extLst>
            <a:ext uri="{FF2B5EF4-FFF2-40B4-BE49-F238E27FC236}">
              <a16:creationId xmlns:a16="http://schemas.microsoft.com/office/drawing/2014/main" id="{1F20C41C-2698-47E7-B654-BE2C031AA05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4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587376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2784</xdr:row>
      <xdr:rowOff>25400</xdr:rowOff>
    </xdr:from>
    <xdr:to>
      <xdr:col>11</xdr:col>
      <xdr:colOff>571500</xdr:colOff>
      <xdr:row>2785</xdr:row>
      <xdr:rowOff>0</xdr:rowOff>
    </xdr:to>
    <xdr:pic>
      <xdr:nvPicPr>
        <xdr:cNvPr id="13625" name="Рисунок 13624">
          <a:extLst>
            <a:ext uri="{FF2B5EF4-FFF2-40B4-BE49-F238E27FC236}">
              <a16:creationId xmlns:a16="http://schemas.microsoft.com/office/drawing/2014/main" id="{87926E74-F22B-462F-881F-F039BA8E74E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4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587947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2785</xdr:row>
      <xdr:rowOff>25400</xdr:rowOff>
    </xdr:from>
    <xdr:to>
      <xdr:col>11</xdr:col>
      <xdr:colOff>571500</xdr:colOff>
      <xdr:row>2786</xdr:row>
      <xdr:rowOff>0</xdr:rowOff>
    </xdr:to>
    <xdr:pic>
      <xdr:nvPicPr>
        <xdr:cNvPr id="13627" name="Рисунок 13626">
          <a:extLst>
            <a:ext uri="{FF2B5EF4-FFF2-40B4-BE49-F238E27FC236}">
              <a16:creationId xmlns:a16="http://schemas.microsoft.com/office/drawing/2014/main" id="{069517F9-D0F3-44F5-92B4-EB9A0A1BCE7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4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588519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2786</xdr:row>
      <xdr:rowOff>25400</xdr:rowOff>
    </xdr:from>
    <xdr:to>
      <xdr:col>11</xdr:col>
      <xdr:colOff>571500</xdr:colOff>
      <xdr:row>2787</xdr:row>
      <xdr:rowOff>0</xdr:rowOff>
    </xdr:to>
    <xdr:pic>
      <xdr:nvPicPr>
        <xdr:cNvPr id="13629" name="Рисунок 13628">
          <a:extLst>
            <a:ext uri="{FF2B5EF4-FFF2-40B4-BE49-F238E27FC236}">
              <a16:creationId xmlns:a16="http://schemas.microsoft.com/office/drawing/2014/main" id="{2A890A2E-39CF-4584-8B05-52FC1CAEE08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4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589090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2787</xdr:row>
      <xdr:rowOff>25400</xdr:rowOff>
    </xdr:from>
    <xdr:to>
      <xdr:col>11</xdr:col>
      <xdr:colOff>571500</xdr:colOff>
      <xdr:row>2788</xdr:row>
      <xdr:rowOff>0</xdr:rowOff>
    </xdr:to>
    <xdr:pic>
      <xdr:nvPicPr>
        <xdr:cNvPr id="13631" name="Рисунок 13630">
          <a:extLst>
            <a:ext uri="{FF2B5EF4-FFF2-40B4-BE49-F238E27FC236}">
              <a16:creationId xmlns:a16="http://schemas.microsoft.com/office/drawing/2014/main" id="{15D860FF-7CBD-4AC4-BDE6-65629FAD80F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4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589662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2788</xdr:row>
      <xdr:rowOff>25400</xdr:rowOff>
    </xdr:from>
    <xdr:to>
      <xdr:col>11</xdr:col>
      <xdr:colOff>571500</xdr:colOff>
      <xdr:row>2789</xdr:row>
      <xdr:rowOff>0</xdr:rowOff>
    </xdr:to>
    <xdr:pic>
      <xdr:nvPicPr>
        <xdr:cNvPr id="13633" name="Рисунок 13632">
          <a:extLst>
            <a:ext uri="{FF2B5EF4-FFF2-40B4-BE49-F238E27FC236}">
              <a16:creationId xmlns:a16="http://schemas.microsoft.com/office/drawing/2014/main" id="{66054861-D00B-44CB-ADDB-D7DE7164E15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5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590233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2789</xdr:row>
      <xdr:rowOff>25400</xdr:rowOff>
    </xdr:from>
    <xdr:to>
      <xdr:col>11</xdr:col>
      <xdr:colOff>571500</xdr:colOff>
      <xdr:row>2790</xdr:row>
      <xdr:rowOff>0</xdr:rowOff>
    </xdr:to>
    <xdr:pic>
      <xdr:nvPicPr>
        <xdr:cNvPr id="13635" name="Рисунок 13634">
          <a:extLst>
            <a:ext uri="{FF2B5EF4-FFF2-40B4-BE49-F238E27FC236}">
              <a16:creationId xmlns:a16="http://schemas.microsoft.com/office/drawing/2014/main" id="{38CAACE7-F17A-4D28-A737-C899F038A4A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5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590805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2790</xdr:row>
      <xdr:rowOff>25400</xdr:rowOff>
    </xdr:from>
    <xdr:to>
      <xdr:col>11</xdr:col>
      <xdr:colOff>571500</xdr:colOff>
      <xdr:row>2791</xdr:row>
      <xdr:rowOff>0</xdr:rowOff>
    </xdr:to>
    <xdr:pic>
      <xdr:nvPicPr>
        <xdr:cNvPr id="13637" name="Рисунок 13636">
          <a:extLst>
            <a:ext uri="{FF2B5EF4-FFF2-40B4-BE49-F238E27FC236}">
              <a16:creationId xmlns:a16="http://schemas.microsoft.com/office/drawing/2014/main" id="{6819F1F1-DCE1-4AFE-A8ED-586094411B1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591376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2791</xdr:row>
      <xdr:rowOff>25400</xdr:rowOff>
    </xdr:from>
    <xdr:to>
      <xdr:col>11</xdr:col>
      <xdr:colOff>571500</xdr:colOff>
      <xdr:row>2792</xdr:row>
      <xdr:rowOff>0</xdr:rowOff>
    </xdr:to>
    <xdr:pic>
      <xdr:nvPicPr>
        <xdr:cNvPr id="13639" name="Рисунок 13638">
          <a:extLst>
            <a:ext uri="{FF2B5EF4-FFF2-40B4-BE49-F238E27FC236}">
              <a16:creationId xmlns:a16="http://schemas.microsoft.com/office/drawing/2014/main" id="{88363409-ECBC-46BF-A521-08BA338DA64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5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591948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2792</xdr:row>
      <xdr:rowOff>25400</xdr:rowOff>
    </xdr:from>
    <xdr:to>
      <xdr:col>11</xdr:col>
      <xdr:colOff>571500</xdr:colOff>
      <xdr:row>2793</xdr:row>
      <xdr:rowOff>0</xdr:rowOff>
    </xdr:to>
    <xdr:pic>
      <xdr:nvPicPr>
        <xdr:cNvPr id="13641" name="Рисунок 13640">
          <a:extLst>
            <a:ext uri="{FF2B5EF4-FFF2-40B4-BE49-F238E27FC236}">
              <a16:creationId xmlns:a16="http://schemas.microsoft.com/office/drawing/2014/main" id="{14DDDB7F-3DC0-4F87-8E18-F1DD811C554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5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592519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2793</xdr:row>
      <xdr:rowOff>25400</xdr:rowOff>
    </xdr:from>
    <xdr:to>
      <xdr:col>11</xdr:col>
      <xdr:colOff>571500</xdr:colOff>
      <xdr:row>2794</xdr:row>
      <xdr:rowOff>0</xdr:rowOff>
    </xdr:to>
    <xdr:pic>
      <xdr:nvPicPr>
        <xdr:cNvPr id="13643" name="Рисунок 13642">
          <a:extLst>
            <a:ext uri="{FF2B5EF4-FFF2-40B4-BE49-F238E27FC236}">
              <a16:creationId xmlns:a16="http://schemas.microsoft.com/office/drawing/2014/main" id="{D60957E8-FCA3-4DEF-A9F6-4324CFECD65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5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593091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2794</xdr:row>
      <xdr:rowOff>25400</xdr:rowOff>
    </xdr:from>
    <xdr:to>
      <xdr:col>11</xdr:col>
      <xdr:colOff>571500</xdr:colOff>
      <xdr:row>2795</xdr:row>
      <xdr:rowOff>0</xdr:rowOff>
    </xdr:to>
    <xdr:pic>
      <xdr:nvPicPr>
        <xdr:cNvPr id="13645" name="Рисунок 13644">
          <a:extLst>
            <a:ext uri="{FF2B5EF4-FFF2-40B4-BE49-F238E27FC236}">
              <a16:creationId xmlns:a16="http://schemas.microsoft.com/office/drawing/2014/main" id="{D2651AE4-8243-43D4-AC80-F7273555869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5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593662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2795</xdr:row>
      <xdr:rowOff>25400</xdr:rowOff>
    </xdr:from>
    <xdr:to>
      <xdr:col>11</xdr:col>
      <xdr:colOff>571500</xdr:colOff>
      <xdr:row>2796</xdr:row>
      <xdr:rowOff>0</xdr:rowOff>
    </xdr:to>
    <xdr:pic>
      <xdr:nvPicPr>
        <xdr:cNvPr id="13647" name="Рисунок 13646">
          <a:extLst>
            <a:ext uri="{FF2B5EF4-FFF2-40B4-BE49-F238E27FC236}">
              <a16:creationId xmlns:a16="http://schemas.microsoft.com/office/drawing/2014/main" id="{70DDC0BD-5673-4524-915D-18C2A337F4E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5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594234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2796</xdr:row>
      <xdr:rowOff>25400</xdr:rowOff>
    </xdr:from>
    <xdr:to>
      <xdr:col>11</xdr:col>
      <xdr:colOff>571500</xdr:colOff>
      <xdr:row>2797</xdr:row>
      <xdr:rowOff>0</xdr:rowOff>
    </xdr:to>
    <xdr:pic>
      <xdr:nvPicPr>
        <xdr:cNvPr id="13649" name="Рисунок 13648">
          <a:extLst>
            <a:ext uri="{FF2B5EF4-FFF2-40B4-BE49-F238E27FC236}">
              <a16:creationId xmlns:a16="http://schemas.microsoft.com/office/drawing/2014/main" id="{691FC54A-B515-4E70-8581-DA9B3852B97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5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594805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2797</xdr:row>
      <xdr:rowOff>25400</xdr:rowOff>
    </xdr:from>
    <xdr:to>
      <xdr:col>11</xdr:col>
      <xdr:colOff>571500</xdr:colOff>
      <xdr:row>2798</xdr:row>
      <xdr:rowOff>0</xdr:rowOff>
    </xdr:to>
    <xdr:pic>
      <xdr:nvPicPr>
        <xdr:cNvPr id="13651" name="Рисунок 13650">
          <a:extLst>
            <a:ext uri="{FF2B5EF4-FFF2-40B4-BE49-F238E27FC236}">
              <a16:creationId xmlns:a16="http://schemas.microsoft.com/office/drawing/2014/main" id="{2108DB17-A9E4-47B5-9C57-388457984BB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5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595377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2798</xdr:row>
      <xdr:rowOff>25400</xdr:rowOff>
    </xdr:from>
    <xdr:to>
      <xdr:col>11</xdr:col>
      <xdr:colOff>571500</xdr:colOff>
      <xdr:row>2799</xdr:row>
      <xdr:rowOff>0</xdr:rowOff>
    </xdr:to>
    <xdr:pic>
      <xdr:nvPicPr>
        <xdr:cNvPr id="13653" name="Рисунок 13652">
          <a:extLst>
            <a:ext uri="{FF2B5EF4-FFF2-40B4-BE49-F238E27FC236}">
              <a16:creationId xmlns:a16="http://schemas.microsoft.com/office/drawing/2014/main" id="{382AA00A-3475-41BB-8BD9-2CC55003C5B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6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595948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2799</xdr:row>
      <xdr:rowOff>25400</xdr:rowOff>
    </xdr:from>
    <xdr:to>
      <xdr:col>11</xdr:col>
      <xdr:colOff>571500</xdr:colOff>
      <xdr:row>2800</xdr:row>
      <xdr:rowOff>0</xdr:rowOff>
    </xdr:to>
    <xdr:pic>
      <xdr:nvPicPr>
        <xdr:cNvPr id="13655" name="Рисунок 13654">
          <a:extLst>
            <a:ext uri="{FF2B5EF4-FFF2-40B4-BE49-F238E27FC236}">
              <a16:creationId xmlns:a16="http://schemas.microsoft.com/office/drawing/2014/main" id="{A5F73796-319B-4B42-89B1-B75DD768E95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6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596520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2800</xdr:row>
      <xdr:rowOff>25400</xdr:rowOff>
    </xdr:from>
    <xdr:to>
      <xdr:col>11</xdr:col>
      <xdr:colOff>571500</xdr:colOff>
      <xdr:row>2801</xdr:row>
      <xdr:rowOff>0</xdr:rowOff>
    </xdr:to>
    <xdr:pic>
      <xdr:nvPicPr>
        <xdr:cNvPr id="13657" name="Рисунок 13656">
          <a:extLst>
            <a:ext uri="{FF2B5EF4-FFF2-40B4-BE49-F238E27FC236}">
              <a16:creationId xmlns:a16="http://schemas.microsoft.com/office/drawing/2014/main" id="{4145E750-A8B0-4F28-9938-76972BF0EE4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6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597091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2801</xdr:row>
      <xdr:rowOff>25400</xdr:rowOff>
    </xdr:from>
    <xdr:to>
      <xdr:col>11</xdr:col>
      <xdr:colOff>571500</xdr:colOff>
      <xdr:row>2802</xdr:row>
      <xdr:rowOff>0</xdr:rowOff>
    </xdr:to>
    <xdr:pic>
      <xdr:nvPicPr>
        <xdr:cNvPr id="13659" name="Рисунок 13658">
          <a:extLst>
            <a:ext uri="{FF2B5EF4-FFF2-40B4-BE49-F238E27FC236}">
              <a16:creationId xmlns:a16="http://schemas.microsoft.com/office/drawing/2014/main" id="{7A7B068D-E343-4883-BB81-3250AB810C8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6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597663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2802</xdr:row>
      <xdr:rowOff>25400</xdr:rowOff>
    </xdr:from>
    <xdr:to>
      <xdr:col>11</xdr:col>
      <xdr:colOff>571500</xdr:colOff>
      <xdr:row>2803</xdr:row>
      <xdr:rowOff>0</xdr:rowOff>
    </xdr:to>
    <xdr:pic>
      <xdr:nvPicPr>
        <xdr:cNvPr id="13661" name="Рисунок 13660">
          <a:extLst>
            <a:ext uri="{FF2B5EF4-FFF2-40B4-BE49-F238E27FC236}">
              <a16:creationId xmlns:a16="http://schemas.microsoft.com/office/drawing/2014/main" id="{DC3E1B66-2E20-4BA9-AA84-D2D2A796838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6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598234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2803</xdr:row>
      <xdr:rowOff>25400</xdr:rowOff>
    </xdr:from>
    <xdr:to>
      <xdr:col>11</xdr:col>
      <xdr:colOff>571500</xdr:colOff>
      <xdr:row>2804</xdr:row>
      <xdr:rowOff>0</xdr:rowOff>
    </xdr:to>
    <xdr:pic>
      <xdr:nvPicPr>
        <xdr:cNvPr id="13663" name="Рисунок 13662">
          <a:extLst>
            <a:ext uri="{FF2B5EF4-FFF2-40B4-BE49-F238E27FC236}">
              <a16:creationId xmlns:a16="http://schemas.microsoft.com/office/drawing/2014/main" id="{E328C1A2-BE66-49DA-8988-42DAEC0BDF7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6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598806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2804</xdr:row>
      <xdr:rowOff>25400</xdr:rowOff>
    </xdr:from>
    <xdr:to>
      <xdr:col>11</xdr:col>
      <xdr:colOff>571500</xdr:colOff>
      <xdr:row>2805</xdr:row>
      <xdr:rowOff>0</xdr:rowOff>
    </xdr:to>
    <xdr:pic>
      <xdr:nvPicPr>
        <xdr:cNvPr id="13665" name="Рисунок 13664">
          <a:extLst>
            <a:ext uri="{FF2B5EF4-FFF2-40B4-BE49-F238E27FC236}">
              <a16:creationId xmlns:a16="http://schemas.microsoft.com/office/drawing/2014/main" id="{FA31C89A-5778-4C02-9B9E-9FD86BCEFCC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6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599377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2805</xdr:row>
      <xdr:rowOff>25400</xdr:rowOff>
    </xdr:from>
    <xdr:to>
      <xdr:col>11</xdr:col>
      <xdr:colOff>571500</xdr:colOff>
      <xdr:row>2806</xdr:row>
      <xdr:rowOff>0</xdr:rowOff>
    </xdr:to>
    <xdr:pic>
      <xdr:nvPicPr>
        <xdr:cNvPr id="13667" name="Рисунок 13666">
          <a:extLst>
            <a:ext uri="{FF2B5EF4-FFF2-40B4-BE49-F238E27FC236}">
              <a16:creationId xmlns:a16="http://schemas.microsoft.com/office/drawing/2014/main" id="{58E3A762-FD82-4E79-91C6-A676842E757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6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599949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2806</xdr:row>
      <xdr:rowOff>25400</xdr:rowOff>
    </xdr:from>
    <xdr:to>
      <xdr:col>11</xdr:col>
      <xdr:colOff>571500</xdr:colOff>
      <xdr:row>2807</xdr:row>
      <xdr:rowOff>0</xdr:rowOff>
    </xdr:to>
    <xdr:pic>
      <xdr:nvPicPr>
        <xdr:cNvPr id="13669" name="Рисунок 13668">
          <a:extLst>
            <a:ext uri="{FF2B5EF4-FFF2-40B4-BE49-F238E27FC236}">
              <a16:creationId xmlns:a16="http://schemas.microsoft.com/office/drawing/2014/main" id="{C9040280-654B-4823-9970-620BBAA7C39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6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600520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2807</xdr:row>
      <xdr:rowOff>25400</xdr:rowOff>
    </xdr:from>
    <xdr:to>
      <xdr:col>11</xdr:col>
      <xdr:colOff>571500</xdr:colOff>
      <xdr:row>2808</xdr:row>
      <xdr:rowOff>0</xdr:rowOff>
    </xdr:to>
    <xdr:pic>
      <xdr:nvPicPr>
        <xdr:cNvPr id="13671" name="Рисунок 13670">
          <a:extLst>
            <a:ext uri="{FF2B5EF4-FFF2-40B4-BE49-F238E27FC236}">
              <a16:creationId xmlns:a16="http://schemas.microsoft.com/office/drawing/2014/main" id="{8EAFF3FE-CAF8-4D8B-A361-D319CD3B609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6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601092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2808</xdr:row>
      <xdr:rowOff>25400</xdr:rowOff>
    </xdr:from>
    <xdr:to>
      <xdr:col>11</xdr:col>
      <xdr:colOff>571500</xdr:colOff>
      <xdr:row>2809</xdr:row>
      <xdr:rowOff>0</xdr:rowOff>
    </xdr:to>
    <xdr:pic>
      <xdr:nvPicPr>
        <xdr:cNvPr id="13673" name="Рисунок 13672">
          <a:extLst>
            <a:ext uri="{FF2B5EF4-FFF2-40B4-BE49-F238E27FC236}">
              <a16:creationId xmlns:a16="http://schemas.microsoft.com/office/drawing/2014/main" id="{16C40585-EE98-432E-9E8B-47F75A3F2CB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7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601663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2809</xdr:row>
      <xdr:rowOff>25400</xdr:rowOff>
    </xdr:from>
    <xdr:to>
      <xdr:col>11</xdr:col>
      <xdr:colOff>571500</xdr:colOff>
      <xdr:row>2810</xdr:row>
      <xdr:rowOff>0</xdr:rowOff>
    </xdr:to>
    <xdr:pic>
      <xdr:nvPicPr>
        <xdr:cNvPr id="13675" name="Рисунок 13674">
          <a:extLst>
            <a:ext uri="{FF2B5EF4-FFF2-40B4-BE49-F238E27FC236}">
              <a16:creationId xmlns:a16="http://schemas.microsoft.com/office/drawing/2014/main" id="{9C4068BA-2343-4468-A55E-48FDABC7298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7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602235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2810</xdr:row>
      <xdr:rowOff>25400</xdr:rowOff>
    </xdr:from>
    <xdr:to>
      <xdr:col>11</xdr:col>
      <xdr:colOff>571500</xdr:colOff>
      <xdr:row>2811</xdr:row>
      <xdr:rowOff>0</xdr:rowOff>
    </xdr:to>
    <xdr:pic>
      <xdr:nvPicPr>
        <xdr:cNvPr id="13677" name="Рисунок 13676">
          <a:extLst>
            <a:ext uri="{FF2B5EF4-FFF2-40B4-BE49-F238E27FC236}">
              <a16:creationId xmlns:a16="http://schemas.microsoft.com/office/drawing/2014/main" id="{6849C715-5507-4245-96E1-D0ECCB07948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7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602806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2811</xdr:row>
      <xdr:rowOff>25400</xdr:rowOff>
    </xdr:from>
    <xdr:to>
      <xdr:col>11</xdr:col>
      <xdr:colOff>571500</xdr:colOff>
      <xdr:row>2812</xdr:row>
      <xdr:rowOff>0</xdr:rowOff>
    </xdr:to>
    <xdr:pic>
      <xdr:nvPicPr>
        <xdr:cNvPr id="13679" name="Рисунок 13678">
          <a:extLst>
            <a:ext uri="{FF2B5EF4-FFF2-40B4-BE49-F238E27FC236}">
              <a16:creationId xmlns:a16="http://schemas.microsoft.com/office/drawing/2014/main" id="{EC749D08-1EF7-4FCB-867C-3AD52F67BFF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7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603378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2812</xdr:row>
      <xdr:rowOff>25400</xdr:rowOff>
    </xdr:from>
    <xdr:to>
      <xdr:col>11</xdr:col>
      <xdr:colOff>571500</xdr:colOff>
      <xdr:row>2813</xdr:row>
      <xdr:rowOff>0</xdr:rowOff>
    </xdr:to>
    <xdr:pic>
      <xdr:nvPicPr>
        <xdr:cNvPr id="13681" name="Рисунок 13680">
          <a:extLst>
            <a:ext uri="{FF2B5EF4-FFF2-40B4-BE49-F238E27FC236}">
              <a16:creationId xmlns:a16="http://schemas.microsoft.com/office/drawing/2014/main" id="{D1F3DB87-EC78-479A-B04F-40ACD8FC6F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7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603949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2813</xdr:row>
      <xdr:rowOff>25400</xdr:rowOff>
    </xdr:from>
    <xdr:to>
      <xdr:col>11</xdr:col>
      <xdr:colOff>571500</xdr:colOff>
      <xdr:row>2814</xdr:row>
      <xdr:rowOff>0</xdr:rowOff>
    </xdr:to>
    <xdr:pic>
      <xdr:nvPicPr>
        <xdr:cNvPr id="13683" name="Рисунок 13682">
          <a:extLst>
            <a:ext uri="{FF2B5EF4-FFF2-40B4-BE49-F238E27FC236}">
              <a16:creationId xmlns:a16="http://schemas.microsoft.com/office/drawing/2014/main" id="{57AC88B4-D0DC-468C-B62C-B4240DC7F5E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7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604521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2814</xdr:row>
      <xdr:rowOff>25400</xdr:rowOff>
    </xdr:from>
    <xdr:to>
      <xdr:col>11</xdr:col>
      <xdr:colOff>571500</xdr:colOff>
      <xdr:row>2815</xdr:row>
      <xdr:rowOff>0</xdr:rowOff>
    </xdr:to>
    <xdr:pic>
      <xdr:nvPicPr>
        <xdr:cNvPr id="13685" name="Рисунок 13684">
          <a:extLst>
            <a:ext uri="{FF2B5EF4-FFF2-40B4-BE49-F238E27FC236}">
              <a16:creationId xmlns:a16="http://schemas.microsoft.com/office/drawing/2014/main" id="{BE332004-CB61-4021-BA55-81DF972AA7D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7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605092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2815</xdr:row>
      <xdr:rowOff>25400</xdr:rowOff>
    </xdr:from>
    <xdr:to>
      <xdr:col>11</xdr:col>
      <xdr:colOff>571500</xdr:colOff>
      <xdr:row>2816</xdr:row>
      <xdr:rowOff>0</xdr:rowOff>
    </xdr:to>
    <xdr:pic>
      <xdr:nvPicPr>
        <xdr:cNvPr id="13687" name="Рисунок 13686">
          <a:extLst>
            <a:ext uri="{FF2B5EF4-FFF2-40B4-BE49-F238E27FC236}">
              <a16:creationId xmlns:a16="http://schemas.microsoft.com/office/drawing/2014/main" id="{7A386C48-AA42-4187-A6EF-AF4A92A8C11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7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605664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2816</xdr:row>
      <xdr:rowOff>25400</xdr:rowOff>
    </xdr:from>
    <xdr:to>
      <xdr:col>11</xdr:col>
      <xdr:colOff>571500</xdr:colOff>
      <xdr:row>2817</xdr:row>
      <xdr:rowOff>0</xdr:rowOff>
    </xdr:to>
    <xdr:pic>
      <xdr:nvPicPr>
        <xdr:cNvPr id="13689" name="Рисунок 13688">
          <a:extLst>
            <a:ext uri="{FF2B5EF4-FFF2-40B4-BE49-F238E27FC236}">
              <a16:creationId xmlns:a16="http://schemas.microsoft.com/office/drawing/2014/main" id="{98F651B9-A101-40DE-B8C4-74F51B7010A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7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606235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2817</xdr:row>
      <xdr:rowOff>25400</xdr:rowOff>
    </xdr:from>
    <xdr:to>
      <xdr:col>11</xdr:col>
      <xdr:colOff>571500</xdr:colOff>
      <xdr:row>2818</xdr:row>
      <xdr:rowOff>0</xdr:rowOff>
    </xdr:to>
    <xdr:pic>
      <xdr:nvPicPr>
        <xdr:cNvPr id="13691" name="Рисунок 13690">
          <a:extLst>
            <a:ext uri="{FF2B5EF4-FFF2-40B4-BE49-F238E27FC236}">
              <a16:creationId xmlns:a16="http://schemas.microsoft.com/office/drawing/2014/main" id="{CF57A329-7630-4CEA-A094-A297AE6D59A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7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606807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2818</xdr:row>
      <xdr:rowOff>25400</xdr:rowOff>
    </xdr:from>
    <xdr:to>
      <xdr:col>11</xdr:col>
      <xdr:colOff>571500</xdr:colOff>
      <xdr:row>2819</xdr:row>
      <xdr:rowOff>0</xdr:rowOff>
    </xdr:to>
    <xdr:pic>
      <xdr:nvPicPr>
        <xdr:cNvPr id="13693" name="Рисунок 13692">
          <a:extLst>
            <a:ext uri="{FF2B5EF4-FFF2-40B4-BE49-F238E27FC236}">
              <a16:creationId xmlns:a16="http://schemas.microsoft.com/office/drawing/2014/main" id="{E7F96372-3933-4686-886E-DCA76EDD6B9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8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607378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2819</xdr:row>
      <xdr:rowOff>25400</xdr:rowOff>
    </xdr:from>
    <xdr:to>
      <xdr:col>11</xdr:col>
      <xdr:colOff>571500</xdr:colOff>
      <xdr:row>2820</xdr:row>
      <xdr:rowOff>0</xdr:rowOff>
    </xdr:to>
    <xdr:pic>
      <xdr:nvPicPr>
        <xdr:cNvPr id="13695" name="Рисунок 13694">
          <a:extLst>
            <a:ext uri="{FF2B5EF4-FFF2-40B4-BE49-F238E27FC236}">
              <a16:creationId xmlns:a16="http://schemas.microsoft.com/office/drawing/2014/main" id="{4254C285-74BF-4780-BD28-127ABC2B4A9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8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607950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2820</xdr:row>
      <xdr:rowOff>25400</xdr:rowOff>
    </xdr:from>
    <xdr:to>
      <xdr:col>11</xdr:col>
      <xdr:colOff>571500</xdr:colOff>
      <xdr:row>2821</xdr:row>
      <xdr:rowOff>0</xdr:rowOff>
    </xdr:to>
    <xdr:pic>
      <xdr:nvPicPr>
        <xdr:cNvPr id="13697" name="Рисунок 13696">
          <a:extLst>
            <a:ext uri="{FF2B5EF4-FFF2-40B4-BE49-F238E27FC236}">
              <a16:creationId xmlns:a16="http://schemas.microsoft.com/office/drawing/2014/main" id="{5766F72E-8F62-4F16-AAE3-84CBAE49155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8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608521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2821</xdr:row>
      <xdr:rowOff>25400</xdr:rowOff>
    </xdr:from>
    <xdr:to>
      <xdr:col>11</xdr:col>
      <xdr:colOff>571500</xdr:colOff>
      <xdr:row>2822</xdr:row>
      <xdr:rowOff>0</xdr:rowOff>
    </xdr:to>
    <xdr:pic>
      <xdr:nvPicPr>
        <xdr:cNvPr id="13699" name="Рисунок 13698">
          <a:extLst>
            <a:ext uri="{FF2B5EF4-FFF2-40B4-BE49-F238E27FC236}">
              <a16:creationId xmlns:a16="http://schemas.microsoft.com/office/drawing/2014/main" id="{1113461D-AF26-4694-82B6-8D4046E5CCD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8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609093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2822</xdr:row>
      <xdr:rowOff>25400</xdr:rowOff>
    </xdr:from>
    <xdr:to>
      <xdr:col>11</xdr:col>
      <xdr:colOff>571500</xdr:colOff>
      <xdr:row>2823</xdr:row>
      <xdr:rowOff>0</xdr:rowOff>
    </xdr:to>
    <xdr:pic>
      <xdr:nvPicPr>
        <xdr:cNvPr id="13701" name="Рисунок 13700">
          <a:extLst>
            <a:ext uri="{FF2B5EF4-FFF2-40B4-BE49-F238E27FC236}">
              <a16:creationId xmlns:a16="http://schemas.microsoft.com/office/drawing/2014/main" id="{3E9A7360-4178-46F7-ADE6-84DFF9D7752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8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609664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2823</xdr:row>
      <xdr:rowOff>25400</xdr:rowOff>
    </xdr:from>
    <xdr:to>
      <xdr:col>11</xdr:col>
      <xdr:colOff>571500</xdr:colOff>
      <xdr:row>2824</xdr:row>
      <xdr:rowOff>0</xdr:rowOff>
    </xdr:to>
    <xdr:pic>
      <xdr:nvPicPr>
        <xdr:cNvPr id="13703" name="Рисунок 13702">
          <a:extLst>
            <a:ext uri="{FF2B5EF4-FFF2-40B4-BE49-F238E27FC236}">
              <a16:creationId xmlns:a16="http://schemas.microsoft.com/office/drawing/2014/main" id="{6FAEBD16-C130-498A-87EA-0C1C320BC38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8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610236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2824</xdr:row>
      <xdr:rowOff>25400</xdr:rowOff>
    </xdr:from>
    <xdr:to>
      <xdr:col>11</xdr:col>
      <xdr:colOff>571500</xdr:colOff>
      <xdr:row>2825</xdr:row>
      <xdr:rowOff>0</xdr:rowOff>
    </xdr:to>
    <xdr:pic>
      <xdr:nvPicPr>
        <xdr:cNvPr id="13705" name="Рисунок 13704">
          <a:extLst>
            <a:ext uri="{FF2B5EF4-FFF2-40B4-BE49-F238E27FC236}">
              <a16:creationId xmlns:a16="http://schemas.microsoft.com/office/drawing/2014/main" id="{96357193-3FCA-4AB1-ACD5-F3CF55BDCE8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8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610807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2825</xdr:row>
      <xdr:rowOff>25400</xdr:rowOff>
    </xdr:from>
    <xdr:to>
      <xdr:col>11</xdr:col>
      <xdr:colOff>571500</xdr:colOff>
      <xdr:row>2826</xdr:row>
      <xdr:rowOff>0</xdr:rowOff>
    </xdr:to>
    <xdr:pic>
      <xdr:nvPicPr>
        <xdr:cNvPr id="13707" name="Рисунок 13706">
          <a:extLst>
            <a:ext uri="{FF2B5EF4-FFF2-40B4-BE49-F238E27FC236}">
              <a16:creationId xmlns:a16="http://schemas.microsoft.com/office/drawing/2014/main" id="{28BEC89A-63F5-4A88-B5FF-2DDAF8954A0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8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611379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2826</xdr:row>
      <xdr:rowOff>25400</xdr:rowOff>
    </xdr:from>
    <xdr:to>
      <xdr:col>11</xdr:col>
      <xdr:colOff>571500</xdr:colOff>
      <xdr:row>2827</xdr:row>
      <xdr:rowOff>0</xdr:rowOff>
    </xdr:to>
    <xdr:pic>
      <xdr:nvPicPr>
        <xdr:cNvPr id="13709" name="Рисунок 13708">
          <a:extLst>
            <a:ext uri="{FF2B5EF4-FFF2-40B4-BE49-F238E27FC236}">
              <a16:creationId xmlns:a16="http://schemas.microsoft.com/office/drawing/2014/main" id="{246610A2-D779-4175-9D5C-5CDB0A0D755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8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611950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2827</xdr:row>
      <xdr:rowOff>25400</xdr:rowOff>
    </xdr:from>
    <xdr:to>
      <xdr:col>11</xdr:col>
      <xdr:colOff>571500</xdr:colOff>
      <xdr:row>2828</xdr:row>
      <xdr:rowOff>0</xdr:rowOff>
    </xdr:to>
    <xdr:pic>
      <xdr:nvPicPr>
        <xdr:cNvPr id="13711" name="Рисунок 13710">
          <a:extLst>
            <a:ext uri="{FF2B5EF4-FFF2-40B4-BE49-F238E27FC236}">
              <a16:creationId xmlns:a16="http://schemas.microsoft.com/office/drawing/2014/main" id="{83E004C7-3DBA-4F01-9F57-988DB89F498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8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612522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2828</xdr:row>
      <xdr:rowOff>25400</xdr:rowOff>
    </xdr:from>
    <xdr:to>
      <xdr:col>11</xdr:col>
      <xdr:colOff>571500</xdr:colOff>
      <xdr:row>2829</xdr:row>
      <xdr:rowOff>0</xdr:rowOff>
    </xdr:to>
    <xdr:pic>
      <xdr:nvPicPr>
        <xdr:cNvPr id="13713" name="Рисунок 13712">
          <a:extLst>
            <a:ext uri="{FF2B5EF4-FFF2-40B4-BE49-F238E27FC236}">
              <a16:creationId xmlns:a16="http://schemas.microsoft.com/office/drawing/2014/main" id="{04408854-8BF1-4933-84FB-5177737AF18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9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613093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2829</xdr:row>
      <xdr:rowOff>25400</xdr:rowOff>
    </xdr:from>
    <xdr:to>
      <xdr:col>11</xdr:col>
      <xdr:colOff>571500</xdr:colOff>
      <xdr:row>2830</xdr:row>
      <xdr:rowOff>0</xdr:rowOff>
    </xdr:to>
    <xdr:pic>
      <xdr:nvPicPr>
        <xdr:cNvPr id="13715" name="Рисунок 13714">
          <a:extLst>
            <a:ext uri="{FF2B5EF4-FFF2-40B4-BE49-F238E27FC236}">
              <a16:creationId xmlns:a16="http://schemas.microsoft.com/office/drawing/2014/main" id="{8311C6C0-671A-49B3-B5C3-EAB8194EE6B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9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613665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2830</xdr:row>
      <xdr:rowOff>25400</xdr:rowOff>
    </xdr:from>
    <xdr:to>
      <xdr:col>11</xdr:col>
      <xdr:colOff>571500</xdr:colOff>
      <xdr:row>2831</xdr:row>
      <xdr:rowOff>0</xdr:rowOff>
    </xdr:to>
    <xdr:pic>
      <xdr:nvPicPr>
        <xdr:cNvPr id="13717" name="Рисунок 13716">
          <a:extLst>
            <a:ext uri="{FF2B5EF4-FFF2-40B4-BE49-F238E27FC236}">
              <a16:creationId xmlns:a16="http://schemas.microsoft.com/office/drawing/2014/main" id="{9D2921A5-8B65-4854-BD83-8568FEACBD1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9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614236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2831</xdr:row>
      <xdr:rowOff>25400</xdr:rowOff>
    </xdr:from>
    <xdr:to>
      <xdr:col>11</xdr:col>
      <xdr:colOff>571500</xdr:colOff>
      <xdr:row>2832</xdr:row>
      <xdr:rowOff>0</xdr:rowOff>
    </xdr:to>
    <xdr:pic>
      <xdr:nvPicPr>
        <xdr:cNvPr id="13719" name="Рисунок 13718">
          <a:extLst>
            <a:ext uri="{FF2B5EF4-FFF2-40B4-BE49-F238E27FC236}">
              <a16:creationId xmlns:a16="http://schemas.microsoft.com/office/drawing/2014/main" id="{D3134F2D-9649-43B6-9023-AADAA05144B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9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614808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2832</xdr:row>
      <xdr:rowOff>25400</xdr:rowOff>
    </xdr:from>
    <xdr:to>
      <xdr:col>11</xdr:col>
      <xdr:colOff>571500</xdr:colOff>
      <xdr:row>2833</xdr:row>
      <xdr:rowOff>0</xdr:rowOff>
    </xdr:to>
    <xdr:pic>
      <xdr:nvPicPr>
        <xdr:cNvPr id="13721" name="Рисунок 13720">
          <a:extLst>
            <a:ext uri="{FF2B5EF4-FFF2-40B4-BE49-F238E27FC236}">
              <a16:creationId xmlns:a16="http://schemas.microsoft.com/office/drawing/2014/main" id="{9A8E24AF-66BA-498A-BF79-096DBAA3F96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9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615379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2833</xdr:row>
      <xdr:rowOff>25400</xdr:rowOff>
    </xdr:from>
    <xdr:to>
      <xdr:col>11</xdr:col>
      <xdr:colOff>571500</xdr:colOff>
      <xdr:row>2834</xdr:row>
      <xdr:rowOff>0</xdr:rowOff>
    </xdr:to>
    <xdr:pic>
      <xdr:nvPicPr>
        <xdr:cNvPr id="13723" name="Рисунок 13722">
          <a:extLst>
            <a:ext uri="{FF2B5EF4-FFF2-40B4-BE49-F238E27FC236}">
              <a16:creationId xmlns:a16="http://schemas.microsoft.com/office/drawing/2014/main" id="{AFDA0E43-DFCF-4635-8A7F-246023F2923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9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615951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2834</xdr:row>
      <xdr:rowOff>25400</xdr:rowOff>
    </xdr:from>
    <xdr:to>
      <xdr:col>11</xdr:col>
      <xdr:colOff>571500</xdr:colOff>
      <xdr:row>2835</xdr:row>
      <xdr:rowOff>0</xdr:rowOff>
    </xdr:to>
    <xdr:pic>
      <xdr:nvPicPr>
        <xdr:cNvPr id="13725" name="Рисунок 13724">
          <a:extLst>
            <a:ext uri="{FF2B5EF4-FFF2-40B4-BE49-F238E27FC236}">
              <a16:creationId xmlns:a16="http://schemas.microsoft.com/office/drawing/2014/main" id="{BCC14BC6-1D56-4A67-AA7F-7D797A169D2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9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616522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2835</xdr:row>
      <xdr:rowOff>25400</xdr:rowOff>
    </xdr:from>
    <xdr:to>
      <xdr:col>11</xdr:col>
      <xdr:colOff>571500</xdr:colOff>
      <xdr:row>2836</xdr:row>
      <xdr:rowOff>0</xdr:rowOff>
    </xdr:to>
    <xdr:pic>
      <xdr:nvPicPr>
        <xdr:cNvPr id="13727" name="Рисунок 13726">
          <a:extLst>
            <a:ext uri="{FF2B5EF4-FFF2-40B4-BE49-F238E27FC236}">
              <a16:creationId xmlns:a16="http://schemas.microsoft.com/office/drawing/2014/main" id="{8EC00CCD-E777-4DB5-872F-20E7BCD6AD4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9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617094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2836</xdr:row>
      <xdr:rowOff>25400</xdr:rowOff>
    </xdr:from>
    <xdr:to>
      <xdr:col>11</xdr:col>
      <xdr:colOff>571500</xdr:colOff>
      <xdr:row>2837</xdr:row>
      <xdr:rowOff>0</xdr:rowOff>
    </xdr:to>
    <xdr:pic>
      <xdr:nvPicPr>
        <xdr:cNvPr id="13729" name="Рисунок 13728">
          <a:extLst>
            <a:ext uri="{FF2B5EF4-FFF2-40B4-BE49-F238E27FC236}">
              <a16:creationId xmlns:a16="http://schemas.microsoft.com/office/drawing/2014/main" id="{980C5500-3DE8-4EDB-A7C2-02990BD37B0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9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617665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2837</xdr:row>
      <xdr:rowOff>25400</xdr:rowOff>
    </xdr:from>
    <xdr:to>
      <xdr:col>11</xdr:col>
      <xdr:colOff>571500</xdr:colOff>
      <xdr:row>2838</xdr:row>
      <xdr:rowOff>0</xdr:rowOff>
    </xdr:to>
    <xdr:pic>
      <xdr:nvPicPr>
        <xdr:cNvPr id="13731" name="Рисунок 13730">
          <a:extLst>
            <a:ext uri="{FF2B5EF4-FFF2-40B4-BE49-F238E27FC236}">
              <a16:creationId xmlns:a16="http://schemas.microsoft.com/office/drawing/2014/main" id="{1D7C45E6-C4CA-4390-9CDE-581006E07B7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79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618237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2838</xdr:row>
      <xdr:rowOff>25400</xdr:rowOff>
    </xdr:from>
    <xdr:to>
      <xdr:col>11</xdr:col>
      <xdr:colOff>571500</xdr:colOff>
      <xdr:row>2839</xdr:row>
      <xdr:rowOff>0</xdr:rowOff>
    </xdr:to>
    <xdr:pic>
      <xdr:nvPicPr>
        <xdr:cNvPr id="13733" name="Рисунок 13732">
          <a:extLst>
            <a:ext uri="{FF2B5EF4-FFF2-40B4-BE49-F238E27FC236}">
              <a16:creationId xmlns:a16="http://schemas.microsoft.com/office/drawing/2014/main" id="{91234B3B-5B33-423F-93F9-745D9D5FE10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0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618808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2839</xdr:row>
      <xdr:rowOff>25400</xdr:rowOff>
    </xdr:from>
    <xdr:to>
      <xdr:col>11</xdr:col>
      <xdr:colOff>571500</xdr:colOff>
      <xdr:row>2840</xdr:row>
      <xdr:rowOff>0</xdr:rowOff>
    </xdr:to>
    <xdr:pic>
      <xdr:nvPicPr>
        <xdr:cNvPr id="13735" name="Рисунок 13734">
          <a:extLst>
            <a:ext uri="{FF2B5EF4-FFF2-40B4-BE49-F238E27FC236}">
              <a16:creationId xmlns:a16="http://schemas.microsoft.com/office/drawing/2014/main" id="{DC371B76-AC95-41D0-A6DB-BD97C540FAA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0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619380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2840</xdr:row>
      <xdr:rowOff>25400</xdr:rowOff>
    </xdr:from>
    <xdr:to>
      <xdr:col>11</xdr:col>
      <xdr:colOff>571500</xdr:colOff>
      <xdr:row>2841</xdr:row>
      <xdr:rowOff>0</xdr:rowOff>
    </xdr:to>
    <xdr:pic>
      <xdr:nvPicPr>
        <xdr:cNvPr id="13737" name="Рисунок 13736">
          <a:extLst>
            <a:ext uri="{FF2B5EF4-FFF2-40B4-BE49-F238E27FC236}">
              <a16:creationId xmlns:a16="http://schemas.microsoft.com/office/drawing/2014/main" id="{8843AD05-D0AD-4D78-9C7C-812E5FB2344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0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619951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2841</xdr:row>
      <xdr:rowOff>25400</xdr:rowOff>
    </xdr:from>
    <xdr:to>
      <xdr:col>11</xdr:col>
      <xdr:colOff>571500</xdr:colOff>
      <xdr:row>2842</xdr:row>
      <xdr:rowOff>0</xdr:rowOff>
    </xdr:to>
    <xdr:pic>
      <xdr:nvPicPr>
        <xdr:cNvPr id="13739" name="Рисунок 13738">
          <a:extLst>
            <a:ext uri="{FF2B5EF4-FFF2-40B4-BE49-F238E27FC236}">
              <a16:creationId xmlns:a16="http://schemas.microsoft.com/office/drawing/2014/main" id="{94BE632E-A7F8-46AF-9033-667E9D1ADE7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0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620523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2842</xdr:row>
      <xdr:rowOff>25400</xdr:rowOff>
    </xdr:from>
    <xdr:to>
      <xdr:col>11</xdr:col>
      <xdr:colOff>571500</xdr:colOff>
      <xdr:row>2843</xdr:row>
      <xdr:rowOff>0</xdr:rowOff>
    </xdr:to>
    <xdr:pic>
      <xdr:nvPicPr>
        <xdr:cNvPr id="13741" name="Рисунок 13740">
          <a:extLst>
            <a:ext uri="{FF2B5EF4-FFF2-40B4-BE49-F238E27FC236}">
              <a16:creationId xmlns:a16="http://schemas.microsoft.com/office/drawing/2014/main" id="{5C971ECC-DC51-4D57-908C-9208910E88F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0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621094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2843</xdr:row>
      <xdr:rowOff>25400</xdr:rowOff>
    </xdr:from>
    <xdr:to>
      <xdr:col>11</xdr:col>
      <xdr:colOff>571500</xdr:colOff>
      <xdr:row>2844</xdr:row>
      <xdr:rowOff>0</xdr:rowOff>
    </xdr:to>
    <xdr:pic>
      <xdr:nvPicPr>
        <xdr:cNvPr id="13743" name="Рисунок 13742">
          <a:extLst>
            <a:ext uri="{FF2B5EF4-FFF2-40B4-BE49-F238E27FC236}">
              <a16:creationId xmlns:a16="http://schemas.microsoft.com/office/drawing/2014/main" id="{A365C74D-BE90-4C36-9B1E-2A8D59D9A77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0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621666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2844</xdr:row>
      <xdr:rowOff>25400</xdr:rowOff>
    </xdr:from>
    <xdr:to>
      <xdr:col>11</xdr:col>
      <xdr:colOff>571500</xdr:colOff>
      <xdr:row>2845</xdr:row>
      <xdr:rowOff>0</xdr:rowOff>
    </xdr:to>
    <xdr:pic>
      <xdr:nvPicPr>
        <xdr:cNvPr id="13745" name="Рисунок 13744">
          <a:extLst>
            <a:ext uri="{FF2B5EF4-FFF2-40B4-BE49-F238E27FC236}">
              <a16:creationId xmlns:a16="http://schemas.microsoft.com/office/drawing/2014/main" id="{51A2A33F-5CF4-4A62-A915-16799BB8064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0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622237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2845</xdr:row>
      <xdr:rowOff>25400</xdr:rowOff>
    </xdr:from>
    <xdr:to>
      <xdr:col>11</xdr:col>
      <xdr:colOff>571500</xdr:colOff>
      <xdr:row>2846</xdr:row>
      <xdr:rowOff>0</xdr:rowOff>
    </xdr:to>
    <xdr:pic>
      <xdr:nvPicPr>
        <xdr:cNvPr id="13747" name="Рисунок 13746">
          <a:extLst>
            <a:ext uri="{FF2B5EF4-FFF2-40B4-BE49-F238E27FC236}">
              <a16:creationId xmlns:a16="http://schemas.microsoft.com/office/drawing/2014/main" id="{F2F7A6EE-0354-47F1-9271-6CD1AB0BBEC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0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622809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2846</xdr:row>
      <xdr:rowOff>25400</xdr:rowOff>
    </xdr:from>
    <xdr:to>
      <xdr:col>11</xdr:col>
      <xdr:colOff>571500</xdr:colOff>
      <xdr:row>2847</xdr:row>
      <xdr:rowOff>0</xdr:rowOff>
    </xdr:to>
    <xdr:pic>
      <xdr:nvPicPr>
        <xdr:cNvPr id="13749" name="Рисунок 13748">
          <a:extLst>
            <a:ext uri="{FF2B5EF4-FFF2-40B4-BE49-F238E27FC236}">
              <a16:creationId xmlns:a16="http://schemas.microsoft.com/office/drawing/2014/main" id="{B91D1E78-54E5-48B3-BE9C-E3912C1A298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0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623380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2847</xdr:row>
      <xdr:rowOff>25400</xdr:rowOff>
    </xdr:from>
    <xdr:to>
      <xdr:col>11</xdr:col>
      <xdr:colOff>571500</xdr:colOff>
      <xdr:row>2848</xdr:row>
      <xdr:rowOff>0</xdr:rowOff>
    </xdr:to>
    <xdr:pic>
      <xdr:nvPicPr>
        <xdr:cNvPr id="13751" name="Рисунок 13750">
          <a:extLst>
            <a:ext uri="{FF2B5EF4-FFF2-40B4-BE49-F238E27FC236}">
              <a16:creationId xmlns:a16="http://schemas.microsoft.com/office/drawing/2014/main" id="{053FFCF0-BC70-462E-88D0-AF2CDC0DE75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0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623952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2848</xdr:row>
      <xdr:rowOff>25400</xdr:rowOff>
    </xdr:from>
    <xdr:to>
      <xdr:col>11</xdr:col>
      <xdr:colOff>571500</xdr:colOff>
      <xdr:row>2849</xdr:row>
      <xdr:rowOff>0</xdr:rowOff>
    </xdr:to>
    <xdr:pic>
      <xdr:nvPicPr>
        <xdr:cNvPr id="13753" name="Рисунок 13752">
          <a:extLst>
            <a:ext uri="{FF2B5EF4-FFF2-40B4-BE49-F238E27FC236}">
              <a16:creationId xmlns:a16="http://schemas.microsoft.com/office/drawing/2014/main" id="{B07B16B7-5474-4310-B10F-1A530DEA282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624523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2849</xdr:row>
      <xdr:rowOff>25400</xdr:rowOff>
    </xdr:from>
    <xdr:to>
      <xdr:col>11</xdr:col>
      <xdr:colOff>571500</xdr:colOff>
      <xdr:row>2850</xdr:row>
      <xdr:rowOff>0</xdr:rowOff>
    </xdr:to>
    <xdr:pic>
      <xdr:nvPicPr>
        <xdr:cNvPr id="13755" name="Рисунок 13754">
          <a:extLst>
            <a:ext uri="{FF2B5EF4-FFF2-40B4-BE49-F238E27FC236}">
              <a16:creationId xmlns:a16="http://schemas.microsoft.com/office/drawing/2014/main" id="{EE8C278F-BEF8-4B24-8C36-71A6BECC69C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625095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2850</xdr:row>
      <xdr:rowOff>25400</xdr:rowOff>
    </xdr:from>
    <xdr:to>
      <xdr:col>11</xdr:col>
      <xdr:colOff>571500</xdr:colOff>
      <xdr:row>2851</xdr:row>
      <xdr:rowOff>0</xdr:rowOff>
    </xdr:to>
    <xdr:pic>
      <xdr:nvPicPr>
        <xdr:cNvPr id="13757" name="Рисунок 13756">
          <a:extLst>
            <a:ext uri="{FF2B5EF4-FFF2-40B4-BE49-F238E27FC236}">
              <a16:creationId xmlns:a16="http://schemas.microsoft.com/office/drawing/2014/main" id="{BC22BB48-D77F-48DD-8F3A-A6AC10773BE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625666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2851</xdr:row>
      <xdr:rowOff>25400</xdr:rowOff>
    </xdr:from>
    <xdr:to>
      <xdr:col>11</xdr:col>
      <xdr:colOff>571500</xdr:colOff>
      <xdr:row>2852</xdr:row>
      <xdr:rowOff>0</xdr:rowOff>
    </xdr:to>
    <xdr:pic>
      <xdr:nvPicPr>
        <xdr:cNvPr id="13759" name="Рисунок 13758">
          <a:extLst>
            <a:ext uri="{FF2B5EF4-FFF2-40B4-BE49-F238E27FC236}">
              <a16:creationId xmlns:a16="http://schemas.microsoft.com/office/drawing/2014/main" id="{A337565D-5954-4F87-95AD-81513C88164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626238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2852</xdr:row>
      <xdr:rowOff>25400</xdr:rowOff>
    </xdr:from>
    <xdr:to>
      <xdr:col>11</xdr:col>
      <xdr:colOff>571500</xdr:colOff>
      <xdr:row>2853</xdr:row>
      <xdr:rowOff>0</xdr:rowOff>
    </xdr:to>
    <xdr:pic>
      <xdr:nvPicPr>
        <xdr:cNvPr id="13761" name="Рисунок 13760">
          <a:extLst>
            <a:ext uri="{FF2B5EF4-FFF2-40B4-BE49-F238E27FC236}">
              <a16:creationId xmlns:a16="http://schemas.microsoft.com/office/drawing/2014/main" id="{FA9A0842-E32A-4A1F-8F15-C4C3D170A05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626809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2854</xdr:row>
      <xdr:rowOff>25400</xdr:rowOff>
    </xdr:from>
    <xdr:to>
      <xdr:col>11</xdr:col>
      <xdr:colOff>571500</xdr:colOff>
      <xdr:row>2855</xdr:row>
      <xdr:rowOff>0</xdr:rowOff>
    </xdr:to>
    <xdr:pic>
      <xdr:nvPicPr>
        <xdr:cNvPr id="13763" name="Рисунок 13762">
          <a:extLst>
            <a:ext uri="{FF2B5EF4-FFF2-40B4-BE49-F238E27FC236}">
              <a16:creationId xmlns:a16="http://schemas.microsoft.com/office/drawing/2014/main" id="{D78C5630-61D0-468B-80BF-E8734797317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627952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2855</xdr:row>
      <xdr:rowOff>25400</xdr:rowOff>
    </xdr:from>
    <xdr:to>
      <xdr:col>11</xdr:col>
      <xdr:colOff>571500</xdr:colOff>
      <xdr:row>2856</xdr:row>
      <xdr:rowOff>0</xdr:rowOff>
    </xdr:to>
    <xdr:pic>
      <xdr:nvPicPr>
        <xdr:cNvPr id="13765" name="Рисунок 13764">
          <a:extLst>
            <a:ext uri="{FF2B5EF4-FFF2-40B4-BE49-F238E27FC236}">
              <a16:creationId xmlns:a16="http://schemas.microsoft.com/office/drawing/2014/main" id="{41E6D368-E45A-4E5D-A0AF-8804CC01F34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628524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2856</xdr:row>
      <xdr:rowOff>25400</xdr:rowOff>
    </xdr:from>
    <xdr:to>
      <xdr:col>11</xdr:col>
      <xdr:colOff>571500</xdr:colOff>
      <xdr:row>2857</xdr:row>
      <xdr:rowOff>0</xdr:rowOff>
    </xdr:to>
    <xdr:pic>
      <xdr:nvPicPr>
        <xdr:cNvPr id="13767" name="Рисунок 13766">
          <a:extLst>
            <a:ext uri="{FF2B5EF4-FFF2-40B4-BE49-F238E27FC236}">
              <a16:creationId xmlns:a16="http://schemas.microsoft.com/office/drawing/2014/main" id="{6923B159-9BBD-4068-9A90-ACCD6245204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629095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2857</xdr:row>
      <xdr:rowOff>25400</xdr:rowOff>
    </xdr:from>
    <xdr:to>
      <xdr:col>11</xdr:col>
      <xdr:colOff>571500</xdr:colOff>
      <xdr:row>2858</xdr:row>
      <xdr:rowOff>0</xdr:rowOff>
    </xdr:to>
    <xdr:pic>
      <xdr:nvPicPr>
        <xdr:cNvPr id="13769" name="Рисунок 13768">
          <a:extLst>
            <a:ext uri="{FF2B5EF4-FFF2-40B4-BE49-F238E27FC236}">
              <a16:creationId xmlns:a16="http://schemas.microsoft.com/office/drawing/2014/main" id="{2F73F553-AE1A-4CBB-B453-EA7946F8F01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629667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2858</xdr:row>
      <xdr:rowOff>25400</xdr:rowOff>
    </xdr:from>
    <xdr:to>
      <xdr:col>11</xdr:col>
      <xdr:colOff>571500</xdr:colOff>
      <xdr:row>2859</xdr:row>
      <xdr:rowOff>0</xdr:rowOff>
    </xdr:to>
    <xdr:pic>
      <xdr:nvPicPr>
        <xdr:cNvPr id="13771" name="Рисунок 13770">
          <a:extLst>
            <a:ext uri="{FF2B5EF4-FFF2-40B4-BE49-F238E27FC236}">
              <a16:creationId xmlns:a16="http://schemas.microsoft.com/office/drawing/2014/main" id="{977D9808-4DD5-43F7-ABD2-93B0E67EF93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630238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2859</xdr:row>
      <xdr:rowOff>25400</xdr:rowOff>
    </xdr:from>
    <xdr:to>
      <xdr:col>11</xdr:col>
      <xdr:colOff>571500</xdr:colOff>
      <xdr:row>2860</xdr:row>
      <xdr:rowOff>0</xdr:rowOff>
    </xdr:to>
    <xdr:pic>
      <xdr:nvPicPr>
        <xdr:cNvPr id="13773" name="Рисунок 13772">
          <a:extLst>
            <a:ext uri="{FF2B5EF4-FFF2-40B4-BE49-F238E27FC236}">
              <a16:creationId xmlns:a16="http://schemas.microsoft.com/office/drawing/2014/main" id="{802EF2AB-B7F8-4684-860A-D6C4AFE3148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630810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2860</xdr:row>
      <xdr:rowOff>25400</xdr:rowOff>
    </xdr:from>
    <xdr:to>
      <xdr:col>11</xdr:col>
      <xdr:colOff>571500</xdr:colOff>
      <xdr:row>2861</xdr:row>
      <xdr:rowOff>0</xdr:rowOff>
    </xdr:to>
    <xdr:pic>
      <xdr:nvPicPr>
        <xdr:cNvPr id="13775" name="Рисунок 13774">
          <a:extLst>
            <a:ext uri="{FF2B5EF4-FFF2-40B4-BE49-F238E27FC236}">
              <a16:creationId xmlns:a16="http://schemas.microsoft.com/office/drawing/2014/main" id="{5A6CC44B-7BFC-4D5C-8EE4-A11517E3681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631381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2861</xdr:row>
      <xdr:rowOff>25400</xdr:rowOff>
    </xdr:from>
    <xdr:to>
      <xdr:col>11</xdr:col>
      <xdr:colOff>571500</xdr:colOff>
      <xdr:row>2862</xdr:row>
      <xdr:rowOff>0</xdr:rowOff>
    </xdr:to>
    <xdr:pic>
      <xdr:nvPicPr>
        <xdr:cNvPr id="13777" name="Рисунок 13776">
          <a:extLst>
            <a:ext uri="{FF2B5EF4-FFF2-40B4-BE49-F238E27FC236}">
              <a16:creationId xmlns:a16="http://schemas.microsoft.com/office/drawing/2014/main" id="{FFC24A1F-D14C-4EEC-8667-8C30F81B75F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631953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2862</xdr:row>
      <xdr:rowOff>25400</xdr:rowOff>
    </xdr:from>
    <xdr:to>
      <xdr:col>11</xdr:col>
      <xdr:colOff>571500</xdr:colOff>
      <xdr:row>2863</xdr:row>
      <xdr:rowOff>0</xdr:rowOff>
    </xdr:to>
    <xdr:pic>
      <xdr:nvPicPr>
        <xdr:cNvPr id="13779" name="Рисунок 13778">
          <a:extLst>
            <a:ext uri="{FF2B5EF4-FFF2-40B4-BE49-F238E27FC236}">
              <a16:creationId xmlns:a16="http://schemas.microsoft.com/office/drawing/2014/main" id="{F50926DB-D4CC-4A89-AE77-5CB2B1B7E6F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632524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2863</xdr:row>
      <xdr:rowOff>25400</xdr:rowOff>
    </xdr:from>
    <xdr:to>
      <xdr:col>11</xdr:col>
      <xdr:colOff>571500</xdr:colOff>
      <xdr:row>2864</xdr:row>
      <xdr:rowOff>0</xdr:rowOff>
    </xdr:to>
    <xdr:pic>
      <xdr:nvPicPr>
        <xdr:cNvPr id="13781" name="Рисунок 13780">
          <a:extLst>
            <a:ext uri="{FF2B5EF4-FFF2-40B4-BE49-F238E27FC236}">
              <a16:creationId xmlns:a16="http://schemas.microsoft.com/office/drawing/2014/main" id="{928B3086-FC9C-407E-9303-B761D6EB0FB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633096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2864</xdr:row>
      <xdr:rowOff>25400</xdr:rowOff>
    </xdr:from>
    <xdr:to>
      <xdr:col>11</xdr:col>
      <xdr:colOff>571500</xdr:colOff>
      <xdr:row>2865</xdr:row>
      <xdr:rowOff>0</xdr:rowOff>
    </xdr:to>
    <xdr:pic>
      <xdr:nvPicPr>
        <xdr:cNvPr id="13783" name="Рисунок 13782">
          <a:extLst>
            <a:ext uri="{FF2B5EF4-FFF2-40B4-BE49-F238E27FC236}">
              <a16:creationId xmlns:a16="http://schemas.microsoft.com/office/drawing/2014/main" id="{D7284A82-3C65-4D59-8E53-364932578D5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633667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2865</xdr:row>
      <xdr:rowOff>25400</xdr:rowOff>
    </xdr:from>
    <xdr:to>
      <xdr:col>11</xdr:col>
      <xdr:colOff>571500</xdr:colOff>
      <xdr:row>2866</xdr:row>
      <xdr:rowOff>0</xdr:rowOff>
    </xdr:to>
    <xdr:pic>
      <xdr:nvPicPr>
        <xdr:cNvPr id="13785" name="Рисунок 13784">
          <a:extLst>
            <a:ext uri="{FF2B5EF4-FFF2-40B4-BE49-F238E27FC236}">
              <a16:creationId xmlns:a16="http://schemas.microsoft.com/office/drawing/2014/main" id="{41501D6C-AFFD-45C2-AECA-789084FC5E0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634239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2866</xdr:row>
      <xdr:rowOff>25400</xdr:rowOff>
    </xdr:from>
    <xdr:to>
      <xdr:col>11</xdr:col>
      <xdr:colOff>571500</xdr:colOff>
      <xdr:row>2867</xdr:row>
      <xdr:rowOff>0</xdr:rowOff>
    </xdr:to>
    <xdr:pic>
      <xdr:nvPicPr>
        <xdr:cNvPr id="13787" name="Рисунок 13786">
          <a:extLst>
            <a:ext uri="{FF2B5EF4-FFF2-40B4-BE49-F238E27FC236}">
              <a16:creationId xmlns:a16="http://schemas.microsoft.com/office/drawing/2014/main" id="{0D661D15-857A-4110-8FCE-B5BE31BDDC0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634810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2867</xdr:row>
      <xdr:rowOff>25400</xdr:rowOff>
    </xdr:from>
    <xdr:to>
      <xdr:col>11</xdr:col>
      <xdr:colOff>571500</xdr:colOff>
      <xdr:row>2868</xdr:row>
      <xdr:rowOff>0</xdr:rowOff>
    </xdr:to>
    <xdr:pic>
      <xdr:nvPicPr>
        <xdr:cNvPr id="13789" name="Рисунок 13788">
          <a:extLst>
            <a:ext uri="{FF2B5EF4-FFF2-40B4-BE49-F238E27FC236}">
              <a16:creationId xmlns:a16="http://schemas.microsoft.com/office/drawing/2014/main" id="{D5438E5A-EB37-4720-AED1-2521A7C5504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635382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2868</xdr:row>
      <xdr:rowOff>25400</xdr:rowOff>
    </xdr:from>
    <xdr:to>
      <xdr:col>11</xdr:col>
      <xdr:colOff>571500</xdr:colOff>
      <xdr:row>2869</xdr:row>
      <xdr:rowOff>0</xdr:rowOff>
    </xdr:to>
    <xdr:pic>
      <xdr:nvPicPr>
        <xdr:cNvPr id="13791" name="Рисунок 13790">
          <a:extLst>
            <a:ext uri="{FF2B5EF4-FFF2-40B4-BE49-F238E27FC236}">
              <a16:creationId xmlns:a16="http://schemas.microsoft.com/office/drawing/2014/main" id="{74F3E5B7-E0B5-41CA-876E-9FC244AAFC7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635953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2869</xdr:row>
      <xdr:rowOff>25400</xdr:rowOff>
    </xdr:from>
    <xdr:to>
      <xdr:col>11</xdr:col>
      <xdr:colOff>571500</xdr:colOff>
      <xdr:row>2870</xdr:row>
      <xdr:rowOff>0</xdr:rowOff>
    </xdr:to>
    <xdr:pic>
      <xdr:nvPicPr>
        <xdr:cNvPr id="13793" name="Рисунок 13792">
          <a:extLst>
            <a:ext uri="{FF2B5EF4-FFF2-40B4-BE49-F238E27FC236}">
              <a16:creationId xmlns:a16="http://schemas.microsoft.com/office/drawing/2014/main" id="{C8142EDD-30C9-4272-9D6F-4241B09C862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636525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2870</xdr:row>
      <xdr:rowOff>25400</xdr:rowOff>
    </xdr:from>
    <xdr:to>
      <xdr:col>11</xdr:col>
      <xdr:colOff>571500</xdr:colOff>
      <xdr:row>2871</xdr:row>
      <xdr:rowOff>0</xdr:rowOff>
    </xdr:to>
    <xdr:pic>
      <xdr:nvPicPr>
        <xdr:cNvPr id="13795" name="Рисунок 13794">
          <a:extLst>
            <a:ext uri="{FF2B5EF4-FFF2-40B4-BE49-F238E27FC236}">
              <a16:creationId xmlns:a16="http://schemas.microsoft.com/office/drawing/2014/main" id="{BBA3172C-4415-410E-9385-F710581490A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3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637096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2871</xdr:row>
      <xdr:rowOff>25400</xdr:rowOff>
    </xdr:from>
    <xdr:to>
      <xdr:col>11</xdr:col>
      <xdr:colOff>571500</xdr:colOff>
      <xdr:row>2872</xdr:row>
      <xdr:rowOff>0</xdr:rowOff>
    </xdr:to>
    <xdr:pic>
      <xdr:nvPicPr>
        <xdr:cNvPr id="13797" name="Рисунок 13796">
          <a:extLst>
            <a:ext uri="{FF2B5EF4-FFF2-40B4-BE49-F238E27FC236}">
              <a16:creationId xmlns:a16="http://schemas.microsoft.com/office/drawing/2014/main" id="{F0075165-7974-4F0E-A6C5-BC3350C6761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3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637668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2872</xdr:row>
      <xdr:rowOff>25400</xdr:rowOff>
    </xdr:from>
    <xdr:to>
      <xdr:col>11</xdr:col>
      <xdr:colOff>571500</xdr:colOff>
      <xdr:row>2873</xdr:row>
      <xdr:rowOff>0</xdr:rowOff>
    </xdr:to>
    <xdr:pic>
      <xdr:nvPicPr>
        <xdr:cNvPr id="13799" name="Рисунок 13798">
          <a:extLst>
            <a:ext uri="{FF2B5EF4-FFF2-40B4-BE49-F238E27FC236}">
              <a16:creationId xmlns:a16="http://schemas.microsoft.com/office/drawing/2014/main" id="{EE674398-904A-49D4-B8A2-4016FE5DDA9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3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638239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2873</xdr:row>
      <xdr:rowOff>25400</xdr:rowOff>
    </xdr:from>
    <xdr:to>
      <xdr:col>11</xdr:col>
      <xdr:colOff>571500</xdr:colOff>
      <xdr:row>2874</xdr:row>
      <xdr:rowOff>0</xdr:rowOff>
    </xdr:to>
    <xdr:pic>
      <xdr:nvPicPr>
        <xdr:cNvPr id="13801" name="Рисунок 13800">
          <a:extLst>
            <a:ext uri="{FF2B5EF4-FFF2-40B4-BE49-F238E27FC236}">
              <a16:creationId xmlns:a16="http://schemas.microsoft.com/office/drawing/2014/main" id="{A6B22B46-F7BD-4F22-BAF7-940E6AB5E31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3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638811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2874</xdr:row>
      <xdr:rowOff>25400</xdr:rowOff>
    </xdr:from>
    <xdr:to>
      <xdr:col>11</xdr:col>
      <xdr:colOff>571500</xdr:colOff>
      <xdr:row>2875</xdr:row>
      <xdr:rowOff>0</xdr:rowOff>
    </xdr:to>
    <xdr:pic>
      <xdr:nvPicPr>
        <xdr:cNvPr id="13803" name="Рисунок 13802">
          <a:extLst>
            <a:ext uri="{FF2B5EF4-FFF2-40B4-BE49-F238E27FC236}">
              <a16:creationId xmlns:a16="http://schemas.microsoft.com/office/drawing/2014/main" id="{893F6976-2D24-4097-8786-55FED2DFD96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3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639382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2875</xdr:row>
      <xdr:rowOff>25400</xdr:rowOff>
    </xdr:from>
    <xdr:to>
      <xdr:col>11</xdr:col>
      <xdr:colOff>571500</xdr:colOff>
      <xdr:row>2876</xdr:row>
      <xdr:rowOff>0</xdr:rowOff>
    </xdr:to>
    <xdr:pic>
      <xdr:nvPicPr>
        <xdr:cNvPr id="13805" name="Рисунок 13804">
          <a:extLst>
            <a:ext uri="{FF2B5EF4-FFF2-40B4-BE49-F238E27FC236}">
              <a16:creationId xmlns:a16="http://schemas.microsoft.com/office/drawing/2014/main" id="{ACE669AB-8457-4624-BB71-507F9065FC1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3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639954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2876</xdr:row>
      <xdr:rowOff>25400</xdr:rowOff>
    </xdr:from>
    <xdr:to>
      <xdr:col>11</xdr:col>
      <xdr:colOff>571500</xdr:colOff>
      <xdr:row>2877</xdr:row>
      <xdr:rowOff>0</xdr:rowOff>
    </xdr:to>
    <xdr:pic>
      <xdr:nvPicPr>
        <xdr:cNvPr id="13807" name="Рисунок 13806">
          <a:extLst>
            <a:ext uri="{FF2B5EF4-FFF2-40B4-BE49-F238E27FC236}">
              <a16:creationId xmlns:a16="http://schemas.microsoft.com/office/drawing/2014/main" id="{F7F925C0-187B-4272-A879-639BBE104D3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3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640525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2877</xdr:row>
      <xdr:rowOff>25400</xdr:rowOff>
    </xdr:from>
    <xdr:to>
      <xdr:col>11</xdr:col>
      <xdr:colOff>571500</xdr:colOff>
      <xdr:row>2878</xdr:row>
      <xdr:rowOff>0</xdr:rowOff>
    </xdr:to>
    <xdr:pic>
      <xdr:nvPicPr>
        <xdr:cNvPr id="13809" name="Рисунок 13808">
          <a:extLst>
            <a:ext uri="{FF2B5EF4-FFF2-40B4-BE49-F238E27FC236}">
              <a16:creationId xmlns:a16="http://schemas.microsoft.com/office/drawing/2014/main" id="{E75A78B9-59E1-470A-92D1-E82112C8AFF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3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641097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2878</xdr:row>
      <xdr:rowOff>25400</xdr:rowOff>
    </xdr:from>
    <xdr:to>
      <xdr:col>11</xdr:col>
      <xdr:colOff>571500</xdr:colOff>
      <xdr:row>2879</xdr:row>
      <xdr:rowOff>0</xdr:rowOff>
    </xdr:to>
    <xdr:pic>
      <xdr:nvPicPr>
        <xdr:cNvPr id="13811" name="Рисунок 13810">
          <a:extLst>
            <a:ext uri="{FF2B5EF4-FFF2-40B4-BE49-F238E27FC236}">
              <a16:creationId xmlns:a16="http://schemas.microsoft.com/office/drawing/2014/main" id="{2F2095B3-5C17-408E-A986-3300DADCC4F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3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641668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2879</xdr:row>
      <xdr:rowOff>25400</xdr:rowOff>
    </xdr:from>
    <xdr:to>
      <xdr:col>11</xdr:col>
      <xdr:colOff>571500</xdr:colOff>
      <xdr:row>2880</xdr:row>
      <xdr:rowOff>0</xdr:rowOff>
    </xdr:to>
    <xdr:pic>
      <xdr:nvPicPr>
        <xdr:cNvPr id="13813" name="Рисунок 13812">
          <a:extLst>
            <a:ext uri="{FF2B5EF4-FFF2-40B4-BE49-F238E27FC236}">
              <a16:creationId xmlns:a16="http://schemas.microsoft.com/office/drawing/2014/main" id="{F9391305-D7C0-4D6E-A98D-6B8D2254237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4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642240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2880</xdr:row>
      <xdr:rowOff>25400</xdr:rowOff>
    </xdr:from>
    <xdr:to>
      <xdr:col>11</xdr:col>
      <xdr:colOff>571500</xdr:colOff>
      <xdr:row>2881</xdr:row>
      <xdr:rowOff>0</xdr:rowOff>
    </xdr:to>
    <xdr:pic>
      <xdr:nvPicPr>
        <xdr:cNvPr id="13815" name="Рисунок 13814">
          <a:extLst>
            <a:ext uri="{FF2B5EF4-FFF2-40B4-BE49-F238E27FC236}">
              <a16:creationId xmlns:a16="http://schemas.microsoft.com/office/drawing/2014/main" id="{20ACAC1E-0BE8-4BA6-942D-1E78E814DE4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4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642811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2881</xdr:row>
      <xdr:rowOff>25400</xdr:rowOff>
    </xdr:from>
    <xdr:to>
      <xdr:col>11</xdr:col>
      <xdr:colOff>571500</xdr:colOff>
      <xdr:row>2882</xdr:row>
      <xdr:rowOff>0</xdr:rowOff>
    </xdr:to>
    <xdr:pic>
      <xdr:nvPicPr>
        <xdr:cNvPr id="13817" name="Рисунок 13816">
          <a:extLst>
            <a:ext uri="{FF2B5EF4-FFF2-40B4-BE49-F238E27FC236}">
              <a16:creationId xmlns:a16="http://schemas.microsoft.com/office/drawing/2014/main" id="{4C64488E-24DD-4624-AFDB-1CE074A2203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643383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2882</xdr:row>
      <xdr:rowOff>25400</xdr:rowOff>
    </xdr:from>
    <xdr:to>
      <xdr:col>11</xdr:col>
      <xdr:colOff>571500</xdr:colOff>
      <xdr:row>2883</xdr:row>
      <xdr:rowOff>0</xdr:rowOff>
    </xdr:to>
    <xdr:pic>
      <xdr:nvPicPr>
        <xdr:cNvPr id="13819" name="Рисунок 13818">
          <a:extLst>
            <a:ext uri="{FF2B5EF4-FFF2-40B4-BE49-F238E27FC236}">
              <a16:creationId xmlns:a16="http://schemas.microsoft.com/office/drawing/2014/main" id="{582F36D4-A28B-4B71-91ED-BE08149882C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643954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2883</xdr:row>
      <xdr:rowOff>25400</xdr:rowOff>
    </xdr:from>
    <xdr:to>
      <xdr:col>11</xdr:col>
      <xdr:colOff>571500</xdr:colOff>
      <xdr:row>2884</xdr:row>
      <xdr:rowOff>0</xdr:rowOff>
    </xdr:to>
    <xdr:pic>
      <xdr:nvPicPr>
        <xdr:cNvPr id="13821" name="Рисунок 13820">
          <a:extLst>
            <a:ext uri="{FF2B5EF4-FFF2-40B4-BE49-F238E27FC236}">
              <a16:creationId xmlns:a16="http://schemas.microsoft.com/office/drawing/2014/main" id="{4544725A-605F-4B6D-B27F-2495ACAAA98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644526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2884</xdr:row>
      <xdr:rowOff>25400</xdr:rowOff>
    </xdr:from>
    <xdr:to>
      <xdr:col>11</xdr:col>
      <xdr:colOff>571500</xdr:colOff>
      <xdr:row>2885</xdr:row>
      <xdr:rowOff>0</xdr:rowOff>
    </xdr:to>
    <xdr:pic>
      <xdr:nvPicPr>
        <xdr:cNvPr id="13823" name="Рисунок 13822">
          <a:extLst>
            <a:ext uri="{FF2B5EF4-FFF2-40B4-BE49-F238E27FC236}">
              <a16:creationId xmlns:a16="http://schemas.microsoft.com/office/drawing/2014/main" id="{CED7E4F5-EBD7-4E3D-B2B2-3309A10BC4B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4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645097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2885</xdr:row>
      <xdr:rowOff>25400</xdr:rowOff>
    </xdr:from>
    <xdr:to>
      <xdr:col>11</xdr:col>
      <xdr:colOff>571500</xdr:colOff>
      <xdr:row>2886</xdr:row>
      <xdr:rowOff>0</xdr:rowOff>
    </xdr:to>
    <xdr:pic>
      <xdr:nvPicPr>
        <xdr:cNvPr id="13825" name="Рисунок 13824">
          <a:extLst>
            <a:ext uri="{FF2B5EF4-FFF2-40B4-BE49-F238E27FC236}">
              <a16:creationId xmlns:a16="http://schemas.microsoft.com/office/drawing/2014/main" id="{FDC9BAA2-0BF7-4F47-881E-BA775169E53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4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645669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2886</xdr:row>
      <xdr:rowOff>25400</xdr:rowOff>
    </xdr:from>
    <xdr:to>
      <xdr:col>11</xdr:col>
      <xdr:colOff>571500</xdr:colOff>
      <xdr:row>2887</xdr:row>
      <xdr:rowOff>0</xdr:rowOff>
    </xdr:to>
    <xdr:pic>
      <xdr:nvPicPr>
        <xdr:cNvPr id="13827" name="Рисунок 13826">
          <a:extLst>
            <a:ext uri="{FF2B5EF4-FFF2-40B4-BE49-F238E27FC236}">
              <a16:creationId xmlns:a16="http://schemas.microsoft.com/office/drawing/2014/main" id="{68FCFEE2-EABB-4FC4-8D8A-E10E9A5B4BA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4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646240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2887</xdr:row>
      <xdr:rowOff>25400</xdr:rowOff>
    </xdr:from>
    <xdr:to>
      <xdr:col>11</xdr:col>
      <xdr:colOff>571500</xdr:colOff>
      <xdr:row>2888</xdr:row>
      <xdr:rowOff>0</xdr:rowOff>
    </xdr:to>
    <xdr:pic>
      <xdr:nvPicPr>
        <xdr:cNvPr id="13829" name="Рисунок 13828">
          <a:extLst>
            <a:ext uri="{FF2B5EF4-FFF2-40B4-BE49-F238E27FC236}">
              <a16:creationId xmlns:a16="http://schemas.microsoft.com/office/drawing/2014/main" id="{7CBB9674-3185-49BE-BFB7-6D2AB8292D6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4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646812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2888</xdr:row>
      <xdr:rowOff>25400</xdr:rowOff>
    </xdr:from>
    <xdr:to>
      <xdr:col>11</xdr:col>
      <xdr:colOff>571500</xdr:colOff>
      <xdr:row>2889</xdr:row>
      <xdr:rowOff>0</xdr:rowOff>
    </xdr:to>
    <xdr:pic>
      <xdr:nvPicPr>
        <xdr:cNvPr id="13831" name="Рисунок 13830">
          <a:extLst>
            <a:ext uri="{FF2B5EF4-FFF2-40B4-BE49-F238E27FC236}">
              <a16:creationId xmlns:a16="http://schemas.microsoft.com/office/drawing/2014/main" id="{1B2850B9-0AD6-4E29-9883-D3E0EDC6A84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4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647383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2889</xdr:row>
      <xdr:rowOff>25400</xdr:rowOff>
    </xdr:from>
    <xdr:to>
      <xdr:col>11</xdr:col>
      <xdr:colOff>571500</xdr:colOff>
      <xdr:row>2890</xdr:row>
      <xdr:rowOff>0</xdr:rowOff>
    </xdr:to>
    <xdr:pic>
      <xdr:nvPicPr>
        <xdr:cNvPr id="13833" name="Рисунок 13832">
          <a:extLst>
            <a:ext uri="{FF2B5EF4-FFF2-40B4-BE49-F238E27FC236}">
              <a16:creationId xmlns:a16="http://schemas.microsoft.com/office/drawing/2014/main" id="{B1D8F5BD-DEC5-448C-80E1-E6D2C54957D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5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647955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2890</xdr:row>
      <xdr:rowOff>25400</xdr:rowOff>
    </xdr:from>
    <xdr:to>
      <xdr:col>11</xdr:col>
      <xdr:colOff>571500</xdr:colOff>
      <xdr:row>2891</xdr:row>
      <xdr:rowOff>0</xdr:rowOff>
    </xdr:to>
    <xdr:pic>
      <xdr:nvPicPr>
        <xdr:cNvPr id="13835" name="Рисунок 13834">
          <a:extLst>
            <a:ext uri="{FF2B5EF4-FFF2-40B4-BE49-F238E27FC236}">
              <a16:creationId xmlns:a16="http://schemas.microsoft.com/office/drawing/2014/main" id="{663EB387-9FBB-4A28-9CB5-3E8D500355F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5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648526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2891</xdr:row>
      <xdr:rowOff>25400</xdr:rowOff>
    </xdr:from>
    <xdr:to>
      <xdr:col>11</xdr:col>
      <xdr:colOff>571500</xdr:colOff>
      <xdr:row>2892</xdr:row>
      <xdr:rowOff>0</xdr:rowOff>
    </xdr:to>
    <xdr:pic>
      <xdr:nvPicPr>
        <xdr:cNvPr id="13837" name="Рисунок 13836">
          <a:extLst>
            <a:ext uri="{FF2B5EF4-FFF2-40B4-BE49-F238E27FC236}">
              <a16:creationId xmlns:a16="http://schemas.microsoft.com/office/drawing/2014/main" id="{CEB9E602-FF6A-4E72-8C72-F91E7E16987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649098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2892</xdr:row>
      <xdr:rowOff>25400</xdr:rowOff>
    </xdr:from>
    <xdr:to>
      <xdr:col>11</xdr:col>
      <xdr:colOff>571500</xdr:colOff>
      <xdr:row>2893</xdr:row>
      <xdr:rowOff>0</xdr:rowOff>
    </xdr:to>
    <xdr:pic>
      <xdr:nvPicPr>
        <xdr:cNvPr id="13839" name="Рисунок 13838">
          <a:extLst>
            <a:ext uri="{FF2B5EF4-FFF2-40B4-BE49-F238E27FC236}">
              <a16:creationId xmlns:a16="http://schemas.microsoft.com/office/drawing/2014/main" id="{142C863C-72A2-4850-81D0-AF9A938FA2A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5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649669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2893</xdr:row>
      <xdr:rowOff>25400</xdr:rowOff>
    </xdr:from>
    <xdr:to>
      <xdr:col>11</xdr:col>
      <xdr:colOff>571500</xdr:colOff>
      <xdr:row>2894</xdr:row>
      <xdr:rowOff>0</xdr:rowOff>
    </xdr:to>
    <xdr:pic>
      <xdr:nvPicPr>
        <xdr:cNvPr id="13841" name="Рисунок 13840">
          <a:extLst>
            <a:ext uri="{FF2B5EF4-FFF2-40B4-BE49-F238E27FC236}">
              <a16:creationId xmlns:a16="http://schemas.microsoft.com/office/drawing/2014/main" id="{503462C4-4EDE-4000-82AE-882ED652434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5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650241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2894</xdr:row>
      <xdr:rowOff>25400</xdr:rowOff>
    </xdr:from>
    <xdr:to>
      <xdr:col>11</xdr:col>
      <xdr:colOff>571500</xdr:colOff>
      <xdr:row>2895</xdr:row>
      <xdr:rowOff>0</xdr:rowOff>
    </xdr:to>
    <xdr:pic>
      <xdr:nvPicPr>
        <xdr:cNvPr id="13843" name="Рисунок 13842">
          <a:extLst>
            <a:ext uri="{FF2B5EF4-FFF2-40B4-BE49-F238E27FC236}">
              <a16:creationId xmlns:a16="http://schemas.microsoft.com/office/drawing/2014/main" id="{2170926D-8CB8-447A-B8B4-6FC01D832F7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5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650812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2895</xdr:row>
      <xdr:rowOff>25400</xdr:rowOff>
    </xdr:from>
    <xdr:to>
      <xdr:col>11</xdr:col>
      <xdr:colOff>571500</xdr:colOff>
      <xdr:row>2896</xdr:row>
      <xdr:rowOff>0</xdr:rowOff>
    </xdr:to>
    <xdr:pic>
      <xdr:nvPicPr>
        <xdr:cNvPr id="13845" name="Рисунок 13844">
          <a:extLst>
            <a:ext uri="{FF2B5EF4-FFF2-40B4-BE49-F238E27FC236}">
              <a16:creationId xmlns:a16="http://schemas.microsoft.com/office/drawing/2014/main" id="{68207518-6FD9-46D9-BE7C-206AE08F006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5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651384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2896</xdr:row>
      <xdr:rowOff>25400</xdr:rowOff>
    </xdr:from>
    <xdr:to>
      <xdr:col>11</xdr:col>
      <xdr:colOff>571500</xdr:colOff>
      <xdr:row>2897</xdr:row>
      <xdr:rowOff>0</xdr:rowOff>
    </xdr:to>
    <xdr:pic>
      <xdr:nvPicPr>
        <xdr:cNvPr id="13847" name="Рисунок 13846">
          <a:extLst>
            <a:ext uri="{FF2B5EF4-FFF2-40B4-BE49-F238E27FC236}">
              <a16:creationId xmlns:a16="http://schemas.microsoft.com/office/drawing/2014/main" id="{4C751A67-C2ED-4010-B20B-66FBC94A5CE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5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651955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2897</xdr:row>
      <xdr:rowOff>25400</xdr:rowOff>
    </xdr:from>
    <xdr:to>
      <xdr:col>11</xdr:col>
      <xdr:colOff>571500</xdr:colOff>
      <xdr:row>2898</xdr:row>
      <xdr:rowOff>0</xdr:rowOff>
    </xdr:to>
    <xdr:pic>
      <xdr:nvPicPr>
        <xdr:cNvPr id="13849" name="Рисунок 13848">
          <a:extLst>
            <a:ext uri="{FF2B5EF4-FFF2-40B4-BE49-F238E27FC236}">
              <a16:creationId xmlns:a16="http://schemas.microsoft.com/office/drawing/2014/main" id="{63A94F8D-BEE0-43CE-8ECE-6A062D2BCB2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5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652527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2898</xdr:row>
      <xdr:rowOff>25400</xdr:rowOff>
    </xdr:from>
    <xdr:to>
      <xdr:col>11</xdr:col>
      <xdr:colOff>571500</xdr:colOff>
      <xdr:row>2899</xdr:row>
      <xdr:rowOff>0</xdr:rowOff>
    </xdr:to>
    <xdr:pic>
      <xdr:nvPicPr>
        <xdr:cNvPr id="13851" name="Рисунок 13850">
          <a:extLst>
            <a:ext uri="{FF2B5EF4-FFF2-40B4-BE49-F238E27FC236}">
              <a16:creationId xmlns:a16="http://schemas.microsoft.com/office/drawing/2014/main" id="{9B7C2D27-892F-4905-A53B-3BC7F9D7892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5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653098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2899</xdr:row>
      <xdr:rowOff>25400</xdr:rowOff>
    </xdr:from>
    <xdr:to>
      <xdr:col>11</xdr:col>
      <xdr:colOff>571500</xdr:colOff>
      <xdr:row>2900</xdr:row>
      <xdr:rowOff>0</xdr:rowOff>
    </xdr:to>
    <xdr:pic>
      <xdr:nvPicPr>
        <xdr:cNvPr id="13853" name="Рисунок 13852">
          <a:extLst>
            <a:ext uri="{FF2B5EF4-FFF2-40B4-BE49-F238E27FC236}">
              <a16:creationId xmlns:a16="http://schemas.microsoft.com/office/drawing/2014/main" id="{E9132855-1181-4F26-BD19-C203A57BC44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6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653670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2900</xdr:row>
      <xdr:rowOff>25400</xdr:rowOff>
    </xdr:from>
    <xdr:to>
      <xdr:col>11</xdr:col>
      <xdr:colOff>571500</xdr:colOff>
      <xdr:row>2901</xdr:row>
      <xdr:rowOff>0</xdr:rowOff>
    </xdr:to>
    <xdr:pic>
      <xdr:nvPicPr>
        <xdr:cNvPr id="13855" name="Рисунок 13854">
          <a:extLst>
            <a:ext uri="{FF2B5EF4-FFF2-40B4-BE49-F238E27FC236}">
              <a16:creationId xmlns:a16="http://schemas.microsoft.com/office/drawing/2014/main" id="{7B2888DC-3187-4853-ADFC-E57E7F09CA2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6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654241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2901</xdr:row>
      <xdr:rowOff>25400</xdr:rowOff>
    </xdr:from>
    <xdr:to>
      <xdr:col>11</xdr:col>
      <xdr:colOff>571500</xdr:colOff>
      <xdr:row>2902</xdr:row>
      <xdr:rowOff>0</xdr:rowOff>
    </xdr:to>
    <xdr:pic>
      <xdr:nvPicPr>
        <xdr:cNvPr id="13857" name="Рисунок 13856">
          <a:extLst>
            <a:ext uri="{FF2B5EF4-FFF2-40B4-BE49-F238E27FC236}">
              <a16:creationId xmlns:a16="http://schemas.microsoft.com/office/drawing/2014/main" id="{2404E9FD-9E1A-4DCF-9D34-4FA66E40BD3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6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654813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2902</xdr:row>
      <xdr:rowOff>25400</xdr:rowOff>
    </xdr:from>
    <xdr:to>
      <xdr:col>11</xdr:col>
      <xdr:colOff>571500</xdr:colOff>
      <xdr:row>2903</xdr:row>
      <xdr:rowOff>0</xdr:rowOff>
    </xdr:to>
    <xdr:pic>
      <xdr:nvPicPr>
        <xdr:cNvPr id="13859" name="Рисунок 13858">
          <a:extLst>
            <a:ext uri="{FF2B5EF4-FFF2-40B4-BE49-F238E27FC236}">
              <a16:creationId xmlns:a16="http://schemas.microsoft.com/office/drawing/2014/main" id="{52255228-B252-41B1-B85E-A10C1CDA756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6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655384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2903</xdr:row>
      <xdr:rowOff>25400</xdr:rowOff>
    </xdr:from>
    <xdr:to>
      <xdr:col>11</xdr:col>
      <xdr:colOff>571500</xdr:colOff>
      <xdr:row>2904</xdr:row>
      <xdr:rowOff>0</xdr:rowOff>
    </xdr:to>
    <xdr:pic>
      <xdr:nvPicPr>
        <xdr:cNvPr id="13861" name="Рисунок 13860">
          <a:extLst>
            <a:ext uri="{FF2B5EF4-FFF2-40B4-BE49-F238E27FC236}">
              <a16:creationId xmlns:a16="http://schemas.microsoft.com/office/drawing/2014/main" id="{4F58F767-282D-4AAE-BC22-5DB6EFBFD73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6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655956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2904</xdr:row>
      <xdr:rowOff>25400</xdr:rowOff>
    </xdr:from>
    <xdr:to>
      <xdr:col>11</xdr:col>
      <xdr:colOff>571500</xdr:colOff>
      <xdr:row>2905</xdr:row>
      <xdr:rowOff>0</xdr:rowOff>
    </xdr:to>
    <xdr:pic>
      <xdr:nvPicPr>
        <xdr:cNvPr id="13863" name="Рисунок 13862">
          <a:extLst>
            <a:ext uri="{FF2B5EF4-FFF2-40B4-BE49-F238E27FC236}">
              <a16:creationId xmlns:a16="http://schemas.microsoft.com/office/drawing/2014/main" id="{AB6AA007-FB87-483C-A643-DA2510B30A6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6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656527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2905</xdr:row>
      <xdr:rowOff>25400</xdr:rowOff>
    </xdr:from>
    <xdr:to>
      <xdr:col>11</xdr:col>
      <xdr:colOff>571500</xdr:colOff>
      <xdr:row>2906</xdr:row>
      <xdr:rowOff>0</xdr:rowOff>
    </xdr:to>
    <xdr:pic>
      <xdr:nvPicPr>
        <xdr:cNvPr id="13865" name="Рисунок 13864">
          <a:extLst>
            <a:ext uri="{FF2B5EF4-FFF2-40B4-BE49-F238E27FC236}">
              <a16:creationId xmlns:a16="http://schemas.microsoft.com/office/drawing/2014/main" id="{C3E3DEEB-BA3B-4189-A7B7-BAD6F3BC459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6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657099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2906</xdr:row>
      <xdr:rowOff>25400</xdr:rowOff>
    </xdr:from>
    <xdr:to>
      <xdr:col>11</xdr:col>
      <xdr:colOff>571500</xdr:colOff>
      <xdr:row>2907</xdr:row>
      <xdr:rowOff>0</xdr:rowOff>
    </xdr:to>
    <xdr:pic>
      <xdr:nvPicPr>
        <xdr:cNvPr id="13867" name="Рисунок 13866">
          <a:extLst>
            <a:ext uri="{FF2B5EF4-FFF2-40B4-BE49-F238E27FC236}">
              <a16:creationId xmlns:a16="http://schemas.microsoft.com/office/drawing/2014/main" id="{D7324EF7-6094-415B-AA95-3CC42A9957D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6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657670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2907</xdr:row>
      <xdr:rowOff>25400</xdr:rowOff>
    </xdr:from>
    <xdr:to>
      <xdr:col>11</xdr:col>
      <xdr:colOff>571500</xdr:colOff>
      <xdr:row>2908</xdr:row>
      <xdr:rowOff>0</xdr:rowOff>
    </xdr:to>
    <xdr:pic>
      <xdr:nvPicPr>
        <xdr:cNvPr id="13869" name="Рисунок 13868">
          <a:extLst>
            <a:ext uri="{FF2B5EF4-FFF2-40B4-BE49-F238E27FC236}">
              <a16:creationId xmlns:a16="http://schemas.microsoft.com/office/drawing/2014/main" id="{B43EE68D-F20C-4237-B263-DB4EEEC9228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6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658242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2908</xdr:row>
      <xdr:rowOff>25400</xdr:rowOff>
    </xdr:from>
    <xdr:to>
      <xdr:col>11</xdr:col>
      <xdr:colOff>571500</xdr:colOff>
      <xdr:row>2909</xdr:row>
      <xdr:rowOff>0</xdr:rowOff>
    </xdr:to>
    <xdr:pic>
      <xdr:nvPicPr>
        <xdr:cNvPr id="13871" name="Рисунок 13870">
          <a:extLst>
            <a:ext uri="{FF2B5EF4-FFF2-40B4-BE49-F238E27FC236}">
              <a16:creationId xmlns:a16="http://schemas.microsoft.com/office/drawing/2014/main" id="{4962008B-AC78-44AA-86D4-BA09E99FE79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6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658813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2909</xdr:row>
      <xdr:rowOff>25400</xdr:rowOff>
    </xdr:from>
    <xdr:to>
      <xdr:col>11</xdr:col>
      <xdr:colOff>571500</xdr:colOff>
      <xdr:row>2910</xdr:row>
      <xdr:rowOff>0</xdr:rowOff>
    </xdr:to>
    <xdr:pic>
      <xdr:nvPicPr>
        <xdr:cNvPr id="13873" name="Рисунок 13872">
          <a:extLst>
            <a:ext uri="{FF2B5EF4-FFF2-40B4-BE49-F238E27FC236}">
              <a16:creationId xmlns:a16="http://schemas.microsoft.com/office/drawing/2014/main" id="{D7DC16E1-6E9F-4E39-9132-03C625A0B8C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7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659385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2910</xdr:row>
      <xdr:rowOff>25400</xdr:rowOff>
    </xdr:from>
    <xdr:to>
      <xdr:col>11</xdr:col>
      <xdr:colOff>571500</xdr:colOff>
      <xdr:row>2911</xdr:row>
      <xdr:rowOff>0</xdr:rowOff>
    </xdr:to>
    <xdr:pic>
      <xdr:nvPicPr>
        <xdr:cNvPr id="13875" name="Рисунок 13874">
          <a:extLst>
            <a:ext uri="{FF2B5EF4-FFF2-40B4-BE49-F238E27FC236}">
              <a16:creationId xmlns:a16="http://schemas.microsoft.com/office/drawing/2014/main" id="{152A30F2-FD82-40EB-8C83-2E9F4BDCCE2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7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659956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2911</xdr:row>
      <xdr:rowOff>25400</xdr:rowOff>
    </xdr:from>
    <xdr:to>
      <xdr:col>11</xdr:col>
      <xdr:colOff>571500</xdr:colOff>
      <xdr:row>2912</xdr:row>
      <xdr:rowOff>0</xdr:rowOff>
    </xdr:to>
    <xdr:pic>
      <xdr:nvPicPr>
        <xdr:cNvPr id="13877" name="Рисунок 13876">
          <a:extLst>
            <a:ext uri="{FF2B5EF4-FFF2-40B4-BE49-F238E27FC236}">
              <a16:creationId xmlns:a16="http://schemas.microsoft.com/office/drawing/2014/main" id="{26BA3491-6CA5-4199-84D6-7DDC36931B2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7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660528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2912</xdr:row>
      <xdr:rowOff>25400</xdr:rowOff>
    </xdr:from>
    <xdr:to>
      <xdr:col>11</xdr:col>
      <xdr:colOff>571500</xdr:colOff>
      <xdr:row>2913</xdr:row>
      <xdr:rowOff>0</xdr:rowOff>
    </xdr:to>
    <xdr:pic>
      <xdr:nvPicPr>
        <xdr:cNvPr id="13879" name="Рисунок 13878">
          <a:extLst>
            <a:ext uri="{FF2B5EF4-FFF2-40B4-BE49-F238E27FC236}">
              <a16:creationId xmlns:a16="http://schemas.microsoft.com/office/drawing/2014/main" id="{3909DF9B-AD35-487D-95AA-9B6A13C083B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7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661099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2913</xdr:row>
      <xdr:rowOff>25400</xdr:rowOff>
    </xdr:from>
    <xdr:to>
      <xdr:col>11</xdr:col>
      <xdr:colOff>571500</xdr:colOff>
      <xdr:row>2914</xdr:row>
      <xdr:rowOff>0</xdr:rowOff>
    </xdr:to>
    <xdr:pic>
      <xdr:nvPicPr>
        <xdr:cNvPr id="13881" name="Рисунок 13880">
          <a:extLst>
            <a:ext uri="{FF2B5EF4-FFF2-40B4-BE49-F238E27FC236}">
              <a16:creationId xmlns:a16="http://schemas.microsoft.com/office/drawing/2014/main" id="{CF44A84C-17F2-4E21-8675-16E6AA27C0D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7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661671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2914</xdr:row>
      <xdr:rowOff>25400</xdr:rowOff>
    </xdr:from>
    <xdr:to>
      <xdr:col>11</xdr:col>
      <xdr:colOff>571500</xdr:colOff>
      <xdr:row>2915</xdr:row>
      <xdr:rowOff>0</xdr:rowOff>
    </xdr:to>
    <xdr:pic>
      <xdr:nvPicPr>
        <xdr:cNvPr id="13883" name="Рисунок 13882">
          <a:extLst>
            <a:ext uri="{FF2B5EF4-FFF2-40B4-BE49-F238E27FC236}">
              <a16:creationId xmlns:a16="http://schemas.microsoft.com/office/drawing/2014/main" id="{72283D6E-9D47-4947-A141-1163C2C6902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7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662242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2915</xdr:row>
      <xdr:rowOff>25400</xdr:rowOff>
    </xdr:from>
    <xdr:to>
      <xdr:col>11</xdr:col>
      <xdr:colOff>571500</xdr:colOff>
      <xdr:row>2916</xdr:row>
      <xdr:rowOff>0</xdr:rowOff>
    </xdr:to>
    <xdr:pic>
      <xdr:nvPicPr>
        <xdr:cNvPr id="13885" name="Рисунок 13884">
          <a:extLst>
            <a:ext uri="{FF2B5EF4-FFF2-40B4-BE49-F238E27FC236}">
              <a16:creationId xmlns:a16="http://schemas.microsoft.com/office/drawing/2014/main" id="{2F9353DD-51CF-4FC7-8754-EFA39E70B54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7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662814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2916</xdr:row>
      <xdr:rowOff>25400</xdr:rowOff>
    </xdr:from>
    <xdr:to>
      <xdr:col>11</xdr:col>
      <xdr:colOff>571500</xdr:colOff>
      <xdr:row>2917</xdr:row>
      <xdr:rowOff>0</xdr:rowOff>
    </xdr:to>
    <xdr:pic>
      <xdr:nvPicPr>
        <xdr:cNvPr id="13887" name="Рисунок 13886">
          <a:extLst>
            <a:ext uri="{FF2B5EF4-FFF2-40B4-BE49-F238E27FC236}">
              <a16:creationId xmlns:a16="http://schemas.microsoft.com/office/drawing/2014/main" id="{9C7E6950-F44B-4DD8-8FC1-7B369AC939E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7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663385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2917</xdr:row>
      <xdr:rowOff>25400</xdr:rowOff>
    </xdr:from>
    <xdr:to>
      <xdr:col>11</xdr:col>
      <xdr:colOff>571500</xdr:colOff>
      <xdr:row>2918</xdr:row>
      <xdr:rowOff>0</xdr:rowOff>
    </xdr:to>
    <xdr:pic>
      <xdr:nvPicPr>
        <xdr:cNvPr id="13889" name="Рисунок 13888">
          <a:extLst>
            <a:ext uri="{FF2B5EF4-FFF2-40B4-BE49-F238E27FC236}">
              <a16:creationId xmlns:a16="http://schemas.microsoft.com/office/drawing/2014/main" id="{89B4E0CA-248F-42CD-A6B4-BDE63B11BBE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7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663957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2918</xdr:row>
      <xdr:rowOff>25400</xdr:rowOff>
    </xdr:from>
    <xdr:to>
      <xdr:col>11</xdr:col>
      <xdr:colOff>571500</xdr:colOff>
      <xdr:row>2919</xdr:row>
      <xdr:rowOff>0</xdr:rowOff>
    </xdr:to>
    <xdr:pic>
      <xdr:nvPicPr>
        <xdr:cNvPr id="13891" name="Рисунок 13890">
          <a:extLst>
            <a:ext uri="{FF2B5EF4-FFF2-40B4-BE49-F238E27FC236}">
              <a16:creationId xmlns:a16="http://schemas.microsoft.com/office/drawing/2014/main" id="{2C67A4D6-930F-43A4-93AB-A3CCBF1DB78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7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664528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2919</xdr:row>
      <xdr:rowOff>25400</xdr:rowOff>
    </xdr:from>
    <xdr:to>
      <xdr:col>11</xdr:col>
      <xdr:colOff>571500</xdr:colOff>
      <xdr:row>2920</xdr:row>
      <xdr:rowOff>0</xdr:rowOff>
    </xdr:to>
    <xdr:pic>
      <xdr:nvPicPr>
        <xdr:cNvPr id="13893" name="Рисунок 13892">
          <a:extLst>
            <a:ext uri="{FF2B5EF4-FFF2-40B4-BE49-F238E27FC236}">
              <a16:creationId xmlns:a16="http://schemas.microsoft.com/office/drawing/2014/main" id="{22E7769B-6762-474E-B661-3B7FAAFBD9F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8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665100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2920</xdr:row>
      <xdr:rowOff>25400</xdr:rowOff>
    </xdr:from>
    <xdr:to>
      <xdr:col>11</xdr:col>
      <xdr:colOff>571500</xdr:colOff>
      <xdr:row>2921</xdr:row>
      <xdr:rowOff>0</xdr:rowOff>
    </xdr:to>
    <xdr:pic>
      <xdr:nvPicPr>
        <xdr:cNvPr id="13895" name="Рисунок 13894">
          <a:extLst>
            <a:ext uri="{FF2B5EF4-FFF2-40B4-BE49-F238E27FC236}">
              <a16:creationId xmlns:a16="http://schemas.microsoft.com/office/drawing/2014/main" id="{8C475100-3FDE-4A23-A208-F36D956462E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8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665671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2921</xdr:row>
      <xdr:rowOff>25400</xdr:rowOff>
    </xdr:from>
    <xdr:to>
      <xdr:col>11</xdr:col>
      <xdr:colOff>571500</xdr:colOff>
      <xdr:row>2922</xdr:row>
      <xdr:rowOff>0</xdr:rowOff>
    </xdr:to>
    <xdr:pic>
      <xdr:nvPicPr>
        <xdr:cNvPr id="13897" name="Рисунок 13896">
          <a:extLst>
            <a:ext uri="{FF2B5EF4-FFF2-40B4-BE49-F238E27FC236}">
              <a16:creationId xmlns:a16="http://schemas.microsoft.com/office/drawing/2014/main" id="{AD102A98-C1A3-46DE-B423-831C0B6AAEE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8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666243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2922</xdr:row>
      <xdr:rowOff>25400</xdr:rowOff>
    </xdr:from>
    <xdr:to>
      <xdr:col>11</xdr:col>
      <xdr:colOff>571500</xdr:colOff>
      <xdr:row>2923</xdr:row>
      <xdr:rowOff>0</xdr:rowOff>
    </xdr:to>
    <xdr:pic>
      <xdr:nvPicPr>
        <xdr:cNvPr id="13899" name="Рисунок 13898">
          <a:extLst>
            <a:ext uri="{FF2B5EF4-FFF2-40B4-BE49-F238E27FC236}">
              <a16:creationId xmlns:a16="http://schemas.microsoft.com/office/drawing/2014/main" id="{8C11491C-A56C-42E9-8342-CA5FCEF23ED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8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666814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2923</xdr:row>
      <xdr:rowOff>25400</xdr:rowOff>
    </xdr:from>
    <xdr:to>
      <xdr:col>11</xdr:col>
      <xdr:colOff>571500</xdr:colOff>
      <xdr:row>2924</xdr:row>
      <xdr:rowOff>0</xdr:rowOff>
    </xdr:to>
    <xdr:pic>
      <xdr:nvPicPr>
        <xdr:cNvPr id="13901" name="Рисунок 13900">
          <a:extLst>
            <a:ext uri="{FF2B5EF4-FFF2-40B4-BE49-F238E27FC236}">
              <a16:creationId xmlns:a16="http://schemas.microsoft.com/office/drawing/2014/main" id="{FCDE5900-DD00-4880-BCD7-847211CA4AC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8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667386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2924</xdr:row>
      <xdr:rowOff>25400</xdr:rowOff>
    </xdr:from>
    <xdr:to>
      <xdr:col>11</xdr:col>
      <xdr:colOff>571500</xdr:colOff>
      <xdr:row>2925</xdr:row>
      <xdr:rowOff>0</xdr:rowOff>
    </xdr:to>
    <xdr:pic>
      <xdr:nvPicPr>
        <xdr:cNvPr id="13903" name="Рисунок 13902">
          <a:extLst>
            <a:ext uri="{FF2B5EF4-FFF2-40B4-BE49-F238E27FC236}">
              <a16:creationId xmlns:a16="http://schemas.microsoft.com/office/drawing/2014/main" id="{5BCC3B00-2624-482B-9186-E0CA6713F29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8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667957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2925</xdr:row>
      <xdr:rowOff>25400</xdr:rowOff>
    </xdr:from>
    <xdr:to>
      <xdr:col>11</xdr:col>
      <xdr:colOff>571500</xdr:colOff>
      <xdr:row>2926</xdr:row>
      <xdr:rowOff>0</xdr:rowOff>
    </xdr:to>
    <xdr:pic>
      <xdr:nvPicPr>
        <xdr:cNvPr id="13905" name="Рисунок 13904">
          <a:extLst>
            <a:ext uri="{FF2B5EF4-FFF2-40B4-BE49-F238E27FC236}">
              <a16:creationId xmlns:a16="http://schemas.microsoft.com/office/drawing/2014/main" id="{AC952AB0-4A8F-4F81-8B8D-DE65533C4CD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8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668529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2926</xdr:row>
      <xdr:rowOff>25400</xdr:rowOff>
    </xdr:from>
    <xdr:to>
      <xdr:col>11</xdr:col>
      <xdr:colOff>571500</xdr:colOff>
      <xdr:row>2927</xdr:row>
      <xdr:rowOff>0</xdr:rowOff>
    </xdr:to>
    <xdr:pic>
      <xdr:nvPicPr>
        <xdr:cNvPr id="13907" name="Рисунок 13906">
          <a:extLst>
            <a:ext uri="{FF2B5EF4-FFF2-40B4-BE49-F238E27FC236}">
              <a16:creationId xmlns:a16="http://schemas.microsoft.com/office/drawing/2014/main" id="{C4EE94A0-03FC-4D29-8EEC-4E30836F079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8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669100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2927</xdr:row>
      <xdr:rowOff>25400</xdr:rowOff>
    </xdr:from>
    <xdr:to>
      <xdr:col>11</xdr:col>
      <xdr:colOff>571500</xdr:colOff>
      <xdr:row>2928</xdr:row>
      <xdr:rowOff>0</xdr:rowOff>
    </xdr:to>
    <xdr:pic>
      <xdr:nvPicPr>
        <xdr:cNvPr id="13909" name="Рисунок 13908">
          <a:extLst>
            <a:ext uri="{FF2B5EF4-FFF2-40B4-BE49-F238E27FC236}">
              <a16:creationId xmlns:a16="http://schemas.microsoft.com/office/drawing/2014/main" id="{22CEDA37-E00A-421B-BEBC-DC8FB7D9F2F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8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669672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2928</xdr:row>
      <xdr:rowOff>25400</xdr:rowOff>
    </xdr:from>
    <xdr:to>
      <xdr:col>11</xdr:col>
      <xdr:colOff>571500</xdr:colOff>
      <xdr:row>2929</xdr:row>
      <xdr:rowOff>0</xdr:rowOff>
    </xdr:to>
    <xdr:pic>
      <xdr:nvPicPr>
        <xdr:cNvPr id="13911" name="Рисунок 13910">
          <a:extLst>
            <a:ext uri="{FF2B5EF4-FFF2-40B4-BE49-F238E27FC236}">
              <a16:creationId xmlns:a16="http://schemas.microsoft.com/office/drawing/2014/main" id="{AA931DFC-B7E3-42D1-8834-0E4F618D5CF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8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670243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2929</xdr:row>
      <xdr:rowOff>25400</xdr:rowOff>
    </xdr:from>
    <xdr:to>
      <xdr:col>11</xdr:col>
      <xdr:colOff>571500</xdr:colOff>
      <xdr:row>2930</xdr:row>
      <xdr:rowOff>0</xdr:rowOff>
    </xdr:to>
    <xdr:pic>
      <xdr:nvPicPr>
        <xdr:cNvPr id="13913" name="Рисунок 13912">
          <a:extLst>
            <a:ext uri="{FF2B5EF4-FFF2-40B4-BE49-F238E27FC236}">
              <a16:creationId xmlns:a16="http://schemas.microsoft.com/office/drawing/2014/main" id="{F0725E8B-C79A-4627-803B-1D7BDA435A6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9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670815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2930</xdr:row>
      <xdr:rowOff>25400</xdr:rowOff>
    </xdr:from>
    <xdr:to>
      <xdr:col>11</xdr:col>
      <xdr:colOff>571500</xdr:colOff>
      <xdr:row>2931</xdr:row>
      <xdr:rowOff>0</xdr:rowOff>
    </xdr:to>
    <xdr:pic>
      <xdr:nvPicPr>
        <xdr:cNvPr id="13915" name="Рисунок 13914">
          <a:extLst>
            <a:ext uri="{FF2B5EF4-FFF2-40B4-BE49-F238E27FC236}">
              <a16:creationId xmlns:a16="http://schemas.microsoft.com/office/drawing/2014/main" id="{475E8FC2-2CAD-4117-A22B-A43ADA2B81E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9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671386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2931</xdr:row>
      <xdr:rowOff>25400</xdr:rowOff>
    </xdr:from>
    <xdr:to>
      <xdr:col>11</xdr:col>
      <xdr:colOff>571500</xdr:colOff>
      <xdr:row>2932</xdr:row>
      <xdr:rowOff>0</xdr:rowOff>
    </xdr:to>
    <xdr:pic>
      <xdr:nvPicPr>
        <xdr:cNvPr id="13917" name="Рисунок 13916">
          <a:extLst>
            <a:ext uri="{FF2B5EF4-FFF2-40B4-BE49-F238E27FC236}">
              <a16:creationId xmlns:a16="http://schemas.microsoft.com/office/drawing/2014/main" id="{F9E2BD0B-1A4D-4F47-AAE5-D60711EBA83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9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671958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2932</xdr:row>
      <xdr:rowOff>25400</xdr:rowOff>
    </xdr:from>
    <xdr:to>
      <xdr:col>11</xdr:col>
      <xdr:colOff>571500</xdr:colOff>
      <xdr:row>2933</xdr:row>
      <xdr:rowOff>0</xdr:rowOff>
    </xdr:to>
    <xdr:pic>
      <xdr:nvPicPr>
        <xdr:cNvPr id="13919" name="Рисунок 13918">
          <a:extLst>
            <a:ext uri="{FF2B5EF4-FFF2-40B4-BE49-F238E27FC236}">
              <a16:creationId xmlns:a16="http://schemas.microsoft.com/office/drawing/2014/main" id="{C1FE6FF7-6304-4AC1-A00F-24F8FC3E9ED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9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672529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2933</xdr:row>
      <xdr:rowOff>25400</xdr:rowOff>
    </xdr:from>
    <xdr:to>
      <xdr:col>11</xdr:col>
      <xdr:colOff>571500</xdr:colOff>
      <xdr:row>2934</xdr:row>
      <xdr:rowOff>0</xdr:rowOff>
    </xdr:to>
    <xdr:pic>
      <xdr:nvPicPr>
        <xdr:cNvPr id="13921" name="Рисунок 13920">
          <a:extLst>
            <a:ext uri="{FF2B5EF4-FFF2-40B4-BE49-F238E27FC236}">
              <a16:creationId xmlns:a16="http://schemas.microsoft.com/office/drawing/2014/main" id="{47C49689-FF4B-4E01-B34F-9BE23C91631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9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673101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2934</xdr:row>
      <xdr:rowOff>25400</xdr:rowOff>
    </xdr:from>
    <xdr:to>
      <xdr:col>11</xdr:col>
      <xdr:colOff>571500</xdr:colOff>
      <xdr:row>2935</xdr:row>
      <xdr:rowOff>0</xdr:rowOff>
    </xdr:to>
    <xdr:pic>
      <xdr:nvPicPr>
        <xdr:cNvPr id="13923" name="Рисунок 13922">
          <a:extLst>
            <a:ext uri="{FF2B5EF4-FFF2-40B4-BE49-F238E27FC236}">
              <a16:creationId xmlns:a16="http://schemas.microsoft.com/office/drawing/2014/main" id="{F3E62596-C391-454C-B4B1-07FCE2B8711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9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673672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2935</xdr:row>
      <xdr:rowOff>25400</xdr:rowOff>
    </xdr:from>
    <xdr:to>
      <xdr:col>11</xdr:col>
      <xdr:colOff>571500</xdr:colOff>
      <xdr:row>2936</xdr:row>
      <xdr:rowOff>0</xdr:rowOff>
    </xdr:to>
    <xdr:pic>
      <xdr:nvPicPr>
        <xdr:cNvPr id="13925" name="Рисунок 13924">
          <a:extLst>
            <a:ext uri="{FF2B5EF4-FFF2-40B4-BE49-F238E27FC236}">
              <a16:creationId xmlns:a16="http://schemas.microsoft.com/office/drawing/2014/main" id="{358D5C47-62BF-4361-BD31-1229B0088D4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9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674244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2936</xdr:row>
      <xdr:rowOff>25400</xdr:rowOff>
    </xdr:from>
    <xdr:to>
      <xdr:col>11</xdr:col>
      <xdr:colOff>571500</xdr:colOff>
      <xdr:row>2937</xdr:row>
      <xdr:rowOff>0</xdr:rowOff>
    </xdr:to>
    <xdr:pic>
      <xdr:nvPicPr>
        <xdr:cNvPr id="13927" name="Рисунок 13926">
          <a:extLst>
            <a:ext uri="{FF2B5EF4-FFF2-40B4-BE49-F238E27FC236}">
              <a16:creationId xmlns:a16="http://schemas.microsoft.com/office/drawing/2014/main" id="{139824E9-B726-4FC4-A445-7DC160164D3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9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674815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2937</xdr:row>
      <xdr:rowOff>25400</xdr:rowOff>
    </xdr:from>
    <xdr:to>
      <xdr:col>11</xdr:col>
      <xdr:colOff>571500</xdr:colOff>
      <xdr:row>2938</xdr:row>
      <xdr:rowOff>0</xdr:rowOff>
    </xdr:to>
    <xdr:pic>
      <xdr:nvPicPr>
        <xdr:cNvPr id="13929" name="Рисунок 13928">
          <a:extLst>
            <a:ext uri="{FF2B5EF4-FFF2-40B4-BE49-F238E27FC236}">
              <a16:creationId xmlns:a16="http://schemas.microsoft.com/office/drawing/2014/main" id="{7B79EF4E-17AE-4FBA-82E7-629C54E0943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9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675387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2938</xdr:row>
      <xdr:rowOff>25400</xdr:rowOff>
    </xdr:from>
    <xdr:to>
      <xdr:col>11</xdr:col>
      <xdr:colOff>571500</xdr:colOff>
      <xdr:row>2939</xdr:row>
      <xdr:rowOff>0</xdr:rowOff>
    </xdr:to>
    <xdr:pic>
      <xdr:nvPicPr>
        <xdr:cNvPr id="13931" name="Рисунок 13930">
          <a:extLst>
            <a:ext uri="{FF2B5EF4-FFF2-40B4-BE49-F238E27FC236}">
              <a16:creationId xmlns:a16="http://schemas.microsoft.com/office/drawing/2014/main" id="{3D5CCEA1-8B6F-49AD-98EC-D20564B45AE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89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675958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2939</xdr:row>
      <xdr:rowOff>25400</xdr:rowOff>
    </xdr:from>
    <xdr:to>
      <xdr:col>11</xdr:col>
      <xdr:colOff>571500</xdr:colOff>
      <xdr:row>2940</xdr:row>
      <xdr:rowOff>0</xdr:rowOff>
    </xdr:to>
    <xdr:pic>
      <xdr:nvPicPr>
        <xdr:cNvPr id="13933" name="Рисунок 13932">
          <a:extLst>
            <a:ext uri="{FF2B5EF4-FFF2-40B4-BE49-F238E27FC236}">
              <a16:creationId xmlns:a16="http://schemas.microsoft.com/office/drawing/2014/main" id="{0FC24471-7280-4070-B673-0F6200BD797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0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676530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2940</xdr:row>
      <xdr:rowOff>25400</xdr:rowOff>
    </xdr:from>
    <xdr:to>
      <xdr:col>11</xdr:col>
      <xdr:colOff>571500</xdr:colOff>
      <xdr:row>2941</xdr:row>
      <xdr:rowOff>0</xdr:rowOff>
    </xdr:to>
    <xdr:pic>
      <xdr:nvPicPr>
        <xdr:cNvPr id="13935" name="Рисунок 13934">
          <a:extLst>
            <a:ext uri="{FF2B5EF4-FFF2-40B4-BE49-F238E27FC236}">
              <a16:creationId xmlns:a16="http://schemas.microsoft.com/office/drawing/2014/main" id="{36D3571E-F2FA-4CC6-9945-4DBBA18BB49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0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677101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2941</xdr:row>
      <xdr:rowOff>25400</xdr:rowOff>
    </xdr:from>
    <xdr:to>
      <xdr:col>11</xdr:col>
      <xdr:colOff>571500</xdr:colOff>
      <xdr:row>2942</xdr:row>
      <xdr:rowOff>0</xdr:rowOff>
    </xdr:to>
    <xdr:pic>
      <xdr:nvPicPr>
        <xdr:cNvPr id="13937" name="Рисунок 13936">
          <a:extLst>
            <a:ext uri="{FF2B5EF4-FFF2-40B4-BE49-F238E27FC236}">
              <a16:creationId xmlns:a16="http://schemas.microsoft.com/office/drawing/2014/main" id="{EFD2D24C-5B8D-477F-AB4C-AEB17E7E9C4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0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677673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2942</xdr:row>
      <xdr:rowOff>25400</xdr:rowOff>
    </xdr:from>
    <xdr:to>
      <xdr:col>11</xdr:col>
      <xdr:colOff>571500</xdr:colOff>
      <xdr:row>2943</xdr:row>
      <xdr:rowOff>0</xdr:rowOff>
    </xdr:to>
    <xdr:pic>
      <xdr:nvPicPr>
        <xdr:cNvPr id="13939" name="Рисунок 13938">
          <a:extLst>
            <a:ext uri="{FF2B5EF4-FFF2-40B4-BE49-F238E27FC236}">
              <a16:creationId xmlns:a16="http://schemas.microsoft.com/office/drawing/2014/main" id="{01A8FFD2-B210-4EC7-8140-5F07D69D8D8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0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678244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2943</xdr:row>
      <xdr:rowOff>25400</xdr:rowOff>
    </xdr:from>
    <xdr:to>
      <xdr:col>11</xdr:col>
      <xdr:colOff>571500</xdr:colOff>
      <xdr:row>2944</xdr:row>
      <xdr:rowOff>0</xdr:rowOff>
    </xdr:to>
    <xdr:pic>
      <xdr:nvPicPr>
        <xdr:cNvPr id="13941" name="Рисунок 13940">
          <a:extLst>
            <a:ext uri="{FF2B5EF4-FFF2-40B4-BE49-F238E27FC236}">
              <a16:creationId xmlns:a16="http://schemas.microsoft.com/office/drawing/2014/main" id="{8CD2BA33-EFCA-4A4C-835F-34C26DE77BF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0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678816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2944</xdr:row>
      <xdr:rowOff>25400</xdr:rowOff>
    </xdr:from>
    <xdr:to>
      <xdr:col>11</xdr:col>
      <xdr:colOff>571500</xdr:colOff>
      <xdr:row>2945</xdr:row>
      <xdr:rowOff>0</xdr:rowOff>
    </xdr:to>
    <xdr:pic>
      <xdr:nvPicPr>
        <xdr:cNvPr id="13943" name="Рисунок 13942">
          <a:extLst>
            <a:ext uri="{FF2B5EF4-FFF2-40B4-BE49-F238E27FC236}">
              <a16:creationId xmlns:a16="http://schemas.microsoft.com/office/drawing/2014/main" id="{C883B088-E997-4448-8CB6-F1C80BB3397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0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679387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2945</xdr:row>
      <xdr:rowOff>25400</xdr:rowOff>
    </xdr:from>
    <xdr:to>
      <xdr:col>11</xdr:col>
      <xdr:colOff>571500</xdr:colOff>
      <xdr:row>2946</xdr:row>
      <xdr:rowOff>0</xdr:rowOff>
    </xdr:to>
    <xdr:pic>
      <xdr:nvPicPr>
        <xdr:cNvPr id="13945" name="Рисунок 13944">
          <a:extLst>
            <a:ext uri="{FF2B5EF4-FFF2-40B4-BE49-F238E27FC236}">
              <a16:creationId xmlns:a16="http://schemas.microsoft.com/office/drawing/2014/main" id="{7DAD04CF-9F17-4C02-9B76-91B682FB644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0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679959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2946</xdr:row>
      <xdr:rowOff>25400</xdr:rowOff>
    </xdr:from>
    <xdr:to>
      <xdr:col>11</xdr:col>
      <xdr:colOff>571500</xdr:colOff>
      <xdr:row>2947</xdr:row>
      <xdr:rowOff>0</xdr:rowOff>
    </xdr:to>
    <xdr:pic>
      <xdr:nvPicPr>
        <xdr:cNvPr id="13947" name="Рисунок 13946">
          <a:extLst>
            <a:ext uri="{FF2B5EF4-FFF2-40B4-BE49-F238E27FC236}">
              <a16:creationId xmlns:a16="http://schemas.microsoft.com/office/drawing/2014/main" id="{25130995-C5F9-4EAC-9CC1-A821342B222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0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680530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2947</xdr:row>
      <xdr:rowOff>25400</xdr:rowOff>
    </xdr:from>
    <xdr:to>
      <xdr:col>11</xdr:col>
      <xdr:colOff>571500</xdr:colOff>
      <xdr:row>2948</xdr:row>
      <xdr:rowOff>0</xdr:rowOff>
    </xdr:to>
    <xdr:pic>
      <xdr:nvPicPr>
        <xdr:cNvPr id="13949" name="Рисунок 13948">
          <a:extLst>
            <a:ext uri="{FF2B5EF4-FFF2-40B4-BE49-F238E27FC236}">
              <a16:creationId xmlns:a16="http://schemas.microsoft.com/office/drawing/2014/main" id="{16B17047-1DFA-486A-8E55-CCF9D3E1331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0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681102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2948</xdr:row>
      <xdr:rowOff>25400</xdr:rowOff>
    </xdr:from>
    <xdr:to>
      <xdr:col>11</xdr:col>
      <xdr:colOff>571500</xdr:colOff>
      <xdr:row>2949</xdr:row>
      <xdr:rowOff>0</xdr:rowOff>
    </xdr:to>
    <xdr:pic>
      <xdr:nvPicPr>
        <xdr:cNvPr id="13951" name="Рисунок 13950">
          <a:extLst>
            <a:ext uri="{FF2B5EF4-FFF2-40B4-BE49-F238E27FC236}">
              <a16:creationId xmlns:a16="http://schemas.microsoft.com/office/drawing/2014/main" id="{6BDC6AF0-87AF-4345-A07C-D1996C8D005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0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681673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2949</xdr:row>
      <xdr:rowOff>25400</xdr:rowOff>
    </xdr:from>
    <xdr:to>
      <xdr:col>11</xdr:col>
      <xdr:colOff>571500</xdr:colOff>
      <xdr:row>2950</xdr:row>
      <xdr:rowOff>0</xdr:rowOff>
    </xdr:to>
    <xdr:pic>
      <xdr:nvPicPr>
        <xdr:cNvPr id="13953" name="Рисунок 13952">
          <a:extLst>
            <a:ext uri="{FF2B5EF4-FFF2-40B4-BE49-F238E27FC236}">
              <a16:creationId xmlns:a16="http://schemas.microsoft.com/office/drawing/2014/main" id="{B1CF3D29-AB7F-475E-9166-C874DD321C6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682245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2950</xdr:row>
      <xdr:rowOff>25400</xdr:rowOff>
    </xdr:from>
    <xdr:to>
      <xdr:col>11</xdr:col>
      <xdr:colOff>571500</xdr:colOff>
      <xdr:row>2951</xdr:row>
      <xdr:rowOff>0</xdr:rowOff>
    </xdr:to>
    <xdr:pic>
      <xdr:nvPicPr>
        <xdr:cNvPr id="13955" name="Рисунок 13954">
          <a:extLst>
            <a:ext uri="{FF2B5EF4-FFF2-40B4-BE49-F238E27FC236}">
              <a16:creationId xmlns:a16="http://schemas.microsoft.com/office/drawing/2014/main" id="{978E95DD-52FC-4B24-919A-433D016FF4E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682816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2951</xdr:row>
      <xdr:rowOff>25400</xdr:rowOff>
    </xdr:from>
    <xdr:to>
      <xdr:col>11</xdr:col>
      <xdr:colOff>571500</xdr:colOff>
      <xdr:row>2952</xdr:row>
      <xdr:rowOff>0</xdr:rowOff>
    </xdr:to>
    <xdr:pic>
      <xdr:nvPicPr>
        <xdr:cNvPr id="13957" name="Рисунок 13956">
          <a:extLst>
            <a:ext uri="{FF2B5EF4-FFF2-40B4-BE49-F238E27FC236}">
              <a16:creationId xmlns:a16="http://schemas.microsoft.com/office/drawing/2014/main" id="{D8ED1CB9-9B4E-4CAB-9236-A3A322847E0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683388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2952</xdr:row>
      <xdr:rowOff>25400</xdr:rowOff>
    </xdr:from>
    <xdr:to>
      <xdr:col>11</xdr:col>
      <xdr:colOff>571500</xdr:colOff>
      <xdr:row>2953</xdr:row>
      <xdr:rowOff>0</xdr:rowOff>
    </xdr:to>
    <xdr:pic>
      <xdr:nvPicPr>
        <xdr:cNvPr id="13959" name="Рисунок 13958">
          <a:extLst>
            <a:ext uri="{FF2B5EF4-FFF2-40B4-BE49-F238E27FC236}">
              <a16:creationId xmlns:a16="http://schemas.microsoft.com/office/drawing/2014/main" id="{E8E11E6D-0AAA-4DD7-BAB0-64CDFACA6C4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683959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2953</xdr:row>
      <xdr:rowOff>25400</xdr:rowOff>
    </xdr:from>
    <xdr:to>
      <xdr:col>11</xdr:col>
      <xdr:colOff>571500</xdr:colOff>
      <xdr:row>2954</xdr:row>
      <xdr:rowOff>0</xdr:rowOff>
    </xdr:to>
    <xdr:pic>
      <xdr:nvPicPr>
        <xdr:cNvPr id="13961" name="Рисунок 13960">
          <a:extLst>
            <a:ext uri="{FF2B5EF4-FFF2-40B4-BE49-F238E27FC236}">
              <a16:creationId xmlns:a16="http://schemas.microsoft.com/office/drawing/2014/main" id="{F6B47AF5-71CD-4E25-B441-5061B124A19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684531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2954</xdr:row>
      <xdr:rowOff>25400</xdr:rowOff>
    </xdr:from>
    <xdr:to>
      <xdr:col>11</xdr:col>
      <xdr:colOff>571500</xdr:colOff>
      <xdr:row>2955</xdr:row>
      <xdr:rowOff>0</xdr:rowOff>
    </xdr:to>
    <xdr:pic>
      <xdr:nvPicPr>
        <xdr:cNvPr id="13963" name="Рисунок 13962">
          <a:extLst>
            <a:ext uri="{FF2B5EF4-FFF2-40B4-BE49-F238E27FC236}">
              <a16:creationId xmlns:a16="http://schemas.microsoft.com/office/drawing/2014/main" id="{E4DEB191-133C-43EA-A85A-92CA096756B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685102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2955</xdr:row>
      <xdr:rowOff>25400</xdr:rowOff>
    </xdr:from>
    <xdr:to>
      <xdr:col>11</xdr:col>
      <xdr:colOff>571500</xdr:colOff>
      <xdr:row>2956</xdr:row>
      <xdr:rowOff>0</xdr:rowOff>
    </xdr:to>
    <xdr:pic>
      <xdr:nvPicPr>
        <xdr:cNvPr id="13965" name="Рисунок 13964">
          <a:extLst>
            <a:ext uri="{FF2B5EF4-FFF2-40B4-BE49-F238E27FC236}">
              <a16:creationId xmlns:a16="http://schemas.microsoft.com/office/drawing/2014/main" id="{7C2F0C3A-E065-4F78-BA71-FA5B4CD1325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685674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2956</xdr:row>
      <xdr:rowOff>25400</xdr:rowOff>
    </xdr:from>
    <xdr:to>
      <xdr:col>11</xdr:col>
      <xdr:colOff>571500</xdr:colOff>
      <xdr:row>2957</xdr:row>
      <xdr:rowOff>0</xdr:rowOff>
    </xdr:to>
    <xdr:pic>
      <xdr:nvPicPr>
        <xdr:cNvPr id="13967" name="Рисунок 13966">
          <a:extLst>
            <a:ext uri="{FF2B5EF4-FFF2-40B4-BE49-F238E27FC236}">
              <a16:creationId xmlns:a16="http://schemas.microsoft.com/office/drawing/2014/main" id="{00E6EF5B-9AE8-4D1A-8774-3380044C58E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686245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2957</xdr:row>
      <xdr:rowOff>25400</xdr:rowOff>
    </xdr:from>
    <xdr:to>
      <xdr:col>11</xdr:col>
      <xdr:colOff>571500</xdr:colOff>
      <xdr:row>2958</xdr:row>
      <xdr:rowOff>0</xdr:rowOff>
    </xdr:to>
    <xdr:pic>
      <xdr:nvPicPr>
        <xdr:cNvPr id="13969" name="Рисунок 13968">
          <a:extLst>
            <a:ext uri="{FF2B5EF4-FFF2-40B4-BE49-F238E27FC236}">
              <a16:creationId xmlns:a16="http://schemas.microsoft.com/office/drawing/2014/main" id="{58900475-9128-4E0E-A1D8-B59A03ACAAA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686817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2958</xdr:row>
      <xdr:rowOff>25400</xdr:rowOff>
    </xdr:from>
    <xdr:to>
      <xdr:col>11</xdr:col>
      <xdr:colOff>571500</xdr:colOff>
      <xdr:row>2959</xdr:row>
      <xdr:rowOff>0</xdr:rowOff>
    </xdr:to>
    <xdr:pic>
      <xdr:nvPicPr>
        <xdr:cNvPr id="13971" name="Рисунок 13970">
          <a:extLst>
            <a:ext uri="{FF2B5EF4-FFF2-40B4-BE49-F238E27FC236}">
              <a16:creationId xmlns:a16="http://schemas.microsoft.com/office/drawing/2014/main" id="{137D6F1C-BBED-4B2D-B6DF-F48A90958E4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687388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2959</xdr:row>
      <xdr:rowOff>25400</xdr:rowOff>
    </xdr:from>
    <xdr:to>
      <xdr:col>11</xdr:col>
      <xdr:colOff>571500</xdr:colOff>
      <xdr:row>2960</xdr:row>
      <xdr:rowOff>0</xdr:rowOff>
    </xdr:to>
    <xdr:pic>
      <xdr:nvPicPr>
        <xdr:cNvPr id="13973" name="Рисунок 13972">
          <a:extLst>
            <a:ext uri="{FF2B5EF4-FFF2-40B4-BE49-F238E27FC236}">
              <a16:creationId xmlns:a16="http://schemas.microsoft.com/office/drawing/2014/main" id="{3F0EE701-4870-4A91-A39A-E4F78FA8AAF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687960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2960</xdr:row>
      <xdr:rowOff>25400</xdr:rowOff>
    </xdr:from>
    <xdr:to>
      <xdr:col>11</xdr:col>
      <xdr:colOff>571500</xdr:colOff>
      <xdr:row>2961</xdr:row>
      <xdr:rowOff>0</xdr:rowOff>
    </xdr:to>
    <xdr:pic>
      <xdr:nvPicPr>
        <xdr:cNvPr id="13975" name="Рисунок 13974">
          <a:extLst>
            <a:ext uri="{FF2B5EF4-FFF2-40B4-BE49-F238E27FC236}">
              <a16:creationId xmlns:a16="http://schemas.microsoft.com/office/drawing/2014/main" id="{45CDB4EE-463C-4F3D-A6B5-339920160A4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688531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2961</xdr:row>
      <xdr:rowOff>25400</xdr:rowOff>
    </xdr:from>
    <xdr:to>
      <xdr:col>11</xdr:col>
      <xdr:colOff>571500</xdr:colOff>
      <xdr:row>2962</xdr:row>
      <xdr:rowOff>0</xdr:rowOff>
    </xdr:to>
    <xdr:pic>
      <xdr:nvPicPr>
        <xdr:cNvPr id="13977" name="Рисунок 13976">
          <a:extLst>
            <a:ext uri="{FF2B5EF4-FFF2-40B4-BE49-F238E27FC236}">
              <a16:creationId xmlns:a16="http://schemas.microsoft.com/office/drawing/2014/main" id="{D7ECB104-2ED0-457B-9D54-35CAE93F570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689103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2962</xdr:row>
      <xdr:rowOff>25400</xdr:rowOff>
    </xdr:from>
    <xdr:to>
      <xdr:col>11</xdr:col>
      <xdr:colOff>571500</xdr:colOff>
      <xdr:row>2963</xdr:row>
      <xdr:rowOff>0</xdr:rowOff>
    </xdr:to>
    <xdr:pic>
      <xdr:nvPicPr>
        <xdr:cNvPr id="13979" name="Рисунок 13978">
          <a:extLst>
            <a:ext uri="{FF2B5EF4-FFF2-40B4-BE49-F238E27FC236}">
              <a16:creationId xmlns:a16="http://schemas.microsoft.com/office/drawing/2014/main" id="{E9247418-97D3-4387-955B-F4AE537B0B1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689674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2963</xdr:row>
      <xdr:rowOff>25400</xdr:rowOff>
    </xdr:from>
    <xdr:to>
      <xdr:col>11</xdr:col>
      <xdr:colOff>571500</xdr:colOff>
      <xdr:row>2964</xdr:row>
      <xdr:rowOff>0</xdr:rowOff>
    </xdr:to>
    <xdr:pic>
      <xdr:nvPicPr>
        <xdr:cNvPr id="13981" name="Рисунок 13980">
          <a:extLst>
            <a:ext uri="{FF2B5EF4-FFF2-40B4-BE49-F238E27FC236}">
              <a16:creationId xmlns:a16="http://schemas.microsoft.com/office/drawing/2014/main" id="{14F3D192-8978-4920-A58C-7B1DB825AC6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690246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2964</xdr:row>
      <xdr:rowOff>25400</xdr:rowOff>
    </xdr:from>
    <xdr:to>
      <xdr:col>11</xdr:col>
      <xdr:colOff>571500</xdr:colOff>
      <xdr:row>2965</xdr:row>
      <xdr:rowOff>0</xdr:rowOff>
    </xdr:to>
    <xdr:pic>
      <xdr:nvPicPr>
        <xdr:cNvPr id="13983" name="Рисунок 13982">
          <a:extLst>
            <a:ext uri="{FF2B5EF4-FFF2-40B4-BE49-F238E27FC236}">
              <a16:creationId xmlns:a16="http://schemas.microsoft.com/office/drawing/2014/main" id="{5AD30F8E-043D-4E7A-969B-1AF9DEBF43C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690817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2965</xdr:row>
      <xdr:rowOff>25400</xdr:rowOff>
    </xdr:from>
    <xdr:to>
      <xdr:col>11</xdr:col>
      <xdr:colOff>571500</xdr:colOff>
      <xdr:row>2966</xdr:row>
      <xdr:rowOff>0</xdr:rowOff>
    </xdr:to>
    <xdr:pic>
      <xdr:nvPicPr>
        <xdr:cNvPr id="13985" name="Рисунок 13984">
          <a:extLst>
            <a:ext uri="{FF2B5EF4-FFF2-40B4-BE49-F238E27FC236}">
              <a16:creationId xmlns:a16="http://schemas.microsoft.com/office/drawing/2014/main" id="{A981A8FD-1BAE-4886-A927-47377906F3E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691389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2966</xdr:row>
      <xdr:rowOff>25400</xdr:rowOff>
    </xdr:from>
    <xdr:to>
      <xdr:col>11</xdr:col>
      <xdr:colOff>571500</xdr:colOff>
      <xdr:row>2967</xdr:row>
      <xdr:rowOff>0</xdr:rowOff>
    </xdr:to>
    <xdr:pic>
      <xdr:nvPicPr>
        <xdr:cNvPr id="13987" name="Рисунок 13986">
          <a:extLst>
            <a:ext uri="{FF2B5EF4-FFF2-40B4-BE49-F238E27FC236}">
              <a16:creationId xmlns:a16="http://schemas.microsoft.com/office/drawing/2014/main" id="{B7B4BB52-A9E5-43B6-927A-A041D9CCD6F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691960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2967</xdr:row>
      <xdr:rowOff>25400</xdr:rowOff>
    </xdr:from>
    <xdr:to>
      <xdr:col>11</xdr:col>
      <xdr:colOff>571500</xdr:colOff>
      <xdr:row>2968</xdr:row>
      <xdr:rowOff>0</xdr:rowOff>
    </xdr:to>
    <xdr:pic>
      <xdr:nvPicPr>
        <xdr:cNvPr id="13989" name="Рисунок 13988">
          <a:extLst>
            <a:ext uri="{FF2B5EF4-FFF2-40B4-BE49-F238E27FC236}">
              <a16:creationId xmlns:a16="http://schemas.microsoft.com/office/drawing/2014/main" id="{4427AFC9-16B1-4821-9B23-ED7A6F784AF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692532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2968</xdr:row>
      <xdr:rowOff>25400</xdr:rowOff>
    </xdr:from>
    <xdr:to>
      <xdr:col>11</xdr:col>
      <xdr:colOff>571500</xdr:colOff>
      <xdr:row>2969</xdr:row>
      <xdr:rowOff>0</xdr:rowOff>
    </xdr:to>
    <xdr:pic>
      <xdr:nvPicPr>
        <xdr:cNvPr id="13991" name="Рисунок 13990">
          <a:extLst>
            <a:ext uri="{FF2B5EF4-FFF2-40B4-BE49-F238E27FC236}">
              <a16:creationId xmlns:a16="http://schemas.microsoft.com/office/drawing/2014/main" id="{6BA26BBB-830C-4AEF-A2C6-00B99C57C44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693103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2969</xdr:row>
      <xdr:rowOff>25400</xdr:rowOff>
    </xdr:from>
    <xdr:to>
      <xdr:col>11</xdr:col>
      <xdr:colOff>571500</xdr:colOff>
      <xdr:row>2970</xdr:row>
      <xdr:rowOff>0</xdr:rowOff>
    </xdr:to>
    <xdr:pic>
      <xdr:nvPicPr>
        <xdr:cNvPr id="13993" name="Рисунок 13992">
          <a:extLst>
            <a:ext uri="{FF2B5EF4-FFF2-40B4-BE49-F238E27FC236}">
              <a16:creationId xmlns:a16="http://schemas.microsoft.com/office/drawing/2014/main" id="{69017273-2395-4927-8064-6BFA19602F7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693675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2970</xdr:row>
      <xdr:rowOff>25400</xdr:rowOff>
    </xdr:from>
    <xdr:to>
      <xdr:col>11</xdr:col>
      <xdr:colOff>571500</xdr:colOff>
      <xdr:row>2971</xdr:row>
      <xdr:rowOff>0</xdr:rowOff>
    </xdr:to>
    <xdr:pic>
      <xdr:nvPicPr>
        <xdr:cNvPr id="13995" name="Рисунок 13994">
          <a:extLst>
            <a:ext uri="{FF2B5EF4-FFF2-40B4-BE49-F238E27FC236}">
              <a16:creationId xmlns:a16="http://schemas.microsoft.com/office/drawing/2014/main" id="{A0ADD909-669A-43C6-9BB9-6B924D06E29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3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694246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2971</xdr:row>
      <xdr:rowOff>25400</xdr:rowOff>
    </xdr:from>
    <xdr:to>
      <xdr:col>11</xdr:col>
      <xdr:colOff>571500</xdr:colOff>
      <xdr:row>2972</xdr:row>
      <xdr:rowOff>0</xdr:rowOff>
    </xdr:to>
    <xdr:pic>
      <xdr:nvPicPr>
        <xdr:cNvPr id="13997" name="Рисунок 13996">
          <a:extLst>
            <a:ext uri="{FF2B5EF4-FFF2-40B4-BE49-F238E27FC236}">
              <a16:creationId xmlns:a16="http://schemas.microsoft.com/office/drawing/2014/main" id="{E1EF1F05-4E3A-4C4B-BD76-764E40FE5AB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3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694818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2972</xdr:row>
      <xdr:rowOff>25400</xdr:rowOff>
    </xdr:from>
    <xdr:to>
      <xdr:col>11</xdr:col>
      <xdr:colOff>571500</xdr:colOff>
      <xdr:row>2973</xdr:row>
      <xdr:rowOff>0</xdr:rowOff>
    </xdr:to>
    <xdr:pic>
      <xdr:nvPicPr>
        <xdr:cNvPr id="13999" name="Рисунок 13998">
          <a:extLst>
            <a:ext uri="{FF2B5EF4-FFF2-40B4-BE49-F238E27FC236}">
              <a16:creationId xmlns:a16="http://schemas.microsoft.com/office/drawing/2014/main" id="{02F17C0C-CC49-4F60-9672-8AF24B29017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3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695389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2973</xdr:row>
      <xdr:rowOff>25400</xdr:rowOff>
    </xdr:from>
    <xdr:to>
      <xdr:col>11</xdr:col>
      <xdr:colOff>571500</xdr:colOff>
      <xdr:row>2974</xdr:row>
      <xdr:rowOff>0</xdr:rowOff>
    </xdr:to>
    <xdr:pic>
      <xdr:nvPicPr>
        <xdr:cNvPr id="14001" name="Рисунок 14000">
          <a:extLst>
            <a:ext uri="{FF2B5EF4-FFF2-40B4-BE49-F238E27FC236}">
              <a16:creationId xmlns:a16="http://schemas.microsoft.com/office/drawing/2014/main" id="{BDF5DC96-1CC4-4681-B2CD-F4425BD75F2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3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695961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2974</xdr:row>
      <xdr:rowOff>25400</xdr:rowOff>
    </xdr:from>
    <xdr:to>
      <xdr:col>11</xdr:col>
      <xdr:colOff>571500</xdr:colOff>
      <xdr:row>2975</xdr:row>
      <xdr:rowOff>0</xdr:rowOff>
    </xdr:to>
    <xdr:pic>
      <xdr:nvPicPr>
        <xdr:cNvPr id="14003" name="Рисунок 14002">
          <a:extLst>
            <a:ext uri="{FF2B5EF4-FFF2-40B4-BE49-F238E27FC236}">
              <a16:creationId xmlns:a16="http://schemas.microsoft.com/office/drawing/2014/main" id="{0C7E1258-DE6D-4083-B553-E49B771B80B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3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696532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2975</xdr:row>
      <xdr:rowOff>25400</xdr:rowOff>
    </xdr:from>
    <xdr:to>
      <xdr:col>11</xdr:col>
      <xdr:colOff>571500</xdr:colOff>
      <xdr:row>2976</xdr:row>
      <xdr:rowOff>0</xdr:rowOff>
    </xdr:to>
    <xdr:pic>
      <xdr:nvPicPr>
        <xdr:cNvPr id="14005" name="Рисунок 14004">
          <a:extLst>
            <a:ext uri="{FF2B5EF4-FFF2-40B4-BE49-F238E27FC236}">
              <a16:creationId xmlns:a16="http://schemas.microsoft.com/office/drawing/2014/main" id="{ED3B0268-2289-448B-A700-1087B6A5E43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3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697104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2976</xdr:row>
      <xdr:rowOff>25400</xdr:rowOff>
    </xdr:from>
    <xdr:to>
      <xdr:col>11</xdr:col>
      <xdr:colOff>571500</xdr:colOff>
      <xdr:row>2977</xdr:row>
      <xdr:rowOff>0</xdr:rowOff>
    </xdr:to>
    <xdr:pic>
      <xdr:nvPicPr>
        <xdr:cNvPr id="14007" name="Рисунок 14006">
          <a:extLst>
            <a:ext uri="{FF2B5EF4-FFF2-40B4-BE49-F238E27FC236}">
              <a16:creationId xmlns:a16="http://schemas.microsoft.com/office/drawing/2014/main" id="{721B6A92-600F-402E-8F71-4C2113BEB2C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3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697675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2977</xdr:row>
      <xdr:rowOff>25400</xdr:rowOff>
    </xdr:from>
    <xdr:to>
      <xdr:col>11</xdr:col>
      <xdr:colOff>571500</xdr:colOff>
      <xdr:row>2978</xdr:row>
      <xdr:rowOff>0</xdr:rowOff>
    </xdr:to>
    <xdr:pic>
      <xdr:nvPicPr>
        <xdr:cNvPr id="14009" name="Рисунок 14008">
          <a:extLst>
            <a:ext uri="{FF2B5EF4-FFF2-40B4-BE49-F238E27FC236}">
              <a16:creationId xmlns:a16="http://schemas.microsoft.com/office/drawing/2014/main" id="{CF6F2CD6-EDEA-4A1D-984F-3A799821B31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3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698247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2978</xdr:row>
      <xdr:rowOff>25400</xdr:rowOff>
    </xdr:from>
    <xdr:to>
      <xdr:col>11</xdr:col>
      <xdr:colOff>571500</xdr:colOff>
      <xdr:row>2979</xdr:row>
      <xdr:rowOff>0</xdr:rowOff>
    </xdr:to>
    <xdr:pic>
      <xdr:nvPicPr>
        <xdr:cNvPr id="14011" name="Рисунок 14010">
          <a:extLst>
            <a:ext uri="{FF2B5EF4-FFF2-40B4-BE49-F238E27FC236}">
              <a16:creationId xmlns:a16="http://schemas.microsoft.com/office/drawing/2014/main" id="{19D0BBF5-547B-4072-B887-23D3B3D7DCA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3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698818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2979</xdr:row>
      <xdr:rowOff>25400</xdr:rowOff>
    </xdr:from>
    <xdr:to>
      <xdr:col>11</xdr:col>
      <xdr:colOff>571500</xdr:colOff>
      <xdr:row>2980</xdr:row>
      <xdr:rowOff>0</xdr:rowOff>
    </xdr:to>
    <xdr:pic>
      <xdr:nvPicPr>
        <xdr:cNvPr id="14013" name="Рисунок 14012">
          <a:extLst>
            <a:ext uri="{FF2B5EF4-FFF2-40B4-BE49-F238E27FC236}">
              <a16:creationId xmlns:a16="http://schemas.microsoft.com/office/drawing/2014/main" id="{5F44A470-BBC3-4B7C-8402-3563C791117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4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699390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2980</xdr:row>
      <xdr:rowOff>25400</xdr:rowOff>
    </xdr:from>
    <xdr:to>
      <xdr:col>11</xdr:col>
      <xdr:colOff>571500</xdr:colOff>
      <xdr:row>2981</xdr:row>
      <xdr:rowOff>0</xdr:rowOff>
    </xdr:to>
    <xdr:pic>
      <xdr:nvPicPr>
        <xdr:cNvPr id="14015" name="Рисунок 14014">
          <a:extLst>
            <a:ext uri="{FF2B5EF4-FFF2-40B4-BE49-F238E27FC236}">
              <a16:creationId xmlns:a16="http://schemas.microsoft.com/office/drawing/2014/main" id="{84560FCF-0337-4BA7-B191-E55735FA00C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4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699961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2981</xdr:row>
      <xdr:rowOff>25400</xdr:rowOff>
    </xdr:from>
    <xdr:to>
      <xdr:col>11</xdr:col>
      <xdr:colOff>571500</xdr:colOff>
      <xdr:row>2982</xdr:row>
      <xdr:rowOff>0</xdr:rowOff>
    </xdr:to>
    <xdr:pic>
      <xdr:nvPicPr>
        <xdr:cNvPr id="14017" name="Рисунок 14016">
          <a:extLst>
            <a:ext uri="{FF2B5EF4-FFF2-40B4-BE49-F238E27FC236}">
              <a16:creationId xmlns:a16="http://schemas.microsoft.com/office/drawing/2014/main" id="{78391938-013C-4909-A611-AF89F776938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700533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2982</xdr:row>
      <xdr:rowOff>25400</xdr:rowOff>
    </xdr:from>
    <xdr:to>
      <xdr:col>11</xdr:col>
      <xdr:colOff>571500</xdr:colOff>
      <xdr:row>2983</xdr:row>
      <xdr:rowOff>0</xdr:rowOff>
    </xdr:to>
    <xdr:pic>
      <xdr:nvPicPr>
        <xdr:cNvPr id="14019" name="Рисунок 14018">
          <a:extLst>
            <a:ext uri="{FF2B5EF4-FFF2-40B4-BE49-F238E27FC236}">
              <a16:creationId xmlns:a16="http://schemas.microsoft.com/office/drawing/2014/main" id="{857DB484-026D-4CE0-BEC7-8139FBF776E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701104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2983</xdr:row>
      <xdr:rowOff>25400</xdr:rowOff>
    </xdr:from>
    <xdr:to>
      <xdr:col>11</xdr:col>
      <xdr:colOff>571500</xdr:colOff>
      <xdr:row>2984</xdr:row>
      <xdr:rowOff>0</xdr:rowOff>
    </xdr:to>
    <xdr:pic>
      <xdr:nvPicPr>
        <xdr:cNvPr id="14021" name="Рисунок 14020">
          <a:extLst>
            <a:ext uri="{FF2B5EF4-FFF2-40B4-BE49-F238E27FC236}">
              <a16:creationId xmlns:a16="http://schemas.microsoft.com/office/drawing/2014/main" id="{25BDA0B7-A498-4E26-9C63-050DB5E7121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701676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2984</xdr:row>
      <xdr:rowOff>25400</xdr:rowOff>
    </xdr:from>
    <xdr:to>
      <xdr:col>11</xdr:col>
      <xdr:colOff>571500</xdr:colOff>
      <xdr:row>2985</xdr:row>
      <xdr:rowOff>0</xdr:rowOff>
    </xdr:to>
    <xdr:pic>
      <xdr:nvPicPr>
        <xdr:cNvPr id="14023" name="Рисунок 14022">
          <a:extLst>
            <a:ext uri="{FF2B5EF4-FFF2-40B4-BE49-F238E27FC236}">
              <a16:creationId xmlns:a16="http://schemas.microsoft.com/office/drawing/2014/main" id="{0AED06D9-4994-4478-BB10-D819131E8A4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4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702247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2985</xdr:row>
      <xdr:rowOff>25400</xdr:rowOff>
    </xdr:from>
    <xdr:to>
      <xdr:col>11</xdr:col>
      <xdr:colOff>571500</xdr:colOff>
      <xdr:row>2986</xdr:row>
      <xdr:rowOff>0</xdr:rowOff>
    </xdr:to>
    <xdr:pic>
      <xdr:nvPicPr>
        <xdr:cNvPr id="14025" name="Рисунок 14024">
          <a:extLst>
            <a:ext uri="{FF2B5EF4-FFF2-40B4-BE49-F238E27FC236}">
              <a16:creationId xmlns:a16="http://schemas.microsoft.com/office/drawing/2014/main" id="{A2F083A5-F9AB-4248-9466-BF93A35D74C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4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702819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2986</xdr:row>
      <xdr:rowOff>25400</xdr:rowOff>
    </xdr:from>
    <xdr:to>
      <xdr:col>11</xdr:col>
      <xdr:colOff>571500</xdr:colOff>
      <xdr:row>2987</xdr:row>
      <xdr:rowOff>0</xdr:rowOff>
    </xdr:to>
    <xdr:pic>
      <xdr:nvPicPr>
        <xdr:cNvPr id="14027" name="Рисунок 14026">
          <a:extLst>
            <a:ext uri="{FF2B5EF4-FFF2-40B4-BE49-F238E27FC236}">
              <a16:creationId xmlns:a16="http://schemas.microsoft.com/office/drawing/2014/main" id="{28AEC5DC-40BF-415A-B436-478C6718C15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4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703390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2987</xdr:row>
      <xdr:rowOff>25400</xdr:rowOff>
    </xdr:from>
    <xdr:to>
      <xdr:col>11</xdr:col>
      <xdr:colOff>571500</xdr:colOff>
      <xdr:row>2988</xdr:row>
      <xdr:rowOff>0</xdr:rowOff>
    </xdr:to>
    <xdr:pic>
      <xdr:nvPicPr>
        <xdr:cNvPr id="14029" name="Рисунок 14028">
          <a:extLst>
            <a:ext uri="{FF2B5EF4-FFF2-40B4-BE49-F238E27FC236}">
              <a16:creationId xmlns:a16="http://schemas.microsoft.com/office/drawing/2014/main" id="{61C73B7E-4FAD-40DE-8289-E5AFA74CB4E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4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703962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2988</xdr:row>
      <xdr:rowOff>25400</xdr:rowOff>
    </xdr:from>
    <xdr:to>
      <xdr:col>11</xdr:col>
      <xdr:colOff>571500</xdr:colOff>
      <xdr:row>2989</xdr:row>
      <xdr:rowOff>0</xdr:rowOff>
    </xdr:to>
    <xdr:pic>
      <xdr:nvPicPr>
        <xdr:cNvPr id="14031" name="Рисунок 14030">
          <a:extLst>
            <a:ext uri="{FF2B5EF4-FFF2-40B4-BE49-F238E27FC236}">
              <a16:creationId xmlns:a16="http://schemas.microsoft.com/office/drawing/2014/main" id="{A1A72A81-A730-4712-9CF0-B309F37D083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4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704533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2989</xdr:row>
      <xdr:rowOff>25400</xdr:rowOff>
    </xdr:from>
    <xdr:to>
      <xdr:col>11</xdr:col>
      <xdr:colOff>571500</xdr:colOff>
      <xdr:row>2990</xdr:row>
      <xdr:rowOff>0</xdr:rowOff>
    </xdr:to>
    <xdr:pic>
      <xdr:nvPicPr>
        <xdr:cNvPr id="14033" name="Рисунок 14032">
          <a:extLst>
            <a:ext uri="{FF2B5EF4-FFF2-40B4-BE49-F238E27FC236}">
              <a16:creationId xmlns:a16="http://schemas.microsoft.com/office/drawing/2014/main" id="{FB6B2951-6177-4835-A672-018BD94BDA2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5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705105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2990</xdr:row>
      <xdr:rowOff>25400</xdr:rowOff>
    </xdr:from>
    <xdr:to>
      <xdr:col>11</xdr:col>
      <xdr:colOff>571500</xdr:colOff>
      <xdr:row>2991</xdr:row>
      <xdr:rowOff>0</xdr:rowOff>
    </xdr:to>
    <xdr:pic>
      <xdr:nvPicPr>
        <xdr:cNvPr id="14035" name="Рисунок 14034">
          <a:extLst>
            <a:ext uri="{FF2B5EF4-FFF2-40B4-BE49-F238E27FC236}">
              <a16:creationId xmlns:a16="http://schemas.microsoft.com/office/drawing/2014/main" id="{FBA0337F-DC2F-42BC-B752-8CB3AB28DB8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5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705676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2991</xdr:row>
      <xdr:rowOff>25400</xdr:rowOff>
    </xdr:from>
    <xdr:to>
      <xdr:col>11</xdr:col>
      <xdr:colOff>571500</xdr:colOff>
      <xdr:row>2992</xdr:row>
      <xdr:rowOff>0</xdr:rowOff>
    </xdr:to>
    <xdr:pic>
      <xdr:nvPicPr>
        <xdr:cNvPr id="14037" name="Рисунок 14036">
          <a:extLst>
            <a:ext uri="{FF2B5EF4-FFF2-40B4-BE49-F238E27FC236}">
              <a16:creationId xmlns:a16="http://schemas.microsoft.com/office/drawing/2014/main" id="{83502026-F0AB-469A-9848-C7811EB65D9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706248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2992</xdr:row>
      <xdr:rowOff>25400</xdr:rowOff>
    </xdr:from>
    <xdr:to>
      <xdr:col>11</xdr:col>
      <xdr:colOff>571500</xdr:colOff>
      <xdr:row>2993</xdr:row>
      <xdr:rowOff>0</xdr:rowOff>
    </xdr:to>
    <xdr:pic>
      <xdr:nvPicPr>
        <xdr:cNvPr id="14039" name="Рисунок 14038">
          <a:extLst>
            <a:ext uri="{FF2B5EF4-FFF2-40B4-BE49-F238E27FC236}">
              <a16:creationId xmlns:a16="http://schemas.microsoft.com/office/drawing/2014/main" id="{553F54BD-152C-453D-BF60-226CB722E5D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5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706819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2993</xdr:row>
      <xdr:rowOff>25400</xdr:rowOff>
    </xdr:from>
    <xdr:to>
      <xdr:col>11</xdr:col>
      <xdr:colOff>571500</xdr:colOff>
      <xdr:row>2994</xdr:row>
      <xdr:rowOff>0</xdr:rowOff>
    </xdr:to>
    <xdr:pic>
      <xdr:nvPicPr>
        <xdr:cNvPr id="14041" name="Рисунок 14040">
          <a:extLst>
            <a:ext uri="{FF2B5EF4-FFF2-40B4-BE49-F238E27FC236}">
              <a16:creationId xmlns:a16="http://schemas.microsoft.com/office/drawing/2014/main" id="{BFC8B953-9D7F-46EA-B2C6-F04A3F2AE23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5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707391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2994</xdr:row>
      <xdr:rowOff>25400</xdr:rowOff>
    </xdr:from>
    <xdr:to>
      <xdr:col>11</xdr:col>
      <xdr:colOff>571500</xdr:colOff>
      <xdr:row>2995</xdr:row>
      <xdr:rowOff>0</xdr:rowOff>
    </xdr:to>
    <xdr:pic>
      <xdr:nvPicPr>
        <xdr:cNvPr id="14043" name="Рисунок 14042">
          <a:extLst>
            <a:ext uri="{FF2B5EF4-FFF2-40B4-BE49-F238E27FC236}">
              <a16:creationId xmlns:a16="http://schemas.microsoft.com/office/drawing/2014/main" id="{C8111ED4-BC8E-49C1-AC21-0199AF58C43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5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707962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2995</xdr:row>
      <xdr:rowOff>25400</xdr:rowOff>
    </xdr:from>
    <xdr:to>
      <xdr:col>11</xdr:col>
      <xdr:colOff>571500</xdr:colOff>
      <xdr:row>2996</xdr:row>
      <xdr:rowOff>0</xdr:rowOff>
    </xdr:to>
    <xdr:pic>
      <xdr:nvPicPr>
        <xdr:cNvPr id="14045" name="Рисунок 14044">
          <a:extLst>
            <a:ext uri="{FF2B5EF4-FFF2-40B4-BE49-F238E27FC236}">
              <a16:creationId xmlns:a16="http://schemas.microsoft.com/office/drawing/2014/main" id="{52E7748A-D172-4D32-B631-AD382781737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5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708534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2996</xdr:row>
      <xdr:rowOff>25400</xdr:rowOff>
    </xdr:from>
    <xdr:to>
      <xdr:col>11</xdr:col>
      <xdr:colOff>571500</xdr:colOff>
      <xdr:row>2997</xdr:row>
      <xdr:rowOff>0</xdr:rowOff>
    </xdr:to>
    <xdr:pic>
      <xdr:nvPicPr>
        <xdr:cNvPr id="14047" name="Рисунок 14046">
          <a:extLst>
            <a:ext uri="{FF2B5EF4-FFF2-40B4-BE49-F238E27FC236}">
              <a16:creationId xmlns:a16="http://schemas.microsoft.com/office/drawing/2014/main" id="{5AF0007C-B0D0-433C-9A1B-08F9C33CB4C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5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709105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2997</xdr:row>
      <xdr:rowOff>25400</xdr:rowOff>
    </xdr:from>
    <xdr:to>
      <xdr:col>11</xdr:col>
      <xdr:colOff>571500</xdr:colOff>
      <xdr:row>2998</xdr:row>
      <xdr:rowOff>0</xdr:rowOff>
    </xdr:to>
    <xdr:pic>
      <xdr:nvPicPr>
        <xdr:cNvPr id="14049" name="Рисунок 14048">
          <a:extLst>
            <a:ext uri="{FF2B5EF4-FFF2-40B4-BE49-F238E27FC236}">
              <a16:creationId xmlns:a16="http://schemas.microsoft.com/office/drawing/2014/main" id="{066EE9C7-D2A7-4AB5-943F-3CCE0EDB126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5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709677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2998</xdr:row>
      <xdr:rowOff>25400</xdr:rowOff>
    </xdr:from>
    <xdr:to>
      <xdr:col>11</xdr:col>
      <xdr:colOff>571500</xdr:colOff>
      <xdr:row>2999</xdr:row>
      <xdr:rowOff>0</xdr:rowOff>
    </xdr:to>
    <xdr:pic>
      <xdr:nvPicPr>
        <xdr:cNvPr id="14051" name="Рисунок 14050">
          <a:extLst>
            <a:ext uri="{FF2B5EF4-FFF2-40B4-BE49-F238E27FC236}">
              <a16:creationId xmlns:a16="http://schemas.microsoft.com/office/drawing/2014/main" id="{DD3724CF-D681-40E2-BEF8-143DC9AEDA6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5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710248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2999</xdr:row>
      <xdr:rowOff>25400</xdr:rowOff>
    </xdr:from>
    <xdr:to>
      <xdr:col>11</xdr:col>
      <xdr:colOff>571500</xdr:colOff>
      <xdr:row>3000</xdr:row>
      <xdr:rowOff>0</xdr:rowOff>
    </xdr:to>
    <xdr:pic>
      <xdr:nvPicPr>
        <xdr:cNvPr id="14053" name="Рисунок 14052">
          <a:extLst>
            <a:ext uri="{FF2B5EF4-FFF2-40B4-BE49-F238E27FC236}">
              <a16:creationId xmlns:a16="http://schemas.microsoft.com/office/drawing/2014/main" id="{DEF08734-34A6-4078-8FC9-C2D41561EDA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6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710820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3000</xdr:row>
      <xdr:rowOff>25400</xdr:rowOff>
    </xdr:from>
    <xdr:to>
      <xdr:col>11</xdr:col>
      <xdr:colOff>571500</xdr:colOff>
      <xdr:row>3001</xdr:row>
      <xdr:rowOff>0</xdr:rowOff>
    </xdr:to>
    <xdr:pic>
      <xdr:nvPicPr>
        <xdr:cNvPr id="14055" name="Рисунок 14054">
          <a:extLst>
            <a:ext uri="{FF2B5EF4-FFF2-40B4-BE49-F238E27FC236}">
              <a16:creationId xmlns:a16="http://schemas.microsoft.com/office/drawing/2014/main" id="{F0099798-F838-479F-9810-C5FDA5AEBC6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6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711391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3001</xdr:row>
      <xdr:rowOff>25400</xdr:rowOff>
    </xdr:from>
    <xdr:to>
      <xdr:col>11</xdr:col>
      <xdr:colOff>571500</xdr:colOff>
      <xdr:row>3002</xdr:row>
      <xdr:rowOff>0</xdr:rowOff>
    </xdr:to>
    <xdr:pic>
      <xdr:nvPicPr>
        <xdr:cNvPr id="14057" name="Рисунок 14056">
          <a:extLst>
            <a:ext uri="{FF2B5EF4-FFF2-40B4-BE49-F238E27FC236}">
              <a16:creationId xmlns:a16="http://schemas.microsoft.com/office/drawing/2014/main" id="{565C012E-26B9-440F-9CD9-038BBCF1CBE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6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711963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3002</xdr:row>
      <xdr:rowOff>25400</xdr:rowOff>
    </xdr:from>
    <xdr:to>
      <xdr:col>11</xdr:col>
      <xdr:colOff>571500</xdr:colOff>
      <xdr:row>3003</xdr:row>
      <xdr:rowOff>0</xdr:rowOff>
    </xdr:to>
    <xdr:pic>
      <xdr:nvPicPr>
        <xdr:cNvPr id="14059" name="Рисунок 14058">
          <a:extLst>
            <a:ext uri="{FF2B5EF4-FFF2-40B4-BE49-F238E27FC236}">
              <a16:creationId xmlns:a16="http://schemas.microsoft.com/office/drawing/2014/main" id="{C80D9E8E-01C0-46E0-9646-AFE9CAFF7F6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6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712534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3003</xdr:row>
      <xdr:rowOff>25400</xdr:rowOff>
    </xdr:from>
    <xdr:to>
      <xdr:col>11</xdr:col>
      <xdr:colOff>571500</xdr:colOff>
      <xdr:row>3004</xdr:row>
      <xdr:rowOff>0</xdr:rowOff>
    </xdr:to>
    <xdr:pic>
      <xdr:nvPicPr>
        <xdr:cNvPr id="14061" name="Рисунок 14060">
          <a:extLst>
            <a:ext uri="{FF2B5EF4-FFF2-40B4-BE49-F238E27FC236}">
              <a16:creationId xmlns:a16="http://schemas.microsoft.com/office/drawing/2014/main" id="{4A6F5D16-268E-4CCB-9007-3093853A14C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6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713106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3004</xdr:row>
      <xdr:rowOff>25400</xdr:rowOff>
    </xdr:from>
    <xdr:to>
      <xdr:col>11</xdr:col>
      <xdr:colOff>571500</xdr:colOff>
      <xdr:row>3005</xdr:row>
      <xdr:rowOff>0</xdr:rowOff>
    </xdr:to>
    <xdr:pic>
      <xdr:nvPicPr>
        <xdr:cNvPr id="14063" name="Рисунок 14062">
          <a:extLst>
            <a:ext uri="{FF2B5EF4-FFF2-40B4-BE49-F238E27FC236}">
              <a16:creationId xmlns:a16="http://schemas.microsoft.com/office/drawing/2014/main" id="{4EAA9722-B3F9-47B7-B4C1-897B12CEFF2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6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713677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3005</xdr:row>
      <xdr:rowOff>25400</xdr:rowOff>
    </xdr:from>
    <xdr:to>
      <xdr:col>11</xdr:col>
      <xdr:colOff>571500</xdr:colOff>
      <xdr:row>3006</xdr:row>
      <xdr:rowOff>0</xdr:rowOff>
    </xdr:to>
    <xdr:pic>
      <xdr:nvPicPr>
        <xdr:cNvPr id="14065" name="Рисунок 14064">
          <a:extLst>
            <a:ext uri="{FF2B5EF4-FFF2-40B4-BE49-F238E27FC236}">
              <a16:creationId xmlns:a16="http://schemas.microsoft.com/office/drawing/2014/main" id="{EB3C4428-F5BD-4C42-868D-08A36FF1503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6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714249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3006</xdr:row>
      <xdr:rowOff>25400</xdr:rowOff>
    </xdr:from>
    <xdr:to>
      <xdr:col>11</xdr:col>
      <xdr:colOff>571500</xdr:colOff>
      <xdr:row>3007</xdr:row>
      <xdr:rowOff>0</xdr:rowOff>
    </xdr:to>
    <xdr:pic>
      <xdr:nvPicPr>
        <xdr:cNvPr id="14067" name="Рисунок 14066">
          <a:extLst>
            <a:ext uri="{FF2B5EF4-FFF2-40B4-BE49-F238E27FC236}">
              <a16:creationId xmlns:a16="http://schemas.microsoft.com/office/drawing/2014/main" id="{F53861E1-4788-4F03-8B32-82D43F7DBFC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6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714820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3007</xdr:row>
      <xdr:rowOff>25400</xdr:rowOff>
    </xdr:from>
    <xdr:to>
      <xdr:col>11</xdr:col>
      <xdr:colOff>571500</xdr:colOff>
      <xdr:row>3008</xdr:row>
      <xdr:rowOff>0</xdr:rowOff>
    </xdr:to>
    <xdr:pic>
      <xdr:nvPicPr>
        <xdr:cNvPr id="14069" name="Рисунок 14068">
          <a:extLst>
            <a:ext uri="{FF2B5EF4-FFF2-40B4-BE49-F238E27FC236}">
              <a16:creationId xmlns:a16="http://schemas.microsoft.com/office/drawing/2014/main" id="{7FCE970D-EA2B-4BED-A55F-294EF48C2EB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6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715392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3008</xdr:row>
      <xdr:rowOff>25400</xdr:rowOff>
    </xdr:from>
    <xdr:to>
      <xdr:col>11</xdr:col>
      <xdr:colOff>571500</xdr:colOff>
      <xdr:row>3009</xdr:row>
      <xdr:rowOff>0</xdr:rowOff>
    </xdr:to>
    <xdr:pic>
      <xdr:nvPicPr>
        <xdr:cNvPr id="14071" name="Рисунок 14070">
          <a:extLst>
            <a:ext uri="{FF2B5EF4-FFF2-40B4-BE49-F238E27FC236}">
              <a16:creationId xmlns:a16="http://schemas.microsoft.com/office/drawing/2014/main" id="{3756C331-53DB-4BAE-9D88-D4BCF071432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6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715963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3009</xdr:row>
      <xdr:rowOff>25400</xdr:rowOff>
    </xdr:from>
    <xdr:to>
      <xdr:col>11</xdr:col>
      <xdr:colOff>571500</xdr:colOff>
      <xdr:row>3010</xdr:row>
      <xdr:rowOff>0</xdr:rowOff>
    </xdr:to>
    <xdr:pic>
      <xdr:nvPicPr>
        <xdr:cNvPr id="14073" name="Рисунок 14072">
          <a:extLst>
            <a:ext uri="{FF2B5EF4-FFF2-40B4-BE49-F238E27FC236}">
              <a16:creationId xmlns:a16="http://schemas.microsoft.com/office/drawing/2014/main" id="{D8C0A059-96C5-4705-85A0-DFB66F841F6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7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716535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3010</xdr:row>
      <xdr:rowOff>25400</xdr:rowOff>
    </xdr:from>
    <xdr:to>
      <xdr:col>11</xdr:col>
      <xdr:colOff>571500</xdr:colOff>
      <xdr:row>3011</xdr:row>
      <xdr:rowOff>0</xdr:rowOff>
    </xdr:to>
    <xdr:pic>
      <xdr:nvPicPr>
        <xdr:cNvPr id="14075" name="Рисунок 14074">
          <a:extLst>
            <a:ext uri="{FF2B5EF4-FFF2-40B4-BE49-F238E27FC236}">
              <a16:creationId xmlns:a16="http://schemas.microsoft.com/office/drawing/2014/main" id="{C9714809-3358-4D53-8319-29D8B714519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7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717106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3011</xdr:row>
      <xdr:rowOff>25400</xdr:rowOff>
    </xdr:from>
    <xdr:to>
      <xdr:col>11</xdr:col>
      <xdr:colOff>571500</xdr:colOff>
      <xdr:row>3012</xdr:row>
      <xdr:rowOff>0</xdr:rowOff>
    </xdr:to>
    <xdr:pic>
      <xdr:nvPicPr>
        <xdr:cNvPr id="14077" name="Рисунок 14076">
          <a:extLst>
            <a:ext uri="{FF2B5EF4-FFF2-40B4-BE49-F238E27FC236}">
              <a16:creationId xmlns:a16="http://schemas.microsoft.com/office/drawing/2014/main" id="{E52B94D1-9E59-4263-88CF-10B6E8B459A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7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717678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3012</xdr:row>
      <xdr:rowOff>25400</xdr:rowOff>
    </xdr:from>
    <xdr:to>
      <xdr:col>11</xdr:col>
      <xdr:colOff>571500</xdr:colOff>
      <xdr:row>3013</xdr:row>
      <xdr:rowOff>0</xdr:rowOff>
    </xdr:to>
    <xdr:pic>
      <xdr:nvPicPr>
        <xdr:cNvPr id="14079" name="Рисунок 14078">
          <a:extLst>
            <a:ext uri="{FF2B5EF4-FFF2-40B4-BE49-F238E27FC236}">
              <a16:creationId xmlns:a16="http://schemas.microsoft.com/office/drawing/2014/main" id="{42C1A081-DE25-46C9-A8B8-895E65EBF8C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7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718249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3013</xdr:row>
      <xdr:rowOff>25400</xdr:rowOff>
    </xdr:from>
    <xdr:to>
      <xdr:col>11</xdr:col>
      <xdr:colOff>571500</xdr:colOff>
      <xdr:row>3014</xdr:row>
      <xdr:rowOff>0</xdr:rowOff>
    </xdr:to>
    <xdr:pic>
      <xdr:nvPicPr>
        <xdr:cNvPr id="14081" name="Рисунок 14080">
          <a:extLst>
            <a:ext uri="{FF2B5EF4-FFF2-40B4-BE49-F238E27FC236}">
              <a16:creationId xmlns:a16="http://schemas.microsoft.com/office/drawing/2014/main" id="{84A9F8E6-DFCD-40D5-953B-CB274670556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7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718821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3014</xdr:row>
      <xdr:rowOff>25400</xdr:rowOff>
    </xdr:from>
    <xdr:to>
      <xdr:col>11</xdr:col>
      <xdr:colOff>571500</xdr:colOff>
      <xdr:row>3015</xdr:row>
      <xdr:rowOff>0</xdr:rowOff>
    </xdr:to>
    <xdr:pic>
      <xdr:nvPicPr>
        <xdr:cNvPr id="14083" name="Рисунок 14082">
          <a:extLst>
            <a:ext uri="{FF2B5EF4-FFF2-40B4-BE49-F238E27FC236}">
              <a16:creationId xmlns:a16="http://schemas.microsoft.com/office/drawing/2014/main" id="{3A9B0A98-9407-4A1B-A7E2-120A8CDA4E9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7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719392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3015</xdr:row>
      <xdr:rowOff>25400</xdr:rowOff>
    </xdr:from>
    <xdr:to>
      <xdr:col>11</xdr:col>
      <xdr:colOff>571500</xdr:colOff>
      <xdr:row>3016</xdr:row>
      <xdr:rowOff>0</xdr:rowOff>
    </xdr:to>
    <xdr:pic>
      <xdr:nvPicPr>
        <xdr:cNvPr id="14085" name="Рисунок 14084">
          <a:extLst>
            <a:ext uri="{FF2B5EF4-FFF2-40B4-BE49-F238E27FC236}">
              <a16:creationId xmlns:a16="http://schemas.microsoft.com/office/drawing/2014/main" id="{E991FF25-5F2A-4E07-BC33-A54DE0B3B02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7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719964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3016</xdr:row>
      <xdr:rowOff>25400</xdr:rowOff>
    </xdr:from>
    <xdr:to>
      <xdr:col>11</xdr:col>
      <xdr:colOff>571500</xdr:colOff>
      <xdr:row>3017</xdr:row>
      <xdr:rowOff>0</xdr:rowOff>
    </xdr:to>
    <xdr:pic>
      <xdr:nvPicPr>
        <xdr:cNvPr id="14087" name="Рисунок 14086">
          <a:extLst>
            <a:ext uri="{FF2B5EF4-FFF2-40B4-BE49-F238E27FC236}">
              <a16:creationId xmlns:a16="http://schemas.microsoft.com/office/drawing/2014/main" id="{60EFBD53-164C-47B2-883D-E0B67F9ED03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7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720535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3017</xdr:row>
      <xdr:rowOff>25400</xdr:rowOff>
    </xdr:from>
    <xdr:to>
      <xdr:col>11</xdr:col>
      <xdr:colOff>571500</xdr:colOff>
      <xdr:row>3018</xdr:row>
      <xdr:rowOff>0</xdr:rowOff>
    </xdr:to>
    <xdr:pic>
      <xdr:nvPicPr>
        <xdr:cNvPr id="14089" name="Рисунок 14088">
          <a:extLst>
            <a:ext uri="{FF2B5EF4-FFF2-40B4-BE49-F238E27FC236}">
              <a16:creationId xmlns:a16="http://schemas.microsoft.com/office/drawing/2014/main" id="{E5E02017-9D93-44D1-A18E-3B785E9C36B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7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721107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3018</xdr:row>
      <xdr:rowOff>25400</xdr:rowOff>
    </xdr:from>
    <xdr:to>
      <xdr:col>11</xdr:col>
      <xdr:colOff>571500</xdr:colOff>
      <xdr:row>3019</xdr:row>
      <xdr:rowOff>0</xdr:rowOff>
    </xdr:to>
    <xdr:pic>
      <xdr:nvPicPr>
        <xdr:cNvPr id="14091" name="Рисунок 14090">
          <a:extLst>
            <a:ext uri="{FF2B5EF4-FFF2-40B4-BE49-F238E27FC236}">
              <a16:creationId xmlns:a16="http://schemas.microsoft.com/office/drawing/2014/main" id="{59572293-BAC3-4134-9D80-B2EA5A226EC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7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721678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3019</xdr:row>
      <xdr:rowOff>25400</xdr:rowOff>
    </xdr:from>
    <xdr:to>
      <xdr:col>11</xdr:col>
      <xdr:colOff>571500</xdr:colOff>
      <xdr:row>3020</xdr:row>
      <xdr:rowOff>0</xdr:rowOff>
    </xdr:to>
    <xdr:pic>
      <xdr:nvPicPr>
        <xdr:cNvPr id="14093" name="Рисунок 14092">
          <a:extLst>
            <a:ext uri="{FF2B5EF4-FFF2-40B4-BE49-F238E27FC236}">
              <a16:creationId xmlns:a16="http://schemas.microsoft.com/office/drawing/2014/main" id="{F0A53D7D-FD50-4D1F-BEC6-BB5E73B5946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8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722250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3020</xdr:row>
      <xdr:rowOff>25400</xdr:rowOff>
    </xdr:from>
    <xdr:to>
      <xdr:col>11</xdr:col>
      <xdr:colOff>571500</xdr:colOff>
      <xdr:row>3021</xdr:row>
      <xdr:rowOff>0</xdr:rowOff>
    </xdr:to>
    <xdr:pic>
      <xdr:nvPicPr>
        <xdr:cNvPr id="14095" name="Рисунок 14094">
          <a:extLst>
            <a:ext uri="{FF2B5EF4-FFF2-40B4-BE49-F238E27FC236}">
              <a16:creationId xmlns:a16="http://schemas.microsoft.com/office/drawing/2014/main" id="{5EFCEF60-15AF-4192-8913-5B8FA1E4F0C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8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722821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3021</xdr:row>
      <xdr:rowOff>25400</xdr:rowOff>
    </xdr:from>
    <xdr:to>
      <xdr:col>11</xdr:col>
      <xdr:colOff>571500</xdr:colOff>
      <xdr:row>3022</xdr:row>
      <xdr:rowOff>0</xdr:rowOff>
    </xdr:to>
    <xdr:pic>
      <xdr:nvPicPr>
        <xdr:cNvPr id="14097" name="Рисунок 14096">
          <a:extLst>
            <a:ext uri="{FF2B5EF4-FFF2-40B4-BE49-F238E27FC236}">
              <a16:creationId xmlns:a16="http://schemas.microsoft.com/office/drawing/2014/main" id="{B4107C11-05AC-4F82-93BD-56D7FD4D94D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8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723393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3022</xdr:row>
      <xdr:rowOff>25400</xdr:rowOff>
    </xdr:from>
    <xdr:to>
      <xdr:col>11</xdr:col>
      <xdr:colOff>571500</xdr:colOff>
      <xdr:row>3023</xdr:row>
      <xdr:rowOff>0</xdr:rowOff>
    </xdr:to>
    <xdr:pic>
      <xdr:nvPicPr>
        <xdr:cNvPr id="14099" name="Рисунок 14098">
          <a:extLst>
            <a:ext uri="{FF2B5EF4-FFF2-40B4-BE49-F238E27FC236}">
              <a16:creationId xmlns:a16="http://schemas.microsoft.com/office/drawing/2014/main" id="{87D131EE-D1AA-47F3-99F7-DC78CD2CBEB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8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723964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3023</xdr:row>
      <xdr:rowOff>25400</xdr:rowOff>
    </xdr:from>
    <xdr:to>
      <xdr:col>11</xdr:col>
      <xdr:colOff>571500</xdr:colOff>
      <xdr:row>3024</xdr:row>
      <xdr:rowOff>0</xdr:rowOff>
    </xdr:to>
    <xdr:pic>
      <xdr:nvPicPr>
        <xdr:cNvPr id="14101" name="Рисунок 14100">
          <a:extLst>
            <a:ext uri="{FF2B5EF4-FFF2-40B4-BE49-F238E27FC236}">
              <a16:creationId xmlns:a16="http://schemas.microsoft.com/office/drawing/2014/main" id="{B0883925-46D4-4191-BCAD-6CE57EE7524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8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724536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3024</xdr:row>
      <xdr:rowOff>25400</xdr:rowOff>
    </xdr:from>
    <xdr:to>
      <xdr:col>11</xdr:col>
      <xdr:colOff>571500</xdr:colOff>
      <xdr:row>3025</xdr:row>
      <xdr:rowOff>0</xdr:rowOff>
    </xdr:to>
    <xdr:pic>
      <xdr:nvPicPr>
        <xdr:cNvPr id="14103" name="Рисунок 14102">
          <a:extLst>
            <a:ext uri="{FF2B5EF4-FFF2-40B4-BE49-F238E27FC236}">
              <a16:creationId xmlns:a16="http://schemas.microsoft.com/office/drawing/2014/main" id="{438524C9-8079-47E2-AEDC-73D253BEC93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8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725107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3025</xdr:row>
      <xdr:rowOff>25400</xdr:rowOff>
    </xdr:from>
    <xdr:to>
      <xdr:col>11</xdr:col>
      <xdr:colOff>571500</xdr:colOff>
      <xdr:row>3026</xdr:row>
      <xdr:rowOff>0</xdr:rowOff>
    </xdr:to>
    <xdr:pic>
      <xdr:nvPicPr>
        <xdr:cNvPr id="14105" name="Рисунок 14104">
          <a:extLst>
            <a:ext uri="{FF2B5EF4-FFF2-40B4-BE49-F238E27FC236}">
              <a16:creationId xmlns:a16="http://schemas.microsoft.com/office/drawing/2014/main" id="{4874B5DF-9009-4BEB-874C-197E52C0CF0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8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725679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3026</xdr:row>
      <xdr:rowOff>25400</xdr:rowOff>
    </xdr:from>
    <xdr:to>
      <xdr:col>11</xdr:col>
      <xdr:colOff>571500</xdr:colOff>
      <xdr:row>3027</xdr:row>
      <xdr:rowOff>0</xdr:rowOff>
    </xdr:to>
    <xdr:pic>
      <xdr:nvPicPr>
        <xdr:cNvPr id="14107" name="Рисунок 14106">
          <a:extLst>
            <a:ext uri="{FF2B5EF4-FFF2-40B4-BE49-F238E27FC236}">
              <a16:creationId xmlns:a16="http://schemas.microsoft.com/office/drawing/2014/main" id="{6B67DE05-C7CE-4DFD-889B-9CAEB874C1E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8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726250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3027</xdr:row>
      <xdr:rowOff>25400</xdr:rowOff>
    </xdr:from>
    <xdr:to>
      <xdr:col>11</xdr:col>
      <xdr:colOff>571500</xdr:colOff>
      <xdr:row>3028</xdr:row>
      <xdr:rowOff>0</xdr:rowOff>
    </xdr:to>
    <xdr:pic>
      <xdr:nvPicPr>
        <xdr:cNvPr id="14109" name="Рисунок 14108">
          <a:extLst>
            <a:ext uri="{FF2B5EF4-FFF2-40B4-BE49-F238E27FC236}">
              <a16:creationId xmlns:a16="http://schemas.microsoft.com/office/drawing/2014/main" id="{787D418D-F2AF-4D7A-971C-6080021CEF0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8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726822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3028</xdr:row>
      <xdr:rowOff>25400</xdr:rowOff>
    </xdr:from>
    <xdr:to>
      <xdr:col>11</xdr:col>
      <xdr:colOff>571500</xdr:colOff>
      <xdr:row>3029</xdr:row>
      <xdr:rowOff>0</xdr:rowOff>
    </xdr:to>
    <xdr:pic>
      <xdr:nvPicPr>
        <xdr:cNvPr id="14111" name="Рисунок 14110">
          <a:extLst>
            <a:ext uri="{FF2B5EF4-FFF2-40B4-BE49-F238E27FC236}">
              <a16:creationId xmlns:a16="http://schemas.microsoft.com/office/drawing/2014/main" id="{F2438077-F230-46ED-970D-EDB85D90890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8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727393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3029</xdr:row>
      <xdr:rowOff>25400</xdr:rowOff>
    </xdr:from>
    <xdr:to>
      <xdr:col>11</xdr:col>
      <xdr:colOff>571500</xdr:colOff>
      <xdr:row>3030</xdr:row>
      <xdr:rowOff>0</xdr:rowOff>
    </xdr:to>
    <xdr:pic>
      <xdr:nvPicPr>
        <xdr:cNvPr id="14113" name="Рисунок 14112">
          <a:extLst>
            <a:ext uri="{FF2B5EF4-FFF2-40B4-BE49-F238E27FC236}">
              <a16:creationId xmlns:a16="http://schemas.microsoft.com/office/drawing/2014/main" id="{96CBA669-648A-4C2F-ADC7-4CD9FEB3878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9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727965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3030</xdr:row>
      <xdr:rowOff>25400</xdr:rowOff>
    </xdr:from>
    <xdr:to>
      <xdr:col>11</xdr:col>
      <xdr:colOff>571500</xdr:colOff>
      <xdr:row>3031</xdr:row>
      <xdr:rowOff>0</xdr:rowOff>
    </xdr:to>
    <xdr:pic>
      <xdr:nvPicPr>
        <xdr:cNvPr id="14115" name="Рисунок 14114">
          <a:extLst>
            <a:ext uri="{FF2B5EF4-FFF2-40B4-BE49-F238E27FC236}">
              <a16:creationId xmlns:a16="http://schemas.microsoft.com/office/drawing/2014/main" id="{9D063177-0217-475B-815E-1DD18D7D7A9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9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728536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3031</xdr:row>
      <xdr:rowOff>25400</xdr:rowOff>
    </xdr:from>
    <xdr:to>
      <xdr:col>11</xdr:col>
      <xdr:colOff>571500</xdr:colOff>
      <xdr:row>3032</xdr:row>
      <xdr:rowOff>0</xdr:rowOff>
    </xdr:to>
    <xdr:pic>
      <xdr:nvPicPr>
        <xdr:cNvPr id="14117" name="Рисунок 14116">
          <a:extLst>
            <a:ext uri="{FF2B5EF4-FFF2-40B4-BE49-F238E27FC236}">
              <a16:creationId xmlns:a16="http://schemas.microsoft.com/office/drawing/2014/main" id="{D1EB43E4-D34A-49D6-9514-ABDBD4E1BA7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9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729108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3032</xdr:row>
      <xdr:rowOff>25400</xdr:rowOff>
    </xdr:from>
    <xdr:to>
      <xdr:col>11</xdr:col>
      <xdr:colOff>571500</xdr:colOff>
      <xdr:row>3033</xdr:row>
      <xdr:rowOff>0</xdr:rowOff>
    </xdr:to>
    <xdr:pic>
      <xdr:nvPicPr>
        <xdr:cNvPr id="14119" name="Рисунок 14118">
          <a:extLst>
            <a:ext uri="{FF2B5EF4-FFF2-40B4-BE49-F238E27FC236}">
              <a16:creationId xmlns:a16="http://schemas.microsoft.com/office/drawing/2014/main" id="{15E594CD-D0EF-4E72-92BF-0DC6A8CC0B7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9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729679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3033</xdr:row>
      <xdr:rowOff>25400</xdr:rowOff>
    </xdr:from>
    <xdr:to>
      <xdr:col>11</xdr:col>
      <xdr:colOff>571500</xdr:colOff>
      <xdr:row>3034</xdr:row>
      <xdr:rowOff>0</xdr:rowOff>
    </xdr:to>
    <xdr:pic>
      <xdr:nvPicPr>
        <xdr:cNvPr id="14121" name="Рисунок 14120">
          <a:extLst>
            <a:ext uri="{FF2B5EF4-FFF2-40B4-BE49-F238E27FC236}">
              <a16:creationId xmlns:a16="http://schemas.microsoft.com/office/drawing/2014/main" id="{7C018F6B-7D74-49BD-9ED6-9AC813FC469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9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730251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3034</xdr:row>
      <xdr:rowOff>25400</xdr:rowOff>
    </xdr:from>
    <xdr:to>
      <xdr:col>11</xdr:col>
      <xdr:colOff>571500</xdr:colOff>
      <xdr:row>3035</xdr:row>
      <xdr:rowOff>0</xdr:rowOff>
    </xdr:to>
    <xdr:pic>
      <xdr:nvPicPr>
        <xdr:cNvPr id="14123" name="Рисунок 14122">
          <a:extLst>
            <a:ext uri="{FF2B5EF4-FFF2-40B4-BE49-F238E27FC236}">
              <a16:creationId xmlns:a16="http://schemas.microsoft.com/office/drawing/2014/main" id="{BDDD0DEA-5AF5-419C-99C7-20248F41C35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9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730822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3035</xdr:row>
      <xdr:rowOff>25400</xdr:rowOff>
    </xdr:from>
    <xdr:to>
      <xdr:col>11</xdr:col>
      <xdr:colOff>571500</xdr:colOff>
      <xdr:row>3036</xdr:row>
      <xdr:rowOff>0</xdr:rowOff>
    </xdr:to>
    <xdr:pic>
      <xdr:nvPicPr>
        <xdr:cNvPr id="14125" name="Рисунок 14124">
          <a:extLst>
            <a:ext uri="{FF2B5EF4-FFF2-40B4-BE49-F238E27FC236}">
              <a16:creationId xmlns:a16="http://schemas.microsoft.com/office/drawing/2014/main" id="{A7559D1A-4E6F-4783-8BDE-AC7231D1987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9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731394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3036</xdr:row>
      <xdr:rowOff>25400</xdr:rowOff>
    </xdr:from>
    <xdr:to>
      <xdr:col>11</xdr:col>
      <xdr:colOff>571500</xdr:colOff>
      <xdr:row>3037</xdr:row>
      <xdr:rowOff>0</xdr:rowOff>
    </xdr:to>
    <xdr:pic>
      <xdr:nvPicPr>
        <xdr:cNvPr id="14127" name="Рисунок 14126">
          <a:extLst>
            <a:ext uri="{FF2B5EF4-FFF2-40B4-BE49-F238E27FC236}">
              <a16:creationId xmlns:a16="http://schemas.microsoft.com/office/drawing/2014/main" id="{B0846D0E-300D-49C0-A341-C75E336CEDC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9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731965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3037</xdr:row>
      <xdr:rowOff>25400</xdr:rowOff>
    </xdr:from>
    <xdr:to>
      <xdr:col>11</xdr:col>
      <xdr:colOff>571500</xdr:colOff>
      <xdr:row>3038</xdr:row>
      <xdr:rowOff>0</xdr:rowOff>
    </xdr:to>
    <xdr:pic>
      <xdr:nvPicPr>
        <xdr:cNvPr id="14129" name="Рисунок 14128">
          <a:extLst>
            <a:ext uri="{FF2B5EF4-FFF2-40B4-BE49-F238E27FC236}">
              <a16:creationId xmlns:a16="http://schemas.microsoft.com/office/drawing/2014/main" id="{CB3486F3-2F9D-436E-99B1-F5314151197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9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732537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3038</xdr:row>
      <xdr:rowOff>25400</xdr:rowOff>
    </xdr:from>
    <xdr:to>
      <xdr:col>11</xdr:col>
      <xdr:colOff>571500</xdr:colOff>
      <xdr:row>3039</xdr:row>
      <xdr:rowOff>0</xdr:rowOff>
    </xdr:to>
    <xdr:pic>
      <xdr:nvPicPr>
        <xdr:cNvPr id="14131" name="Рисунок 14130">
          <a:extLst>
            <a:ext uri="{FF2B5EF4-FFF2-40B4-BE49-F238E27FC236}">
              <a16:creationId xmlns:a16="http://schemas.microsoft.com/office/drawing/2014/main" id="{5BE67D36-24E0-4E6C-AD65-0706B78A425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299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733108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3039</xdr:row>
      <xdr:rowOff>25400</xdr:rowOff>
    </xdr:from>
    <xdr:to>
      <xdr:col>11</xdr:col>
      <xdr:colOff>571500</xdr:colOff>
      <xdr:row>3040</xdr:row>
      <xdr:rowOff>0</xdr:rowOff>
    </xdr:to>
    <xdr:pic>
      <xdr:nvPicPr>
        <xdr:cNvPr id="14133" name="Рисунок 14132">
          <a:extLst>
            <a:ext uri="{FF2B5EF4-FFF2-40B4-BE49-F238E27FC236}">
              <a16:creationId xmlns:a16="http://schemas.microsoft.com/office/drawing/2014/main" id="{16A61195-78C5-4EEF-B230-C11F94D1A78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0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733680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3040</xdr:row>
      <xdr:rowOff>25400</xdr:rowOff>
    </xdr:from>
    <xdr:to>
      <xdr:col>11</xdr:col>
      <xdr:colOff>571500</xdr:colOff>
      <xdr:row>3041</xdr:row>
      <xdr:rowOff>0</xdr:rowOff>
    </xdr:to>
    <xdr:pic>
      <xdr:nvPicPr>
        <xdr:cNvPr id="14135" name="Рисунок 14134">
          <a:extLst>
            <a:ext uri="{FF2B5EF4-FFF2-40B4-BE49-F238E27FC236}">
              <a16:creationId xmlns:a16="http://schemas.microsoft.com/office/drawing/2014/main" id="{0B3F459D-73FF-49AD-BB30-79A768B7771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0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734251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3041</xdr:row>
      <xdr:rowOff>25400</xdr:rowOff>
    </xdr:from>
    <xdr:to>
      <xdr:col>11</xdr:col>
      <xdr:colOff>571500</xdr:colOff>
      <xdr:row>3042</xdr:row>
      <xdr:rowOff>0</xdr:rowOff>
    </xdr:to>
    <xdr:pic>
      <xdr:nvPicPr>
        <xdr:cNvPr id="14137" name="Рисунок 14136">
          <a:extLst>
            <a:ext uri="{FF2B5EF4-FFF2-40B4-BE49-F238E27FC236}">
              <a16:creationId xmlns:a16="http://schemas.microsoft.com/office/drawing/2014/main" id="{17A41418-16E6-4CDA-84D8-336F7D81EAC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0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734823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3042</xdr:row>
      <xdr:rowOff>25400</xdr:rowOff>
    </xdr:from>
    <xdr:to>
      <xdr:col>11</xdr:col>
      <xdr:colOff>571500</xdr:colOff>
      <xdr:row>3043</xdr:row>
      <xdr:rowOff>0</xdr:rowOff>
    </xdr:to>
    <xdr:pic>
      <xdr:nvPicPr>
        <xdr:cNvPr id="14139" name="Рисунок 14138">
          <a:extLst>
            <a:ext uri="{FF2B5EF4-FFF2-40B4-BE49-F238E27FC236}">
              <a16:creationId xmlns:a16="http://schemas.microsoft.com/office/drawing/2014/main" id="{5E0CE616-4355-420C-96FA-84AE39EF1A3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0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735394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3043</xdr:row>
      <xdr:rowOff>25400</xdr:rowOff>
    </xdr:from>
    <xdr:to>
      <xdr:col>11</xdr:col>
      <xdr:colOff>571500</xdr:colOff>
      <xdr:row>3044</xdr:row>
      <xdr:rowOff>0</xdr:rowOff>
    </xdr:to>
    <xdr:pic>
      <xdr:nvPicPr>
        <xdr:cNvPr id="14141" name="Рисунок 14140">
          <a:extLst>
            <a:ext uri="{FF2B5EF4-FFF2-40B4-BE49-F238E27FC236}">
              <a16:creationId xmlns:a16="http://schemas.microsoft.com/office/drawing/2014/main" id="{492108D7-3A2D-4C5B-B15E-E50B65495ED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0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735966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3044</xdr:row>
      <xdr:rowOff>25400</xdr:rowOff>
    </xdr:from>
    <xdr:to>
      <xdr:col>11</xdr:col>
      <xdr:colOff>571500</xdr:colOff>
      <xdr:row>3045</xdr:row>
      <xdr:rowOff>0</xdr:rowOff>
    </xdr:to>
    <xdr:pic>
      <xdr:nvPicPr>
        <xdr:cNvPr id="14143" name="Рисунок 14142">
          <a:extLst>
            <a:ext uri="{FF2B5EF4-FFF2-40B4-BE49-F238E27FC236}">
              <a16:creationId xmlns:a16="http://schemas.microsoft.com/office/drawing/2014/main" id="{C4A6FA46-06B9-4599-ABC9-4C9C4E92831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0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736537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3045</xdr:row>
      <xdr:rowOff>25400</xdr:rowOff>
    </xdr:from>
    <xdr:to>
      <xdr:col>11</xdr:col>
      <xdr:colOff>571500</xdr:colOff>
      <xdr:row>3046</xdr:row>
      <xdr:rowOff>0</xdr:rowOff>
    </xdr:to>
    <xdr:pic>
      <xdr:nvPicPr>
        <xdr:cNvPr id="14145" name="Рисунок 14144">
          <a:extLst>
            <a:ext uri="{FF2B5EF4-FFF2-40B4-BE49-F238E27FC236}">
              <a16:creationId xmlns:a16="http://schemas.microsoft.com/office/drawing/2014/main" id="{A9D46AB6-A582-40C6-919C-A3A49AB6BBB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0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737109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3046</xdr:row>
      <xdr:rowOff>25400</xdr:rowOff>
    </xdr:from>
    <xdr:to>
      <xdr:col>11</xdr:col>
      <xdr:colOff>571500</xdr:colOff>
      <xdr:row>3047</xdr:row>
      <xdr:rowOff>0</xdr:rowOff>
    </xdr:to>
    <xdr:pic>
      <xdr:nvPicPr>
        <xdr:cNvPr id="14147" name="Рисунок 14146">
          <a:extLst>
            <a:ext uri="{FF2B5EF4-FFF2-40B4-BE49-F238E27FC236}">
              <a16:creationId xmlns:a16="http://schemas.microsoft.com/office/drawing/2014/main" id="{E89A4194-4CC9-463C-8384-E8F1AF7FD45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0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737680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3047</xdr:row>
      <xdr:rowOff>25400</xdr:rowOff>
    </xdr:from>
    <xdr:to>
      <xdr:col>11</xdr:col>
      <xdr:colOff>571500</xdr:colOff>
      <xdr:row>3048</xdr:row>
      <xdr:rowOff>0</xdr:rowOff>
    </xdr:to>
    <xdr:pic>
      <xdr:nvPicPr>
        <xdr:cNvPr id="14149" name="Рисунок 14148">
          <a:extLst>
            <a:ext uri="{FF2B5EF4-FFF2-40B4-BE49-F238E27FC236}">
              <a16:creationId xmlns:a16="http://schemas.microsoft.com/office/drawing/2014/main" id="{FF256CE4-E87F-4919-91D8-373DBC0AC63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0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738252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3048</xdr:row>
      <xdr:rowOff>25400</xdr:rowOff>
    </xdr:from>
    <xdr:to>
      <xdr:col>11</xdr:col>
      <xdr:colOff>571500</xdr:colOff>
      <xdr:row>3049</xdr:row>
      <xdr:rowOff>0</xdr:rowOff>
    </xdr:to>
    <xdr:pic>
      <xdr:nvPicPr>
        <xdr:cNvPr id="14151" name="Рисунок 14150">
          <a:extLst>
            <a:ext uri="{FF2B5EF4-FFF2-40B4-BE49-F238E27FC236}">
              <a16:creationId xmlns:a16="http://schemas.microsoft.com/office/drawing/2014/main" id="{888E6791-6A9A-425D-BB48-D26753C51FF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0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738823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3049</xdr:row>
      <xdr:rowOff>25400</xdr:rowOff>
    </xdr:from>
    <xdr:to>
      <xdr:col>11</xdr:col>
      <xdr:colOff>571500</xdr:colOff>
      <xdr:row>3050</xdr:row>
      <xdr:rowOff>0</xdr:rowOff>
    </xdr:to>
    <xdr:pic>
      <xdr:nvPicPr>
        <xdr:cNvPr id="14153" name="Рисунок 14152">
          <a:extLst>
            <a:ext uri="{FF2B5EF4-FFF2-40B4-BE49-F238E27FC236}">
              <a16:creationId xmlns:a16="http://schemas.microsoft.com/office/drawing/2014/main" id="{53E8B233-79A7-4CDA-92C2-C71134DAAAF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739395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3050</xdr:row>
      <xdr:rowOff>25400</xdr:rowOff>
    </xdr:from>
    <xdr:to>
      <xdr:col>11</xdr:col>
      <xdr:colOff>571500</xdr:colOff>
      <xdr:row>3051</xdr:row>
      <xdr:rowOff>0</xdr:rowOff>
    </xdr:to>
    <xdr:pic>
      <xdr:nvPicPr>
        <xdr:cNvPr id="14155" name="Рисунок 14154">
          <a:extLst>
            <a:ext uri="{FF2B5EF4-FFF2-40B4-BE49-F238E27FC236}">
              <a16:creationId xmlns:a16="http://schemas.microsoft.com/office/drawing/2014/main" id="{5FF61D2F-A320-4DF0-B46F-1E54EFFAB99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739966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3051</xdr:row>
      <xdr:rowOff>25400</xdr:rowOff>
    </xdr:from>
    <xdr:to>
      <xdr:col>11</xdr:col>
      <xdr:colOff>571500</xdr:colOff>
      <xdr:row>3052</xdr:row>
      <xdr:rowOff>0</xdr:rowOff>
    </xdr:to>
    <xdr:pic>
      <xdr:nvPicPr>
        <xdr:cNvPr id="14157" name="Рисунок 14156">
          <a:extLst>
            <a:ext uri="{FF2B5EF4-FFF2-40B4-BE49-F238E27FC236}">
              <a16:creationId xmlns:a16="http://schemas.microsoft.com/office/drawing/2014/main" id="{6961EDD7-C1AE-4CB5-95AE-9A7F6323B8C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740538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3052</xdr:row>
      <xdr:rowOff>25400</xdr:rowOff>
    </xdr:from>
    <xdr:to>
      <xdr:col>11</xdr:col>
      <xdr:colOff>571500</xdr:colOff>
      <xdr:row>3053</xdr:row>
      <xdr:rowOff>0</xdr:rowOff>
    </xdr:to>
    <xdr:pic>
      <xdr:nvPicPr>
        <xdr:cNvPr id="14159" name="Рисунок 14158">
          <a:extLst>
            <a:ext uri="{FF2B5EF4-FFF2-40B4-BE49-F238E27FC236}">
              <a16:creationId xmlns:a16="http://schemas.microsoft.com/office/drawing/2014/main" id="{56A6EFCA-5248-404E-BA44-9EEEBA229EA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741109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3053</xdr:row>
      <xdr:rowOff>25400</xdr:rowOff>
    </xdr:from>
    <xdr:to>
      <xdr:col>11</xdr:col>
      <xdr:colOff>571500</xdr:colOff>
      <xdr:row>3054</xdr:row>
      <xdr:rowOff>0</xdr:rowOff>
    </xdr:to>
    <xdr:pic>
      <xdr:nvPicPr>
        <xdr:cNvPr id="14161" name="Рисунок 14160">
          <a:extLst>
            <a:ext uri="{FF2B5EF4-FFF2-40B4-BE49-F238E27FC236}">
              <a16:creationId xmlns:a16="http://schemas.microsoft.com/office/drawing/2014/main" id="{7A8C6967-5B5A-4AEB-A262-0E312E7BB9F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741681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3054</xdr:row>
      <xdr:rowOff>25400</xdr:rowOff>
    </xdr:from>
    <xdr:to>
      <xdr:col>11</xdr:col>
      <xdr:colOff>571500</xdr:colOff>
      <xdr:row>3055</xdr:row>
      <xdr:rowOff>0</xdr:rowOff>
    </xdr:to>
    <xdr:pic>
      <xdr:nvPicPr>
        <xdr:cNvPr id="14163" name="Рисунок 14162">
          <a:extLst>
            <a:ext uri="{FF2B5EF4-FFF2-40B4-BE49-F238E27FC236}">
              <a16:creationId xmlns:a16="http://schemas.microsoft.com/office/drawing/2014/main" id="{804FE791-BAEC-4AC6-B428-2693042A1B8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742252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3055</xdr:row>
      <xdr:rowOff>25400</xdr:rowOff>
    </xdr:from>
    <xdr:to>
      <xdr:col>11</xdr:col>
      <xdr:colOff>571500</xdr:colOff>
      <xdr:row>3056</xdr:row>
      <xdr:rowOff>0</xdr:rowOff>
    </xdr:to>
    <xdr:pic>
      <xdr:nvPicPr>
        <xdr:cNvPr id="14165" name="Рисунок 14164">
          <a:extLst>
            <a:ext uri="{FF2B5EF4-FFF2-40B4-BE49-F238E27FC236}">
              <a16:creationId xmlns:a16="http://schemas.microsoft.com/office/drawing/2014/main" id="{72E450EB-DCDC-434A-AE76-8038DC29793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742824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3056</xdr:row>
      <xdr:rowOff>25400</xdr:rowOff>
    </xdr:from>
    <xdr:to>
      <xdr:col>11</xdr:col>
      <xdr:colOff>571500</xdr:colOff>
      <xdr:row>3057</xdr:row>
      <xdr:rowOff>0</xdr:rowOff>
    </xdr:to>
    <xdr:pic>
      <xdr:nvPicPr>
        <xdr:cNvPr id="14167" name="Рисунок 14166">
          <a:extLst>
            <a:ext uri="{FF2B5EF4-FFF2-40B4-BE49-F238E27FC236}">
              <a16:creationId xmlns:a16="http://schemas.microsoft.com/office/drawing/2014/main" id="{DA87F9B4-912D-4991-A418-5F3B9660689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743395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3057</xdr:row>
      <xdr:rowOff>25400</xdr:rowOff>
    </xdr:from>
    <xdr:to>
      <xdr:col>11</xdr:col>
      <xdr:colOff>571500</xdr:colOff>
      <xdr:row>3058</xdr:row>
      <xdr:rowOff>0</xdr:rowOff>
    </xdr:to>
    <xdr:pic>
      <xdr:nvPicPr>
        <xdr:cNvPr id="14169" name="Рисунок 14168">
          <a:extLst>
            <a:ext uri="{FF2B5EF4-FFF2-40B4-BE49-F238E27FC236}">
              <a16:creationId xmlns:a16="http://schemas.microsoft.com/office/drawing/2014/main" id="{4ED56CA6-86E3-492C-B104-056EAA262E5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743967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3058</xdr:row>
      <xdr:rowOff>25400</xdr:rowOff>
    </xdr:from>
    <xdr:to>
      <xdr:col>11</xdr:col>
      <xdr:colOff>571500</xdr:colOff>
      <xdr:row>3059</xdr:row>
      <xdr:rowOff>0</xdr:rowOff>
    </xdr:to>
    <xdr:pic>
      <xdr:nvPicPr>
        <xdr:cNvPr id="14171" name="Рисунок 14170">
          <a:extLst>
            <a:ext uri="{FF2B5EF4-FFF2-40B4-BE49-F238E27FC236}">
              <a16:creationId xmlns:a16="http://schemas.microsoft.com/office/drawing/2014/main" id="{B2FE229C-E145-44B5-9D5E-1A816E50CD5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744538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3059</xdr:row>
      <xdr:rowOff>25400</xdr:rowOff>
    </xdr:from>
    <xdr:to>
      <xdr:col>11</xdr:col>
      <xdr:colOff>571500</xdr:colOff>
      <xdr:row>3060</xdr:row>
      <xdr:rowOff>0</xdr:rowOff>
    </xdr:to>
    <xdr:pic>
      <xdr:nvPicPr>
        <xdr:cNvPr id="14173" name="Рисунок 14172">
          <a:extLst>
            <a:ext uri="{FF2B5EF4-FFF2-40B4-BE49-F238E27FC236}">
              <a16:creationId xmlns:a16="http://schemas.microsoft.com/office/drawing/2014/main" id="{92E81B56-ACEC-46B1-BA48-2FBD4BB87C3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745110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3060</xdr:row>
      <xdr:rowOff>25400</xdr:rowOff>
    </xdr:from>
    <xdr:to>
      <xdr:col>11</xdr:col>
      <xdr:colOff>571500</xdr:colOff>
      <xdr:row>3061</xdr:row>
      <xdr:rowOff>0</xdr:rowOff>
    </xdr:to>
    <xdr:pic>
      <xdr:nvPicPr>
        <xdr:cNvPr id="14175" name="Рисунок 14174">
          <a:extLst>
            <a:ext uri="{FF2B5EF4-FFF2-40B4-BE49-F238E27FC236}">
              <a16:creationId xmlns:a16="http://schemas.microsoft.com/office/drawing/2014/main" id="{C9EDAA94-45CB-4F19-B797-4EEFF671150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745681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3061</xdr:row>
      <xdr:rowOff>25400</xdr:rowOff>
    </xdr:from>
    <xdr:to>
      <xdr:col>11</xdr:col>
      <xdr:colOff>571500</xdr:colOff>
      <xdr:row>3062</xdr:row>
      <xdr:rowOff>0</xdr:rowOff>
    </xdr:to>
    <xdr:pic>
      <xdr:nvPicPr>
        <xdr:cNvPr id="14177" name="Рисунок 14176">
          <a:extLst>
            <a:ext uri="{FF2B5EF4-FFF2-40B4-BE49-F238E27FC236}">
              <a16:creationId xmlns:a16="http://schemas.microsoft.com/office/drawing/2014/main" id="{4260E490-D563-4341-8A39-82D55AA458F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746253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3062</xdr:row>
      <xdr:rowOff>25400</xdr:rowOff>
    </xdr:from>
    <xdr:to>
      <xdr:col>11</xdr:col>
      <xdr:colOff>571500</xdr:colOff>
      <xdr:row>3063</xdr:row>
      <xdr:rowOff>0</xdr:rowOff>
    </xdr:to>
    <xdr:pic>
      <xdr:nvPicPr>
        <xdr:cNvPr id="14179" name="Рисунок 14178">
          <a:extLst>
            <a:ext uri="{FF2B5EF4-FFF2-40B4-BE49-F238E27FC236}">
              <a16:creationId xmlns:a16="http://schemas.microsoft.com/office/drawing/2014/main" id="{355B1055-23A2-412C-B3BB-6C1DC8DE907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746824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3063</xdr:row>
      <xdr:rowOff>25400</xdr:rowOff>
    </xdr:from>
    <xdr:to>
      <xdr:col>11</xdr:col>
      <xdr:colOff>571500</xdr:colOff>
      <xdr:row>3064</xdr:row>
      <xdr:rowOff>0</xdr:rowOff>
    </xdr:to>
    <xdr:pic>
      <xdr:nvPicPr>
        <xdr:cNvPr id="14181" name="Рисунок 14180">
          <a:extLst>
            <a:ext uri="{FF2B5EF4-FFF2-40B4-BE49-F238E27FC236}">
              <a16:creationId xmlns:a16="http://schemas.microsoft.com/office/drawing/2014/main" id="{A45B9D6E-DD42-480C-B326-D9A2B5DFDA3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747396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3064</xdr:row>
      <xdr:rowOff>25400</xdr:rowOff>
    </xdr:from>
    <xdr:to>
      <xdr:col>11</xdr:col>
      <xdr:colOff>571500</xdr:colOff>
      <xdr:row>3065</xdr:row>
      <xdr:rowOff>0</xdr:rowOff>
    </xdr:to>
    <xdr:pic>
      <xdr:nvPicPr>
        <xdr:cNvPr id="14183" name="Рисунок 14182">
          <a:extLst>
            <a:ext uri="{FF2B5EF4-FFF2-40B4-BE49-F238E27FC236}">
              <a16:creationId xmlns:a16="http://schemas.microsoft.com/office/drawing/2014/main" id="{0EF3B2B5-FD0B-424E-9DE2-7FA12A086AE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747967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3065</xdr:row>
      <xdr:rowOff>25400</xdr:rowOff>
    </xdr:from>
    <xdr:to>
      <xdr:col>11</xdr:col>
      <xdr:colOff>571500</xdr:colOff>
      <xdr:row>3066</xdr:row>
      <xdr:rowOff>0</xdr:rowOff>
    </xdr:to>
    <xdr:pic>
      <xdr:nvPicPr>
        <xdr:cNvPr id="14185" name="Рисунок 14184">
          <a:extLst>
            <a:ext uri="{FF2B5EF4-FFF2-40B4-BE49-F238E27FC236}">
              <a16:creationId xmlns:a16="http://schemas.microsoft.com/office/drawing/2014/main" id="{B5EA7E95-7C37-4C94-9DAC-2B16DC2A7BF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748539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3066</xdr:row>
      <xdr:rowOff>25400</xdr:rowOff>
    </xdr:from>
    <xdr:to>
      <xdr:col>11</xdr:col>
      <xdr:colOff>571500</xdr:colOff>
      <xdr:row>3067</xdr:row>
      <xdr:rowOff>0</xdr:rowOff>
    </xdr:to>
    <xdr:pic>
      <xdr:nvPicPr>
        <xdr:cNvPr id="14187" name="Рисунок 14186">
          <a:extLst>
            <a:ext uri="{FF2B5EF4-FFF2-40B4-BE49-F238E27FC236}">
              <a16:creationId xmlns:a16="http://schemas.microsoft.com/office/drawing/2014/main" id="{3B717C29-471C-4B0A-9633-28CE7DC8AAD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749110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3067</xdr:row>
      <xdr:rowOff>25400</xdr:rowOff>
    </xdr:from>
    <xdr:to>
      <xdr:col>11</xdr:col>
      <xdr:colOff>571500</xdr:colOff>
      <xdr:row>3068</xdr:row>
      <xdr:rowOff>0</xdr:rowOff>
    </xdr:to>
    <xdr:pic>
      <xdr:nvPicPr>
        <xdr:cNvPr id="14189" name="Рисунок 14188">
          <a:extLst>
            <a:ext uri="{FF2B5EF4-FFF2-40B4-BE49-F238E27FC236}">
              <a16:creationId xmlns:a16="http://schemas.microsoft.com/office/drawing/2014/main" id="{6FC4CF0F-BC85-4E2B-8273-CC3D9DE0277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749682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3068</xdr:row>
      <xdr:rowOff>25400</xdr:rowOff>
    </xdr:from>
    <xdr:to>
      <xdr:col>11</xdr:col>
      <xdr:colOff>571500</xdr:colOff>
      <xdr:row>3069</xdr:row>
      <xdr:rowOff>0</xdr:rowOff>
    </xdr:to>
    <xdr:pic>
      <xdr:nvPicPr>
        <xdr:cNvPr id="14191" name="Рисунок 14190">
          <a:extLst>
            <a:ext uri="{FF2B5EF4-FFF2-40B4-BE49-F238E27FC236}">
              <a16:creationId xmlns:a16="http://schemas.microsoft.com/office/drawing/2014/main" id="{CB685777-62D8-4267-8C1D-D5DD5410661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750253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3069</xdr:row>
      <xdr:rowOff>25400</xdr:rowOff>
    </xdr:from>
    <xdr:to>
      <xdr:col>11</xdr:col>
      <xdr:colOff>571500</xdr:colOff>
      <xdr:row>3070</xdr:row>
      <xdr:rowOff>0</xdr:rowOff>
    </xdr:to>
    <xdr:pic>
      <xdr:nvPicPr>
        <xdr:cNvPr id="14193" name="Рисунок 14192">
          <a:extLst>
            <a:ext uri="{FF2B5EF4-FFF2-40B4-BE49-F238E27FC236}">
              <a16:creationId xmlns:a16="http://schemas.microsoft.com/office/drawing/2014/main" id="{A5FDE93D-B068-4483-BF19-4EB331C3BCC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750825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3070</xdr:row>
      <xdr:rowOff>25400</xdr:rowOff>
    </xdr:from>
    <xdr:to>
      <xdr:col>11</xdr:col>
      <xdr:colOff>571500</xdr:colOff>
      <xdr:row>3071</xdr:row>
      <xdr:rowOff>0</xdr:rowOff>
    </xdr:to>
    <xdr:pic>
      <xdr:nvPicPr>
        <xdr:cNvPr id="14195" name="Рисунок 14194">
          <a:extLst>
            <a:ext uri="{FF2B5EF4-FFF2-40B4-BE49-F238E27FC236}">
              <a16:creationId xmlns:a16="http://schemas.microsoft.com/office/drawing/2014/main" id="{D41E8438-EDD5-43B0-BA6B-090DF1A9BFD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3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751396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3071</xdr:row>
      <xdr:rowOff>25400</xdr:rowOff>
    </xdr:from>
    <xdr:to>
      <xdr:col>11</xdr:col>
      <xdr:colOff>571500</xdr:colOff>
      <xdr:row>3072</xdr:row>
      <xdr:rowOff>0</xdr:rowOff>
    </xdr:to>
    <xdr:pic>
      <xdr:nvPicPr>
        <xdr:cNvPr id="14197" name="Рисунок 14196">
          <a:extLst>
            <a:ext uri="{FF2B5EF4-FFF2-40B4-BE49-F238E27FC236}">
              <a16:creationId xmlns:a16="http://schemas.microsoft.com/office/drawing/2014/main" id="{D7BA3E2F-F4B6-48A4-9F4B-716B371A9BB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3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751968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3072</xdr:row>
      <xdr:rowOff>25400</xdr:rowOff>
    </xdr:from>
    <xdr:to>
      <xdr:col>11</xdr:col>
      <xdr:colOff>571500</xdr:colOff>
      <xdr:row>3073</xdr:row>
      <xdr:rowOff>0</xdr:rowOff>
    </xdr:to>
    <xdr:pic>
      <xdr:nvPicPr>
        <xdr:cNvPr id="14199" name="Рисунок 14198">
          <a:extLst>
            <a:ext uri="{FF2B5EF4-FFF2-40B4-BE49-F238E27FC236}">
              <a16:creationId xmlns:a16="http://schemas.microsoft.com/office/drawing/2014/main" id="{1D37745E-0EA7-4EF1-B0F5-011492C7893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3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752539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3073</xdr:row>
      <xdr:rowOff>25400</xdr:rowOff>
    </xdr:from>
    <xdr:to>
      <xdr:col>11</xdr:col>
      <xdr:colOff>571500</xdr:colOff>
      <xdr:row>3074</xdr:row>
      <xdr:rowOff>0</xdr:rowOff>
    </xdr:to>
    <xdr:pic>
      <xdr:nvPicPr>
        <xdr:cNvPr id="14201" name="Рисунок 14200">
          <a:extLst>
            <a:ext uri="{FF2B5EF4-FFF2-40B4-BE49-F238E27FC236}">
              <a16:creationId xmlns:a16="http://schemas.microsoft.com/office/drawing/2014/main" id="{F7180B91-395D-47E6-A06F-1CD094CC715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3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753111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3074</xdr:row>
      <xdr:rowOff>25400</xdr:rowOff>
    </xdr:from>
    <xdr:to>
      <xdr:col>11</xdr:col>
      <xdr:colOff>571500</xdr:colOff>
      <xdr:row>3075</xdr:row>
      <xdr:rowOff>0</xdr:rowOff>
    </xdr:to>
    <xdr:pic>
      <xdr:nvPicPr>
        <xdr:cNvPr id="14203" name="Рисунок 14202">
          <a:extLst>
            <a:ext uri="{FF2B5EF4-FFF2-40B4-BE49-F238E27FC236}">
              <a16:creationId xmlns:a16="http://schemas.microsoft.com/office/drawing/2014/main" id="{16639DFF-DE6F-45B4-8447-407975BC929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3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753682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3075</xdr:row>
      <xdr:rowOff>25400</xdr:rowOff>
    </xdr:from>
    <xdr:to>
      <xdr:col>11</xdr:col>
      <xdr:colOff>571500</xdr:colOff>
      <xdr:row>3076</xdr:row>
      <xdr:rowOff>0</xdr:rowOff>
    </xdr:to>
    <xdr:pic>
      <xdr:nvPicPr>
        <xdr:cNvPr id="14205" name="Рисунок 14204">
          <a:extLst>
            <a:ext uri="{FF2B5EF4-FFF2-40B4-BE49-F238E27FC236}">
              <a16:creationId xmlns:a16="http://schemas.microsoft.com/office/drawing/2014/main" id="{6F6557BA-2BA4-4D0D-B9DF-7CAF3954ACA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3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754254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3076</xdr:row>
      <xdr:rowOff>25400</xdr:rowOff>
    </xdr:from>
    <xdr:to>
      <xdr:col>11</xdr:col>
      <xdr:colOff>571500</xdr:colOff>
      <xdr:row>3077</xdr:row>
      <xdr:rowOff>0</xdr:rowOff>
    </xdr:to>
    <xdr:pic>
      <xdr:nvPicPr>
        <xdr:cNvPr id="14207" name="Рисунок 14206">
          <a:extLst>
            <a:ext uri="{FF2B5EF4-FFF2-40B4-BE49-F238E27FC236}">
              <a16:creationId xmlns:a16="http://schemas.microsoft.com/office/drawing/2014/main" id="{1B56A67E-713D-4290-9599-AAD32DFF2A0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3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754825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3077</xdr:row>
      <xdr:rowOff>25400</xdr:rowOff>
    </xdr:from>
    <xdr:to>
      <xdr:col>11</xdr:col>
      <xdr:colOff>571500</xdr:colOff>
      <xdr:row>3078</xdr:row>
      <xdr:rowOff>0</xdr:rowOff>
    </xdr:to>
    <xdr:pic>
      <xdr:nvPicPr>
        <xdr:cNvPr id="14209" name="Рисунок 14208">
          <a:extLst>
            <a:ext uri="{FF2B5EF4-FFF2-40B4-BE49-F238E27FC236}">
              <a16:creationId xmlns:a16="http://schemas.microsoft.com/office/drawing/2014/main" id="{9A4989E9-5DA4-47D8-B5A8-C5573C1D806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3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755397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3078</xdr:row>
      <xdr:rowOff>25400</xdr:rowOff>
    </xdr:from>
    <xdr:to>
      <xdr:col>11</xdr:col>
      <xdr:colOff>571500</xdr:colOff>
      <xdr:row>3079</xdr:row>
      <xdr:rowOff>0</xdr:rowOff>
    </xdr:to>
    <xdr:pic>
      <xdr:nvPicPr>
        <xdr:cNvPr id="14211" name="Рисунок 14210">
          <a:extLst>
            <a:ext uri="{FF2B5EF4-FFF2-40B4-BE49-F238E27FC236}">
              <a16:creationId xmlns:a16="http://schemas.microsoft.com/office/drawing/2014/main" id="{3E9589A6-EC40-48E2-ACDE-C90D1B27AB3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3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755968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3079</xdr:row>
      <xdr:rowOff>25400</xdr:rowOff>
    </xdr:from>
    <xdr:to>
      <xdr:col>11</xdr:col>
      <xdr:colOff>571500</xdr:colOff>
      <xdr:row>3080</xdr:row>
      <xdr:rowOff>0</xdr:rowOff>
    </xdr:to>
    <xdr:pic>
      <xdr:nvPicPr>
        <xdr:cNvPr id="14213" name="Рисунок 14212">
          <a:extLst>
            <a:ext uri="{FF2B5EF4-FFF2-40B4-BE49-F238E27FC236}">
              <a16:creationId xmlns:a16="http://schemas.microsoft.com/office/drawing/2014/main" id="{B537F661-E1F2-4CD8-AF9B-F91A81F5B02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4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756540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3080</xdr:row>
      <xdr:rowOff>25400</xdr:rowOff>
    </xdr:from>
    <xdr:to>
      <xdr:col>11</xdr:col>
      <xdr:colOff>571500</xdr:colOff>
      <xdr:row>3081</xdr:row>
      <xdr:rowOff>0</xdr:rowOff>
    </xdr:to>
    <xdr:pic>
      <xdr:nvPicPr>
        <xdr:cNvPr id="14215" name="Рисунок 14214">
          <a:extLst>
            <a:ext uri="{FF2B5EF4-FFF2-40B4-BE49-F238E27FC236}">
              <a16:creationId xmlns:a16="http://schemas.microsoft.com/office/drawing/2014/main" id="{0F766709-81F7-4852-8662-2B3635B9191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4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757111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3081</xdr:row>
      <xdr:rowOff>25400</xdr:rowOff>
    </xdr:from>
    <xdr:to>
      <xdr:col>11</xdr:col>
      <xdr:colOff>571500</xdr:colOff>
      <xdr:row>3082</xdr:row>
      <xdr:rowOff>0</xdr:rowOff>
    </xdr:to>
    <xdr:pic>
      <xdr:nvPicPr>
        <xdr:cNvPr id="14217" name="Рисунок 14216">
          <a:extLst>
            <a:ext uri="{FF2B5EF4-FFF2-40B4-BE49-F238E27FC236}">
              <a16:creationId xmlns:a16="http://schemas.microsoft.com/office/drawing/2014/main" id="{A7A76E5A-1870-4531-AA90-CC6DB29AA09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757683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3082</xdr:row>
      <xdr:rowOff>25400</xdr:rowOff>
    </xdr:from>
    <xdr:to>
      <xdr:col>11</xdr:col>
      <xdr:colOff>571500</xdr:colOff>
      <xdr:row>3083</xdr:row>
      <xdr:rowOff>0</xdr:rowOff>
    </xdr:to>
    <xdr:pic>
      <xdr:nvPicPr>
        <xdr:cNvPr id="14219" name="Рисунок 14218">
          <a:extLst>
            <a:ext uri="{FF2B5EF4-FFF2-40B4-BE49-F238E27FC236}">
              <a16:creationId xmlns:a16="http://schemas.microsoft.com/office/drawing/2014/main" id="{2B28562B-19C2-416A-ABB2-D8E2EDD378C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758254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3083</xdr:row>
      <xdr:rowOff>25400</xdr:rowOff>
    </xdr:from>
    <xdr:to>
      <xdr:col>11</xdr:col>
      <xdr:colOff>571500</xdr:colOff>
      <xdr:row>3084</xdr:row>
      <xdr:rowOff>0</xdr:rowOff>
    </xdr:to>
    <xdr:pic>
      <xdr:nvPicPr>
        <xdr:cNvPr id="14221" name="Рисунок 14220">
          <a:extLst>
            <a:ext uri="{FF2B5EF4-FFF2-40B4-BE49-F238E27FC236}">
              <a16:creationId xmlns:a16="http://schemas.microsoft.com/office/drawing/2014/main" id="{2DCC50BD-20CB-46C4-AD6C-445D91F99BB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758826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3084</xdr:row>
      <xdr:rowOff>25400</xdr:rowOff>
    </xdr:from>
    <xdr:to>
      <xdr:col>11</xdr:col>
      <xdr:colOff>571500</xdr:colOff>
      <xdr:row>3085</xdr:row>
      <xdr:rowOff>0</xdr:rowOff>
    </xdr:to>
    <xdr:pic>
      <xdr:nvPicPr>
        <xdr:cNvPr id="14223" name="Рисунок 14222">
          <a:extLst>
            <a:ext uri="{FF2B5EF4-FFF2-40B4-BE49-F238E27FC236}">
              <a16:creationId xmlns:a16="http://schemas.microsoft.com/office/drawing/2014/main" id="{D70ABFD1-9379-455B-AA5E-F3E67F58E92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4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759397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3085</xdr:row>
      <xdr:rowOff>25400</xdr:rowOff>
    </xdr:from>
    <xdr:to>
      <xdr:col>11</xdr:col>
      <xdr:colOff>571500</xdr:colOff>
      <xdr:row>3086</xdr:row>
      <xdr:rowOff>0</xdr:rowOff>
    </xdr:to>
    <xdr:pic>
      <xdr:nvPicPr>
        <xdr:cNvPr id="14225" name="Рисунок 14224">
          <a:extLst>
            <a:ext uri="{FF2B5EF4-FFF2-40B4-BE49-F238E27FC236}">
              <a16:creationId xmlns:a16="http://schemas.microsoft.com/office/drawing/2014/main" id="{E0FC6D84-F308-4A07-9097-EB4857E2190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4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759969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3086</xdr:row>
      <xdr:rowOff>25400</xdr:rowOff>
    </xdr:from>
    <xdr:to>
      <xdr:col>11</xdr:col>
      <xdr:colOff>571500</xdr:colOff>
      <xdr:row>3087</xdr:row>
      <xdr:rowOff>0</xdr:rowOff>
    </xdr:to>
    <xdr:pic>
      <xdr:nvPicPr>
        <xdr:cNvPr id="14227" name="Рисунок 14226">
          <a:extLst>
            <a:ext uri="{FF2B5EF4-FFF2-40B4-BE49-F238E27FC236}">
              <a16:creationId xmlns:a16="http://schemas.microsoft.com/office/drawing/2014/main" id="{B26A89C4-C5D1-40F6-A345-20F7E077C6A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4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760540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3087</xdr:row>
      <xdr:rowOff>25400</xdr:rowOff>
    </xdr:from>
    <xdr:to>
      <xdr:col>11</xdr:col>
      <xdr:colOff>571500</xdr:colOff>
      <xdr:row>3088</xdr:row>
      <xdr:rowOff>0</xdr:rowOff>
    </xdr:to>
    <xdr:pic>
      <xdr:nvPicPr>
        <xdr:cNvPr id="14229" name="Рисунок 14228">
          <a:extLst>
            <a:ext uri="{FF2B5EF4-FFF2-40B4-BE49-F238E27FC236}">
              <a16:creationId xmlns:a16="http://schemas.microsoft.com/office/drawing/2014/main" id="{104E790B-A302-4E72-A135-8A00865EC14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4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761112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3088</xdr:row>
      <xdr:rowOff>25400</xdr:rowOff>
    </xdr:from>
    <xdr:to>
      <xdr:col>11</xdr:col>
      <xdr:colOff>571500</xdr:colOff>
      <xdr:row>3089</xdr:row>
      <xdr:rowOff>0</xdr:rowOff>
    </xdr:to>
    <xdr:pic>
      <xdr:nvPicPr>
        <xdr:cNvPr id="14231" name="Рисунок 14230">
          <a:extLst>
            <a:ext uri="{FF2B5EF4-FFF2-40B4-BE49-F238E27FC236}">
              <a16:creationId xmlns:a16="http://schemas.microsoft.com/office/drawing/2014/main" id="{8FC8474D-DAFE-4E9E-ABF4-A57D3F218CF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4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761683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3089</xdr:row>
      <xdr:rowOff>25400</xdr:rowOff>
    </xdr:from>
    <xdr:to>
      <xdr:col>11</xdr:col>
      <xdr:colOff>571500</xdr:colOff>
      <xdr:row>3090</xdr:row>
      <xdr:rowOff>0</xdr:rowOff>
    </xdr:to>
    <xdr:pic>
      <xdr:nvPicPr>
        <xdr:cNvPr id="14233" name="Рисунок 14232">
          <a:extLst>
            <a:ext uri="{FF2B5EF4-FFF2-40B4-BE49-F238E27FC236}">
              <a16:creationId xmlns:a16="http://schemas.microsoft.com/office/drawing/2014/main" id="{48F4F921-74ED-471B-A845-C89598ABBE5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5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762255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3090</xdr:row>
      <xdr:rowOff>25400</xdr:rowOff>
    </xdr:from>
    <xdr:to>
      <xdr:col>11</xdr:col>
      <xdr:colOff>571500</xdr:colOff>
      <xdr:row>3091</xdr:row>
      <xdr:rowOff>0</xdr:rowOff>
    </xdr:to>
    <xdr:pic>
      <xdr:nvPicPr>
        <xdr:cNvPr id="14235" name="Рисунок 14234">
          <a:extLst>
            <a:ext uri="{FF2B5EF4-FFF2-40B4-BE49-F238E27FC236}">
              <a16:creationId xmlns:a16="http://schemas.microsoft.com/office/drawing/2014/main" id="{9F7B9C5E-E7AC-4D37-9977-95F0D33E6BC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5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762826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3091</xdr:row>
      <xdr:rowOff>25400</xdr:rowOff>
    </xdr:from>
    <xdr:to>
      <xdr:col>11</xdr:col>
      <xdr:colOff>571500</xdr:colOff>
      <xdr:row>3092</xdr:row>
      <xdr:rowOff>0</xdr:rowOff>
    </xdr:to>
    <xdr:pic>
      <xdr:nvPicPr>
        <xdr:cNvPr id="14237" name="Рисунок 14236">
          <a:extLst>
            <a:ext uri="{FF2B5EF4-FFF2-40B4-BE49-F238E27FC236}">
              <a16:creationId xmlns:a16="http://schemas.microsoft.com/office/drawing/2014/main" id="{445FD2DE-69F7-4C46-8237-ED1CA8EA6D1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763398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3092</xdr:row>
      <xdr:rowOff>25400</xdr:rowOff>
    </xdr:from>
    <xdr:to>
      <xdr:col>11</xdr:col>
      <xdr:colOff>571500</xdr:colOff>
      <xdr:row>3093</xdr:row>
      <xdr:rowOff>0</xdr:rowOff>
    </xdr:to>
    <xdr:pic>
      <xdr:nvPicPr>
        <xdr:cNvPr id="14239" name="Рисунок 14238">
          <a:extLst>
            <a:ext uri="{FF2B5EF4-FFF2-40B4-BE49-F238E27FC236}">
              <a16:creationId xmlns:a16="http://schemas.microsoft.com/office/drawing/2014/main" id="{5F1A99FD-1D3C-4193-81B9-51AF0FCFFF2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5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763969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3093</xdr:row>
      <xdr:rowOff>25400</xdr:rowOff>
    </xdr:from>
    <xdr:to>
      <xdr:col>11</xdr:col>
      <xdr:colOff>571500</xdr:colOff>
      <xdr:row>3094</xdr:row>
      <xdr:rowOff>0</xdr:rowOff>
    </xdr:to>
    <xdr:pic>
      <xdr:nvPicPr>
        <xdr:cNvPr id="14241" name="Рисунок 14240">
          <a:extLst>
            <a:ext uri="{FF2B5EF4-FFF2-40B4-BE49-F238E27FC236}">
              <a16:creationId xmlns:a16="http://schemas.microsoft.com/office/drawing/2014/main" id="{C623392E-B84D-4D47-A276-D2FB3B7CF09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5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764541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3094</xdr:row>
      <xdr:rowOff>25400</xdr:rowOff>
    </xdr:from>
    <xdr:to>
      <xdr:col>11</xdr:col>
      <xdr:colOff>571500</xdr:colOff>
      <xdr:row>3095</xdr:row>
      <xdr:rowOff>0</xdr:rowOff>
    </xdr:to>
    <xdr:pic>
      <xdr:nvPicPr>
        <xdr:cNvPr id="14243" name="Рисунок 14242">
          <a:extLst>
            <a:ext uri="{FF2B5EF4-FFF2-40B4-BE49-F238E27FC236}">
              <a16:creationId xmlns:a16="http://schemas.microsoft.com/office/drawing/2014/main" id="{F75AA5A5-57C5-4BD0-ADEC-F015F1C6914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5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765112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3095</xdr:row>
      <xdr:rowOff>25400</xdr:rowOff>
    </xdr:from>
    <xdr:to>
      <xdr:col>11</xdr:col>
      <xdr:colOff>571500</xdr:colOff>
      <xdr:row>3096</xdr:row>
      <xdr:rowOff>0</xdr:rowOff>
    </xdr:to>
    <xdr:pic>
      <xdr:nvPicPr>
        <xdr:cNvPr id="14245" name="Рисунок 14244">
          <a:extLst>
            <a:ext uri="{FF2B5EF4-FFF2-40B4-BE49-F238E27FC236}">
              <a16:creationId xmlns:a16="http://schemas.microsoft.com/office/drawing/2014/main" id="{7AFAE8C9-DAC8-480D-B5BE-2F5690E8CF0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5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765684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3096</xdr:row>
      <xdr:rowOff>25400</xdr:rowOff>
    </xdr:from>
    <xdr:to>
      <xdr:col>11</xdr:col>
      <xdr:colOff>571500</xdr:colOff>
      <xdr:row>3097</xdr:row>
      <xdr:rowOff>0</xdr:rowOff>
    </xdr:to>
    <xdr:pic>
      <xdr:nvPicPr>
        <xdr:cNvPr id="14247" name="Рисунок 14246">
          <a:extLst>
            <a:ext uri="{FF2B5EF4-FFF2-40B4-BE49-F238E27FC236}">
              <a16:creationId xmlns:a16="http://schemas.microsoft.com/office/drawing/2014/main" id="{A11332A6-357E-4981-8585-102D23EE6BB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5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766255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3097</xdr:row>
      <xdr:rowOff>25400</xdr:rowOff>
    </xdr:from>
    <xdr:to>
      <xdr:col>11</xdr:col>
      <xdr:colOff>571500</xdr:colOff>
      <xdr:row>3098</xdr:row>
      <xdr:rowOff>0</xdr:rowOff>
    </xdr:to>
    <xdr:pic>
      <xdr:nvPicPr>
        <xdr:cNvPr id="14249" name="Рисунок 14248">
          <a:extLst>
            <a:ext uri="{FF2B5EF4-FFF2-40B4-BE49-F238E27FC236}">
              <a16:creationId xmlns:a16="http://schemas.microsoft.com/office/drawing/2014/main" id="{74A32C46-8783-405C-AF4A-FA58F9A4F7D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5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766827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3098</xdr:row>
      <xdr:rowOff>25400</xdr:rowOff>
    </xdr:from>
    <xdr:to>
      <xdr:col>11</xdr:col>
      <xdr:colOff>571500</xdr:colOff>
      <xdr:row>3099</xdr:row>
      <xdr:rowOff>0</xdr:rowOff>
    </xdr:to>
    <xdr:pic>
      <xdr:nvPicPr>
        <xdr:cNvPr id="14251" name="Рисунок 14250">
          <a:extLst>
            <a:ext uri="{FF2B5EF4-FFF2-40B4-BE49-F238E27FC236}">
              <a16:creationId xmlns:a16="http://schemas.microsoft.com/office/drawing/2014/main" id="{6516DCE0-FF97-4865-875D-C6E1AD69547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5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767398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3099</xdr:row>
      <xdr:rowOff>25400</xdr:rowOff>
    </xdr:from>
    <xdr:to>
      <xdr:col>11</xdr:col>
      <xdr:colOff>571500</xdr:colOff>
      <xdr:row>3100</xdr:row>
      <xdr:rowOff>0</xdr:rowOff>
    </xdr:to>
    <xdr:pic>
      <xdr:nvPicPr>
        <xdr:cNvPr id="14253" name="Рисунок 14252">
          <a:extLst>
            <a:ext uri="{FF2B5EF4-FFF2-40B4-BE49-F238E27FC236}">
              <a16:creationId xmlns:a16="http://schemas.microsoft.com/office/drawing/2014/main" id="{984AE8A1-F951-4F5E-A2B2-940EC42B389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6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767970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3100</xdr:row>
      <xdr:rowOff>25400</xdr:rowOff>
    </xdr:from>
    <xdr:to>
      <xdr:col>11</xdr:col>
      <xdr:colOff>571500</xdr:colOff>
      <xdr:row>3101</xdr:row>
      <xdr:rowOff>0</xdr:rowOff>
    </xdr:to>
    <xdr:pic>
      <xdr:nvPicPr>
        <xdr:cNvPr id="14255" name="Рисунок 14254">
          <a:extLst>
            <a:ext uri="{FF2B5EF4-FFF2-40B4-BE49-F238E27FC236}">
              <a16:creationId xmlns:a16="http://schemas.microsoft.com/office/drawing/2014/main" id="{ED015371-6A67-4C68-AD46-D4C7D284A02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6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768541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3101</xdr:row>
      <xdr:rowOff>25400</xdr:rowOff>
    </xdr:from>
    <xdr:to>
      <xdr:col>11</xdr:col>
      <xdr:colOff>571500</xdr:colOff>
      <xdr:row>3102</xdr:row>
      <xdr:rowOff>0</xdr:rowOff>
    </xdr:to>
    <xdr:pic>
      <xdr:nvPicPr>
        <xdr:cNvPr id="14257" name="Рисунок 14256">
          <a:extLst>
            <a:ext uri="{FF2B5EF4-FFF2-40B4-BE49-F238E27FC236}">
              <a16:creationId xmlns:a16="http://schemas.microsoft.com/office/drawing/2014/main" id="{FC596412-3798-4358-BAFD-E8A5F4637D5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6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769113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3102</xdr:row>
      <xdr:rowOff>25400</xdr:rowOff>
    </xdr:from>
    <xdr:to>
      <xdr:col>11</xdr:col>
      <xdr:colOff>571500</xdr:colOff>
      <xdr:row>3103</xdr:row>
      <xdr:rowOff>0</xdr:rowOff>
    </xdr:to>
    <xdr:pic>
      <xdr:nvPicPr>
        <xdr:cNvPr id="14259" name="Рисунок 14258">
          <a:extLst>
            <a:ext uri="{FF2B5EF4-FFF2-40B4-BE49-F238E27FC236}">
              <a16:creationId xmlns:a16="http://schemas.microsoft.com/office/drawing/2014/main" id="{CFA101F1-4D0B-404A-AE99-AA27557C41D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6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769684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3103</xdr:row>
      <xdr:rowOff>25400</xdr:rowOff>
    </xdr:from>
    <xdr:to>
      <xdr:col>11</xdr:col>
      <xdr:colOff>571500</xdr:colOff>
      <xdr:row>3104</xdr:row>
      <xdr:rowOff>0</xdr:rowOff>
    </xdr:to>
    <xdr:pic>
      <xdr:nvPicPr>
        <xdr:cNvPr id="14261" name="Рисунок 14260">
          <a:extLst>
            <a:ext uri="{FF2B5EF4-FFF2-40B4-BE49-F238E27FC236}">
              <a16:creationId xmlns:a16="http://schemas.microsoft.com/office/drawing/2014/main" id="{863337D5-6EB6-4942-945A-D1B974AAC7F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6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770256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3104</xdr:row>
      <xdr:rowOff>25400</xdr:rowOff>
    </xdr:from>
    <xdr:to>
      <xdr:col>11</xdr:col>
      <xdr:colOff>571500</xdr:colOff>
      <xdr:row>3105</xdr:row>
      <xdr:rowOff>0</xdr:rowOff>
    </xdr:to>
    <xdr:pic>
      <xdr:nvPicPr>
        <xdr:cNvPr id="14263" name="Рисунок 14262">
          <a:extLst>
            <a:ext uri="{FF2B5EF4-FFF2-40B4-BE49-F238E27FC236}">
              <a16:creationId xmlns:a16="http://schemas.microsoft.com/office/drawing/2014/main" id="{E16A5F98-39D0-4FD6-AA1E-7B89D9857E9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6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770827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3105</xdr:row>
      <xdr:rowOff>25400</xdr:rowOff>
    </xdr:from>
    <xdr:to>
      <xdr:col>11</xdr:col>
      <xdr:colOff>571500</xdr:colOff>
      <xdr:row>3106</xdr:row>
      <xdr:rowOff>0</xdr:rowOff>
    </xdr:to>
    <xdr:pic>
      <xdr:nvPicPr>
        <xdr:cNvPr id="14265" name="Рисунок 14264">
          <a:extLst>
            <a:ext uri="{FF2B5EF4-FFF2-40B4-BE49-F238E27FC236}">
              <a16:creationId xmlns:a16="http://schemas.microsoft.com/office/drawing/2014/main" id="{2310DBED-1110-47EF-BD29-BCB22028E55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6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771399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3106</xdr:row>
      <xdr:rowOff>25400</xdr:rowOff>
    </xdr:from>
    <xdr:to>
      <xdr:col>11</xdr:col>
      <xdr:colOff>571500</xdr:colOff>
      <xdr:row>3107</xdr:row>
      <xdr:rowOff>0</xdr:rowOff>
    </xdr:to>
    <xdr:pic>
      <xdr:nvPicPr>
        <xdr:cNvPr id="14267" name="Рисунок 14266">
          <a:extLst>
            <a:ext uri="{FF2B5EF4-FFF2-40B4-BE49-F238E27FC236}">
              <a16:creationId xmlns:a16="http://schemas.microsoft.com/office/drawing/2014/main" id="{D6964C87-753F-43E5-B6FD-9C8F29C8D4F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6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771970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3107</xdr:row>
      <xdr:rowOff>25400</xdr:rowOff>
    </xdr:from>
    <xdr:to>
      <xdr:col>11</xdr:col>
      <xdr:colOff>571500</xdr:colOff>
      <xdr:row>3108</xdr:row>
      <xdr:rowOff>0</xdr:rowOff>
    </xdr:to>
    <xdr:pic>
      <xdr:nvPicPr>
        <xdr:cNvPr id="14269" name="Рисунок 14268">
          <a:extLst>
            <a:ext uri="{FF2B5EF4-FFF2-40B4-BE49-F238E27FC236}">
              <a16:creationId xmlns:a16="http://schemas.microsoft.com/office/drawing/2014/main" id="{6F83EB7F-D769-4F3E-8DDC-AE3355B7AEA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6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772542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3108</xdr:row>
      <xdr:rowOff>25400</xdr:rowOff>
    </xdr:from>
    <xdr:to>
      <xdr:col>11</xdr:col>
      <xdr:colOff>571500</xdr:colOff>
      <xdr:row>3109</xdr:row>
      <xdr:rowOff>0</xdr:rowOff>
    </xdr:to>
    <xdr:pic>
      <xdr:nvPicPr>
        <xdr:cNvPr id="14271" name="Рисунок 14270">
          <a:extLst>
            <a:ext uri="{FF2B5EF4-FFF2-40B4-BE49-F238E27FC236}">
              <a16:creationId xmlns:a16="http://schemas.microsoft.com/office/drawing/2014/main" id="{5ABA59A6-DE96-499D-A704-F66A832B65C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6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773113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3109</xdr:row>
      <xdr:rowOff>25400</xdr:rowOff>
    </xdr:from>
    <xdr:to>
      <xdr:col>11</xdr:col>
      <xdr:colOff>571500</xdr:colOff>
      <xdr:row>3110</xdr:row>
      <xdr:rowOff>0</xdr:rowOff>
    </xdr:to>
    <xdr:pic>
      <xdr:nvPicPr>
        <xdr:cNvPr id="14273" name="Рисунок 14272">
          <a:extLst>
            <a:ext uri="{FF2B5EF4-FFF2-40B4-BE49-F238E27FC236}">
              <a16:creationId xmlns:a16="http://schemas.microsoft.com/office/drawing/2014/main" id="{740E8227-1EC0-4E9F-A816-1AE19680ADA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7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773685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3110</xdr:row>
      <xdr:rowOff>25400</xdr:rowOff>
    </xdr:from>
    <xdr:to>
      <xdr:col>11</xdr:col>
      <xdr:colOff>571500</xdr:colOff>
      <xdr:row>3111</xdr:row>
      <xdr:rowOff>0</xdr:rowOff>
    </xdr:to>
    <xdr:pic>
      <xdr:nvPicPr>
        <xdr:cNvPr id="14275" name="Рисунок 14274">
          <a:extLst>
            <a:ext uri="{FF2B5EF4-FFF2-40B4-BE49-F238E27FC236}">
              <a16:creationId xmlns:a16="http://schemas.microsoft.com/office/drawing/2014/main" id="{BD5D56A4-B1DF-4CF9-987E-6E14849AE33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7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774256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3111</xdr:row>
      <xdr:rowOff>25400</xdr:rowOff>
    </xdr:from>
    <xdr:to>
      <xdr:col>11</xdr:col>
      <xdr:colOff>571500</xdr:colOff>
      <xdr:row>3112</xdr:row>
      <xdr:rowOff>0</xdr:rowOff>
    </xdr:to>
    <xdr:pic>
      <xdr:nvPicPr>
        <xdr:cNvPr id="14277" name="Рисунок 14276">
          <a:extLst>
            <a:ext uri="{FF2B5EF4-FFF2-40B4-BE49-F238E27FC236}">
              <a16:creationId xmlns:a16="http://schemas.microsoft.com/office/drawing/2014/main" id="{8CA583FD-18C8-4A86-A3B4-89B069B109A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7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774828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3112</xdr:row>
      <xdr:rowOff>25400</xdr:rowOff>
    </xdr:from>
    <xdr:to>
      <xdr:col>11</xdr:col>
      <xdr:colOff>571500</xdr:colOff>
      <xdr:row>3113</xdr:row>
      <xdr:rowOff>0</xdr:rowOff>
    </xdr:to>
    <xdr:pic>
      <xdr:nvPicPr>
        <xdr:cNvPr id="14279" name="Рисунок 14278">
          <a:extLst>
            <a:ext uri="{FF2B5EF4-FFF2-40B4-BE49-F238E27FC236}">
              <a16:creationId xmlns:a16="http://schemas.microsoft.com/office/drawing/2014/main" id="{0504E41E-BBEE-43F9-9AF8-BBC105F788D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7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775399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3113</xdr:row>
      <xdr:rowOff>25400</xdr:rowOff>
    </xdr:from>
    <xdr:to>
      <xdr:col>11</xdr:col>
      <xdr:colOff>571500</xdr:colOff>
      <xdr:row>3114</xdr:row>
      <xdr:rowOff>0</xdr:rowOff>
    </xdr:to>
    <xdr:pic>
      <xdr:nvPicPr>
        <xdr:cNvPr id="14281" name="Рисунок 14280">
          <a:extLst>
            <a:ext uri="{FF2B5EF4-FFF2-40B4-BE49-F238E27FC236}">
              <a16:creationId xmlns:a16="http://schemas.microsoft.com/office/drawing/2014/main" id="{6A076191-FD3D-4DAA-8B25-0CA942F61E1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7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775971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3114</xdr:row>
      <xdr:rowOff>25400</xdr:rowOff>
    </xdr:from>
    <xdr:to>
      <xdr:col>11</xdr:col>
      <xdr:colOff>571500</xdr:colOff>
      <xdr:row>3115</xdr:row>
      <xdr:rowOff>0</xdr:rowOff>
    </xdr:to>
    <xdr:pic>
      <xdr:nvPicPr>
        <xdr:cNvPr id="14283" name="Рисунок 14282">
          <a:extLst>
            <a:ext uri="{FF2B5EF4-FFF2-40B4-BE49-F238E27FC236}">
              <a16:creationId xmlns:a16="http://schemas.microsoft.com/office/drawing/2014/main" id="{5BA8715F-31C1-4E06-88B8-409EB3647C7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7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776542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3115</xdr:row>
      <xdr:rowOff>25400</xdr:rowOff>
    </xdr:from>
    <xdr:to>
      <xdr:col>11</xdr:col>
      <xdr:colOff>571500</xdr:colOff>
      <xdr:row>3116</xdr:row>
      <xdr:rowOff>0</xdr:rowOff>
    </xdr:to>
    <xdr:pic>
      <xdr:nvPicPr>
        <xdr:cNvPr id="14285" name="Рисунок 14284">
          <a:extLst>
            <a:ext uri="{FF2B5EF4-FFF2-40B4-BE49-F238E27FC236}">
              <a16:creationId xmlns:a16="http://schemas.microsoft.com/office/drawing/2014/main" id="{5633C30E-82B1-4358-9B34-FF0C6C57DA2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7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777114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3116</xdr:row>
      <xdr:rowOff>25400</xdr:rowOff>
    </xdr:from>
    <xdr:to>
      <xdr:col>11</xdr:col>
      <xdr:colOff>571500</xdr:colOff>
      <xdr:row>3117</xdr:row>
      <xdr:rowOff>0</xdr:rowOff>
    </xdr:to>
    <xdr:pic>
      <xdr:nvPicPr>
        <xdr:cNvPr id="14287" name="Рисунок 14286">
          <a:extLst>
            <a:ext uri="{FF2B5EF4-FFF2-40B4-BE49-F238E27FC236}">
              <a16:creationId xmlns:a16="http://schemas.microsoft.com/office/drawing/2014/main" id="{585A3C65-D851-4313-A658-36C121B3B64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7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777685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3117</xdr:row>
      <xdr:rowOff>25400</xdr:rowOff>
    </xdr:from>
    <xdr:to>
      <xdr:col>11</xdr:col>
      <xdr:colOff>571500</xdr:colOff>
      <xdr:row>3118</xdr:row>
      <xdr:rowOff>0</xdr:rowOff>
    </xdr:to>
    <xdr:pic>
      <xdr:nvPicPr>
        <xdr:cNvPr id="14289" name="Рисунок 14288">
          <a:extLst>
            <a:ext uri="{FF2B5EF4-FFF2-40B4-BE49-F238E27FC236}">
              <a16:creationId xmlns:a16="http://schemas.microsoft.com/office/drawing/2014/main" id="{5D034BB4-A01E-4C40-B6F5-DC4CAFEEF4F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7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778257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3118</xdr:row>
      <xdr:rowOff>25400</xdr:rowOff>
    </xdr:from>
    <xdr:to>
      <xdr:col>11</xdr:col>
      <xdr:colOff>571500</xdr:colOff>
      <xdr:row>3119</xdr:row>
      <xdr:rowOff>0</xdr:rowOff>
    </xdr:to>
    <xdr:pic>
      <xdr:nvPicPr>
        <xdr:cNvPr id="14291" name="Рисунок 14290">
          <a:extLst>
            <a:ext uri="{FF2B5EF4-FFF2-40B4-BE49-F238E27FC236}">
              <a16:creationId xmlns:a16="http://schemas.microsoft.com/office/drawing/2014/main" id="{8F2A5E11-9BF7-4BFD-974A-B43DFD120FC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7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778828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3119</xdr:row>
      <xdr:rowOff>25400</xdr:rowOff>
    </xdr:from>
    <xdr:to>
      <xdr:col>11</xdr:col>
      <xdr:colOff>571500</xdr:colOff>
      <xdr:row>3120</xdr:row>
      <xdr:rowOff>0</xdr:rowOff>
    </xdr:to>
    <xdr:pic>
      <xdr:nvPicPr>
        <xdr:cNvPr id="14293" name="Рисунок 14292">
          <a:extLst>
            <a:ext uri="{FF2B5EF4-FFF2-40B4-BE49-F238E27FC236}">
              <a16:creationId xmlns:a16="http://schemas.microsoft.com/office/drawing/2014/main" id="{BDAD1DDF-91C3-4D32-A430-0535A56A212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8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779400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3120</xdr:row>
      <xdr:rowOff>25400</xdr:rowOff>
    </xdr:from>
    <xdr:to>
      <xdr:col>11</xdr:col>
      <xdr:colOff>571500</xdr:colOff>
      <xdr:row>3121</xdr:row>
      <xdr:rowOff>0</xdr:rowOff>
    </xdr:to>
    <xdr:pic>
      <xdr:nvPicPr>
        <xdr:cNvPr id="14295" name="Рисунок 14294">
          <a:extLst>
            <a:ext uri="{FF2B5EF4-FFF2-40B4-BE49-F238E27FC236}">
              <a16:creationId xmlns:a16="http://schemas.microsoft.com/office/drawing/2014/main" id="{4A78244B-EFB2-4AE8-AAB0-F16B395BCA3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8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779971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3121</xdr:row>
      <xdr:rowOff>25400</xdr:rowOff>
    </xdr:from>
    <xdr:to>
      <xdr:col>11</xdr:col>
      <xdr:colOff>571500</xdr:colOff>
      <xdr:row>3122</xdr:row>
      <xdr:rowOff>0</xdr:rowOff>
    </xdr:to>
    <xdr:pic>
      <xdr:nvPicPr>
        <xdr:cNvPr id="14297" name="Рисунок 14296">
          <a:extLst>
            <a:ext uri="{FF2B5EF4-FFF2-40B4-BE49-F238E27FC236}">
              <a16:creationId xmlns:a16="http://schemas.microsoft.com/office/drawing/2014/main" id="{5C646BC0-0EE3-4B81-A61E-D2BAA7F4034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8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780543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3122</xdr:row>
      <xdr:rowOff>25400</xdr:rowOff>
    </xdr:from>
    <xdr:to>
      <xdr:col>11</xdr:col>
      <xdr:colOff>571500</xdr:colOff>
      <xdr:row>3123</xdr:row>
      <xdr:rowOff>0</xdr:rowOff>
    </xdr:to>
    <xdr:pic>
      <xdr:nvPicPr>
        <xdr:cNvPr id="14299" name="Рисунок 14298">
          <a:extLst>
            <a:ext uri="{FF2B5EF4-FFF2-40B4-BE49-F238E27FC236}">
              <a16:creationId xmlns:a16="http://schemas.microsoft.com/office/drawing/2014/main" id="{A429C43E-C0B4-44F2-ACE8-B4E44C923FD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8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781114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3123</xdr:row>
      <xdr:rowOff>25400</xdr:rowOff>
    </xdr:from>
    <xdr:to>
      <xdr:col>11</xdr:col>
      <xdr:colOff>571500</xdr:colOff>
      <xdr:row>3124</xdr:row>
      <xdr:rowOff>0</xdr:rowOff>
    </xdr:to>
    <xdr:pic>
      <xdr:nvPicPr>
        <xdr:cNvPr id="14301" name="Рисунок 14300">
          <a:extLst>
            <a:ext uri="{FF2B5EF4-FFF2-40B4-BE49-F238E27FC236}">
              <a16:creationId xmlns:a16="http://schemas.microsoft.com/office/drawing/2014/main" id="{5F9FB8DB-7F47-4C71-A3F4-33CD47EEAFB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8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781686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3124</xdr:row>
      <xdr:rowOff>25400</xdr:rowOff>
    </xdr:from>
    <xdr:to>
      <xdr:col>11</xdr:col>
      <xdr:colOff>571500</xdr:colOff>
      <xdr:row>3125</xdr:row>
      <xdr:rowOff>0</xdr:rowOff>
    </xdr:to>
    <xdr:pic>
      <xdr:nvPicPr>
        <xdr:cNvPr id="14303" name="Рисунок 14302">
          <a:extLst>
            <a:ext uri="{FF2B5EF4-FFF2-40B4-BE49-F238E27FC236}">
              <a16:creationId xmlns:a16="http://schemas.microsoft.com/office/drawing/2014/main" id="{31D35C3E-594F-4407-99A5-7FB9959F4E0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8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782257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3125</xdr:row>
      <xdr:rowOff>25400</xdr:rowOff>
    </xdr:from>
    <xdr:to>
      <xdr:col>11</xdr:col>
      <xdr:colOff>571500</xdr:colOff>
      <xdr:row>3126</xdr:row>
      <xdr:rowOff>0</xdr:rowOff>
    </xdr:to>
    <xdr:pic>
      <xdr:nvPicPr>
        <xdr:cNvPr id="14305" name="Рисунок 14304">
          <a:extLst>
            <a:ext uri="{FF2B5EF4-FFF2-40B4-BE49-F238E27FC236}">
              <a16:creationId xmlns:a16="http://schemas.microsoft.com/office/drawing/2014/main" id="{A584ACBF-32E8-4D8E-AACF-4E6219D4D09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8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782829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3126</xdr:row>
      <xdr:rowOff>25400</xdr:rowOff>
    </xdr:from>
    <xdr:to>
      <xdr:col>11</xdr:col>
      <xdr:colOff>571500</xdr:colOff>
      <xdr:row>3127</xdr:row>
      <xdr:rowOff>0</xdr:rowOff>
    </xdr:to>
    <xdr:pic>
      <xdr:nvPicPr>
        <xdr:cNvPr id="14307" name="Рисунок 14306">
          <a:extLst>
            <a:ext uri="{FF2B5EF4-FFF2-40B4-BE49-F238E27FC236}">
              <a16:creationId xmlns:a16="http://schemas.microsoft.com/office/drawing/2014/main" id="{051D7E9C-6869-4758-A94C-9D41E2FB1C5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8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783400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3127</xdr:row>
      <xdr:rowOff>25400</xdr:rowOff>
    </xdr:from>
    <xdr:to>
      <xdr:col>11</xdr:col>
      <xdr:colOff>571500</xdr:colOff>
      <xdr:row>3128</xdr:row>
      <xdr:rowOff>0</xdr:rowOff>
    </xdr:to>
    <xdr:pic>
      <xdr:nvPicPr>
        <xdr:cNvPr id="14309" name="Рисунок 14308">
          <a:extLst>
            <a:ext uri="{FF2B5EF4-FFF2-40B4-BE49-F238E27FC236}">
              <a16:creationId xmlns:a16="http://schemas.microsoft.com/office/drawing/2014/main" id="{DA354BB6-3E36-454B-9F26-3078743FC9F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8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783972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3128</xdr:row>
      <xdr:rowOff>25400</xdr:rowOff>
    </xdr:from>
    <xdr:to>
      <xdr:col>11</xdr:col>
      <xdr:colOff>571500</xdr:colOff>
      <xdr:row>3129</xdr:row>
      <xdr:rowOff>0</xdr:rowOff>
    </xdr:to>
    <xdr:pic>
      <xdr:nvPicPr>
        <xdr:cNvPr id="14311" name="Рисунок 14310">
          <a:extLst>
            <a:ext uri="{FF2B5EF4-FFF2-40B4-BE49-F238E27FC236}">
              <a16:creationId xmlns:a16="http://schemas.microsoft.com/office/drawing/2014/main" id="{DD9E571D-C1D7-4D39-9420-1BFDA84C6C1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8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784543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3129</xdr:row>
      <xdr:rowOff>25400</xdr:rowOff>
    </xdr:from>
    <xdr:to>
      <xdr:col>11</xdr:col>
      <xdr:colOff>571500</xdr:colOff>
      <xdr:row>3130</xdr:row>
      <xdr:rowOff>0</xdr:rowOff>
    </xdr:to>
    <xdr:pic>
      <xdr:nvPicPr>
        <xdr:cNvPr id="14313" name="Рисунок 14312">
          <a:extLst>
            <a:ext uri="{FF2B5EF4-FFF2-40B4-BE49-F238E27FC236}">
              <a16:creationId xmlns:a16="http://schemas.microsoft.com/office/drawing/2014/main" id="{45A11A11-A40A-4D45-BB3E-EE5A14AACC3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9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785115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3130</xdr:row>
      <xdr:rowOff>25400</xdr:rowOff>
    </xdr:from>
    <xdr:to>
      <xdr:col>11</xdr:col>
      <xdr:colOff>571500</xdr:colOff>
      <xdr:row>3131</xdr:row>
      <xdr:rowOff>0</xdr:rowOff>
    </xdr:to>
    <xdr:pic>
      <xdr:nvPicPr>
        <xdr:cNvPr id="14315" name="Рисунок 14314">
          <a:extLst>
            <a:ext uri="{FF2B5EF4-FFF2-40B4-BE49-F238E27FC236}">
              <a16:creationId xmlns:a16="http://schemas.microsoft.com/office/drawing/2014/main" id="{6529750B-D1E3-41E6-879C-84C18548567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9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785686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3131</xdr:row>
      <xdr:rowOff>25400</xdr:rowOff>
    </xdr:from>
    <xdr:to>
      <xdr:col>11</xdr:col>
      <xdr:colOff>571500</xdr:colOff>
      <xdr:row>3132</xdr:row>
      <xdr:rowOff>0</xdr:rowOff>
    </xdr:to>
    <xdr:pic>
      <xdr:nvPicPr>
        <xdr:cNvPr id="14317" name="Рисунок 14316">
          <a:extLst>
            <a:ext uri="{FF2B5EF4-FFF2-40B4-BE49-F238E27FC236}">
              <a16:creationId xmlns:a16="http://schemas.microsoft.com/office/drawing/2014/main" id="{CED7EFBF-FCF0-40BD-BF48-FEAE02CCC56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9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786258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3132</xdr:row>
      <xdr:rowOff>25400</xdr:rowOff>
    </xdr:from>
    <xdr:to>
      <xdr:col>11</xdr:col>
      <xdr:colOff>571500</xdr:colOff>
      <xdr:row>3133</xdr:row>
      <xdr:rowOff>0</xdr:rowOff>
    </xdr:to>
    <xdr:pic>
      <xdr:nvPicPr>
        <xdr:cNvPr id="14319" name="Рисунок 14318">
          <a:extLst>
            <a:ext uri="{FF2B5EF4-FFF2-40B4-BE49-F238E27FC236}">
              <a16:creationId xmlns:a16="http://schemas.microsoft.com/office/drawing/2014/main" id="{52467CD7-64F8-48E7-9F3B-3F3C681B167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9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786829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3133</xdr:row>
      <xdr:rowOff>25400</xdr:rowOff>
    </xdr:from>
    <xdr:to>
      <xdr:col>11</xdr:col>
      <xdr:colOff>571500</xdr:colOff>
      <xdr:row>3134</xdr:row>
      <xdr:rowOff>0</xdr:rowOff>
    </xdr:to>
    <xdr:pic>
      <xdr:nvPicPr>
        <xdr:cNvPr id="14321" name="Рисунок 14320">
          <a:extLst>
            <a:ext uri="{FF2B5EF4-FFF2-40B4-BE49-F238E27FC236}">
              <a16:creationId xmlns:a16="http://schemas.microsoft.com/office/drawing/2014/main" id="{ABD57153-EABD-4578-8BD7-504A7E2B646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9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787401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3134</xdr:row>
      <xdr:rowOff>25400</xdr:rowOff>
    </xdr:from>
    <xdr:to>
      <xdr:col>11</xdr:col>
      <xdr:colOff>571500</xdr:colOff>
      <xdr:row>3135</xdr:row>
      <xdr:rowOff>0</xdr:rowOff>
    </xdr:to>
    <xdr:pic>
      <xdr:nvPicPr>
        <xdr:cNvPr id="14323" name="Рисунок 14322">
          <a:extLst>
            <a:ext uri="{FF2B5EF4-FFF2-40B4-BE49-F238E27FC236}">
              <a16:creationId xmlns:a16="http://schemas.microsoft.com/office/drawing/2014/main" id="{887AE732-2B77-4C21-B34E-46DB445F470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9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787972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3135</xdr:row>
      <xdr:rowOff>25400</xdr:rowOff>
    </xdr:from>
    <xdr:to>
      <xdr:col>11</xdr:col>
      <xdr:colOff>571500</xdr:colOff>
      <xdr:row>3136</xdr:row>
      <xdr:rowOff>0</xdr:rowOff>
    </xdr:to>
    <xdr:pic>
      <xdr:nvPicPr>
        <xdr:cNvPr id="14325" name="Рисунок 14324">
          <a:extLst>
            <a:ext uri="{FF2B5EF4-FFF2-40B4-BE49-F238E27FC236}">
              <a16:creationId xmlns:a16="http://schemas.microsoft.com/office/drawing/2014/main" id="{E8D34CF3-778E-4826-96C5-07A8030FDDF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9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788544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3136</xdr:row>
      <xdr:rowOff>25400</xdr:rowOff>
    </xdr:from>
    <xdr:to>
      <xdr:col>11</xdr:col>
      <xdr:colOff>571500</xdr:colOff>
      <xdr:row>3137</xdr:row>
      <xdr:rowOff>0</xdr:rowOff>
    </xdr:to>
    <xdr:pic>
      <xdr:nvPicPr>
        <xdr:cNvPr id="14327" name="Рисунок 14326">
          <a:extLst>
            <a:ext uri="{FF2B5EF4-FFF2-40B4-BE49-F238E27FC236}">
              <a16:creationId xmlns:a16="http://schemas.microsoft.com/office/drawing/2014/main" id="{40906078-EDC1-41F9-ACF8-9831B8208E0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9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789115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3137</xdr:row>
      <xdr:rowOff>25400</xdr:rowOff>
    </xdr:from>
    <xdr:to>
      <xdr:col>11</xdr:col>
      <xdr:colOff>571500</xdr:colOff>
      <xdr:row>3138</xdr:row>
      <xdr:rowOff>0</xdr:rowOff>
    </xdr:to>
    <xdr:pic>
      <xdr:nvPicPr>
        <xdr:cNvPr id="14329" name="Рисунок 14328">
          <a:extLst>
            <a:ext uri="{FF2B5EF4-FFF2-40B4-BE49-F238E27FC236}">
              <a16:creationId xmlns:a16="http://schemas.microsoft.com/office/drawing/2014/main" id="{CF432566-7E7D-4B11-B873-61CF205419A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9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789687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3138</xdr:row>
      <xdr:rowOff>25400</xdr:rowOff>
    </xdr:from>
    <xdr:to>
      <xdr:col>11</xdr:col>
      <xdr:colOff>571500</xdr:colOff>
      <xdr:row>3139</xdr:row>
      <xdr:rowOff>0</xdr:rowOff>
    </xdr:to>
    <xdr:pic>
      <xdr:nvPicPr>
        <xdr:cNvPr id="14331" name="Рисунок 14330">
          <a:extLst>
            <a:ext uri="{FF2B5EF4-FFF2-40B4-BE49-F238E27FC236}">
              <a16:creationId xmlns:a16="http://schemas.microsoft.com/office/drawing/2014/main" id="{33DBFC67-ED9E-44D5-B890-42C62483274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09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790258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3139</xdr:row>
      <xdr:rowOff>25400</xdr:rowOff>
    </xdr:from>
    <xdr:to>
      <xdr:col>11</xdr:col>
      <xdr:colOff>571500</xdr:colOff>
      <xdr:row>3140</xdr:row>
      <xdr:rowOff>0</xdr:rowOff>
    </xdr:to>
    <xdr:pic>
      <xdr:nvPicPr>
        <xdr:cNvPr id="14333" name="Рисунок 14332">
          <a:extLst>
            <a:ext uri="{FF2B5EF4-FFF2-40B4-BE49-F238E27FC236}">
              <a16:creationId xmlns:a16="http://schemas.microsoft.com/office/drawing/2014/main" id="{F7DAB21C-EBD9-4F9D-81CA-F61DE6F2CE5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0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790830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3140</xdr:row>
      <xdr:rowOff>25400</xdr:rowOff>
    </xdr:from>
    <xdr:to>
      <xdr:col>11</xdr:col>
      <xdr:colOff>571500</xdr:colOff>
      <xdr:row>3141</xdr:row>
      <xdr:rowOff>0</xdr:rowOff>
    </xdr:to>
    <xdr:pic>
      <xdr:nvPicPr>
        <xdr:cNvPr id="14335" name="Рисунок 14334">
          <a:extLst>
            <a:ext uri="{FF2B5EF4-FFF2-40B4-BE49-F238E27FC236}">
              <a16:creationId xmlns:a16="http://schemas.microsoft.com/office/drawing/2014/main" id="{F82D3821-C99A-4CAC-AEB3-12A083CDB4F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0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791401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3141</xdr:row>
      <xdr:rowOff>25400</xdr:rowOff>
    </xdr:from>
    <xdr:to>
      <xdr:col>11</xdr:col>
      <xdr:colOff>571500</xdr:colOff>
      <xdr:row>3142</xdr:row>
      <xdr:rowOff>0</xdr:rowOff>
    </xdr:to>
    <xdr:pic>
      <xdr:nvPicPr>
        <xdr:cNvPr id="14337" name="Рисунок 14336">
          <a:extLst>
            <a:ext uri="{FF2B5EF4-FFF2-40B4-BE49-F238E27FC236}">
              <a16:creationId xmlns:a16="http://schemas.microsoft.com/office/drawing/2014/main" id="{A87AF76F-E233-4F8B-ADDD-76AF708E0BE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0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791973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3142</xdr:row>
      <xdr:rowOff>25400</xdr:rowOff>
    </xdr:from>
    <xdr:to>
      <xdr:col>11</xdr:col>
      <xdr:colOff>571500</xdr:colOff>
      <xdr:row>3143</xdr:row>
      <xdr:rowOff>0</xdr:rowOff>
    </xdr:to>
    <xdr:pic>
      <xdr:nvPicPr>
        <xdr:cNvPr id="14339" name="Рисунок 14338">
          <a:extLst>
            <a:ext uri="{FF2B5EF4-FFF2-40B4-BE49-F238E27FC236}">
              <a16:creationId xmlns:a16="http://schemas.microsoft.com/office/drawing/2014/main" id="{4C574E40-FC1F-4A13-A889-31360BD46B3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0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792544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3143</xdr:row>
      <xdr:rowOff>25400</xdr:rowOff>
    </xdr:from>
    <xdr:to>
      <xdr:col>11</xdr:col>
      <xdr:colOff>571500</xdr:colOff>
      <xdr:row>3144</xdr:row>
      <xdr:rowOff>0</xdr:rowOff>
    </xdr:to>
    <xdr:pic>
      <xdr:nvPicPr>
        <xdr:cNvPr id="14341" name="Рисунок 14340">
          <a:extLst>
            <a:ext uri="{FF2B5EF4-FFF2-40B4-BE49-F238E27FC236}">
              <a16:creationId xmlns:a16="http://schemas.microsoft.com/office/drawing/2014/main" id="{4EE49B3F-A5FF-42A6-8655-51BE95758B0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0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793116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3144</xdr:row>
      <xdr:rowOff>25400</xdr:rowOff>
    </xdr:from>
    <xdr:to>
      <xdr:col>11</xdr:col>
      <xdr:colOff>571500</xdr:colOff>
      <xdr:row>3145</xdr:row>
      <xdr:rowOff>0</xdr:rowOff>
    </xdr:to>
    <xdr:pic>
      <xdr:nvPicPr>
        <xdr:cNvPr id="14343" name="Рисунок 14342">
          <a:extLst>
            <a:ext uri="{FF2B5EF4-FFF2-40B4-BE49-F238E27FC236}">
              <a16:creationId xmlns:a16="http://schemas.microsoft.com/office/drawing/2014/main" id="{5C1C1E2F-D241-4E79-902C-9559C46F0E4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0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793687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3145</xdr:row>
      <xdr:rowOff>25400</xdr:rowOff>
    </xdr:from>
    <xdr:to>
      <xdr:col>11</xdr:col>
      <xdr:colOff>571500</xdr:colOff>
      <xdr:row>3146</xdr:row>
      <xdr:rowOff>0</xdr:rowOff>
    </xdr:to>
    <xdr:pic>
      <xdr:nvPicPr>
        <xdr:cNvPr id="14345" name="Рисунок 14344">
          <a:extLst>
            <a:ext uri="{FF2B5EF4-FFF2-40B4-BE49-F238E27FC236}">
              <a16:creationId xmlns:a16="http://schemas.microsoft.com/office/drawing/2014/main" id="{F3BCA10D-B3CD-430D-B991-995DA6D061F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0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794259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3146</xdr:row>
      <xdr:rowOff>25400</xdr:rowOff>
    </xdr:from>
    <xdr:to>
      <xdr:col>11</xdr:col>
      <xdr:colOff>571500</xdr:colOff>
      <xdr:row>3147</xdr:row>
      <xdr:rowOff>0</xdr:rowOff>
    </xdr:to>
    <xdr:pic>
      <xdr:nvPicPr>
        <xdr:cNvPr id="14347" name="Рисунок 14346">
          <a:extLst>
            <a:ext uri="{FF2B5EF4-FFF2-40B4-BE49-F238E27FC236}">
              <a16:creationId xmlns:a16="http://schemas.microsoft.com/office/drawing/2014/main" id="{F5AB4115-7E00-4AE7-8236-43FA1ED66A4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0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794830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3147</xdr:row>
      <xdr:rowOff>25400</xdr:rowOff>
    </xdr:from>
    <xdr:to>
      <xdr:col>11</xdr:col>
      <xdr:colOff>571500</xdr:colOff>
      <xdr:row>3148</xdr:row>
      <xdr:rowOff>0</xdr:rowOff>
    </xdr:to>
    <xdr:pic>
      <xdr:nvPicPr>
        <xdr:cNvPr id="14349" name="Рисунок 14348">
          <a:extLst>
            <a:ext uri="{FF2B5EF4-FFF2-40B4-BE49-F238E27FC236}">
              <a16:creationId xmlns:a16="http://schemas.microsoft.com/office/drawing/2014/main" id="{434F06B3-9891-4E40-96DB-D75D7A6B75F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0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795402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3148</xdr:row>
      <xdr:rowOff>25400</xdr:rowOff>
    </xdr:from>
    <xdr:to>
      <xdr:col>11</xdr:col>
      <xdr:colOff>571500</xdr:colOff>
      <xdr:row>3149</xdr:row>
      <xdr:rowOff>0</xdr:rowOff>
    </xdr:to>
    <xdr:pic>
      <xdr:nvPicPr>
        <xdr:cNvPr id="14351" name="Рисунок 14350">
          <a:extLst>
            <a:ext uri="{FF2B5EF4-FFF2-40B4-BE49-F238E27FC236}">
              <a16:creationId xmlns:a16="http://schemas.microsoft.com/office/drawing/2014/main" id="{6DF5757D-E55E-426F-9378-43878838931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0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795973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3149</xdr:row>
      <xdr:rowOff>25400</xdr:rowOff>
    </xdr:from>
    <xdr:to>
      <xdr:col>11</xdr:col>
      <xdr:colOff>571500</xdr:colOff>
      <xdr:row>3150</xdr:row>
      <xdr:rowOff>0</xdr:rowOff>
    </xdr:to>
    <xdr:pic>
      <xdr:nvPicPr>
        <xdr:cNvPr id="14353" name="Рисунок 14352">
          <a:extLst>
            <a:ext uri="{FF2B5EF4-FFF2-40B4-BE49-F238E27FC236}">
              <a16:creationId xmlns:a16="http://schemas.microsoft.com/office/drawing/2014/main" id="{0F211D8E-2F6A-4715-A420-9480CA47025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796545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3150</xdr:row>
      <xdr:rowOff>25400</xdr:rowOff>
    </xdr:from>
    <xdr:to>
      <xdr:col>11</xdr:col>
      <xdr:colOff>571500</xdr:colOff>
      <xdr:row>3151</xdr:row>
      <xdr:rowOff>0</xdr:rowOff>
    </xdr:to>
    <xdr:pic>
      <xdr:nvPicPr>
        <xdr:cNvPr id="14355" name="Рисунок 14354">
          <a:extLst>
            <a:ext uri="{FF2B5EF4-FFF2-40B4-BE49-F238E27FC236}">
              <a16:creationId xmlns:a16="http://schemas.microsoft.com/office/drawing/2014/main" id="{28F450CB-E84B-47C5-B9EA-14506AEBD4D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797116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3151</xdr:row>
      <xdr:rowOff>25400</xdr:rowOff>
    </xdr:from>
    <xdr:to>
      <xdr:col>11</xdr:col>
      <xdr:colOff>571500</xdr:colOff>
      <xdr:row>3152</xdr:row>
      <xdr:rowOff>0</xdr:rowOff>
    </xdr:to>
    <xdr:pic>
      <xdr:nvPicPr>
        <xdr:cNvPr id="14357" name="Рисунок 14356">
          <a:extLst>
            <a:ext uri="{FF2B5EF4-FFF2-40B4-BE49-F238E27FC236}">
              <a16:creationId xmlns:a16="http://schemas.microsoft.com/office/drawing/2014/main" id="{2EC083D1-D907-4C6D-9AF2-13AAB1BDD1A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797688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3152</xdr:row>
      <xdr:rowOff>25400</xdr:rowOff>
    </xdr:from>
    <xdr:to>
      <xdr:col>11</xdr:col>
      <xdr:colOff>571500</xdr:colOff>
      <xdr:row>3153</xdr:row>
      <xdr:rowOff>0</xdr:rowOff>
    </xdr:to>
    <xdr:pic>
      <xdr:nvPicPr>
        <xdr:cNvPr id="14359" name="Рисунок 14358">
          <a:extLst>
            <a:ext uri="{FF2B5EF4-FFF2-40B4-BE49-F238E27FC236}">
              <a16:creationId xmlns:a16="http://schemas.microsoft.com/office/drawing/2014/main" id="{F020621A-98A8-4F54-A225-066B4E15F30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798259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3153</xdr:row>
      <xdr:rowOff>25400</xdr:rowOff>
    </xdr:from>
    <xdr:to>
      <xdr:col>11</xdr:col>
      <xdr:colOff>571500</xdr:colOff>
      <xdr:row>3154</xdr:row>
      <xdr:rowOff>0</xdr:rowOff>
    </xdr:to>
    <xdr:pic>
      <xdr:nvPicPr>
        <xdr:cNvPr id="14361" name="Рисунок 14360">
          <a:extLst>
            <a:ext uri="{FF2B5EF4-FFF2-40B4-BE49-F238E27FC236}">
              <a16:creationId xmlns:a16="http://schemas.microsoft.com/office/drawing/2014/main" id="{01EBF02B-B6C7-4D18-8B69-FC11A4109C7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798831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3154</xdr:row>
      <xdr:rowOff>25400</xdr:rowOff>
    </xdr:from>
    <xdr:to>
      <xdr:col>11</xdr:col>
      <xdr:colOff>571500</xdr:colOff>
      <xdr:row>3155</xdr:row>
      <xdr:rowOff>0</xdr:rowOff>
    </xdr:to>
    <xdr:pic>
      <xdr:nvPicPr>
        <xdr:cNvPr id="14363" name="Рисунок 14362">
          <a:extLst>
            <a:ext uri="{FF2B5EF4-FFF2-40B4-BE49-F238E27FC236}">
              <a16:creationId xmlns:a16="http://schemas.microsoft.com/office/drawing/2014/main" id="{040071DB-327C-4E30-89F9-F74AF35DB31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799402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3155</xdr:row>
      <xdr:rowOff>25400</xdr:rowOff>
    </xdr:from>
    <xdr:to>
      <xdr:col>11</xdr:col>
      <xdr:colOff>571500</xdr:colOff>
      <xdr:row>3156</xdr:row>
      <xdr:rowOff>0</xdr:rowOff>
    </xdr:to>
    <xdr:pic>
      <xdr:nvPicPr>
        <xdr:cNvPr id="14365" name="Рисунок 14364">
          <a:extLst>
            <a:ext uri="{FF2B5EF4-FFF2-40B4-BE49-F238E27FC236}">
              <a16:creationId xmlns:a16="http://schemas.microsoft.com/office/drawing/2014/main" id="{A4347F90-955D-4EFC-BD6C-FB9E6D6D36C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799974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3156</xdr:row>
      <xdr:rowOff>25400</xdr:rowOff>
    </xdr:from>
    <xdr:to>
      <xdr:col>11</xdr:col>
      <xdr:colOff>571500</xdr:colOff>
      <xdr:row>3157</xdr:row>
      <xdr:rowOff>0</xdr:rowOff>
    </xdr:to>
    <xdr:pic>
      <xdr:nvPicPr>
        <xdr:cNvPr id="14367" name="Рисунок 14366">
          <a:extLst>
            <a:ext uri="{FF2B5EF4-FFF2-40B4-BE49-F238E27FC236}">
              <a16:creationId xmlns:a16="http://schemas.microsoft.com/office/drawing/2014/main" id="{D76F2874-1D7F-46C0-BBB8-0E3C490E028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800545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3157</xdr:row>
      <xdr:rowOff>25400</xdr:rowOff>
    </xdr:from>
    <xdr:to>
      <xdr:col>11</xdr:col>
      <xdr:colOff>571500</xdr:colOff>
      <xdr:row>3158</xdr:row>
      <xdr:rowOff>0</xdr:rowOff>
    </xdr:to>
    <xdr:pic>
      <xdr:nvPicPr>
        <xdr:cNvPr id="14369" name="Рисунок 14368">
          <a:extLst>
            <a:ext uri="{FF2B5EF4-FFF2-40B4-BE49-F238E27FC236}">
              <a16:creationId xmlns:a16="http://schemas.microsoft.com/office/drawing/2014/main" id="{51CDC449-F047-4AF4-961D-29F1BC30092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801117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3158</xdr:row>
      <xdr:rowOff>25400</xdr:rowOff>
    </xdr:from>
    <xdr:to>
      <xdr:col>11</xdr:col>
      <xdr:colOff>571500</xdr:colOff>
      <xdr:row>3159</xdr:row>
      <xdr:rowOff>0</xdr:rowOff>
    </xdr:to>
    <xdr:pic>
      <xdr:nvPicPr>
        <xdr:cNvPr id="14371" name="Рисунок 14370">
          <a:extLst>
            <a:ext uri="{FF2B5EF4-FFF2-40B4-BE49-F238E27FC236}">
              <a16:creationId xmlns:a16="http://schemas.microsoft.com/office/drawing/2014/main" id="{2D1BBB70-4349-4CC0-9FD9-0D892191ADE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801688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3159</xdr:row>
      <xdr:rowOff>25400</xdr:rowOff>
    </xdr:from>
    <xdr:to>
      <xdr:col>11</xdr:col>
      <xdr:colOff>571500</xdr:colOff>
      <xdr:row>3160</xdr:row>
      <xdr:rowOff>0</xdr:rowOff>
    </xdr:to>
    <xdr:pic>
      <xdr:nvPicPr>
        <xdr:cNvPr id="14373" name="Рисунок 14372">
          <a:extLst>
            <a:ext uri="{FF2B5EF4-FFF2-40B4-BE49-F238E27FC236}">
              <a16:creationId xmlns:a16="http://schemas.microsoft.com/office/drawing/2014/main" id="{215994A6-A7CA-4E8E-BA4B-B992C2F7E57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802260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3160</xdr:row>
      <xdr:rowOff>25400</xdr:rowOff>
    </xdr:from>
    <xdr:to>
      <xdr:col>11</xdr:col>
      <xdr:colOff>571500</xdr:colOff>
      <xdr:row>3161</xdr:row>
      <xdr:rowOff>0</xdr:rowOff>
    </xdr:to>
    <xdr:pic>
      <xdr:nvPicPr>
        <xdr:cNvPr id="14375" name="Рисунок 14374">
          <a:extLst>
            <a:ext uri="{FF2B5EF4-FFF2-40B4-BE49-F238E27FC236}">
              <a16:creationId xmlns:a16="http://schemas.microsoft.com/office/drawing/2014/main" id="{74542B12-D8DE-4E44-8302-65C5A81851A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802831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3161</xdr:row>
      <xdr:rowOff>25400</xdr:rowOff>
    </xdr:from>
    <xdr:to>
      <xdr:col>11</xdr:col>
      <xdr:colOff>571500</xdr:colOff>
      <xdr:row>3162</xdr:row>
      <xdr:rowOff>0</xdr:rowOff>
    </xdr:to>
    <xdr:pic>
      <xdr:nvPicPr>
        <xdr:cNvPr id="14377" name="Рисунок 14376">
          <a:extLst>
            <a:ext uri="{FF2B5EF4-FFF2-40B4-BE49-F238E27FC236}">
              <a16:creationId xmlns:a16="http://schemas.microsoft.com/office/drawing/2014/main" id="{05BF02EB-5B18-4972-AB83-1C005845415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803403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3162</xdr:row>
      <xdr:rowOff>25400</xdr:rowOff>
    </xdr:from>
    <xdr:to>
      <xdr:col>11</xdr:col>
      <xdr:colOff>571500</xdr:colOff>
      <xdr:row>3163</xdr:row>
      <xdr:rowOff>0</xdr:rowOff>
    </xdr:to>
    <xdr:pic>
      <xdr:nvPicPr>
        <xdr:cNvPr id="14379" name="Рисунок 14378">
          <a:extLst>
            <a:ext uri="{FF2B5EF4-FFF2-40B4-BE49-F238E27FC236}">
              <a16:creationId xmlns:a16="http://schemas.microsoft.com/office/drawing/2014/main" id="{8C04BBF4-CA59-4E1F-B3C0-C0A0327973C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803974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3163</xdr:row>
      <xdr:rowOff>25400</xdr:rowOff>
    </xdr:from>
    <xdr:to>
      <xdr:col>11</xdr:col>
      <xdr:colOff>571500</xdr:colOff>
      <xdr:row>3164</xdr:row>
      <xdr:rowOff>0</xdr:rowOff>
    </xdr:to>
    <xdr:pic>
      <xdr:nvPicPr>
        <xdr:cNvPr id="14381" name="Рисунок 14380">
          <a:extLst>
            <a:ext uri="{FF2B5EF4-FFF2-40B4-BE49-F238E27FC236}">
              <a16:creationId xmlns:a16="http://schemas.microsoft.com/office/drawing/2014/main" id="{A27D3272-F6E9-48F1-9C9A-937629949A2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804546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3164</xdr:row>
      <xdr:rowOff>25400</xdr:rowOff>
    </xdr:from>
    <xdr:to>
      <xdr:col>11</xdr:col>
      <xdr:colOff>571500</xdr:colOff>
      <xdr:row>3165</xdr:row>
      <xdr:rowOff>0</xdr:rowOff>
    </xdr:to>
    <xdr:pic>
      <xdr:nvPicPr>
        <xdr:cNvPr id="14383" name="Рисунок 14382">
          <a:extLst>
            <a:ext uri="{FF2B5EF4-FFF2-40B4-BE49-F238E27FC236}">
              <a16:creationId xmlns:a16="http://schemas.microsoft.com/office/drawing/2014/main" id="{B5E14C19-043E-497C-A95A-00BA744F2EB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805117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3165</xdr:row>
      <xdr:rowOff>25400</xdr:rowOff>
    </xdr:from>
    <xdr:to>
      <xdr:col>11</xdr:col>
      <xdr:colOff>571500</xdr:colOff>
      <xdr:row>3166</xdr:row>
      <xdr:rowOff>0</xdr:rowOff>
    </xdr:to>
    <xdr:pic>
      <xdr:nvPicPr>
        <xdr:cNvPr id="14385" name="Рисунок 14384">
          <a:extLst>
            <a:ext uri="{FF2B5EF4-FFF2-40B4-BE49-F238E27FC236}">
              <a16:creationId xmlns:a16="http://schemas.microsoft.com/office/drawing/2014/main" id="{7B69D830-9259-4707-8C98-149BA3099E0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805689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3166</xdr:row>
      <xdr:rowOff>25400</xdr:rowOff>
    </xdr:from>
    <xdr:to>
      <xdr:col>11</xdr:col>
      <xdr:colOff>571500</xdr:colOff>
      <xdr:row>3167</xdr:row>
      <xdr:rowOff>0</xdr:rowOff>
    </xdr:to>
    <xdr:pic>
      <xdr:nvPicPr>
        <xdr:cNvPr id="14387" name="Рисунок 14386">
          <a:extLst>
            <a:ext uri="{FF2B5EF4-FFF2-40B4-BE49-F238E27FC236}">
              <a16:creationId xmlns:a16="http://schemas.microsoft.com/office/drawing/2014/main" id="{398E57A1-413C-4DAD-8976-A23741149BE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806260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3167</xdr:row>
      <xdr:rowOff>25400</xdr:rowOff>
    </xdr:from>
    <xdr:to>
      <xdr:col>11</xdr:col>
      <xdr:colOff>571500</xdr:colOff>
      <xdr:row>3168</xdr:row>
      <xdr:rowOff>0</xdr:rowOff>
    </xdr:to>
    <xdr:pic>
      <xdr:nvPicPr>
        <xdr:cNvPr id="14389" name="Рисунок 14388">
          <a:extLst>
            <a:ext uri="{FF2B5EF4-FFF2-40B4-BE49-F238E27FC236}">
              <a16:creationId xmlns:a16="http://schemas.microsoft.com/office/drawing/2014/main" id="{31EA26F6-4E68-487F-85EE-38966F53762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806832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3168</xdr:row>
      <xdr:rowOff>25400</xdr:rowOff>
    </xdr:from>
    <xdr:to>
      <xdr:col>11</xdr:col>
      <xdr:colOff>571500</xdr:colOff>
      <xdr:row>3169</xdr:row>
      <xdr:rowOff>0</xdr:rowOff>
    </xdr:to>
    <xdr:pic>
      <xdr:nvPicPr>
        <xdr:cNvPr id="14391" name="Рисунок 14390">
          <a:extLst>
            <a:ext uri="{FF2B5EF4-FFF2-40B4-BE49-F238E27FC236}">
              <a16:creationId xmlns:a16="http://schemas.microsoft.com/office/drawing/2014/main" id="{B6C04214-1BCE-43D7-843F-9FB29B3F962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807403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3169</xdr:row>
      <xdr:rowOff>25400</xdr:rowOff>
    </xdr:from>
    <xdr:to>
      <xdr:col>11</xdr:col>
      <xdr:colOff>571500</xdr:colOff>
      <xdr:row>3170</xdr:row>
      <xdr:rowOff>0</xdr:rowOff>
    </xdr:to>
    <xdr:pic>
      <xdr:nvPicPr>
        <xdr:cNvPr id="14393" name="Рисунок 14392">
          <a:extLst>
            <a:ext uri="{FF2B5EF4-FFF2-40B4-BE49-F238E27FC236}">
              <a16:creationId xmlns:a16="http://schemas.microsoft.com/office/drawing/2014/main" id="{2B2775E8-6F8E-496B-A3F5-2655897986E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807975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3170</xdr:row>
      <xdr:rowOff>25400</xdr:rowOff>
    </xdr:from>
    <xdr:to>
      <xdr:col>11</xdr:col>
      <xdr:colOff>571500</xdr:colOff>
      <xdr:row>3171</xdr:row>
      <xdr:rowOff>0</xdr:rowOff>
    </xdr:to>
    <xdr:pic>
      <xdr:nvPicPr>
        <xdr:cNvPr id="14395" name="Рисунок 14394">
          <a:extLst>
            <a:ext uri="{FF2B5EF4-FFF2-40B4-BE49-F238E27FC236}">
              <a16:creationId xmlns:a16="http://schemas.microsoft.com/office/drawing/2014/main" id="{2987095C-66FA-45EA-AF25-CC18EA22726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3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808546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3171</xdr:row>
      <xdr:rowOff>25400</xdr:rowOff>
    </xdr:from>
    <xdr:to>
      <xdr:col>11</xdr:col>
      <xdr:colOff>571500</xdr:colOff>
      <xdr:row>3172</xdr:row>
      <xdr:rowOff>0</xdr:rowOff>
    </xdr:to>
    <xdr:pic>
      <xdr:nvPicPr>
        <xdr:cNvPr id="14397" name="Рисунок 14396">
          <a:extLst>
            <a:ext uri="{FF2B5EF4-FFF2-40B4-BE49-F238E27FC236}">
              <a16:creationId xmlns:a16="http://schemas.microsoft.com/office/drawing/2014/main" id="{9DBAE22E-8A77-4C4F-A081-7CF61EF57F9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3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809118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3172</xdr:row>
      <xdr:rowOff>25400</xdr:rowOff>
    </xdr:from>
    <xdr:to>
      <xdr:col>11</xdr:col>
      <xdr:colOff>571500</xdr:colOff>
      <xdr:row>3173</xdr:row>
      <xdr:rowOff>0</xdr:rowOff>
    </xdr:to>
    <xdr:pic>
      <xdr:nvPicPr>
        <xdr:cNvPr id="14399" name="Рисунок 14398">
          <a:extLst>
            <a:ext uri="{FF2B5EF4-FFF2-40B4-BE49-F238E27FC236}">
              <a16:creationId xmlns:a16="http://schemas.microsoft.com/office/drawing/2014/main" id="{A745B90D-45EC-4178-941D-586659F75EB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3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809689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3173</xdr:row>
      <xdr:rowOff>25400</xdr:rowOff>
    </xdr:from>
    <xdr:to>
      <xdr:col>11</xdr:col>
      <xdr:colOff>571500</xdr:colOff>
      <xdr:row>3174</xdr:row>
      <xdr:rowOff>0</xdr:rowOff>
    </xdr:to>
    <xdr:pic>
      <xdr:nvPicPr>
        <xdr:cNvPr id="14401" name="Рисунок 14400">
          <a:extLst>
            <a:ext uri="{FF2B5EF4-FFF2-40B4-BE49-F238E27FC236}">
              <a16:creationId xmlns:a16="http://schemas.microsoft.com/office/drawing/2014/main" id="{10B63172-BE76-4EDC-BD72-523E8C6D236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3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810261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3174</xdr:row>
      <xdr:rowOff>25400</xdr:rowOff>
    </xdr:from>
    <xdr:to>
      <xdr:col>11</xdr:col>
      <xdr:colOff>571500</xdr:colOff>
      <xdr:row>3175</xdr:row>
      <xdr:rowOff>0</xdr:rowOff>
    </xdr:to>
    <xdr:pic>
      <xdr:nvPicPr>
        <xdr:cNvPr id="14403" name="Рисунок 14402">
          <a:extLst>
            <a:ext uri="{FF2B5EF4-FFF2-40B4-BE49-F238E27FC236}">
              <a16:creationId xmlns:a16="http://schemas.microsoft.com/office/drawing/2014/main" id="{120245F8-1692-47BD-815C-F4FECA01F4F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3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810832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3175</xdr:row>
      <xdr:rowOff>25400</xdr:rowOff>
    </xdr:from>
    <xdr:to>
      <xdr:col>11</xdr:col>
      <xdr:colOff>571500</xdr:colOff>
      <xdr:row>3176</xdr:row>
      <xdr:rowOff>0</xdr:rowOff>
    </xdr:to>
    <xdr:pic>
      <xdr:nvPicPr>
        <xdr:cNvPr id="14405" name="Рисунок 14404">
          <a:extLst>
            <a:ext uri="{FF2B5EF4-FFF2-40B4-BE49-F238E27FC236}">
              <a16:creationId xmlns:a16="http://schemas.microsoft.com/office/drawing/2014/main" id="{1C5F24C0-60A5-441B-8792-6617A247E0B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3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811404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3176</xdr:row>
      <xdr:rowOff>25400</xdr:rowOff>
    </xdr:from>
    <xdr:to>
      <xdr:col>11</xdr:col>
      <xdr:colOff>571500</xdr:colOff>
      <xdr:row>3177</xdr:row>
      <xdr:rowOff>0</xdr:rowOff>
    </xdr:to>
    <xdr:pic>
      <xdr:nvPicPr>
        <xdr:cNvPr id="14407" name="Рисунок 14406">
          <a:extLst>
            <a:ext uri="{FF2B5EF4-FFF2-40B4-BE49-F238E27FC236}">
              <a16:creationId xmlns:a16="http://schemas.microsoft.com/office/drawing/2014/main" id="{CDD0E03E-1EE2-4284-8513-A7956D5EDFD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3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811975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3177</xdr:row>
      <xdr:rowOff>25400</xdr:rowOff>
    </xdr:from>
    <xdr:to>
      <xdr:col>11</xdr:col>
      <xdr:colOff>571500</xdr:colOff>
      <xdr:row>3178</xdr:row>
      <xdr:rowOff>0</xdr:rowOff>
    </xdr:to>
    <xdr:pic>
      <xdr:nvPicPr>
        <xdr:cNvPr id="14409" name="Рисунок 14408">
          <a:extLst>
            <a:ext uri="{FF2B5EF4-FFF2-40B4-BE49-F238E27FC236}">
              <a16:creationId xmlns:a16="http://schemas.microsoft.com/office/drawing/2014/main" id="{E734275C-6C56-480E-91EA-D3246DF0D01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3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812547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3178</xdr:row>
      <xdr:rowOff>25400</xdr:rowOff>
    </xdr:from>
    <xdr:to>
      <xdr:col>11</xdr:col>
      <xdr:colOff>571500</xdr:colOff>
      <xdr:row>3179</xdr:row>
      <xdr:rowOff>0</xdr:rowOff>
    </xdr:to>
    <xdr:pic>
      <xdr:nvPicPr>
        <xdr:cNvPr id="14411" name="Рисунок 14410">
          <a:extLst>
            <a:ext uri="{FF2B5EF4-FFF2-40B4-BE49-F238E27FC236}">
              <a16:creationId xmlns:a16="http://schemas.microsoft.com/office/drawing/2014/main" id="{C5D2FE1E-0C6F-4352-86CC-5BF9EF69E51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3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813118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3179</xdr:row>
      <xdr:rowOff>25400</xdr:rowOff>
    </xdr:from>
    <xdr:to>
      <xdr:col>11</xdr:col>
      <xdr:colOff>571500</xdr:colOff>
      <xdr:row>3180</xdr:row>
      <xdr:rowOff>0</xdr:rowOff>
    </xdr:to>
    <xdr:pic>
      <xdr:nvPicPr>
        <xdr:cNvPr id="14413" name="Рисунок 14412">
          <a:extLst>
            <a:ext uri="{FF2B5EF4-FFF2-40B4-BE49-F238E27FC236}">
              <a16:creationId xmlns:a16="http://schemas.microsoft.com/office/drawing/2014/main" id="{3D911E61-915B-4160-989A-89995C73F94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4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813690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3180</xdr:row>
      <xdr:rowOff>25400</xdr:rowOff>
    </xdr:from>
    <xdr:to>
      <xdr:col>11</xdr:col>
      <xdr:colOff>571500</xdr:colOff>
      <xdr:row>3181</xdr:row>
      <xdr:rowOff>0</xdr:rowOff>
    </xdr:to>
    <xdr:pic>
      <xdr:nvPicPr>
        <xdr:cNvPr id="14415" name="Рисунок 14414">
          <a:extLst>
            <a:ext uri="{FF2B5EF4-FFF2-40B4-BE49-F238E27FC236}">
              <a16:creationId xmlns:a16="http://schemas.microsoft.com/office/drawing/2014/main" id="{EAA88C02-C386-4DD2-B4AB-D720B733FAD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4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814261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3181</xdr:row>
      <xdr:rowOff>25400</xdr:rowOff>
    </xdr:from>
    <xdr:to>
      <xdr:col>11</xdr:col>
      <xdr:colOff>571500</xdr:colOff>
      <xdr:row>3182</xdr:row>
      <xdr:rowOff>0</xdr:rowOff>
    </xdr:to>
    <xdr:pic>
      <xdr:nvPicPr>
        <xdr:cNvPr id="14417" name="Рисунок 14416">
          <a:extLst>
            <a:ext uri="{FF2B5EF4-FFF2-40B4-BE49-F238E27FC236}">
              <a16:creationId xmlns:a16="http://schemas.microsoft.com/office/drawing/2014/main" id="{8B6D1142-AE6C-4C91-8C47-0EE26B225D0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814833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3182</xdr:row>
      <xdr:rowOff>25400</xdr:rowOff>
    </xdr:from>
    <xdr:to>
      <xdr:col>11</xdr:col>
      <xdr:colOff>571500</xdr:colOff>
      <xdr:row>3183</xdr:row>
      <xdr:rowOff>0</xdr:rowOff>
    </xdr:to>
    <xdr:pic>
      <xdr:nvPicPr>
        <xdr:cNvPr id="14419" name="Рисунок 14418">
          <a:extLst>
            <a:ext uri="{FF2B5EF4-FFF2-40B4-BE49-F238E27FC236}">
              <a16:creationId xmlns:a16="http://schemas.microsoft.com/office/drawing/2014/main" id="{91153E95-212B-406C-8EBE-95D6A9DA999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815404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3183</xdr:row>
      <xdr:rowOff>25400</xdr:rowOff>
    </xdr:from>
    <xdr:to>
      <xdr:col>11</xdr:col>
      <xdr:colOff>571500</xdr:colOff>
      <xdr:row>3184</xdr:row>
      <xdr:rowOff>0</xdr:rowOff>
    </xdr:to>
    <xdr:pic>
      <xdr:nvPicPr>
        <xdr:cNvPr id="14421" name="Рисунок 14420">
          <a:extLst>
            <a:ext uri="{FF2B5EF4-FFF2-40B4-BE49-F238E27FC236}">
              <a16:creationId xmlns:a16="http://schemas.microsoft.com/office/drawing/2014/main" id="{53308FB2-346C-4560-B2FA-B6D5FC8602E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815976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3184</xdr:row>
      <xdr:rowOff>25400</xdr:rowOff>
    </xdr:from>
    <xdr:to>
      <xdr:col>11</xdr:col>
      <xdr:colOff>571500</xdr:colOff>
      <xdr:row>3185</xdr:row>
      <xdr:rowOff>0</xdr:rowOff>
    </xdr:to>
    <xdr:pic>
      <xdr:nvPicPr>
        <xdr:cNvPr id="14423" name="Рисунок 14422">
          <a:extLst>
            <a:ext uri="{FF2B5EF4-FFF2-40B4-BE49-F238E27FC236}">
              <a16:creationId xmlns:a16="http://schemas.microsoft.com/office/drawing/2014/main" id="{5EFBAEB5-9BD6-4845-87DE-BD59348E92B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4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816547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3185</xdr:row>
      <xdr:rowOff>25400</xdr:rowOff>
    </xdr:from>
    <xdr:to>
      <xdr:col>11</xdr:col>
      <xdr:colOff>571500</xdr:colOff>
      <xdr:row>3186</xdr:row>
      <xdr:rowOff>0</xdr:rowOff>
    </xdr:to>
    <xdr:pic>
      <xdr:nvPicPr>
        <xdr:cNvPr id="14425" name="Рисунок 14424">
          <a:extLst>
            <a:ext uri="{FF2B5EF4-FFF2-40B4-BE49-F238E27FC236}">
              <a16:creationId xmlns:a16="http://schemas.microsoft.com/office/drawing/2014/main" id="{8B7B350C-4A9E-465F-A37F-8E8AF3DAC19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4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817119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3186</xdr:row>
      <xdr:rowOff>25400</xdr:rowOff>
    </xdr:from>
    <xdr:to>
      <xdr:col>11</xdr:col>
      <xdr:colOff>571500</xdr:colOff>
      <xdr:row>3187</xdr:row>
      <xdr:rowOff>0</xdr:rowOff>
    </xdr:to>
    <xdr:pic>
      <xdr:nvPicPr>
        <xdr:cNvPr id="14427" name="Рисунок 14426">
          <a:extLst>
            <a:ext uri="{FF2B5EF4-FFF2-40B4-BE49-F238E27FC236}">
              <a16:creationId xmlns:a16="http://schemas.microsoft.com/office/drawing/2014/main" id="{143B3765-5B88-4DB1-B942-DE246FA33B9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4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817690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3187</xdr:row>
      <xdr:rowOff>25400</xdr:rowOff>
    </xdr:from>
    <xdr:to>
      <xdr:col>11</xdr:col>
      <xdr:colOff>571500</xdr:colOff>
      <xdr:row>3188</xdr:row>
      <xdr:rowOff>0</xdr:rowOff>
    </xdr:to>
    <xdr:pic>
      <xdr:nvPicPr>
        <xdr:cNvPr id="14429" name="Рисунок 14428">
          <a:extLst>
            <a:ext uri="{FF2B5EF4-FFF2-40B4-BE49-F238E27FC236}">
              <a16:creationId xmlns:a16="http://schemas.microsoft.com/office/drawing/2014/main" id="{5DA2CB75-2185-497F-ACDE-66BFD25BA76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4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818262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3188</xdr:row>
      <xdr:rowOff>25400</xdr:rowOff>
    </xdr:from>
    <xdr:to>
      <xdr:col>11</xdr:col>
      <xdr:colOff>571500</xdr:colOff>
      <xdr:row>3189</xdr:row>
      <xdr:rowOff>0</xdr:rowOff>
    </xdr:to>
    <xdr:pic>
      <xdr:nvPicPr>
        <xdr:cNvPr id="14431" name="Рисунок 14430">
          <a:extLst>
            <a:ext uri="{FF2B5EF4-FFF2-40B4-BE49-F238E27FC236}">
              <a16:creationId xmlns:a16="http://schemas.microsoft.com/office/drawing/2014/main" id="{C9176B1C-0600-4BD7-B378-E2FDC5FE3B2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4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818833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3189</xdr:row>
      <xdr:rowOff>25400</xdr:rowOff>
    </xdr:from>
    <xdr:to>
      <xdr:col>11</xdr:col>
      <xdr:colOff>571500</xdr:colOff>
      <xdr:row>3190</xdr:row>
      <xdr:rowOff>0</xdr:rowOff>
    </xdr:to>
    <xdr:pic>
      <xdr:nvPicPr>
        <xdr:cNvPr id="14433" name="Рисунок 14432">
          <a:extLst>
            <a:ext uri="{FF2B5EF4-FFF2-40B4-BE49-F238E27FC236}">
              <a16:creationId xmlns:a16="http://schemas.microsoft.com/office/drawing/2014/main" id="{D38428C3-DCAB-40CE-8705-05C5FD5B72A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5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819405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3190</xdr:row>
      <xdr:rowOff>25400</xdr:rowOff>
    </xdr:from>
    <xdr:to>
      <xdr:col>11</xdr:col>
      <xdr:colOff>571500</xdr:colOff>
      <xdr:row>3191</xdr:row>
      <xdr:rowOff>0</xdr:rowOff>
    </xdr:to>
    <xdr:pic>
      <xdr:nvPicPr>
        <xdr:cNvPr id="14435" name="Рисунок 14434">
          <a:extLst>
            <a:ext uri="{FF2B5EF4-FFF2-40B4-BE49-F238E27FC236}">
              <a16:creationId xmlns:a16="http://schemas.microsoft.com/office/drawing/2014/main" id="{699B4E2A-5F27-4E18-B5B6-EA923891362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5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819976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3191</xdr:row>
      <xdr:rowOff>25400</xdr:rowOff>
    </xdr:from>
    <xdr:to>
      <xdr:col>11</xdr:col>
      <xdr:colOff>571500</xdr:colOff>
      <xdr:row>3192</xdr:row>
      <xdr:rowOff>0</xdr:rowOff>
    </xdr:to>
    <xdr:pic>
      <xdr:nvPicPr>
        <xdr:cNvPr id="14437" name="Рисунок 14436">
          <a:extLst>
            <a:ext uri="{FF2B5EF4-FFF2-40B4-BE49-F238E27FC236}">
              <a16:creationId xmlns:a16="http://schemas.microsoft.com/office/drawing/2014/main" id="{3E8DD07A-9C1D-40BB-A88E-E811D5DB5A8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820548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3192</xdr:row>
      <xdr:rowOff>25400</xdr:rowOff>
    </xdr:from>
    <xdr:to>
      <xdr:col>11</xdr:col>
      <xdr:colOff>571500</xdr:colOff>
      <xdr:row>3193</xdr:row>
      <xdr:rowOff>0</xdr:rowOff>
    </xdr:to>
    <xdr:pic>
      <xdr:nvPicPr>
        <xdr:cNvPr id="14439" name="Рисунок 14438">
          <a:extLst>
            <a:ext uri="{FF2B5EF4-FFF2-40B4-BE49-F238E27FC236}">
              <a16:creationId xmlns:a16="http://schemas.microsoft.com/office/drawing/2014/main" id="{89151898-08C1-4FBA-A20F-2FAE307DB01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5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821119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3193</xdr:row>
      <xdr:rowOff>25400</xdr:rowOff>
    </xdr:from>
    <xdr:to>
      <xdr:col>11</xdr:col>
      <xdr:colOff>571500</xdr:colOff>
      <xdr:row>3194</xdr:row>
      <xdr:rowOff>0</xdr:rowOff>
    </xdr:to>
    <xdr:pic>
      <xdr:nvPicPr>
        <xdr:cNvPr id="14441" name="Рисунок 14440">
          <a:extLst>
            <a:ext uri="{FF2B5EF4-FFF2-40B4-BE49-F238E27FC236}">
              <a16:creationId xmlns:a16="http://schemas.microsoft.com/office/drawing/2014/main" id="{C1B4568E-8DBA-45B9-924E-EC84E20CE81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5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821691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3194</xdr:row>
      <xdr:rowOff>25400</xdr:rowOff>
    </xdr:from>
    <xdr:to>
      <xdr:col>11</xdr:col>
      <xdr:colOff>571500</xdr:colOff>
      <xdr:row>3195</xdr:row>
      <xdr:rowOff>0</xdr:rowOff>
    </xdr:to>
    <xdr:pic>
      <xdr:nvPicPr>
        <xdr:cNvPr id="14443" name="Рисунок 14442">
          <a:extLst>
            <a:ext uri="{FF2B5EF4-FFF2-40B4-BE49-F238E27FC236}">
              <a16:creationId xmlns:a16="http://schemas.microsoft.com/office/drawing/2014/main" id="{92655948-1BC5-4D65-B2C6-76445EAD827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5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822262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3195</xdr:row>
      <xdr:rowOff>25400</xdr:rowOff>
    </xdr:from>
    <xdr:to>
      <xdr:col>11</xdr:col>
      <xdr:colOff>571500</xdr:colOff>
      <xdr:row>3196</xdr:row>
      <xdr:rowOff>0</xdr:rowOff>
    </xdr:to>
    <xdr:pic>
      <xdr:nvPicPr>
        <xdr:cNvPr id="14445" name="Рисунок 14444">
          <a:extLst>
            <a:ext uri="{FF2B5EF4-FFF2-40B4-BE49-F238E27FC236}">
              <a16:creationId xmlns:a16="http://schemas.microsoft.com/office/drawing/2014/main" id="{CFF26433-29CC-4216-96C6-538378AB5C6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5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822834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3196</xdr:row>
      <xdr:rowOff>25400</xdr:rowOff>
    </xdr:from>
    <xdr:to>
      <xdr:col>11</xdr:col>
      <xdr:colOff>571500</xdr:colOff>
      <xdr:row>3197</xdr:row>
      <xdr:rowOff>0</xdr:rowOff>
    </xdr:to>
    <xdr:pic>
      <xdr:nvPicPr>
        <xdr:cNvPr id="14447" name="Рисунок 14446">
          <a:extLst>
            <a:ext uri="{FF2B5EF4-FFF2-40B4-BE49-F238E27FC236}">
              <a16:creationId xmlns:a16="http://schemas.microsoft.com/office/drawing/2014/main" id="{701F9803-C396-4240-9448-F573EA7CF4A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5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823405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3197</xdr:row>
      <xdr:rowOff>25400</xdr:rowOff>
    </xdr:from>
    <xdr:to>
      <xdr:col>11</xdr:col>
      <xdr:colOff>571500</xdr:colOff>
      <xdr:row>3198</xdr:row>
      <xdr:rowOff>0</xdr:rowOff>
    </xdr:to>
    <xdr:pic>
      <xdr:nvPicPr>
        <xdr:cNvPr id="14449" name="Рисунок 14448">
          <a:extLst>
            <a:ext uri="{FF2B5EF4-FFF2-40B4-BE49-F238E27FC236}">
              <a16:creationId xmlns:a16="http://schemas.microsoft.com/office/drawing/2014/main" id="{31263706-034E-4C69-8F10-3CBE18AEE61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5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823977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3198</xdr:row>
      <xdr:rowOff>25400</xdr:rowOff>
    </xdr:from>
    <xdr:to>
      <xdr:col>11</xdr:col>
      <xdr:colOff>571500</xdr:colOff>
      <xdr:row>3199</xdr:row>
      <xdr:rowOff>0</xdr:rowOff>
    </xdr:to>
    <xdr:pic>
      <xdr:nvPicPr>
        <xdr:cNvPr id="14451" name="Рисунок 14450">
          <a:extLst>
            <a:ext uri="{FF2B5EF4-FFF2-40B4-BE49-F238E27FC236}">
              <a16:creationId xmlns:a16="http://schemas.microsoft.com/office/drawing/2014/main" id="{9CA6D1C8-8A5A-4A88-98AA-FC53C61AB8A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5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824548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3199</xdr:row>
      <xdr:rowOff>25400</xdr:rowOff>
    </xdr:from>
    <xdr:to>
      <xdr:col>11</xdr:col>
      <xdr:colOff>571500</xdr:colOff>
      <xdr:row>3200</xdr:row>
      <xdr:rowOff>0</xdr:rowOff>
    </xdr:to>
    <xdr:pic>
      <xdr:nvPicPr>
        <xdr:cNvPr id="14453" name="Рисунок 14452">
          <a:extLst>
            <a:ext uri="{FF2B5EF4-FFF2-40B4-BE49-F238E27FC236}">
              <a16:creationId xmlns:a16="http://schemas.microsoft.com/office/drawing/2014/main" id="{359981D1-B441-4BB3-AC00-90D9E7967A2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6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825120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3200</xdr:row>
      <xdr:rowOff>25400</xdr:rowOff>
    </xdr:from>
    <xdr:to>
      <xdr:col>11</xdr:col>
      <xdr:colOff>571500</xdr:colOff>
      <xdr:row>3201</xdr:row>
      <xdr:rowOff>0</xdr:rowOff>
    </xdr:to>
    <xdr:pic>
      <xdr:nvPicPr>
        <xdr:cNvPr id="14455" name="Рисунок 14454">
          <a:extLst>
            <a:ext uri="{FF2B5EF4-FFF2-40B4-BE49-F238E27FC236}">
              <a16:creationId xmlns:a16="http://schemas.microsoft.com/office/drawing/2014/main" id="{ACD246BB-D241-4E48-948C-0D222135EB9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6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825691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3201</xdr:row>
      <xdr:rowOff>25400</xdr:rowOff>
    </xdr:from>
    <xdr:to>
      <xdr:col>11</xdr:col>
      <xdr:colOff>571500</xdr:colOff>
      <xdr:row>3202</xdr:row>
      <xdr:rowOff>0</xdr:rowOff>
    </xdr:to>
    <xdr:pic>
      <xdr:nvPicPr>
        <xdr:cNvPr id="14457" name="Рисунок 14456">
          <a:extLst>
            <a:ext uri="{FF2B5EF4-FFF2-40B4-BE49-F238E27FC236}">
              <a16:creationId xmlns:a16="http://schemas.microsoft.com/office/drawing/2014/main" id="{27CB076A-55B8-4EDD-9294-ED0ED9F967A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6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826263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3202</xdr:row>
      <xdr:rowOff>25400</xdr:rowOff>
    </xdr:from>
    <xdr:to>
      <xdr:col>11</xdr:col>
      <xdr:colOff>571500</xdr:colOff>
      <xdr:row>3203</xdr:row>
      <xdr:rowOff>0</xdr:rowOff>
    </xdr:to>
    <xdr:pic>
      <xdr:nvPicPr>
        <xdr:cNvPr id="14459" name="Рисунок 14458">
          <a:extLst>
            <a:ext uri="{FF2B5EF4-FFF2-40B4-BE49-F238E27FC236}">
              <a16:creationId xmlns:a16="http://schemas.microsoft.com/office/drawing/2014/main" id="{0AB371E2-8365-4655-8DE0-9734809737F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6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826834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3203</xdr:row>
      <xdr:rowOff>25400</xdr:rowOff>
    </xdr:from>
    <xdr:to>
      <xdr:col>11</xdr:col>
      <xdr:colOff>571500</xdr:colOff>
      <xdr:row>3204</xdr:row>
      <xdr:rowOff>0</xdr:rowOff>
    </xdr:to>
    <xdr:pic>
      <xdr:nvPicPr>
        <xdr:cNvPr id="14461" name="Рисунок 14460">
          <a:extLst>
            <a:ext uri="{FF2B5EF4-FFF2-40B4-BE49-F238E27FC236}">
              <a16:creationId xmlns:a16="http://schemas.microsoft.com/office/drawing/2014/main" id="{1F2DF0E5-A436-4A56-A65E-8D676353C35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6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827406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3204</xdr:row>
      <xdr:rowOff>25400</xdr:rowOff>
    </xdr:from>
    <xdr:to>
      <xdr:col>11</xdr:col>
      <xdr:colOff>571500</xdr:colOff>
      <xdr:row>3205</xdr:row>
      <xdr:rowOff>0</xdr:rowOff>
    </xdr:to>
    <xdr:pic>
      <xdr:nvPicPr>
        <xdr:cNvPr id="14463" name="Рисунок 14462">
          <a:extLst>
            <a:ext uri="{FF2B5EF4-FFF2-40B4-BE49-F238E27FC236}">
              <a16:creationId xmlns:a16="http://schemas.microsoft.com/office/drawing/2014/main" id="{B84A7CFA-3BE0-4351-A941-EF185FFBDDD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6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827977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3205</xdr:row>
      <xdr:rowOff>25400</xdr:rowOff>
    </xdr:from>
    <xdr:to>
      <xdr:col>11</xdr:col>
      <xdr:colOff>571500</xdr:colOff>
      <xdr:row>3206</xdr:row>
      <xdr:rowOff>0</xdr:rowOff>
    </xdr:to>
    <xdr:pic>
      <xdr:nvPicPr>
        <xdr:cNvPr id="14465" name="Рисунок 14464">
          <a:extLst>
            <a:ext uri="{FF2B5EF4-FFF2-40B4-BE49-F238E27FC236}">
              <a16:creationId xmlns:a16="http://schemas.microsoft.com/office/drawing/2014/main" id="{B749C12B-7FFE-4853-A36F-36FB76B2606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6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828549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3206</xdr:row>
      <xdr:rowOff>25400</xdr:rowOff>
    </xdr:from>
    <xdr:to>
      <xdr:col>11</xdr:col>
      <xdr:colOff>571500</xdr:colOff>
      <xdr:row>3207</xdr:row>
      <xdr:rowOff>0</xdr:rowOff>
    </xdr:to>
    <xdr:pic>
      <xdr:nvPicPr>
        <xdr:cNvPr id="14467" name="Рисунок 14466">
          <a:extLst>
            <a:ext uri="{FF2B5EF4-FFF2-40B4-BE49-F238E27FC236}">
              <a16:creationId xmlns:a16="http://schemas.microsoft.com/office/drawing/2014/main" id="{9CA95E50-0651-41C0-999A-F3078C2F029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6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829120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3207</xdr:row>
      <xdr:rowOff>25400</xdr:rowOff>
    </xdr:from>
    <xdr:to>
      <xdr:col>11</xdr:col>
      <xdr:colOff>571500</xdr:colOff>
      <xdr:row>3208</xdr:row>
      <xdr:rowOff>0</xdr:rowOff>
    </xdr:to>
    <xdr:pic>
      <xdr:nvPicPr>
        <xdr:cNvPr id="14469" name="Рисунок 14468">
          <a:extLst>
            <a:ext uri="{FF2B5EF4-FFF2-40B4-BE49-F238E27FC236}">
              <a16:creationId xmlns:a16="http://schemas.microsoft.com/office/drawing/2014/main" id="{1EB594EA-29CA-43E3-A26A-6F27B6A435F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6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829692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3208</xdr:row>
      <xdr:rowOff>25400</xdr:rowOff>
    </xdr:from>
    <xdr:to>
      <xdr:col>11</xdr:col>
      <xdr:colOff>571500</xdr:colOff>
      <xdr:row>3209</xdr:row>
      <xdr:rowOff>0</xdr:rowOff>
    </xdr:to>
    <xdr:pic>
      <xdr:nvPicPr>
        <xdr:cNvPr id="14471" name="Рисунок 14470">
          <a:extLst>
            <a:ext uri="{FF2B5EF4-FFF2-40B4-BE49-F238E27FC236}">
              <a16:creationId xmlns:a16="http://schemas.microsoft.com/office/drawing/2014/main" id="{BF916676-16EB-4F17-AD8B-DCADADDE86C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6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830263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3209</xdr:row>
      <xdr:rowOff>25400</xdr:rowOff>
    </xdr:from>
    <xdr:to>
      <xdr:col>11</xdr:col>
      <xdr:colOff>571500</xdr:colOff>
      <xdr:row>3210</xdr:row>
      <xdr:rowOff>0</xdr:rowOff>
    </xdr:to>
    <xdr:pic>
      <xdr:nvPicPr>
        <xdr:cNvPr id="14473" name="Рисунок 14472">
          <a:extLst>
            <a:ext uri="{FF2B5EF4-FFF2-40B4-BE49-F238E27FC236}">
              <a16:creationId xmlns:a16="http://schemas.microsoft.com/office/drawing/2014/main" id="{793F464B-C452-4043-9181-499E237B499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7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830835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3210</xdr:row>
      <xdr:rowOff>25400</xdr:rowOff>
    </xdr:from>
    <xdr:to>
      <xdr:col>11</xdr:col>
      <xdr:colOff>571500</xdr:colOff>
      <xdr:row>3211</xdr:row>
      <xdr:rowOff>0</xdr:rowOff>
    </xdr:to>
    <xdr:pic>
      <xdr:nvPicPr>
        <xdr:cNvPr id="14475" name="Рисунок 14474">
          <a:extLst>
            <a:ext uri="{FF2B5EF4-FFF2-40B4-BE49-F238E27FC236}">
              <a16:creationId xmlns:a16="http://schemas.microsoft.com/office/drawing/2014/main" id="{E4B718B3-BF69-4506-A7FC-47154083616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7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831406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3211</xdr:row>
      <xdr:rowOff>25400</xdr:rowOff>
    </xdr:from>
    <xdr:to>
      <xdr:col>11</xdr:col>
      <xdr:colOff>571500</xdr:colOff>
      <xdr:row>3212</xdr:row>
      <xdr:rowOff>0</xdr:rowOff>
    </xdr:to>
    <xdr:pic>
      <xdr:nvPicPr>
        <xdr:cNvPr id="14477" name="Рисунок 14476">
          <a:extLst>
            <a:ext uri="{FF2B5EF4-FFF2-40B4-BE49-F238E27FC236}">
              <a16:creationId xmlns:a16="http://schemas.microsoft.com/office/drawing/2014/main" id="{02698B4F-0510-496D-B795-650B478CAFC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7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831978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3212</xdr:row>
      <xdr:rowOff>25400</xdr:rowOff>
    </xdr:from>
    <xdr:to>
      <xdr:col>11</xdr:col>
      <xdr:colOff>571500</xdr:colOff>
      <xdr:row>3213</xdr:row>
      <xdr:rowOff>0</xdr:rowOff>
    </xdr:to>
    <xdr:pic>
      <xdr:nvPicPr>
        <xdr:cNvPr id="14479" name="Рисунок 14478">
          <a:extLst>
            <a:ext uri="{FF2B5EF4-FFF2-40B4-BE49-F238E27FC236}">
              <a16:creationId xmlns:a16="http://schemas.microsoft.com/office/drawing/2014/main" id="{CEE892A5-3F12-457F-A1D5-F29E9630DAA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7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832549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3213</xdr:row>
      <xdr:rowOff>25400</xdr:rowOff>
    </xdr:from>
    <xdr:to>
      <xdr:col>11</xdr:col>
      <xdr:colOff>571500</xdr:colOff>
      <xdr:row>3214</xdr:row>
      <xdr:rowOff>0</xdr:rowOff>
    </xdr:to>
    <xdr:pic>
      <xdr:nvPicPr>
        <xdr:cNvPr id="14481" name="Рисунок 14480">
          <a:extLst>
            <a:ext uri="{FF2B5EF4-FFF2-40B4-BE49-F238E27FC236}">
              <a16:creationId xmlns:a16="http://schemas.microsoft.com/office/drawing/2014/main" id="{274270B2-27C3-41F8-87ED-F84E9CE2795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7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833121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3214</xdr:row>
      <xdr:rowOff>25400</xdr:rowOff>
    </xdr:from>
    <xdr:to>
      <xdr:col>11</xdr:col>
      <xdr:colOff>571500</xdr:colOff>
      <xdr:row>3215</xdr:row>
      <xdr:rowOff>0</xdr:rowOff>
    </xdr:to>
    <xdr:pic>
      <xdr:nvPicPr>
        <xdr:cNvPr id="14483" name="Рисунок 14482">
          <a:extLst>
            <a:ext uri="{FF2B5EF4-FFF2-40B4-BE49-F238E27FC236}">
              <a16:creationId xmlns:a16="http://schemas.microsoft.com/office/drawing/2014/main" id="{90EEB15F-EDB9-49B7-8E72-A1B5C12970F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7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833692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3215</xdr:row>
      <xdr:rowOff>25400</xdr:rowOff>
    </xdr:from>
    <xdr:to>
      <xdr:col>11</xdr:col>
      <xdr:colOff>571500</xdr:colOff>
      <xdr:row>3216</xdr:row>
      <xdr:rowOff>0</xdr:rowOff>
    </xdr:to>
    <xdr:pic>
      <xdr:nvPicPr>
        <xdr:cNvPr id="14485" name="Рисунок 14484">
          <a:extLst>
            <a:ext uri="{FF2B5EF4-FFF2-40B4-BE49-F238E27FC236}">
              <a16:creationId xmlns:a16="http://schemas.microsoft.com/office/drawing/2014/main" id="{205D6ED4-014F-4A9C-8184-23DFC0F6074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7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834264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3216</xdr:row>
      <xdr:rowOff>25400</xdr:rowOff>
    </xdr:from>
    <xdr:to>
      <xdr:col>11</xdr:col>
      <xdr:colOff>571500</xdr:colOff>
      <xdr:row>3217</xdr:row>
      <xdr:rowOff>0</xdr:rowOff>
    </xdr:to>
    <xdr:pic>
      <xdr:nvPicPr>
        <xdr:cNvPr id="14487" name="Рисунок 14486">
          <a:extLst>
            <a:ext uri="{FF2B5EF4-FFF2-40B4-BE49-F238E27FC236}">
              <a16:creationId xmlns:a16="http://schemas.microsoft.com/office/drawing/2014/main" id="{7F29BB6F-E716-4615-BEB8-B4FA9D4AF18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7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834835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3217</xdr:row>
      <xdr:rowOff>25400</xdr:rowOff>
    </xdr:from>
    <xdr:to>
      <xdr:col>11</xdr:col>
      <xdr:colOff>571500</xdr:colOff>
      <xdr:row>3218</xdr:row>
      <xdr:rowOff>0</xdr:rowOff>
    </xdr:to>
    <xdr:pic>
      <xdr:nvPicPr>
        <xdr:cNvPr id="14489" name="Рисунок 14488">
          <a:extLst>
            <a:ext uri="{FF2B5EF4-FFF2-40B4-BE49-F238E27FC236}">
              <a16:creationId xmlns:a16="http://schemas.microsoft.com/office/drawing/2014/main" id="{78350103-8D0B-4ACB-90B7-9F17CE69D51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7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835407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3218</xdr:row>
      <xdr:rowOff>25400</xdr:rowOff>
    </xdr:from>
    <xdr:to>
      <xdr:col>11</xdr:col>
      <xdr:colOff>571500</xdr:colOff>
      <xdr:row>3219</xdr:row>
      <xdr:rowOff>0</xdr:rowOff>
    </xdr:to>
    <xdr:pic>
      <xdr:nvPicPr>
        <xdr:cNvPr id="14491" name="Рисунок 14490">
          <a:extLst>
            <a:ext uri="{FF2B5EF4-FFF2-40B4-BE49-F238E27FC236}">
              <a16:creationId xmlns:a16="http://schemas.microsoft.com/office/drawing/2014/main" id="{81FE5CE1-A3FA-4C62-9F8F-A8B28E539AA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7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835978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3219</xdr:row>
      <xdr:rowOff>25400</xdr:rowOff>
    </xdr:from>
    <xdr:to>
      <xdr:col>11</xdr:col>
      <xdr:colOff>571500</xdr:colOff>
      <xdr:row>3220</xdr:row>
      <xdr:rowOff>0</xdr:rowOff>
    </xdr:to>
    <xdr:pic>
      <xdr:nvPicPr>
        <xdr:cNvPr id="14493" name="Рисунок 14492">
          <a:extLst>
            <a:ext uri="{FF2B5EF4-FFF2-40B4-BE49-F238E27FC236}">
              <a16:creationId xmlns:a16="http://schemas.microsoft.com/office/drawing/2014/main" id="{CC545155-8638-49D2-9867-4C15D6627E7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8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836550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3220</xdr:row>
      <xdr:rowOff>25400</xdr:rowOff>
    </xdr:from>
    <xdr:to>
      <xdr:col>11</xdr:col>
      <xdr:colOff>571500</xdr:colOff>
      <xdr:row>3221</xdr:row>
      <xdr:rowOff>0</xdr:rowOff>
    </xdr:to>
    <xdr:pic>
      <xdr:nvPicPr>
        <xdr:cNvPr id="14495" name="Рисунок 14494">
          <a:extLst>
            <a:ext uri="{FF2B5EF4-FFF2-40B4-BE49-F238E27FC236}">
              <a16:creationId xmlns:a16="http://schemas.microsoft.com/office/drawing/2014/main" id="{1DFF25EE-2FB2-46EA-809F-3B35376287F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8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837121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3221</xdr:row>
      <xdr:rowOff>25400</xdr:rowOff>
    </xdr:from>
    <xdr:to>
      <xdr:col>11</xdr:col>
      <xdr:colOff>571500</xdr:colOff>
      <xdr:row>3222</xdr:row>
      <xdr:rowOff>0</xdr:rowOff>
    </xdr:to>
    <xdr:pic>
      <xdr:nvPicPr>
        <xdr:cNvPr id="14497" name="Рисунок 14496">
          <a:extLst>
            <a:ext uri="{FF2B5EF4-FFF2-40B4-BE49-F238E27FC236}">
              <a16:creationId xmlns:a16="http://schemas.microsoft.com/office/drawing/2014/main" id="{F43A5832-F975-447D-9608-1013102D42E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8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837693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3222</xdr:row>
      <xdr:rowOff>25400</xdr:rowOff>
    </xdr:from>
    <xdr:to>
      <xdr:col>11</xdr:col>
      <xdr:colOff>571500</xdr:colOff>
      <xdr:row>3223</xdr:row>
      <xdr:rowOff>0</xdr:rowOff>
    </xdr:to>
    <xdr:pic>
      <xdr:nvPicPr>
        <xdr:cNvPr id="14499" name="Рисунок 14498">
          <a:extLst>
            <a:ext uri="{FF2B5EF4-FFF2-40B4-BE49-F238E27FC236}">
              <a16:creationId xmlns:a16="http://schemas.microsoft.com/office/drawing/2014/main" id="{B1D3E1EA-F454-409A-B28E-89AFFA3D9CE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8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838264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3223</xdr:row>
      <xdr:rowOff>25400</xdr:rowOff>
    </xdr:from>
    <xdr:to>
      <xdr:col>11</xdr:col>
      <xdr:colOff>571500</xdr:colOff>
      <xdr:row>3224</xdr:row>
      <xdr:rowOff>0</xdr:rowOff>
    </xdr:to>
    <xdr:pic>
      <xdr:nvPicPr>
        <xdr:cNvPr id="14501" name="Рисунок 14500">
          <a:extLst>
            <a:ext uri="{FF2B5EF4-FFF2-40B4-BE49-F238E27FC236}">
              <a16:creationId xmlns:a16="http://schemas.microsoft.com/office/drawing/2014/main" id="{D0A00445-F287-4D5D-849E-6F39F716802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8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838836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3224</xdr:row>
      <xdr:rowOff>25400</xdr:rowOff>
    </xdr:from>
    <xdr:to>
      <xdr:col>11</xdr:col>
      <xdr:colOff>571500</xdr:colOff>
      <xdr:row>3225</xdr:row>
      <xdr:rowOff>0</xdr:rowOff>
    </xdr:to>
    <xdr:pic>
      <xdr:nvPicPr>
        <xdr:cNvPr id="14503" name="Рисунок 14502">
          <a:extLst>
            <a:ext uri="{FF2B5EF4-FFF2-40B4-BE49-F238E27FC236}">
              <a16:creationId xmlns:a16="http://schemas.microsoft.com/office/drawing/2014/main" id="{1830893D-F8AB-432A-BDA7-22EF149D8B6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8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839407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3225</xdr:row>
      <xdr:rowOff>25400</xdr:rowOff>
    </xdr:from>
    <xdr:to>
      <xdr:col>11</xdr:col>
      <xdr:colOff>571500</xdr:colOff>
      <xdr:row>3226</xdr:row>
      <xdr:rowOff>0</xdr:rowOff>
    </xdr:to>
    <xdr:pic>
      <xdr:nvPicPr>
        <xdr:cNvPr id="14505" name="Рисунок 14504">
          <a:extLst>
            <a:ext uri="{FF2B5EF4-FFF2-40B4-BE49-F238E27FC236}">
              <a16:creationId xmlns:a16="http://schemas.microsoft.com/office/drawing/2014/main" id="{4797B3DB-22F0-47A7-AE36-99B25940C47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8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839979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3226</xdr:row>
      <xdr:rowOff>25400</xdr:rowOff>
    </xdr:from>
    <xdr:to>
      <xdr:col>11</xdr:col>
      <xdr:colOff>571500</xdr:colOff>
      <xdr:row>3227</xdr:row>
      <xdr:rowOff>0</xdr:rowOff>
    </xdr:to>
    <xdr:pic>
      <xdr:nvPicPr>
        <xdr:cNvPr id="14507" name="Рисунок 14506">
          <a:extLst>
            <a:ext uri="{FF2B5EF4-FFF2-40B4-BE49-F238E27FC236}">
              <a16:creationId xmlns:a16="http://schemas.microsoft.com/office/drawing/2014/main" id="{76FC51FF-DEAA-4AE9-B834-FFFB992E930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8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840550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3227</xdr:row>
      <xdr:rowOff>25400</xdr:rowOff>
    </xdr:from>
    <xdr:to>
      <xdr:col>11</xdr:col>
      <xdr:colOff>571500</xdr:colOff>
      <xdr:row>3228</xdr:row>
      <xdr:rowOff>0</xdr:rowOff>
    </xdr:to>
    <xdr:pic>
      <xdr:nvPicPr>
        <xdr:cNvPr id="14509" name="Рисунок 14508">
          <a:extLst>
            <a:ext uri="{FF2B5EF4-FFF2-40B4-BE49-F238E27FC236}">
              <a16:creationId xmlns:a16="http://schemas.microsoft.com/office/drawing/2014/main" id="{0B3C0CC6-16FC-4156-9952-23F32E07143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8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841122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3228</xdr:row>
      <xdr:rowOff>25400</xdr:rowOff>
    </xdr:from>
    <xdr:to>
      <xdr:col>11</xdr:col>
      <xdr:colOff>571500</xdr:colOff>
      <xdr:row>3229</xdr:row>
      <xdr:rowOff>0</xdr:rowOff>
    </xdr:to>
    <xdr:pic>
      <xdr:nvPicPr>
        <xdr:cNvPr id="14511" name="Рисунок 14510">
          <a:extLst>
            <a:ext uri="{FF2B5EF4-FFF2-40B4-BE49-F238E27FC236}">
              <a16:creationId xmlns:a16="http://schemas.microsoft.com/office/drawing/2014/main" id="{9BAF522B-ACC8-4E7E-9A8C-B2013B8B3CA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8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841693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3229</xdr:row>
      <xdr:rowOff>25400</xdr:rowOff>
    </xdr:from>
    <xdr:to>
      <xdr:col>11</xdr:col>
      <xdr:colOff>571500</xdr:colOff>
      <xdr:row>3230</xdr:row>
      <xdr:rowOff>0</xdr:rowOff>
    </xdr:to>
    <xdr:pic>
      <xdr:nvPicPr>
        <xdr:cNvPr id="14513" name="Рисунок 14512">
          <a:extLst>
            <a:ext uri="{FF2B5EF4-FFF2-40B4-BE49-F238E27FC236}">
              <a16:creationId xmlns:a16="http://schemas.microsoft.com/office/drawing/2014/main" id="{427A2903-32E6-4F96-A7BB-8924BC364CF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9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842265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3230</xdr:row>
      <xdr:rowOff>25400</xdr:rowOff>
    </xdr:from>
    <xdr:to>
      <xdr:col>11</xdr:col>
      <xdr:colOff>571500</xdr:colOff>
      <xdr:row>3231</xdr:row>
      <xdr:rowOff>0</xdr:rowOff>
    </xdr:to>
    <xdr:pic>
      <xdr:nvPicPr>
        <xdr:cNvPr id="14515" name="Рисунок 14514">
          <a:extLst>
            <a:ext uri="{FF2B5EF4-FFF2-40B4-BE49-F238E27FC236}">
              <a16:creationId xmlns:a16="http://schemas.microsoft.com/office/drawing/2014/main" id="{CEE9E644-1540-4422-9351-265858CDAB3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9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842836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3231</xdr:row>
      <xdr:rowOff>25400</xdr:rowOff>
    </xdr:from>
    <xdr:to>
      <xdr:col>11</xdr:col>
      <xdr:colOff>571500</xdr:colOff>
      <xdr:row>3232</xdr:row>
      <xdr:rowOff>0</xdr:rowOff>
    </xdr:to>
    <xdr:pic>
      <xdr:nvPicPr>
        <xdr:cNvPr id="14517" name="Рисунок 14516">
          <a:extLst>
            <a:ext uri="{FF2B5EF4-FFF2-40B4-BE49-F238E27FC236}">
              <a16:creationId xmlns:a16="http://schemas.microsoft.com/office/drawing/2014/main" id="{1AC9CA0E-78C6-41D1-A561-08F75B6662B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9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843408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3232</xdr:row>
      <xdr:rowOff>25400</xdr:rowOff>
    </xdr:from>
    <xdr:to>
      <xdr:col>11</xdr:col>
      <xdr:colOff>571500</xdr:colOff>
      <xdr:row>3233</xdr:row>
      <xdr:rowOff>0</xdr:rowOff>
    </xdr:to>
    <xdr:pic>
      <xdr:nvPicPr>
        <xdr:cNvPr id="14519" name="Рисунок 14518">
          <a:extLst>
            <a:ext uri="{FF2B5EF4-FFF2-40B4-BE49-F238E27FC236}">
              <a16:creationId xmlns:a16="http://schemas.microsoft.com/office/drawing/2014/main" id="{6343F75B-6E29-4ED9-A0D4-D22261067C1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9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843979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3233</xdr:row>
      <xdr:rowOff>25400</xdr:rowOff>
    </xdr:from>
    <xdr:to>
      <xdr:col>11</xdr:col>
      <xdr:colOff>571500</xdr:colOff>
      <xdr:row>3234</xdr:row>
      <xdr:rowOff>0</xdr:rowOff>
    </xdr:to>
    <xdr:pic>
      <xdr:nvPicPr>
        <xdr:cNvPr id="14521" name="Рисунок 14520">
          <a:extLst>
            <a:ext uri="{FF2B5EF4-FFF2-40B4-BE49-F238E27FC236}">
              <a16:creationId xmlns:a16="http://schemas.microsoft.com/office/drawing/2014/main" id="{953FE224-C6B6-4508-99C8-70E65544158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9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844551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3234</xdr:row>
      <xdr:rowOff>25400</xdr:rowOff>
    </xdr:from>
    <xdr:to>
      <xdr:col>11</xdr:col>
      <xdr:colOff>571500</xdr:colOff>
      <xdr:row>3235</xdr:row>
      <xdr:rowOff>0</xdr:rowOff>
    </xdr:to>
    <xdr:pic>
      <xdr:nvPicPr>
        <xdr:cNvPr id="14523" name="Рисунок 14522">
          <a:extLst>
            <a:ext uri="{FF2B5EF4-FFF2-40B4-BE49-F238E27FC236}">
              <a16:creationId xmlns:a16="http://schemas.microsoft.com/office/drawing/2014/main" id="{9B9D6C52-1353-4C00-A983-C46A40BB5EA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9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845122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3235</xdr:row>
      <xdr:rowOff>25400</xdr:rowOff>
    </xdr:from>
    <xdr:to>
      <xdr:col>11</xdr:col>
      <xdr:colOff>571500</xdr:colOff>
      <xdr:row>3236</xdr:row>
      <xdr:rowOff>0</xdr:rowOff>
    </xdr:to>
    <xdr:pic>
      <xdr:nvPicPr>
        <xdr:cNvPr id="14525" name="Рисунок 14524">
          <a:extLst>
            <a:ext uri="{FF2B5EF4-FFF2-40B4-BE49-F238E27FC236}">
              <a16:creationId xmlns:a16="http://schemas.microsoft.com/office/drawing/2014/main" id="{D0A0CB56-5256-41B2-8DAE-E07CDA708A8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9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845694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3236</xdr:row>
      <xdr:rowOff>25400</xdr:rowOff>
    </xdr:from>
    <xdr:to>
      <xdr:col>11</xdr:col>
      <xdr:colOff>571500</xdr:colOff>
      <xdr:row>3237</xdr:row>
      <xdr:rowOff>0</xdr:rowOff>
    </xdr:to>
    <xdr:pic>
      <xdr:nvPicPr>
        <xdr:cNvPr id="14527" name="Рисунок 14526">
          <a:extLst>
            <a:ext uri="{FF2B5EF4-FFF2-40B4-BE49-F238E27FC236}">
              <a16:creationId xmlns:a16="http://schemas.microsoft.com/office/drawing/2014/main" id="{58AB0089-1F2D-46F7-867C-CC104AFF5CE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9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846265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3237</xdr:row>
      <xdr:rowOff>25400</xdr:rowOff>
    </xdr:from>
    <xdr:to>
      <xdr:col>11</xdr:col>
      <xdr:colOff>571500</xdr:colOff>
      <xdr:row>3238</xdr:row>
      <xdr:rowOff>0</xdr:rowOff>
    </xdr:to>
    <xdr:pic>
      <xdr:nvPicPr>
        <xdr:cNvPr id="14529" name="Рисунок 14528">
          <a:extLst>
            <a:ext uri="{FF2B5EF4-FFF2-40B4-BE49-F238E27FC236}">
              <a16:creationId xmlns:a16="http://schemas.microsoft.com/office/drawing/2014/main" id="{D0E69B9F-CB6D-4A06-BA39-C2CC0FD3494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9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846837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3238</xdr:row>
      <xdr:rowOff>25400</xdr:rowOff>
    </xdr:from>
    <xdr:to>
      <xdr:col>11</xdr:col>
      <xdr:colOff>571500</xdr:colOff>
      <xdr:row>3239</xdr:row>
      <xdr:rowOff>0</xdr:rowOff>
    </xdr:to>
    <xdr:pic>
      <xdr:nvPicPr>
        <xdr:cNvPr id="14531" name="Рисунок 14530">
          <a:extLst>
            <a:ext uri="{FF2B5EF4-FFF2-40B4-BE49-F238E27FC236}">
              <a16:creationId xmlns:a16="http://schemas.microsoft.com/office/drawing/2014/main" id="{2A91FC64-9DE1-4136-8A6D-43F40037A9B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19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847408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3239</xdr:row>
      <xdr:rowOff>25400</xdr:rowOff>
    </xdr:from>
    <xdr:to>
      <xdr:col>11</xdr:col>
      <xdr:colOff>571500</xdr:colOff>
      <xdr:row>3240</xdr:row>
      <xdr:rowOff>0</xdr:rowOff>
    </xdr:to>
    <xdr:pic>
      <xdr:nvPicPr>
        <xdr:cNvPr id="14533" name="Рисунок 14532">
          <a:extLst>
            <a:ext uri="{FF2B5EF4-FFF2-40B4-BE49-F238E27FC236}">
              <a16:creationId xmlns:a16="http://schemas.microsoft.com/office/drawing/2014/main" id="{726929E8-E1F2-45E2-BE5E-267B763F90E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0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847980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3240</xdr:row>
      <xdr:rowOff>25400</xdr:rowOff>
    </xdr:from>
    <xdr:to>
      <xdr:col>11</xdr:col>
      <xdr:colOff>571500</xdr:colOff>
      <xdr:row>3241</xdr:row>
      <xdr:rowOff>0</xdr:rowOff>
    </xdr:to>
    <xdr:pic>
      <xdr:nvPicPr>
        <xdr:cNvPr id="14535" name="Рисунок 14534">
          <a:extLst>
            <a:ext uri="{FF2B5EF4-FFF2-40B4-BE49-F238E27FC236}">
              <a16:creationId xmlns:a16="http://schemas.microsoft.com/office/drawing/2014/main" id="{88243F81-388E-4D82-AE45-EE187DE8330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0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848551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3241</xdr:row>
      <xdr:rowOff>25400</xdr:rowOff>
    </xdr:from>
    <xdr:to>
      <xdr:col>11</xdr:col>
      <xdr:colOff>571500</xdr:colOff>
      <xdr:row>3242</xdr:row>
      <xdr:rowOff>0</xdr:rowOff>
    </xdr:to>
    <xdr:pic>
      <xdr:nvPicPr>
        <xdr:cNvPr id="14537" name="Рисунок 14536">
          <a:extLst>
            <a:ext uri="{FF2B5EF4-FFF2-40B4-BE49-F238E27FC236}">
              <a16:creationId xmlns:a16="http://schemas.microsoft.com/office/drawing/2014/main" id="{952A5E8F-AFB4-46CE-8DFF-066EBCE15CA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0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849123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3242</xdr:row>
      <xdr:rowOff>25400</xdr:rowOff>
    </xdr:from>
    <xdr:to>
      <xdr:col>11</xdr:col>
      <xdr:colOff>571500</xdr:colOff>
      <xdr:row>3243</xdr:row>
      <xdr:rowOff>0</xdr:rowOff>
    </xdr:to>
    <xdr:pic>
      <xdr:nvPicPr>
        <xdr:cNvPr id="14539" name="Рисунок 14538">
          <a:extLst>
            <a:ext uri="{FF2B5EF4-FFF2-40B4-BE49-F238E27FC236}">
              <a16:creationId xmlns:a16="http://schemas.microsoft.com/office/drawing/2014/main" id="{C0DAA782-6EAF-46B0-BA86-FE60ECD85D5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0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849694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3243</xdr:row>
      <xdr:rowOff>25400</xdr:rowOff>
    </xdr:from>
    <xdr:to>
      <xdr:col>11</xdr:col>
      <xdr:colOff>571500</xdr:colOff>
      <xdr:row>3244</xdr:row>
      <xdr:rowOff>0</xdr:rowOff>
    </xdr:to>
    <xdr:pic>
      <xdr:nvPicPr>
        <xdr:cNvPr id="14541" name="Рисунок 14540">
          <a:extLst>
            <a:ext uri="{FF2B5EF4-FFF2-40B4-BE49-F238E27FC236}">
              <a16:creationId xmlns:a16="http://schemas.microsoft.com/office/drawing/2014/main" id="{C36F1DAA-EDBA-41CB-9810-E259E559BBD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0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850266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3244</xdr:row>
      <xdr:rowOff>25400</xdr:rowOff>
    </xdr:from>
    <xdr:to>
      <xdr:col>11</xdr:col>
      <xdr:colOff>571500</xdr:colOff>
      <xdr:row>3245</xdr:row>
      <xdr:rowOff>0</xdr:rowOff>
    </xdr:to>
    <xdr:pic>
      <xdr:nvPicPr>
        <xdr:cNvPr id="14543" name="Рисунок 14542">
          <a:extLst>
            <a:ext uri="{FF2B5EF4-FFF2-40B4-BE49-F238E27FC236}">
              <a16:creationId xmlns:a16="http://schemas.microsoft.com/office/drawing/2014/main" id="{FF6C5B03-02CD-4B0C-9A4E-CE2BBB8F4EF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0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850837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3245</xdr:row>
      <xdr:rowOff>25400</xdr:rowOff>
    </xdr:from>
    <xdr:to>
      <xdr:col>11</xdr:col>
      <xdr:colOff>571500</xdr:colOff>
      <xdr:row>3246</xdr:row>
      <xdr:rowOff>0</xdr:rowOff>
    </xdr:to>
    <xdr:pic>
      <xdr:nvPicPr>
        <xdr:cNvPr id="14545" name="Рисунок 14544">
          <a:extLst>
            <a:ext uri="{FF2B5EF4-FFF2-40B4-BE49-F238E27FC236}">
              <a16:creationId xmlns:a16="http://schemas.microsoft.com/office/drawing/2014/main" id="{5FDA1A86-0A94-456D-ADE7-A4AFF001900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0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851409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3246</xdr:row>
      <xdr:rowOff>25400</xdr:rowOff>
    </xdr:from>
    <xdr:to>
      <xdr:col>11</xdr:col>
      <xdr:colOff>571500</xdr:colOff>
      <xdr:row>3247</xdr:row>
      <xdr:rowOff>0</xdr:rowOff>
    </xdr:to>
    <xdr:pic>
      <xdr:nvPicPr>
        <xdr:cNvPr id="14547" name="Рисунок 14546">
          <a:extLst>
            <a:ext uri="{FF2B5EF4-FFF2-40B4-BE49-F238E27FC236}">
              <a16:creationId xmlns:a16="http://schemas.microsoft.com/office/drawing/2014/main" id="{252AD1A2-A264-4C2F-8821-EA0DFA52AD9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0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851980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3247</xdr:row>
      <xdr:rowOff>25400</xdr:rowOff>
    </xdr:from>
    <xdr:to>
      <xdr:col>11</xdr:col>
      <xdr:colOff>571500</xdr:colOff>
      <xdr:row>3248</xdr:row>
      <xdr:rowOff>0</xdr:rowOff>
    </xdr:to>
    <xdr:pic>
      <xdr:nvPicPr>
        <xdr:cNvPr id="14549" name="Рисунок 14548">
          <a:extLst>
            <a:ext uri="{FF2B5EF4-FFF2-40B4-BE49-F238E27FC236}">
              <a16:creationId xmlns:a16="http://schemas.microsoft.com/office/drawing/2014/main" id="{BA59E0BD-675C-42A4-9F58-CF202701F05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0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852552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3248</xdr:row>
      <xdr:rowOff>25400</xdr:rowOff>
    </xdr:from>
    <xdr:to>
      <xdr:col>11</xdr:col>
      <xdr:colOff>571500</xdr:colOff>
      <xdr:row>3249</xdr:row>
      <xdr:rowOff>0</xdr:rowOff>
    </xdr:to>
    <xdr:pic>
      <xdr:nvPicPr>
        <xdr:cNvPr id="14551" name="Рисунок 14550">
          <a:extLst>
            <a:ext uri="{FF2B5EF4-FFF2-40B4-BE49-F238E27FC236}">
              <a16:creationId xmlns:a16="http://schemas.microsoft.com/office/drawing/2014/main" id="{2504FB52-BDD1-45B9-AD2A-40DE869DFBD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0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853123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3249</xdr:row>
      <xdr:rowOff>25400</xdr:rowOff>
    </xdr:from>
    <xdr:to>
      <xdr:col>11</xdr:col>
      <xdr:colOff>571500</xdr:colOff>
      <xdr:row>3250</xdr:row>
      <xdr:rowOff>0</xdr:rowOff>
    </xdr:to>
    <xdr:pic>
      <xdr:nvPicPr>
        <xdr:cNvPr id="14553" name="Рисунок 14552">
          <a:extLst>
            <a:ext uri="{FF2B5EF4-FFF2-40B4-BE49-F238E27FC236}">
              <a16:creationId xmlns:a16="http://schemas.microsoft.com/office/drawing/2014/main" id="{6854A8AB-94E1-414F-9378-536464BF3D1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853695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3250</xdr:row>
      <xdr:rowOff>25400</xdr:rowOff>
    </xdr:from>
    <xdr:to>
      <xdr:col>11</xdr:col>
      <xdr:colOff>571500</xdr:colOff>
      <xdr:row>3251</xdr:row>
      <xdr:rowOff>0</xdr:rowOff>
    </xdr:to>
    <xdr:pic>
      <xdr:nvPicPr>
        <xdr:cNvPr id="14555" name="Рисунок 14554">
          <a:extLst>
            <a:ext uri="{FF2B5EF4-FFF2-40B4-BE49-F238E27FC236}">
              <a16:creationId xmlns:a16="http://schemas.microsoft.com/office/drawing/2014/main" id="{7F468837-8B7A-4FB1-B079-B49FD4D285D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854266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3251</xdr:row>
      <xdr:rowOff>25400</xdr:rowOff>
    </xdr:from>
    <xdr:to>
      <xdr:col>11</xdr:col>
      <xdr:colOff>571500</xdr:colOff>
      <xdr:row>3252</xdr:row>
      <xdr:rowOff>0</xdr:rowOff>
    </xdr:to>
    <xdr:pic>
      <xdr:nvPicPr>
        <xdr:cNvPr id="14557" name="Рисунок 14556">
          <a:extLst>
            <a:ext uri="{FF2B5EF4-FFF2-40B4-BE49-F238E27FC236}">
              <a16:creationId xmlns:a16="http://schemas.microsoft.com/office/drawing/2014/main" id="{346D3D5A-EC46-4FE0-B0A0-C435942D8A3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854838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3252</xdr:row>
      <xdr:rowOff>25400</xdr:rowOff>
    </xdr:from>
    <xdr:to>
      <xdr:col>11</xdr:col>
      <xdr:colOff>571500</xdr:colOff>
      <xdr:row>3253</xdr:row>
      <xdr:rowOff>0</xdr:rowOff>
    </xdr:to>
    <xdr:pic>
      <xdr:nvPicPr>
        <xdr:cNvPr id="14559" name="Рисунок 14558">
          <a:extLst>
            <a:ext uri="{FF2B5EF4-FFF2-40B4-BE49-F238E27FC236}">
              <a16:creationId xmlns:a16="http://schemas.microsoft.com/office/drawing/2014/main" id="{A68DF58E-CF42-4885-BD91-2F869C4B47E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855409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3253</xdr:row>
      <xdr:rowOff>25400</xdr:rowOff>
    </xdr:from>
    <xdr:to>
      <xdr:col>11</xdr:col>
      <xdr:colOff>571500</xdr:colOff>
      <xdr:row>3254</xdr:row>
      <xdr:rowOff>0</xdr:rowOff>
    </xdr:to>
    <xdr:pic>
      <xdr:nvPicPr>
        <xdr:cNvPr id="14561" name="Рисунок 14560">
          <a:extLst>
            <a:ext uri="{FF2B5EF4-FFF2-40B4-BE49-F238E27FC236}">
              <a16:creationId xmlns:a16="http://schemas.microsoft.com/office/drawing/2014/main" id="{FD1F2964-60B0-4DEE-AF71-A6D8D8B4B61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855981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3254</xdr:row>
      <xdr:rowOff>25400</xdr:rowOff>
    </xdr:from>
    <xdr:to>
      <xdr:col>11</xdr:col>
      <xdr:colOff>571500</xdr:colOff>
      <xdr:row>3255</xdr:row>
      <xdr:rowOff>0</xdr:rowOff>
    </xdr:to>
    <xdr:pic>
      <xdr:nvPicPr>
        <xdr:cNvPr id="14563" name="Рисунок 14562">
          <a:extLst>
            <a:ext uri="{FF2B5EF4-FFF2-40B4-BE49-F238E27FC236}">
              <a16:creationId xmlns:a16="http://schemas.microsoft.com/office/drawing/2014/main" id="{71FA0F7F-59F5-478F-98AE-8AC66789592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856552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3255</xdr:row>
      <xdr:rowOff>25400</xdr:rowOff>
    </xdr:from>
    <xdr:to>
      <xdr:col>11</xdr:col>
      <xdr:colOff>571500</xdr:colOff>
      <xdr:row>3256</xdr:row>
      <xdr:rowOff>0</xdr:rowOff>
    </xdr:to>
    <xdr:pic>
      <xdr:nvPicPr>
        <xdr:cNvPr id="14565" name="Рисунок 14564">
          <a:extLst>
            <a:ext uri="{FF2B5EF4-FFF2-40B4-BE49-F238E27FC236}">
              <a16:creationId xmlns:a16="http://schemas.microsoft.com/office/drawing/2014/main" id="{A2D75300-DDEA-41CC-BCCE-9C1081478DE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857124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3256</xdr:row>
      <xdr:rowOff>25400</xdr:rowOff>
    </xdr:from>
    <xdr:to>
      <xdr:col>11</xdr:col>
      <xdr:colOff>571500</xdr:colOff>
      <xdr:row>3257</xdr:row>
      <xdr:rowOff>0</xdr:rowOff>
    </xdr:to>
    <xdr:pic>
      <xdr:nvPicPr>
        <xdr:cNvPr id="14567" name="Рисунок 14566">
          <a:extLst>
            <a:ext uri="{FF2B5EF4-FFF2-40B4-BE49-F238E27FC236}">
              <a16:creationId xmlns:a16="http://schemas.microsoft.com/office/drawing/2014/main" id="{AECDC016-C283-413E-9A95-2FA3BD09244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857695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3257</xdr:row>
      <xdr:rowOff>25400</xdr:rowOff>
    </xdr:from>
    <xdr:to>
      <xdr:col>11</xdr:col>
      <xdr:colOff>571500</xdr:colOff>
      <xdr:row>3258</xdr:row>
      <xdr:rowOff>0</xdr:rowOff>
    </xdr:to>
    <xdr:pic>
      <xdr:nvPicPr>
        <xdr:cNvPr id="14569" name="Рисунок 14568">
          <a:extLst>
            <a:ext uri="{FF2B5EF4-FFF2-40B4-BE49-F238E27FC236}">
              <a16:creationId xmlns:a16="http://schemas.microsoft.com/office/drawing/2014/main" id="{0AE30B29-3BEA-4E3D-B9CF-22F8461E590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858267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3258</xdr:row>
      <xdr:rowOff>25400</xdr:rowOff>
    </xdr:from>
    <xdr:to>
      <xdr:col>11</xdr:col>
      <xdr:colOff>571500</xdr:colOff>
      <xdr:row>3259</xdr:row>
      <xdr:rowOff>0</xdr:rowOff>
    </xdr:to>
    <xdr:pic>
      <xdr:nvPicPr>
        <xdr:cNvPr id="14571" name="Рисунок 14570">
          <a:extLst>
            <a:ext uri="{FF2B5EF4-FFF2-40B4-BE49-F238E27FC236}">
              <a16:creationId xmlns:a16="http://schemas.microsoft.com/office/drawing/2014/main" id="{14E2FEF9-6303-4489-B0E8-3A31A505D1F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858838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3259</xdr:row>
      <xdr:rowOff>25400</xdr:rowOff>
    </xdr:from>
    <xdr:to>
      <xdr:col>11</xdr:col>
      <xdr:colOff>571500</xdr:colOff>
      <xdr:row>3260</xdr:row>
      <xdr:rowOff>0</xdr:rowOff>
    </xdr:to>
    <xdr:pic>
      <xdr:nvPicPr>
        <xdr:cNvPr id="14573" name="Рисунок 14572">
          <a:extLst>
            <a:ext uri="{FF2B5EF4-FFF2-40B4-BE49-F238E27FC236}">
              <a16:creationId xmlns:a16="http://schemas.microsoft.com/office/drawing/2014/main" id="{D912CAA4-7DD7-48C1-AC77-70FE99AD82C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859410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3260</xdr:row>
      <xdr:rowOff>25400</xdr:rowOff>
    </xdr:from>
    <xdr:to>
      <xdr:col>11</xdr:col>
      <xdr:colOff>571500</xdr:colOff>
      <xdr:row>3261</xdr:row>
      <xdr:rowOff>0</xdr:rowOff>
    </xdr:to>
    <xdr:pic>
      <xdr:nvPicPr>
        <xdr:cNvPr id="14575" name="Рисунок 14574">
          <a:extLst>
            <a:ext uri="{FF2B5EF4-FFF2-40B4-BE49-F238E27FC236}">
              <a16:creationId xmlns:a16="http://schemas.microsoft.com/office/drawing/2014/main" id="{16E02541-7B0C-46A3-B943-AACFB110B88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859981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3261</xdr:row>
      <xdr:rowOff>25400</xdr:rowOff>
    </xdr:from>
    <xdr:to>
      <xdr:col>11</xdr:col>
      <xdr:colOff>571500</xdr:colOff>
      <xdr:row>3262</xdr:row>
      <xdr:rowOff>0</xdr:rowOff>
    </xdr:to>
    <xdr:pic>
      <xdr:nvPicPr>
        <xdr:cNvPr id="14577" name="Рисунок 14576">
          <a:extLst>
            <a:ext uri="{FF2B5EF4-FFF2-40B4-BE49-F238E27FC236}">
              <a16:creationId xmlns:a16="http://schemas.microsoft.com/office/drawing/2014/main" id="{CE1B27F0-ACBF-48E3-A558-1ADED0E34F7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860553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3262</xdr:row>
      <xdr:rowOff>25400</xdr:rowOff>
    </xdr:from>
    <xdr:to>
      <xdr:col>11</xdr:col>
      <xdr:colOff>571500</xdr:colOff>
      <xdr:row>3263</xdr:row>
      <xdr:rowOff>0</xdr:rowOff>
    </xdr:to>
    <xdr:pic>
      <xdr:nvPicPr>
        <xdr:cNvPr id="14579" name="Рисунок 14578">
          <a:extLst>
            <a:ext uri="{FF2B5EF4-FFF2-40B4-BE49-F238E27FC236}">
              <a16:creationId xmlns:a16="http://schemas.microsoft.com/office/drawing/2014/main" id="{2CD9B355-08B6-4E53-AE12-3ECFD6B6C91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861124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3263</xdr:row>
      <xdr:rowOff>25400</xdr:rowOff>
    </xdr:from>
    <xdr:to>
      <xdr:col>11</xdr:col>
      <xdr:colOff>571500</xdr:colOff>
      <xdr:row>3264</xdr:row>
      <xdr:rowOff>0</xdr:rowOff>
    </xdr:to>
    <xdr:pic>
      <xdr:nvPicPr>
        <xdr:cNvPr id="14581" name="Рисунок 14580">
          <a:extLst>
            <a:ext uri="{FF2B5EF4-FFF2-40B4-BE49-F238E27FC236}">
              <a16:creationId xmlns:a16="http://schemas.microsoft.com/office/drawing/2014/main" id="{8B75AEBD-1447-4A05-B4B2-7688E081075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861696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3264</xdr:row>
      <xdr:rowOff>25400</xdr:rowOff>
    </xdr:from>
    <xdr:to>
      <xdr:col>11</xdr:col>
      <xdr:colOff>571500</xdr:colOff>
      <xdr:row>3265</xdr:row>
      <xdr:rowOff>0</xdr:rowOff>
    </xdr:to>
    <xdr:pic>
      <xdr:nvPicPr>
        <xdr:cNvPr id="14583" name="Рисунок 14582">
          <a:extLst>
            <a:ext uri="{FF2B5EF4-FFF2-40B4-BE49-F238E27FC236}">
              <a16:creationId xmlns:a16="http://schemas.microsoft.com/office/drawing/2014/main" id="{37A133BF-85E6-4A9F-B623-F524F799C10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862267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3265</xdr:row>
      <xdr:rowOff>25400</xdr:rowOff>
    </xdr:from>
    <xdr:to>
      <xdr:col>11</xdr:col>
      <xdr:colOff>571500</xdr:colOff>
      <xdr:row>3266</xdr:row>
      <xdr:rowOff>0</xdr:rowOff>
    </xdr:to>
    <xdr:pic>
      <xdr:nvPicPr>
        <xdr:cNvPr id="14585" name="Рисунок 14584">
          <a:extLst>
            <a:ext uri="{FF2B5EF4-FFF2-40B4-BE49-F238E27FC236}">
              <a16:creationId xmlns:a16="http://schemas.microsoft.com/office/drawing/2014/main" id="{BA673DF0-89D9-483E-BF3B-B362454039B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862839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3266</xdr:row>
      <xdr:rowOff>25400</xdr:rowOff>
    </xdr:from>
    <xdr:to>
      <xdr:col>11</xdr:col>
      <xdr:colOff>571500</xdr:colOff>
      <xdr:row>3267</xdr:row>
      <xdr:rowOff>0</xdr:rowOff>
    </xdr:to>
    <xdr:pic>
      <xdr:nvPicPr>
        <xdr:cNvPr id="14587" name="Рисунок 14586">
          <a:extLst>
            <a:ext uri="{FF2B5EF4-FFF2-40B4-BE49-F238E27FC236}">
              <a16:creationId xmlns:a16="http://schemas.microsoft.com/office/drawing/2014/main" id="{7963C68C-5139-45DE-B975-69AC77127B9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863410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3267</xdr:row>
      <xdr:rowOff>25400</xdr:rowOff>
    </xdr:from>
    <xdr:to>
      <xdr:col>11</xdr:col>
      <xdr:colOff>571500</xdr:colOff>
      <xdr:row>3268</xdr:row>
      <xdr:rowOff>0</xdr:rowOff>
    </xdr:to>
    <xdr:pic>
      <xdr:nvPicPr>
        <xdr:cNvPr id="14589" name="Рисунок 14588">
          <a:extLst>
            <a:ext uri="{FF2B5EF4-FFF2-40B4-BE49-F238E27FC236}">
              <a16:creationId xmlns:a16="http://schemas.microsoft.com/office/drawing/2014/main" id="{85844928-AF4F-42B7-A6F7-EDE303A9D1C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863982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3268</xdr:row>
      <xdr:rowOff>25400</xdr:rowOff>
    </xdr:from>
    <xdr:to>
      <xdr:col>11</xdr:col>
      <xdr:colOff>571500</xdr:colOff>
      <xdr:row>3269</xdr:row>
      <xdr:rowOff>0</xdr:rowOff>
    </xdr:to>
    <xdr:pic>
      <xdr:nvPicPr>
        <xdr:cNvPr id="14591" name="Рисунок 14590">
          <a:extLst>
            <a:ext uri="{FF2B5EF4-FFF2-40B4-BE49-F238E27FC236}">
              <a16:creationId xmlns:a16="http://schemas.microsoft.com/office/drawing/2014/main" id="{F61D7A6E-25AC-4AD5-9960-854B04BCAF6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864553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3269</xdr:row>
      <xdr:rowOff>25400</xdr:rowOff>
    </xdr:from>
    <xdr:to>
      <xdr:col>11</xdr:col>
      <xdr:colOff>571500</xdr:colOff>
      <xdr:row>3270</xdr:row>
      <xdr:rowOff>0</xdr:rowOff>
    </xdr:to>
    <xdr:pic>
      <xdr:nvPicPr>
        <xdr:cNvPr id="14593" name="Рисунок 14592">
          <a:extLst>
            <a:ext uri="{FF2B5EF4-FFF2-40B4-BE49-F238E27FC236}">
              <a16:creationId xmlns:a16="http://schemas.microsoft.com/office/drawing/2014/main" id="{9DFB9FFC-5A25-4CBD-AF29-8E3BFA2B630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865125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3270</xdr:row>
      <xdr:rowOff>25400</xdr:rowOff>
    </xdr:from>
    <xdr:to>
      <xdr:col>11</xdr:col>
      <xdr:colOff>571500</xdr:colOff>
      <xdr:row>3271</xdr:row>
      <xdr:rowOff>0</xdr:rowOff>
    </xdr:to>
    <xdr:pic>
      <xdr:nvPicPr>
        <xdr:cNvPr id="14595" name="Рисунок 14594">
          <a:extLst>
            <a:ext uri="{FF2B5EF4-FFF2-40B4-BE49-F238E27FC236}">
              <a16:creationId xmlns:a16="http://schemas.microsoft.com/office/drawing/2014/main" id="{2CD6A0B2-4DBF-4E80-B7CE-24D63A095D5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3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865696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3271</xdr:row>
      <xdr:rowOff>25400</xdr:rowOff>
    </xdr:from>
    <xdr:to>
      <xdr:col>11</xdr:col>
      <xdr:colOff>571500</xdr:colOff>
      <xdr:row>3272</xdr:row>
      <xdr:rowOff>0</xdr:rowOff>
    </xdr:to>
    <xdr:pic>
      <xdr:nvPicPr>
        <xdr:cNvPr id="14597" name="Рисунок 14596">
          <a:extLst>
            <a:ext uri="{FF2B5EF4-FFF2-40B4-BE49-F238E27FC236}">
              <a16:creationId xmlns:a16="http://schemas.microsoft.com/office/drawing/2014/main" id="{93A5077F-D0C9-482D-8140-43A34DCF313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3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866268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3272</xdr:row>
      <xdr:rowOff>25400</xdr:rowOff>
    </xdr:from>
    <xdr:to>
      <xdr:col>11</xdr:col>
      <xdr:colOff>571500</xdr:colOff>
      <xdr:row>3273</xdr:row>
      <xdr:rowOff>0</xdr:rowOff>
    </xdr:to>
    <xdr:pic>
      <xdr:nvPicPr>
        <xdr:cNvPr id="14599" name="Рисунок 14598">
          <a:extLst>
            <a:ext uri="{FF2B5EF4-FFF2-40B4-BE49-F238E27FC236}">
              <a16:creationId xmlns:a16="http://schemas.microsoft.com/office/drawing/2014/main" id="{6517ECEE-2369-4F51-850C-586EB019047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3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866839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3273</xdr:row>
      <xdr:rowOff>25400</xdr:rowOff>
    </xdr:from>
    <xdr:to>
      <xdr:col>11</xdr:col>
      <xdr:colOff>571500</xdr:colOff>
      <xdr:row>3274</xdr:row>
      <xdr:rowOff>0</xdr:rowOff>
    </xdr:to>
    <xdr:pic>
      <xdr:nvPicPr>
        <xdr:cNvPr id="14601" name="Рисунок 14600">
          <a:extLst>
            <a:ext uri="{FF2B5EF4-FFF2-40B4-BE49-F238E27FC236}">
              <a16:creationId xmlns:a16="http://schemas.microsoft.com/office/drawing/2014/main" id="{03E72323-A4CC-466D-9ED3-FC5E4386BB7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3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867411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3274</xdr:row>
      <xdr:rowOff>25400</xdr:rowOff>
    </xdr:from>
    <xdr:to>
      <xdr:col>11</xdr:col>
      <xdr:colOff>571500</xdr:colOff>
      <xdr:row>3275</xdr:row>
      <xdr:rowOff>0</xdr:rowOff>
    </xdr:to>
    <xdr:pic>
      <xdr:nvPicPr>
        <xdr:cNvPr id="14603" name="Рисунок 14602">
          <a:extLst>
            <a:ext uri="{FF2B5EF4-FFF2-40B4-BE49-F238E27FC236}">
              <a16:creationId xmlns:a16="http://schemas.microsoft.com/office/drawing/2014/main" id="{1F6DB98A-DB69-461D-BB4A-1E8988FDE07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3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867982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3275</xdr:row>
      <xdr:rowOff>25400</xdr:rowOff>
    </xdr:from>
    <xdr:to>
      <xdr:col>11</xdr:col>
      <xdr:colOff>571500</xdr:colOff>
      <xdr:row>3276</xdr:row>
      <xdr:rowOff>0</xdr:rowOff>
    </xdr:to>
    <xdr:pic>
      <xdr:nvPicPr>
        <xdr:cNvPr id="14605" name="Рисунок 14604">
          <a:extLst>
            <a:ext uri="{FF2B5EF4-FFF2-40B4-BE49-F238E27FC236}">
              <a16:creationId xmlns:a16="http://schemas.microsoft.com/office/drawing/2014/main" id="{18F48F1C-AD41-4F23-A711-BEAEDB1C457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3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868554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3276</xdr:row>
      <xdr:rowOff>25400</xdr:rowOff>
    </xdr:from>
    <xdr:to>
      <xdr:col>11</xdr:col>
      <xdr:colOff>571500</xdr:colOff>
      <xdr:row>3277</xdr:row>
      <xdr:rowOff>0</xdr:rowOff>
    </xdr:to>
    <xdr:pic>
      <xdr:nvPicPr>
        <xdr:cNvPr id="14607" name="Рисунок 14606">
          <a:extLst>
            <a:ext uri="{FF2B5EF4-FFF2-40B4-BE49-F238E27FC236}">
              <a16:creationId xmlns:a16="http://schemas.microsoft.com/office/drawing/2014/main" id="{27CABDAD-E905-44B7-842B-E9CFDDB0688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3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869125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3277</xdr:row>
      <xdr:rowOff>25400</xdr:rowOff>
    </xdr:from>
    <xdr:to>
      <xdr:col>11</xdr:col>
      <xdr:colOff>571500</xdr:colOff>
      <xdr:row>3278</xdr:row>
      <xdr:rowOff>0</xdr:rowOff>
    </xdr:to>
    <xdr:pic>
      <xdr:nvPicPr>
        <xdr:cNvPr id="14609" name="Рисунок 14608">
          <a:extLst>
            <a:ext uri="{FF2B5EF4-FFF2-40B4-BE49-F238E27FC236}">
              <a16:creationId xmlns:a16="http://schemas.microsoft.com/office/drawing/2014/main" id="{927FF0F0-37A1-4106-B709-5B4889D308E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3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869697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3278</xdr:row>
      <xdr:rowOff>25400</xdr:rowOff>
    </xdr:from>
    <xdr:to>
      <xdr:col>11</xdr:col>
      <xdr:colOff>571500</xdr:colOff>
      <xdr:row>3279</xdr:row>
      <xdr:rowOff>0</xdr:rowOff>
    </xdr:to>
    <xdr:pic>
      <xdr:nvPicPr>
        <xdr:cNvPr id="14611" name="Рисунок 14610">
          <a:extLst>
            <a:ext uri="{FF2B5EF4-FFF2-40B4-BE49-F238E27FC236}">
              <a16:creationId xmlns:a16="http://schemas.microsoft.com/office/drawing/2014/main" id="{E76E3342-C1AE-450B-BECD-37C69DBC54E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3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870268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3279</xdr:row>
      <xdr:rowOff>25400</xdr:rowOff>
    </xdr:from>
    <xdr:to>
      <xdr:col>11</xdr:col>
      <xdr:colOff>571500</xdr:colOff>
      <xdr:row>3280</xdr:row>
      <xdr:rowOff>0</xdr:rowOff>
    </xdr:to>
    <xdr:pic>
      <xdr:nvPicPr>
        <xdr:cNvPr id="14613" name="Рисунок 14612">
          <a:extLst>
            <a:ext uri="{FF2B5EF4-FFF2-40B4-BE49-F238E27FC236}">
              <a16:creationId xmlns:a16="http://schemas.microsoft.com/office/drawing/2014/main" id="{B31A990A-2D5C-40C6-BBF8-780DCDB31FE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4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870840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3280</xdr:row>
      <xdr:rowOff>25400</xdr:rowOff>
    </xdr:from>
    <xdr:to>
      <xdr:col>11</xdr:col>
      <xdr:colOff>571500</xdr:colOff>
      <xdr:row>3281</xdr:row>
      <xdr:rowOff>0</xdr:rowOff>
    </xdr:to>
    <xdr:pic>
      <xdr:nvPicPr>
        <xdr:cNvPr id="14615" name="Рисунок 14614">
          <a:extLst>
            <a:ext uri="{FF2B5EF4-FFF2-40B4-BE49-F238E27FC236}">
              <a16:creationId xmlns:a16="http://schemas.microsoft.com/office/drawing/2014/main" id="{F74CEEDD-ED8D-4CEE-9F12-EF4E499A43F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4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871411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3281</xdr:row>
      <xdr:rowOff>25400</xdr:rowOff>
    </xdr:from>
    <xdr:to>
      <xdr:col>11</xdr:col>
      <xdr:colOff>571500</xdr:colOff>
      <xdr:row>3282</xdr:row>
      <xdr:rowOff>0</xdr:rowOff>
    </xdr:to>
    <xdr:pic>
      <xdr:nvPicPr>
        <xdr:cNvPr id="14617" name="Рисунок 14616">
          <a:extLst>
            <a:ext uri="{FF2B5EF4-FFF2-40B4-BE49-F238E27FC236}">
              <a16:creationId xmlns:a16="http://schemas.microsoft.com/office/drawing/2014/main" id="{22CAE781-9DED-4808-BE86-08213685149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871983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3282</xdr:row>
      <xdr:rowOff>25400</xdr:rowOff>
    </xdr:from>
    <xdr:to>
      <xdr:col>11</xdr:col>
      <xdr:colOff>571500</xdr:colOff>
      <xdr:row>3283</xdr:row>
      <xdr:rowOff>0</xdr:rowOff>
    </xdr:to>
    <xdr:pic>
      <xdr:nvPicPr>
        <xdr:cNvPr id="14619" name="Рисунок 14618">
          <a:extLst>
            <a:ext uri="{FF2B5EF4-FFF2-40B4-BE49-F238E27FC236}">
              <a16:creationId xmlns:a16="http://schemas.microsoft.com/office/drawing/2014/main" id="{00B4AB7D-F7B8-4D9E-9340-BF1AC80AC2F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872554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3283</xdr:row>
      <xdr:rowOff>25400</xdr:rowOff>
    </xdr:from>
    <xdr:to>
      <xdr:col>11</xdr:col>
      <xdr:colOff>571500</xdr:colOff>
      <xdr:row>3284</xdr:row>
      <xdr:rowOff>0</xdr:rowOff>
    </xdr:to>
    <xdr:pic>
      <xdr:nvPicPr>
        <xdr:cNvPr id="14621" name="Рисунок 14620">
          <a:extLst>
            <a:ext uri="{FF2B5EF4-FFF2-40B4-BE49-F238E27FC236}">
              <a16:creationId xmlns:a16="http://schemas.microsoft.com/office/drawing/2014/main" id="{B3CC22D7-D180-4FE6-8742-FBE31800826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873126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3284</xdr:row>
      <xdr:rowOff>25400</xdr:rowOff>
    </xdr:from>
    <xdr:to>
      <xdr:col>11</xdr:col>
      <xdr:colOff>571500</xdr:colOff>
      <xdr:row>3285</xdr:row>
      <xdr:rowOff>0</xdr:rowOff>
    </xdr:to>
    <xdr:pic>
      <xdr:nvPicPr>
        <xdr:cNvPr id="14623" name="Рисунок 14622">
          <a:extLst>
            <a:ext uri="{FF2B5EF4-FFF2-40B4-BE49-F238E27FC236}">
              <a16:creationId xmlns:a16="http://schemas.microsoft.com/office/drawing/2014/main" id="{076E0C28-506B-4F68-98F1-662E6D9E84F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4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873697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3285</xdr:row>
      <xdr:rowOff>25400</xdr:rowOff>
    </xdr:from>
    <xdr:to>
      <xdr:col>11</xdr:col>
      <xdr:colOff>571500</xdr:colOff>
      <xdr:row>3286</xdr:row>
      <xdr:rowOff>0</xdr:rowOff>
    </xdr:to>
    <xdr:pic>
      <xdr:nvPicPr>
        <xdr:cNvPr id="14625" name="Рисунок 14624">
          <a:extLst>
            <a:ext uri="{FF2B5EF4-FFF2-40B4-BE49-F238E27FC236}">
              <a16:creationId xmlns:a16="http://schemas.microsoft.com/office/drawing/2014/main" id="{1C5BB0B6-A5CE-4774-A1F7-35D656348DC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4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874269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3286</xdr:row>
      <xdr:rowOff>25400</xdr:rowOff>
    </xdr:from>
    <xdr:to>
      <xdr:col>11</xdr:col>
      <xdr:colOff>571500</xdr:colOff>
      <xdr:row>3287</xdr:row>
      <xdr:rowOff>0</xdr:rowOff>
    </xdr:to>
    <xdr:pic>
      <xdr:nvPicPr>
        <xdr:cNvPr id="14627" name="Рисунок 14626">
          <a:extLst>
            <a:ext uri="{FF2B5EF4-FFF2-40B4-BE49-F238E27FC236}">
              <a16:creationId xmlns:a16="http://schemas.microsoft.com/office/drawing/2014/main" id="{4213BC70-0CA2-48F6-87D5-01D7D5574E4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4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874840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3287</xdr:row>
      <xdr:rowOff>25400</xdr:rowOff>
    </xdr:from>
    <xdr:to>
      <xdr:col>11</xdr:col>
      <xdr:colOff>571500</xdr:colOff>
      <xdr:row>3288</xdr:row>
      <xdr:rowOff>0</xdr:rowOff>
    </xdr:to>
    <xdr:pic>
      <xdr:nvPicPr>
        <xdr:cNvPr id="14629" name="Рисунок 14628">
          <a:extLst>
            <a:ext uri="{FF2B5EF4-FFF2-40B4-BE49-F238E27FC236}">
              <a16:creationId xmlns:a16="http://schemas.microsoft.com/office/drawing/2014/main" id="{90A5678A-66D9-4E23-888B-560AB19B969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4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875412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3288</xdr:row>
      <xdr:rowOff>25400</xdr:rowOff>
    </xdr:from>
    <xdr:to>
      <xdr:col>11</xdr:col>
      <xdr:colOff>571500</xdr:colOff>
      <xdr:row>3289</xdr:row>
      <xdr:rowOff>0</xdr:rowOff>
    </xdr:to>
    <xdr:pic>
      <xdr:nvPicPr>
        <xdr:cNvPr id="14631" name="Рисунок 14630">
          <a:extLst>
            <a:ext uri="{FF2B5EF4-FFF2-40B4-BE49-F238E27FC236}">
              <a16:creationId xmlns:a16="http://schemas.microsoft.com/office/drawing/2014/main" id="{CB7F11BC-93CF-47E2-8928-1B6A54BBA17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4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875983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3289</xdr:row>
      <xdr:rowOff>25400</xdr:rowOff>
    </xdr:from>
    <xdr:to>
      <xdr:col>11</xdr:col>
      <xdr:colOff>571500</xdr:colOff>
      <xdr:row>3290</xdr:row>
      <xdr:rowOff>0</xdr:rowOff>
    </xdr:to>
    <xdr:pic>
      <xdr:nvPicPr>
        <xdr:cNvPr id="14633" name="Рисунок 14632">
          <a:extLst>
            <a:ext uri="{FF2B5EF4-FFF2-40B4-BE49-F238E27FC236}">
              <a16:creationId xmlns:a16="http://schemas.microsoft.com/office/drawing/2014/main" id="{F67B0D5F-AB81-427A-9F35-FAF6B7EB3E5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5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876555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3290</xdr:row>
      <xdr:rowOff>25400</xdr:rowOff>
    </xdr:from>
    <xdr:to>
      <xdr:col>11</xdr:col>
      <xdr:colOff>571500</xdr:colOff>
      <xdr:row>3291</xdr:row>
      <xdr:rowOff>0</xdr:rowOff>
    </xdr:to>
    <xdr:pic>
      <xdr:nvPicPr>
        <xdr:cNvPr id="14635" name="Рисунок 14634">
          <a:extLst>
            <a:ext uri="{FF2B5EF4-FFF2-40B4-BE49-F238E27FC236}">
              <a16:creationId xmlns:a16="http://schemas.microsoft.com/office/drawing/2014/main" id="{D1580802-6F75-4D3E-B27C-798FF365DC6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5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877126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3291</xdr:row>
      <xdr:rowOff>25400</xdr:rowOff>
    </xdr:from>
    <xdr:to>
      <xdr:col>11</xdr:col>
      <xdr:colOff>571500</xdr:colOff>
      <xdr:row>3292</xdr:row>
      <xdr:rowOff>0</xdr:rowOff>
    </xdr:to>
    <xdr:pic>
      <xdr:nvPicPr>
        <xdr:cNvPr id="14637" name="Рисунок 14636">
          <a:extLst>
            <a:ext uri="{FF2B5EF4-FFF2-40B4-BE49-F238E27FC236}">
              <a16:creationId xmlns:a16="http://schemas.microsoft.com/office/drawing/2014/main" id="{06123C9D-0C6E-4430-BFF2-4FEF49A6130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877698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3292</xdr:row>
      <xdr:rowOff>25400</xdr:rowOff>
    </xdr:from>
    <xdr:to>
      <xdr:col>11</xdr:col>
      <xdr:colOff>571500</xdr:colOff>
      <xdr:row>3293</xdr:row>
      <xdr:rowOff>0</xdr:rowOff>
    </xdr:to>
    <xdr:pic>
      <xdr:nvPicPr>
        <xdr:cNvPr id="14639" name="Рисунок 14638">
          <a:extLst>
            <a:ext uri="{FF2B5EF4-FFF2-40B4-BE49-F238E27FC236}">
              <a16:creationId xmlns:a16="http://schemas.microsoft.com/office/drawing/2014/main" id="{F1A9548B-2EF6-4C7F-9A66-F867171C690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5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878269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3293</xdr:row>
      <xdr:rowOff>25400</xdr:rowOff>
    </xdr:from>
    <xdr:to>
      <xdr:col>11</xdr:col>
      <xdr:colOff>571500</xdr:colOff>
      <xdr:row>3294</xdr:row>
      <xdr:rowOff>0</xdr:rowOff>
    </xdr:to>
    <xdr:pic>
      <xdr:nvPicPr>
        <xdr:cNvPr id="14641" name="Рисунок 14640">
          <a:extLst>
            <a:ext uri="{FF2B5EF4-FFF2-40B4-BE49-F238E27FC236}">
              <a16:creationId xmlns:a16="http://schemas.microsoft.com/office/drawing/2014/main" id="{299C5746-2168-49EC-B863-4BA5DE989F2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5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878841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3294</xdr:row>
      <xdr:rowOff>25400</xdr:rowOff>
    </xdr:from>
    <xdr:to>
      <xdr:col>11</xdr:col>
      <xdr:colOff>571500</xdr:colOff>
      <xdr:row>3295</xdr:row>
      <xdr:rowOff>0</xdr:rowOff>
    </xdr:to>
    <xdr:pic>
      <xdr:nvPicPr>
        <xdr:cNvPr id="14643" name="Рисунок 14642">
          <a:extLst>
            <a:ext uri="{FF2B5EF4-FFF2-40B4-BE49-F238E27FC236}">
              <a16:creationId xmlns:a16="http://schemas.microsoft.com/office/drawing/2014/main" id="{3B40C5E4-4045-4736-B7BD-3728606FC27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5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879412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3295</xdr:row>
      <xdr:rowOff>25400</xdr:rowOff>
    </xdr:from>
    <xdr:to>
      <xdr:col>11</xdr:col>
      <xdr:colOff>571500</xdr:colOff>
      <xdr:row>3296</xdr:row>
      <xdr:rowOff>0</xdr:rowOff>
    </xdr:to>
    <xdr:pic>
      <xdr:nvPicPr>
        <xdr:cNvPr id="14645" name="Рисунок 14644">
          <a:extLst>
            <a:ext uri="{FF2B5EF4-FFF2-40B4-BE49-F238E27FC236}">
              <a16:creationId xmlns:a16="http://schemas.microsoft.com/office/drawing/2014/main" id="{572B2D20-6A0C-4CAB-BE27-734BF7B8B67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5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879984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3296</xdr:row>
      <xdr:rowOff>25400</xdr:rowOff>
    </xdr:from>
    <xdr:to>
      <xdr:col>11</xdr:col>
      <xdr:colOff>571500</xdr:colOff>
      <xdr:row>3297</xdr:row>
      <xdr:rowOff>0</xdr:rowOff>
    </xdr:to>
    <xdr:pic>
      <xdr:nvPicPr>
        <xdr:cNvPr id="14647" name="Рисунок 14646">
          <a:extLst>
            <a:ext uri="{FF2B5EF4-FFF2-40B4-BE49-F238E27FC236}">
              <a16:creationId xmlns:a16="http://schemas.microsoft.com/office/drawing/2014/main" id="{A390113F-0306-44C7-BAD8-4BD369830FC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5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880555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3297</xdr:row>
      <xdr:rowOff>25400</xdr:rowOff>
    </xdr:from>
    <xdr:to>
      <xdr:col>11</xdr:col>
      <xdr:colOff>571500</xdr:colOff>
      <xdr:row>3298</xdr:row>
      <xdr:rowOff>0</xdr:rowOff>
    </xdr:to>
    <xdr:pic>
      <xdr:nvPicPr>
        <xdr:cNvPr id="14649" name="Рисунок 14648">
          <a:extLst>
            <a:ext uri="{FF2B5EF4-FFF2-40B4-BE49-F238E27FC236}">
              <a16:creationId xmlns:a16="http://schemas.microsoft.com/office/drawing/2014/main" id="{223DE2FA-1E63-4B6C-9532-E30AB7D7BA1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5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881127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3298</xdr:row>
      <xdr:rowOff>25400</xdr:rowOff>
    </xdr:from>
    <xdr:to>
      <xdr:col>11</xdr:col>
      <xdr:colOff>571500</xdr:colOff>
      <xdr:row>3299</xdr:row>
      <xdr:rowOff>0</xdr:rowOff>
    </xdr:to>
    <xdr:pic>
      <xdr:nvPicPr>
        <xdr:cNvPr id="14651" name="Рисунок 14650">
          <a:extLst>
            <a:ext uri="{FF2B5EF4-FFF2-40B4-BE49-F238E27FC236}">
              <a16:creationId xmlns:a16="http://schemas.microsoft.com/office/drawing/2014/main" id="{EBF419E6-6239-43A2-968D-AB7A3CC674D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5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881698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3299</xdr:row>
      <xdr:rowOff>25400</xdr:rowOff>
    </xdr:from>
    <xdr:to>
      <xdr:col>11</xdr:col>
      <xdr:colOff>571500</xdr:colOff>
      <xdr:row>3300</xdr:row>
      <xdr:rowOff>0</xdr:rowOff>
    </xdr:to>
    <xdr:pic>
      <xdr:nvPicPr>
        <xdr:cNvPr id="14653" name="Рисунок 14652">
          <a:extLst>
            <a:ext uri="{FF2B5EF4-FFF2-40B4-BE49-F238E27FC236}">
              <a16:creationId xmlns:a16="http://schemas.microsoft.com/office/drawing/2014/main" id="{87490551-5FF8-47E2-A5A2-AA18ACBD9E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6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882270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3300</xdr:row>
      <xdr:rowOff>25400</xdr:rowOff>
    </xdr:from>
    <xdr:to>
      <xdr:col>11</xdr:col>
      <xdr:colOff>571500</xdr:colOff>
      <xdr:row>3301</xdr:row>
      <xdr:rowOff>0</xdr:rowOff>
    </xdr:to>
    <xdr:pic>
      <xdr:nvPicPr>
        <xdr:cNvPr id="14655" name="Рисунок 14654">
          <a:extLst>
            <a:ext uri="{FF2B5EF4-FFF2-40B4-BE49-F238E27FC236}">
              <a16:creationId xmlns:a16="http://schemas.microsoft.com/office/drawing/2014/main" id="{B898B560-9A3B-4C77-B501-99232EBCE2D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6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882841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3301</xdr:row>
      <xdr:rowOff>25400</xdr:rowOff>
    </xdr:from>
    <xdr:to>
      <xdr:col>11</xdr:col>
      <xdr:colOff>571500</xdr:colOff>
      <xdr:row>3302</xdr:row>
      <xdr:rowOff>0</xdr:rowOff>
    </xdr:to>
    <xdr:pic>
      <xdr:nvPicPr>
        <xdr:cNvPr id="14657" name="Рисунок 14656">
          <a:extLst>
            <a:ext uri="{FF2B5EF4-FFF2-40B4-BE49-F238E27FC236}">
              <a16:creationId xmlns:a16="http://schemas.microsoft.com/office/drawing/2014/main" id="{71246F5E-6FEE-41BD-AA0D-E6E7097CA00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6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883413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3302</xdr:row>
      <xdr:rowOff>25400</xdr:rowOff>
    </xdr:from>
    <xdr:to>
      <xdr:col>11</xdr:col>
      <xdr:colOff>571500</xdr:colOff>
      <xdr:row>3303</xdr:row>
      <xdr:rowOff>0</xdr:rowOff>
    </xdr:to>
    <xdr:pic>
      <xdr:nvPicPr>
        <xdr:cNvPr id="14659" name="Рисунок 14658">
          <a:extLst>
            <a:ext uri="{FF2B5EF4-FFF2-40B4-BE49-F238E27FC236}">
              <a16:creationId xmlns:a16="http://schemas.microsoft.com/office/drawing/2014/main" id="{8F2F1736-8075-4E68-A3AB-8241D50FB05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6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883984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3303</xdr:row>
      <xdr:rowOff>25400</xdr:rowOff>
    </xdr:from>
    <xdr:to>
      <xdr:col>11</xdr:col>
      <xdr:colOff>571500</xdr:colOff>
      <xdr:row>3304</xdr:row>
      <xdr:rowOff>0</xdr:rowOff>
    </xdr:to>
    <xdr:pic>
      <xdr:nvPicPr>
        <xdr:cNvPr id="14661" name="Рисунок 14660">
          <a:extLst>
            <a:ext uri="{FF2B5EF4-FFF2-40B4-BE49-F238E27FC236}">
              <a16:creationId xmlns:a16="http://schemas.microsoft.com/office/drawing/2014/main" id="{3C4EF3F3-F1F3-41F0-BA30-E3360FF9D0B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6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884556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3304</xdr:row>
      <xdr:rowOff>25400</xdr:rowOff>
    </xdr:from>
    <xdr:to>
      <xdr:col>11</xdr:col>
      <xdr:colOff>571500</xdr:colOff>
      <xdr:row>3305</xdr:row>
      <xdr:rowOff>0</xdr:rowOff>
    </xdr:to>
    <xdr:pic>
      <xdr:nvPicPr>
        <xdr:cNvPr id="14663" name="Рисунок 14662">
          <a:extLst>
            <a:ext uri="{FF2B5EF4-FFF2-40B4-BE49-F238E27FC236}">
              <a16:creationId xmlns:a16="http://schemas.microsoft.com/office/drawing/2014/main" id="{2D179ED4-3BB3-4BDB-A683-AA5D5A2175E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6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885127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3305</xdr:row>
      <xdr:rowOff>25400</xdr:rowOff>
    </xdr:from>
    <xdr:to>
      <xdr:col>11</xdr:col>
      <xdr:colOff>571500</xdr:colOff>
      <xdr:row>3306</xdr:row>
      <xdr:rowOff>0</xdr:rowOff>
    </xdr:to>
    <xdr:pic>
      <xdr:nvPicPr>
        <xdr:cNvPr id="14665" name="Рисунок 14664">
          <a:extLst>
            <a:ext uri="{FF2B5EF4-FFF2-40B4-BE49-F238E27FC236}">
              <a16:creationId xmlns:a16="http://schemas.microsoft.com/office/drawing/2014/main" id="{74CEAA3B-FB91-4144-97F0-2509349826B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6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885699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3306</xdr:row>
      <xdr:rowOff>25400</xdr:rowOff>
    </xdr:from>
    <xdr:to>
      <xdr:col>11</xdr:col>
      <xdr:colOff>571500</xdr:colOff>
      <xdr:row>3307</xdr:row>
      <xdr:rowOff>0</xdr:rowOff>
    </xdr:to>
    <xdr:pic>
      <xdr:nvPicPr>
        <xdr:cNvPr id="14667" name="Рисунок 14666">
          <a:extLst>
            <a:ext uri="{FF2B5EF4-FFF2-40B4-BE49-F238E27FC236}">
              <a16:creationId xmlns:a16="http://schemas.microsoft.com/office/drawing/2014/main" id="{C43563C8-F7E1-4DD0-BB04-E65BEFB5B29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6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886270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3307</xdr:row>
      <xdr:rowOff>25400</xdr:rowOff>
    </xdr:from>
    <xdr:to>
      <xdr:col>11</xdr:col>
      <xdr:colOff>571500</xdr:colOff>
      <xdr:row>3308</xdr:row>
      <xdr:rowOff>0</xdr:rowOff>
    </xdr:to>
    <xdr:pic>
      <xdr:nvPicPr>
        <xdr:cNvPr id="14669" name="Рисунок 14668">
          <a:extLst>
            <a:ext uri="{FF2B5EF4-FFF2-40B4-BE49-F238E27FC236}">
              <a16:creationId xmlns:a16="http://schemas.microsoft.com/office/drawing/2014/main" id="{F7F93149-CA04-48B6-AD42-7670F3218EE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6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886842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3308</xdr:row>
      <xdr:rowOff>25400</xdr:rowOff>
    </xdr:from>
    <xdr:to>
      <xdr:col>11</xdr:col>
      <xdr:colOff>571500</xdr:colOff>
      <xdr:row>3309</xdr:row>
      <xdr:rowOff>0</xdr:rowOff>
    </xdr:to>
    <xdr:pic>
      <xdr:nvPicPr>
        <xdr:cNvPr id="14671" name="Рисунок 14670">
          <a:extLst>
            <a:ext uri="{FF2B5EF4-FFF2-40B4-BE49-F238E27FC236}">
              <a16:creationId xmlns:a16="http://schemas.microsoft.com/office/drawing/2014/main" id="{ABB0C3F2-4125-4A03-A674-6AB0FE330A3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6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887413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3309</xdr:row>
      <xdr:rowOff>25400</xdr:rowOff>
    </xdr:from>
    <xdr:to>
      <xdr:col>11</xdr:col>
      <xdr:colOff>571500</xdr:colOff>
      <xdr:row>3310</xdr:row>
      <xdr:rowOff>0</xdr:rowOff>
    </xdr:to>
    <xdr:pic>
      <xdr:nvPicPr>
        <xdr:cNvPr id="14673" name="Рисунок 14672">
          <a:extLst>
            <a:ext uri="{FF2B5EF4-FFF2-40B4-BE49-F238E27FC236}">
              <a16:creationId xmlns:a16="http://schemas.microsoft.com/office/drawing/2014/main" id="{5AD138C7-1B19-4C09-BBF9-0C267C85E28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7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887985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3310</xdr:row>
      <xdr:rowOff>25400</xdr:rowOff>
    </xdr:from>
    <xdr:to>
      <xdr:col>11</xdr:col>
      <xdr:colOff>571500</xdr:colOff>
      <xdr:row>3311</xdr:row>
      <xdr:rowOff>0</xdr:rowOff>
    </xdr:to>
    <xdr:pic>
      <xdr:nvPicPr>
        <xdr:cNvPr id="14675" name="Рисунок 14674">
          <a:extLst>
            <a:ext uri="{FF2B5EF4-FFF2-40B4-BE49-F238E27FC236}">
              <a16:creationId xmlns:a16="http://schemas.microsoft.com/office/drawing/2014/main" id="{6D21920F-C102-4359-9DF8-A21305E8833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7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888556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3311</xdr:row>
      <xdr:rowOff>25400</xdr:rowOff>
    </xdr:from>
    <xdr:to>
      <xdr:col>11</xdr:col>
      <xdr:colOff>571500</xdr:colOff>
      <xdr:row>3312</xdr:row>
      <xdr:rowOff>0</xdr:rowOff>
    </xdr:to>
    <xdr:pic>
      <xdr:nvPicPr>
        <xdr:cNvPr id="14677" name="Рисунок 14676">
          <a:extLst>
            <a:ext uri="{FF2B5EF4-FFF2-40B4-BE49-F238E27FC236}">
              <a16:creationId xmlns:a16="http://schemas.microsoft.com/office/drawing/2014/main" id="{94E2E93D-BE88-4670-A301-8C1991830FF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7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889128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3312</xdr:row>
      <xdr:rowOff>25400</xdr:rowOff>
    </xdr:from>
    <xdr:to>
      <xdr:col>11</xdr:col>
      <xdr:colOff>571500</xdr:colOff>
      <xdr:row>3313</xdr:row>
      <xdr:rowOff>0</xdr:rowOff>
    </xdr:to>
    <xdr:pic>
      <xdr:nvPicPr>
        <xdr:cNvPr id="14679" name="Рисунок 14678">
          <a:extLst>
            <a:ext uri="{FF2B5EF4-FFF2-40B4-BE49-F238E27FC236}">
              <a16:creationId xmlns:a16="http://schemas.microsoft.com/office/drawing/2014/main" id="{D7C1D4DC-46A6-420E-B212-707183781E4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7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889699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3313</xdr:row>
      <xdr:rowOff>25400</xdr:rowOff>
    </xdr:from>
    <xdr:to>
      <xdr:col>11</xdr:col>
      <xdr:colOff>571500</xdr:colOff>
      <xdr:row>3314</xdr:row>
      <xdr:rowOff>0</xdr:rowOff>
    </xdr:to>
    <xdr:pic>
      <xdr:nvPicPr>
        <xdr:cNvPr id="14681" name="Рисунок 14680">
          <a:extLst>
            <a:ext uri="{FF2B5EF4-FFF2-40B4-BE49-F238E27FC236}">
              <a16:creationId xmlns:a16="http://schemas.microsoft.com/office/drawing/2014/main" id="{03298C74-4866-4EB5-B58D-5DC12B54208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7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890271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3314</xdr:row>
      <xdr:rowOff>25400</xdr:rowOff>
    </xdr:from>
    <xdr:to>
      <xdr:col>11</xdr:col>
      <xdr:colOff>571500</xdr:colOff>
      <xdr:row>3315</xdr:row>
      <xdr:rowOff>0</xdr:rowOff>
    </xdr:to>
    <xdr:pic>
      <xdr:nvPicPr>
        <xdr:cNvPr id="14683" name="Рисунок 14682">
          <a:extLst>
            <a:ext uri="{FF2B5EF4-FFF2-40B4-BE49-F238E27FC236}">
              <a16:creationId xmlns:a16="http://schemas.microsoft.com/office/drawing/2014/main" id="{046D64E8-F2D4-45AE-B01A-E741735996B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7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890842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3315</xdr:row>
      <xdr:rowOff>25400</xdr:rowOff>
    </xdr:from>
    <xdr:to>
      <xdr:col>11</xdr:col>
      <xdr:colOff>571500</xdr:colOff>
      <xdr:row>3316</xdr:row>
      <xdr:rowOff>0</xdr:rowOff>
    </xdr:to>
    <xdr:pic>
      <xdr:nvPicPr>
        <xdr:cNvPr id="14685" name="Рисунок 14684">
          <a:extLst>
            <a:ext uri="{FF2B5EF4-FFF2-40B4-BE49-F238E27FC236}">
              <a16:creationId xmlns:a16="http://schemas.microsoft.com/office/drawing/2014/main" id="{4E584564-AB6C-475E-AEA2-5E310D26A6E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7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891414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3316</xdr:row>
      <xdr:rowOff>25400</xdr:rowOff>
    </xdr:from>
    <xdr:to>
      <xdr:col>11</xdr:col>
      <xdr:colOff>571500</xdr:colOff>
      <xdr:row>3317</xdr:row>
      <xdr:rowOff>0</xdr:rowOff>
    </xdr:to>
    <xdr:pic>
      <xdr:nvPicPr>
        <xdr:cNvPr id="14687" name="Рисунок 14686">
          <a:extLst>
            <a:ext uri="{FF2B5EF4-FFF2-40B4-BE49-F238E27FC236}">
              <a16:creationId xmlns:a16="http://schemas.microsoft.com/office/drawing/2014/main" id="{A43B240D-B237-46D0-84EF-A9DCB3ABD42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7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891985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3317</xdr:row>
      <xdr:rowOff>25400</xdr:rowOff>
    </xdr:from>
    <xdr:to>
      <xdr:col>11</xdr:col>
      <xdr:colOff>571500</xdr:colOff>
      <xdr:row>3318</xdr:row>
      <xdr:rowOff>0</xdr:rowOff>
    </xdr:to>
    <xdr:pic>
      <xdr:nvPicPr>
        <xdr:cNvPr id="14689" name="Рисунок 14688">
          <a:extLst>
            <a:ext uri="{FF2B5EF4-FFF2-40B4-BE49-F238E27FC236}">
              <a16:creationId xmlns:a16="http://schemas.microsoft.com/office/drawing/2014/main" id="{A32104AF-E36C-4F27-8C17-6B42EF0AE9A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7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892557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3318</xdr:row>
      <xdr:rowOff>25400</xdr:rowOff>
    </xdr:from>
    <xdr:to>
      <xdr:col>11</xdr:col>
      <xdr:colOff>571500</xdr:colOff>
      <xdr:row>3319</xdr:row>
      <xdr:rowOff>0</xdr:rowOff>
    </xdr:to>
    <xdr:pic>
      <xdr:nvPicPr>
        <xdr:cNvPr id="14691" name="Рисунок 14690">
          <a:extLst>
            <a:ext uri="{FF2B5EF4-FFF2-40B4-BE49-F238E27FC236}">
              <a16:creationId xmlns:a16="http://schemas.microsoft.com/office/drawing/2014/main" id="{42E0A64F-95E1-482D-8D0D-C84908A9C3E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7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893128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3319</xdr:row>
      <xdr:rowOff>25400</xdr:rowOff>
    </xdr:from>
    <xdr:to>
      <xdr:col>11</xdr:col>
      <xdr:colOff>571500</xdr:colOff>
      <xdr:row>3320</xdr:row>
      <xdr:rowOff>0</xdr:rowOff>
    </xdr:to>
    <xdr:pic>
      <xdr:nvPicPr>
        <xdr:cNvPr id="14693" name="Рисунок 14692">
          <a:extLst>
            <a:ext uri="{FF2B5EF4-FFF2-40B4-BE49-F238E27FC236}">
              <a16:creationId xmlns:a16="http://schemas.microsoft.com/office/drawing/2014/main" id="{EFC63C55-08BD-4766-94CA-254F9A575C8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8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893700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3320</xdr:row>
      <xdr:rowOff>25400</xdr:rowOff>
    </xdr:from>
    <xdr:to>
      <xdr:col>11</xdr:col>
      <xdr:colOff>571500</xdr:colOff>
      <xdr:row>3321</xdr:row>
      <xdr:rowOff>0</xdr:rowOff>
    </xdr:to>
    <xdr:pic>
      <xdr:nvPicPr>
        <xdr:cNvPr id="14695" name="Рисунок 14694">
          <a:extLst>
            <a:ext uri="{FF2B5EF4-FFF2-40B4-BE49-F238E27FC236}">
              <a16:creationId xmlns:a16="http://schemas.microsoft.com/office/drawing/2014/main" id="{5260FAD7-31C8-4DDE-999D-BEF121336AA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8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894271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3321</xdr:row>
      <xdr:rowOff>25400</xdr:rowOff>
    </xdr:from>
    <xdr:to>
      <xdr:col>11</xdr:col>
      <xdr:colOff>571500</xdr:colOff>
      <xdr:row>3322</xdr:row>
      <xdr:rowOff>0</xdr:rowOff>
    </xdr:to>
    <xdr:pic>
      <xdr:nvPicPr>
        <xdr:cNvPr id="14697" name="Рисунок 14696">
          <a:extLst>
            <a:ext uri="{FF2B5EF4-FFF2-40B4-BE49-F238E27FC236}">
              <a16:creationId xmlns:a16="http://schemas.microsoft.com/office/drawing/2014/main" id="{EE8FF688-9050-49CF-86AF-BC9E6E068D8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8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894843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3322</xdr:row>
      <xdr:rowOff>25400</xdr:rowOff>
    </xdr:from>
    <xdr:to>
      <xdr:col>11</xdr:col>
      <xdr:colOff>571500</xdr:colOff>
      <xdr:row>3323</xdr:row>
      <xdr:rowOff>0</xdr:rowOff>
    </xdr:to>
    <xdr:pic>
      <xdr:nvPicPr>
        <xdr:cNvPr id="14699" name="Рисунок 14698">
          <a:extLst>
            <a:ext uri="{FF2B5EF4-FFF2-40B4-BE49-F238E27FC236}">
              <a16:creationId xmlns:a16="http://schemas.microsoft.com/office/drawing/2014/main" id="{83AB5A4F-4E35-478E-918D-BEFA1468DC8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8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895414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3323</xdr:row>
      <xdr:rowOff>25400</xdr:rowOff>
    </xdr:from>
    <xdr:to>
      <xdr:col>11</xdr:col>
      <xdr:colOff>571500</xdr:colOff>
      <xdr:row>3324</xdr:row>
      <xdr:rowOff>0</xdr:rowOff>
    </xdr:to>
    <xdr:pic>
      <xdr:nvPicPr>
        <xdr:cNvPr id="14701" name="Рисунок 14700">
          <a:extLst>
            <a:ext uri="{FF2B5EF4-FFF2-40B4-BE49-F238E27FC236}">
              <a16:creationId xmlns:a16="http://schemas.microsoft.com/office/drawing/2014/main" id="{5229CA6E-363D-412C-8F63-B7CF174AFBA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8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895986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3324</xdr:row>
      <xdr:rowOff>25400</xdr:rowOff>
    </xdr:from>
    <xdr:to>
      <xdr:col>11</xdr:col>
      <xdr:colOff>571500</xdr:colOff>
      <xdr:row>3325</xdr:row>
      <xdr:rowOff>0</xdr:rowOff>
    </xdr:to>
    <xdr:pic>
      <xdr:nvPicPr>
        <xdr:cNvPr id="14703" name="Рисунок 14702">
          <a:extLst>
            <a:ext uri="{FF2B5EF4-FFF2-40B4-BE49-F238E27FC236}">
              <a16:creationId xmlns:a16="http://schemas.microsoft.com/office/drawing/2014/main" id="{EBF0F984-32E7-434F-A9A2-71F6507B807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8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896557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3325</xdr:row>
      <xdr:rowOff>25400</xdr:rowOff>
    </xdr:from>
    <xdr:to>
      <xdr:col>11</xdr:col>
      <xdr:colOff>571500</xdr:colOff>
      <xdr:row>3326</xdr:row>
      <xdr:rowOff>0</xdr:rowOff>
    </xdr:to>
    <xdr:pic>
      <xdr:nvPicPr>
        <xdr:cNvPr id="14705" name="Рисунок 14704">
          <a:extLst>
            <a:ext uri="{FF2B5EF4-FFF2-40B4-BE49-F238E27FC236}">
              <a16:creationId xmlns:a16="http://schemas.microsoft.com/office/drawing/2014/main" id="{9D5BB658-C4A0-4935-A0E8-C1467F498B7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8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897129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3326</xdr:row>
      <xdr:rowOff>25400</xdr:rowOff>
    </xdr:from>
    <xdr:to>
      <xdr:col>11</xdr:col>
      <xdr:colOff>571500</xdr:colOff>
      <xdr:row>3327</xdr:row>
      <xdr:rowOff>0</xdr:rowOff>
    </xdr:to>
    <xdr:pic>
      <xdr:nvPicPr>
        <xdr:cNvPr id="14707" name="Рисунок 14706">
          <a:extLst>
            <a:ext uri="{FF2B5EF4-FFF2-40B4-BE49-F238E27FC236}">
              <a16:creationId xmlns:a16="http://schemas.microsoft.com/office/drawing/2014/main" id="{8252A966-0926-4644-ADB7-AEDE4DDDE33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8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897700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3327</xdr:row>
      <xdr:rowOff>25400</xdr:rowOff>
    </xdr:from>
    <xdr:to>
      <xdr:col>11</xdr:col>
      <xdr:colOff>571500</xdr:colOff>
      <xdr:row>3328</xdr:row>
      <xdr:rowOff>0</xdr:rowOff>
    </xdr:to>
    <xdr:pic>
      <xdr:nvPicPr>
        <xdr:cNvPr id="14709" name="Рисунок 14708">
          <a:extLst>
            <a:ext uri="{FF2B5EF4-FFF2-40B4-BE49-F238E27FC236}">
              <a16:creationId xmlns:a16="http://schemas.microsoft.com/office/drawing/2014/main" id="{9A8610E6-7CB3-45A9-B030-779F05FC83F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8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898272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3328</xdr:row>
      <xdr:rowOff>25400</xdr:rowOff>
    </xdr:from>
    <xdr:to>
      <xdr:col>11</xdr:col>
      <xdr:colOff>571500</xdr:colOff>
      <xdr:row>3329</xdr:row>
      <xdr:rowOff>0</xdr:rowOff>
    </xdr:to>
    <xdr:pic>
      <xdr:nvPicPr>
        <xdr:cNvPr id="14711" name="Рисунок 14710">
          <a:extLst>
            <a:ext uri="{FF2B5EF4-FFF2-40B4-BE49-F238E27FC236}">
              <a16:creationId xmlns:a16="http://schemas.microsoft.com/office/drawing/2014/main" id="{34F57758-4E75-407F-A442-B1D17A17BFA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8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898843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3329</xdr:row>
      <xdr:rowOff>25400</xdr:rowOff>
    </xdr:from>
    <xdr:to>
      <xdr:col>11</xdr:col>
      <xdr:colOff>571500</xdr:colOff>
      <xdr:row>3330</xdr:row>
      <xdr:rowOff>0</xdr:rowOff>
    </xdr:to>
    <xdr:pic>
      <xdr:nvPicPr>
        <xdr:cNvPr id="14713" name="Рисунок 14712">
          <a:extLst>
            <a:ext uri="{FF2B5EF4-FFF2-40B4-BE49-F238E27FC236}">
              <a16:creationId xmlns:a16="http://schemas.microsoft.com/office/drawing/2014/main" id="{4E58A77D-96AD-42C4-8C71-46A44C921FA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9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899415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3330</xdr:row>
      <xdr:rowOff>25400</xdr:rowOff>
    </xdr:from>
    <xdr:to>
      <xdr:col>11</xdr:col>
      <xdr:colOff>571500</xdr:colOff>
      <xdr:row>3331</xdr:row>
      <xdr:rowOff>0</xdr:rowOff>
    </xdr:to>
    <xdr:pic>
      <xdr:nvPicPr>
        <xdr:cNvPr id="14715" name="Рисунок 14714">
          <a:extLst>
            <a:ext uri="{FF2B5EF4-FFF2-40B4-BE49-F238E27FC236}">
              <a16:creationId xmlns:a16="http://schemas.microsoft.com/office/drawing/2014/main" id="{6F9E7415-5740-487B-A15B-BAEA946E864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9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899986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3331</xdr:row>
      <xdr:rowOff>25400</xdr:rowOff>
    </xdr:from>
    <xdr:to>
      <xdr:col>11</xdr:col>
      <xdr:colOff>571500</xdr:colOff>
      <xdr:row>3332</xdr:row>
      <xdr:rowOff>0</xdr:rowOff>
    </xdr:to>
    <xdr:pic>
      <xdr:nvPicPr>
        <xdr:cNvPr id="14717" name="Рисунок 14716">
          <a:extLst>
            <a:ext uri="{FF2B5EF4-FFF2-40B4-BE49-F238E27FC236}">
              <a16:creationId xmlns:a16="http://schemas.microsoft.com/office/drawing/2014/main" id="{AD80DF94-3FBC-4C61-8D8F-D1E4669FAA0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9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900558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3332</xdr:row>
      <xdr:rowOff>25400</xdr:rowOff>
    </xdr:from>
    <xdr:to>
      <xdr:col>11</xdr:col>
      <xdr:colOff>571500</xdr:colOff>
      <xdr:row>3333</xdr:row>
      <xdr:rowOff>0</xdr:rowOff>
    </xdr:to>
    <xdr:pic>
      <xdr:nvPicPr>
        <xdr:cNvPr id="14719" name="Рисунок 14718">
          <a:extLst>
            <a:ext uri="{FF2B5EF4-FFF2-40B4-BE49-F238E27FC236}">
              <a16:creationId xmlns:a16="http://schemas.microsoft.com/office/drawing/2014/main" id="{6BB178EA-6919-41F0-8D8E-FF363AB8DA1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9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901129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3333</xdr:row>
      <xdr:rowOff>25400</xdr:rowOff>
    </xdr:from>
    <xdr:to>
      <xdr:col>11</xdr:col>
      <xdr:colOff>571500</xdr:colOff>
      <xdr:row>3334</xdr:row>
      <xdr:rowOff>0</xdr:rowOff>
    </xdr:to>
    <xdr:pic>
      <xdr:nvPicPr>
        <xdr:cNvPr id="14721" name="Рисунок 14720">
          <a:extLst>
            <a:ext uri="{FF2B5EF4-FFF2-40B4-BE49-F238E27FC236}">
              <a16:creationId xmlns:a16="http://schemas.microsoft.com/office/drawing/2014/main" id="{5F72738B-357C-439D-864B-CEFB31E73B1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9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901701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3334</xdr:row>
      <xdr:rowOff>25400</xdr:rowOff>
    </xdr:from>
    <xdr:to>
      <xdr:col>11</xdr:col>
      <xdr:colOff>571500</xdr:colOff>
      <xdr:row>3335</xdr:row>
      <xdr:rowOff>0</xdr:rowOff>
    </xdr:to>
    <xdr:pic>
      <xdr:nvPicPr>
        <xdr:cNvPr id="14723" name="Рисунок 14722">
          <a:extLst>
            <a:ext uri="{FF2B5EF4-FFF2-40B4-BE49-F238E27FC236}">
              <a16:creationId xmlns:a16="http://schemas.microsoft.com/office/drawing/2014/main" id="{07181022-5281-4D62-8230-35C1FBBDD38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9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902272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3335</xdr:row>
      <xdr:rowOff>25400</xdr:rowOff>
    </xdr:from>
    <xdr:to>
      <xdr:col>11</xdr:col>
      <xdr:colOff>571500</xdr:colOff>
      <xdr:row>3336</xdr:row>
      <xdr:rowOff>0</xdr:rowOff>
    </xdr:to>
    <xdr:pic>
      <xdr:nvPicPr>
        <xdr:cNvPr id="14725" name="Рисунок 14724">
          <a:extLst>
            <a:ext uri="{FF2B5EF4-FFF2-40B4-BE49-F238E27FC236}">
              <a16:creationId xmlns:a16="http://schemas.microsoft.com/office/drawing/2014/main" id="{343ED8C2-1F25-43E5-BF13-FA98E8201CC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9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902844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3337</xdr:row>
      <xdr:rowOff>25400</xdr:rowOff>
    </xdr:from>
    <xdr:to>
      <xdr:col>11</xdr:col>
      <xdr:colOff>571500</xdr:colOff>
      <xdr:row>3338</xdr:row>
      <xdr:rowOff>0</xdr:rowOff>
    </xdr:to>
    <xdr:pic>
      <xdr:nvPicPr>
        <xdr:cNvPr id="14727" name="Рисунок 14726">
          <a:extLst>
            <a:ext uri="{FF2B5EF4-FFF2-40B4-BE49-F238E27FC236}">
              <a16:creationId xmlns:a16="http://schemas.microsoft.com/office/drawing/2014/main" id="{565CE686-DB92-4A89-B1A4-F63DDD07049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9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903987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3338</xdr:row>
      <xdr:rowOff>25400</xdr:rowOff>
    </xdr:from>
    <xdr:to>
      <xdr:col>11</xdr:col>
      <xdr:colOff>571500</xdr:colOff>
      <xdr:row>3339</xdr:row>
      <xdr:rowOff>0</xdr:rowOff>
    </xdr:to>
    <xdr:pic>
      <xdr:nvPicPr>
        <xdr:cNvPr id="14729" name="Рисунок 14728">
          <a:extLst>
            <a:ext uri="{FF2B5EF4-FFF2-40B4-BE49-F238E27FC236}">
              <a16:creationId xmlns:a16="http://schemas.microsoft.com/office/drawing/2014/main" id="{76016F68-AEC3-4CAE-8927-729AD19760B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9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904558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3339</xdr:row>
      <xdr:rowOff>25400</xdr:rowOff>
    </xdr:from>
    <xdr:to>
      <xdr:col>11</xdr:col>
      <xdr:colOff>571500</xdr:colOff>
      <xdr:row>3340</xdr:row>
      <xdr:rowOff>0</xdr:rowOff>
    </xdr:to>
    <xdr:pic>
      <xdr:nvPicPr>
        <xdr:cNvPr id="14731" name="Рисунок 14730">
          <a:extLst>
            <a:ext uri="{FF2B5EF4-FFF2-40B4-BE49-F238E27FC236}">
              <a16:creationId xmlns:a16="http://schemas.microsoft.com/office/drawing/2014/main" id="{621803E5-8509-4E9F-AC24-A484A0C7FBD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29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905130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3340</xdr:row>
      <xdr:rowOff>25400</xdr:rowOff>
    </xdr:from>
    <xdr:to>
      <xdr:col>11</xdr:col>
      <xdr:colOff>571500</xdr:colOff>
      <xdr:row>3341</xdr:row>
      <xdr:rowOff>0</xdr:rowOff>
    </xdr:to>
    <xdr:pic>
      <xdr:nvPicPr>
        <xdr:cNvPr id="14733" name="Рисунок 14732">
          <a:extLst>
            <a:ext uri="{FF2B5EF4-FFF2-40B4-BE49-F238E27FC236}">
              <a16:creationId xmlns:a16="http://schemas.microsoft.com/office/drawing/2014/main" id="{804DEBD5-7927-461B-BC25-156B59D24DF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0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905701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3341</xdr:row>
      <xdr:rowOff>25400</xdr:rowOff>
    </xdr:from>
    <xdr:to>
      <xdr:col>11</xdr:col>
      <xdr:colOff>571500</xdr:colOff>
      <xdr:row>3342</xdr:row>
      <xdr:rowOff>0</xdr:rowOff>
    </xdr:to>
    <xdr:pic>
      <xdr:nvPicPr>
        <xdr:cNvPr id="14735" name="Рисунок 14734">
          <a:extLst>
            <a:ext uri="{FF2B5EF4-FFF2-40B4-BE49-F238E27FC236}">
              <a16:creationId xmlns:a16="http://schemas.microsoft.com/office/drawing/2014/main" id="{2A27A8F0-C5C5-44CF-939B-98BB3C63169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0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906273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3342</xdr:row>
      <xdr:rowOff>25400</xdr:rowOff>
    </xdr:from>
    <xdr:to>
      <xdr:col>11</xdr:col>
      <xdr:colOff>571500</xdr:colOff>
      <xdr:row>3343</xdr:row>
      <xdr:rowOff>0</xdr:rowOff>
    </xdr:to>
    <xdr:pic>
      <xdr:nvPicPr>
        <xdr:cNvPr id="14737" name="Рисунок 14736">
          <a:extLst>
            <a:ext uri="{FF2B5EF4-FFF2-40B4-BE49-F238E27FC236}">
              <a16:creationId xmlns:a16="http://schemas.microsoft.com/office/drawing/2014/main" id="{092AABCD-E3E4-4895-B7CB-08A58C9C282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0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906844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3343</xdr:row>
      <xdr:rowOff>25400</xdr:rowOff>
    </xdr:from>
    <xdr:to>
      <xdr:col>11</xdr:col>
      <xdr:colOff>571500</xdr:colOff>
      <xdr:row>3344</xdr:row>
      <xdr:rowOff>0</xdr:rowOff>
    </xdr:to>
    <xdr:pic>
      <xdr:nvPicPr>
        <xdr:cNvPr id="14739" name="Рисунок 14738">
          <a:extLst>
            <a:ext uri="{FF2B5EF4-FFF2-40B4-BE49-F238E27FC236}">
              <a16:creationId xmlns:a16="http://schemas.microsoft.com/office/drawing/2014/main" id="{4712537A-53CB-4987-AD8A-11800E4CEFF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0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907416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3344</xdr:row>
      <xdr:rowOff>25400</xdr:rowOff>
    </xdr:from>
    <xdr:to>
      <xdr:col>11</xdr:col>
      <xdr:colOff>571500</xdr:colOff>
      <xdr:row>3345</xdr:row>
      <xdr:rowOff>0</xdr:rowOff>
    </xdr:to>
    <xdr:pic>
      <xdr:nvPicPr>
        <xdr:cNvPr id="14741" name="Рисунок 14740">
          <a:extLst>
            <a:ext uri="{FF2B5EF4-FFF2-40B4-BE49-F238E27FC236}">
              <a16:creationId xmlns:a16="http://schemas.microsoft.com/office/drawing/2014/main" id="{425CFA21-2E15-422E-A081-DDF14D22392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0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907987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3345</xdr:row>
      <xdr:rowOff>25400</xdr:rowOff>
    </xdr:from>
    <xdr:to>
      <xdr:col>11</xdr:col>
      <xdr:colOff>571500</xdr:colOff>
      <xdr:row>3346</xdr:row>
      <xdr:rowOff>0</xdr:rowOff>
    </xdr:to>
    <xdr:pic>
      <xdr:nvPicPr>
        <xdr:cNvPr id="14743" name="Рисунок 14742">
          <a:extLst>
            <a:ext uri="{FF2B5EF4-FFF2-40B4-BE49-F238E27FC236}">
              <a16:creationId xmlns:a16="http://schemas.microsoft.com/office/drawing/2014/main" id="{B1A39734-5D87-4133-BAFD-EE871ECE4D6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0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908559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3346</xdr:row>
      <xdr:rowOff>25400</xdr:rowOff>
    </xdr:from>
    <xdr:to>
      <xdr:col>11</xdr:col>
      <xdr:colOff>571500</xdr:colOff>
      <xdr:row>3347</xdr:row>
      <xdr:rowOff>0</xdr:rowOff>
    </xdr:to>
    <xdr:pic>
      <xdr:nvPicPr>
        <xdr:cNvPr id="14745" name="Рисунок 14744">
          <a:extLst>
            <a:ext uri="{FF2B5EF4-FFF2-40B4-BE49-F238E27FC236}">
              <a16:creationId xmlns:a16="http://schemas.microsoft.com/office/drawing/2014/main" id="{BDA10761-FE61-41A3-B8E0-63B13AD1A40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0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909130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3347</xdr:row>
      <xdr:rowOff>25400</xdr:rowOff>
    </xdr:from>
    <xdr:to>
      <xdr:col>11</xdr:col>
      <xdr:colOff>571500</xdr:colOff>
      <xdr:row>3348</xdr:row>
      <xdr:rowOff>0</xdr:rowOff>
    </xdr:to>
    <xdr:pic>
      <xdr:nvPicPr>
        <xdr:cNvPr id="14747" name="Рисунок 14746">
          <a:extLst>
            <a:ext uri="{FF2B5EF4-FFF2-40B4-BE49-F238E27FC236}">
              <a16:creationId xmlns:a16="http://schemas.microsoft.com/office/drawing/2014/main" id="{02EB3BD5-5EC9-4EF9-BB40-54D2F830854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0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909702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3348</xdr:row>
      <xdr:rowOff>25400</xdr:rowOff>
    </xdr:from>
    <xdr:to>
      <xdr:col>11</xdr:col>
      <xdr:colOff>571500</xdr:colOff>
      <xdr:row>3349</xdr:row>
      <xdr:rowOff>0</xdr:rowOff>
    </xdr:to>
    <xdr:pic>
      <xdr:nvPicPr>
        <xdr:cNvPr id="14749" name="Рисунок 14748">
          <a:extLst>
            <a:ext uri="{FF2B5EF4-FFF2-40B4-BE49-F238E27FC236}">
              <a16:creationId xmlns:a16="http://schemas.microsoft.com/office/drawing/2014/main" id="{BE13934E-2724-4DED-AD81-67DF96A5CA9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0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910273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3349</xdr:row>
      <xdr:rowOff>25400</xdr:rowOff>
    </xdr:from>
    <xdr:to>
      <xdr:col>11</xdr:col>
      <xdr:colOff>571500</xdr:colOff>
      <xdr:row>3350</xdr:row>
      <xdr:rowOff>0</xdr:rowOff>
    </xdr:to>
    <xdr:pic>
      <xdr:nvPicPr>
        <xdr:cNvPr id="14751" name="Рисунок 14750">
          <a:extLst>
            <a:ext uri="{FF2B5EF4-FFF2-40B4-BE49-F238E27FC236}">
              <a16:creationId xmlns:a16="http://schemas.microsoft.com/office/drawing/2014/main" id="{42D576AF-3828-4ED5-84EB-91169AB3E9B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0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910845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3350</xdr:row>
      <xdr:rowOff>25400</xdr:rowOff>
    </xdr:from>
    <xdr:to>
      <xdr:col>11</xdr:col>
      <xdr:colOff>571500</xdr:colOff>
      <xdr:row>3351</xdr:row>
      <xdr:rowOff>0</xdr:rowOff>
    </xdr:to>
    <xdr:pic>
      <xdr:nvPicPr>
        <xdr:cNvPr id="14753" name="Рисунок 14752">
          <a:extLst>
            <a:ext uri="{FF2B5EF4-FFF2-40B4-BE49-F238E27FC236}">
              <a16:creationId xmlns:a16="http://schemas.microsoft.com/office/drawing/2014/main" id="{92AAEFD7-2DD2-48FF-88B1-9D52D3F038F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911416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3351</xdr:row>
      <xdr:rowOff>25400</xdr:rowOff>
    </xdr:from>
    <xdr:to>
      <xdr:col>11</xdr:col>
      <xdr:colOff>571500</xdr:colOff>
      <xdr:row>3352</xdr:row>
      <xdr:rowOff>0</xdr:rowOff>
    </xdr:to>
    <xdr:pic>
      <xdr:nvPicPr>
        <xdr:cNvPr id="14755" name="Рисунок 14754">
          <a:extLst>
            <a:ext uri="{FF2B5EF4-FFF2-40B4-BE49-F238E27FC236}">
              <a16:creationId xmlns:a16="http://schemas.microsoft.com/office/drawing/2014/main" id="{1A2C9233-F837-4CCD-9154-C492FCF6D98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911988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3352</xdr:row>
      <xdr:rowOff>25400</xdr:rowOff>
    </xdr:from>
    <xdr:to>
      <xdr:col>11</xdr:col>
      <xdr:colOff>571500</xdr:colOff>
      <xdr:row>3353</xdr:row>
      <xdr:rowOff>0</xdr:rowOff>
    </xdr:to>
    <xdr:pic>
      <xdr:nvPicPr>
        <xdr:cNvPr id="14757" name="Рисунок 14756">
          <a:extLst>
            <a:ext uri="{FF2B5EF4-FFF2-40B4-BE49-F238E27FC236}">
              <a16:creationId xmlns:a16="http://schemas.microsoft.com/office/drawing/2014/main" id="{5BDE7B52-CFE7-49BC-848B-8D8F13B19AA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912559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3353</xdr:row>
      <xdr:rowOff>25400</xdr:rowOff>
    </xdr:from>
    <xdr:to>
      <xdr:col>11</xdr:col>
      <xdr:colOff>571500</xdr:colOff>
      <xdr:row>3354</xdr:row>
      <xdr:rowOff>0</xdr:rowOff>
    </xdr:to>
    <xdr:pic>
      <xdr:nvPicPr>
        <xdr:cNvPr id="14759" name="Рисунок 14758">
          <a:extLst>
            <a:ext uri="{FF2B5EF4-FFF2-40B4-BE49-F238E27FC236}">
              <a16:creationId xmlns:a16="http://schemas.microsoft.com/office/drawing/2014/main" id="{A2F5DDED-C05D-4F4C-85E1-CE9D292C2EF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913131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3354</xdr:row>
      <xdr:rowOff>25400</xdr:rowOff>
    </xdr:from>
    <xdr:to>
      <xdr:col>11</xdr:col>
      <xdr:colOff>571500</xdr:colOff>
      <xdr:row>3355</xdr:row>
      <xdr:rowOff>0</xdr:rowOff>
    </xdr:to>
    <xdr:pic>
      <xdr:nvPicPr>
        <xdr:cNvPr id="14761" name="Рисунок 14760">
          <a:extLst>
            <a:ext uri="{FF2B5EF4-FFF2-40B4-BE49-F238E27FC236}">
              <a16:creationId xmlns:a16="http://schemas.microsoft.com/office/drawing/2014/main" id="{D5DD26BD-D647-44E8-AA14-BC42641CFF7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913702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3355</xdr:row>
      <xdr:rowOff>25400</xdr:rowOff>
    </xdr:from>
    <xdr:to>
      <xdr:col>11</xdr:col>
      <xdr:colOff>571500</xdr:colOff>
      <xdr:row>3356</xdr:row>
      <xdr:rowOff>0</xdr:rowOff>
    </xdr:to>
    <xdr:pic>
      <xdr:nvPicPr>
        <xdr:cNvPr id="14763" name="Рисунок 14762">
          <a:extLst>
            <a:ext uri="{FF2B5EF4-FFF2-40B4-BE49-F238E27FC236}">
              <a16:creationId xmlns:a16="http://schemas.microsoft.com/office/drawing/2014/main" id="{7E9C7BA8-08A1-4256-AB37-16C27BA65E4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914274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3356</xdr:row>
      <xdr:rowOff>25400</xdr:rowOff>
    </xdr:from>
    <xdr:to>
      <xdr:col>11</xdr:col>
      <xdr:colOff>571500</xdr:colOff>
      <xdr:row>3357</xdr:row>
      <xdr:rowOff>0</xdr:rowOff>
    </xdr:to>
    <xdr:pic>
      <xdr:nvPicPr>
        <xdr:cNvPr id="14765" name="Рисунок 14764">
          <a:extLst>
            <a:ext uri="{FF2B5EF4-FFF2-40B4-BE49-F238E27FC236}">
              <a16:creationId xmlns:a16="http://schemas.microsoft.com/office/drawing/2014/main" id="{8C6B5B03-6782-478A-9633-537293B2519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914845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3357</xdr:row>
      <xdr:rowOff>25400</xdr:rowOff>
    </xdr:from>
    <xdr:to>
      <xdr:col>11</xdr:col>
      <xdr:colOff>571500</xdr:colOff>
      <xdr:row>3358</xdr:row>
      <xdr:rowOff>0</xdr:rowOff>
    </xdr:to>
    <xdr:pic>
      <xdr:nvPicPr>
        <xdr:cNvPr id="14767" name="Рисунок 14766">
          <a:extLst>
            <a:ext uri="{FF2B5EF4-FFF2-40B4-BE49-F238E27FC236}">
              <a16:creationId xmlns:a16="http://schemas.microsoft.com/office/drawing/2014/main" id="{27979904-4DD5-45A9-A011-DD9D5E5BBB8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915417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3358</xdr:row>
      <xdr:rowOff>25400</xdr:rowOff>
    </xdr:from>
    <xdr:to>
      <xdr:col>11</xdr:col>
      <xdr:colOff>571500</xdr:colOff>
      <xdr:row>3359</xdr:row>
      <xdr:rowOff>0</xdr:rowOff>
    </xdr:to>
    <xdr:pic>
      <xdr:nvPicPr>
        <xdr:cNvPr id="14769" name="Рисунок 14768">
          <a:extLst>
            <a:ext uri="{FF2B5EF4-FFF2-40B4-BE49-F238E27FC236}">
              <a16:creationId xmlns:a16="http://schemas.microsoft.com/office/drawing/2014/main" id="{64845E34-D04B-4540-AE8E-CBC169C9C22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915988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3359</xdr:row>
      <xdr:rowOff>25400</xdr:rowOff>
    </xdr:from>
    <xdr:to>
      <xdr:col>11</xdr:col>
      <xdr:colOff>571500</xdr:colOff>
      <xdr:row>3360</xdr:row>
      <xdr:rowOff>0</xdr:rowOff>
    </xdr:to>
    <xdr:pic>
      <xdr:nvPicPr>
        <xdr:cNvPr id="14771" name="Рисунок 14770">
          <a:extLst>
            <a:ext uri="{FF2B5EF4-FFF2-40B4-BE49-F238E27FC236}">
              <a16:creationId xmlns:a16="http://schemas.microsoft.com/office/drawing/2014/main" id="{A702D41C-2A9F-4BB9-B3C3-5532218C874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916560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3360</xdr:row>
      <xdr:rowOff>25400</xdr:rowOff>
    </xdr:from>
    <xdr:to>
      <xdr:col>11</xdr:col>
      <xdr:colOff>571500</xdr:colOff>
      <xdr:row>3361</xdr:row>
      <xdr:rowOff>0</xdr:rowOff>
    </xdr:to>
    <xdr:pic>
      <xdr:nvPicPr>
        <xdr:cNvPr id="14773" name="Рисунок 14772">
          <a:extLst>
            <a:ext uri="{FF2B5EF4-FFF2-40B4-BE49-F238E27FC236}">
              <a16:creationId xmlns:a16="http://schemas.microsoft.com/office/drawing/2014/main" id="{C72301F0-810A-4AA5-89B5-37CE41350CD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917131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3361</xdr:row>
      <xdr:rowOff>25400</xdr:rowOff>
    </xdr:from>
    <xdr:to>
      <xdr:col>11</xdr:col>
      <xdr:colOff>571500</xdr:colOff>
      <xdr:row>3362</xdr:row>
      <xdr:rowOff>0</xdr:rowOff>
    </xdr:to>
    <xdr:pic>
      <xdr:nvPicPr>
        <xdr:cNvPr id="14775" name="Рисунок 14774">
          <a:extLst>
            <a:ext uri="{FF2B5EF4-FFF2-40B4-BE49-F238E27FC236}">
              <a16:creationId xmlns:a16="http://schemas.microsoft.com/office/drawing/2014/main" id="{2428F3E1-4738-4BF0-970D-8DC9A1A60DC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917703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3362</xdr:row>
      <xdr:rowOff>25400</xdr:rowOff>
    </xdr:from>
    <xdr:to>
      <xdr:col>11</xdr:col>
      <xdr:colOff>571500</xdr:colOff>
      <xdr:row>3363</xdr:row>
      <xdr:rowOff>0</xdr:rowOff>
    </xdr:to>
    <xdr:pic>
      <xdr:nvPicPr>
        <xdr:cNvPr id="14777" name="Рисунок 14776">
          <a:extLst>
            <a:ext uri="{FF2B5EF4-FFF2-40B4-BE49-F238E27FC236}">
              <a16:creationId xmlns:a16="http://schemas.microsoft.com/office/drawing/2014/main" id="{D412FDFF-7239-4759-B850-395309D1C59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918274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3363</xdr:row>
      <xdr:rowOff>25400</xdr:rowOff>
    </xdr:from>
    <xdr:to>
      <xdr:col>11</xdr:col>
      <xdr:colOff>571500</xdr:colOff>
      <xdr:row>3364</xdr:row>
      <xdr:rowOff>0</xdr:rowOff>
    </xdr:to>
    <xdr:pic>
      <xdr:nvPicPr>
        <xdr:cNvPr id="14779" name="Рисунок 14778">
          <a:extLst>
            <a:ext uri="{FF2B5EF4-FFF2-40B4-BE49-F238E27FC236}">
              <a16:creationId xmlns:a16="http://schemas.microsoft.com/office/drawing/2014/main" id="{4A0EB512-4449-45AC-864D-FE781852006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918846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3364</xdr:row>
      <xdr:rowOff>25400</xdr:rowOff>
    </xdr:from>
    <xdr:to>
      <xdr:col>11</xdr:col>
      <xdr:colOff>571500</xdr:colOff>
      <xdr:row>3365</xdr:row>
      <xdr:rowOff>0</xdr:rowOff>
    </xdr:to>
    <xdr:pic>
      <xdr:nvPicPr>
        <xdr:cNvPr id="14781" name="Рисунок 14780">
          <a:extLst>
            <a:ext uri="{FF2B5EF4-FFF2-40B4-BE49-F238E27FC236}">
              <a16:creationId xmlns:a16="http://schemas.microsoft.com/office/drawing/2014/main" id="{3758D2F0-F2F9-455D-9B60-ED87F3E8289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919417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3365</xdr:row>
      <xdr:rowOff>25400</xdr:rowOff>
    </xdr:from>
    <xdr:to>
      <xdr:col>11</xdr:col>
      <xdr:colOff>571500</xdr:colOff>
      <xdr:row>3366</xdr:row>
      <xdr:rowOff>0</xdr:rowOff>
    </xdr:to>
    <xdr:pic>
      <xdr:nvPicPr>
        <xdr:cNvPr id="14783" name="Рисунок 14782">
          <a:extLst>
            <a:ext uri="{FF2B5EF4-FFF2-40B4-BE49-F238E27FC236}">
              <a16:creationId xmlns:a16="http://schemas.microsoft.com/office/drawing/2014/main" id="{CCB7F3ED-C4A9-49E7-B274-50D6DCC3B25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919989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3366</xdr:row>
      <xdr:rowOff>25400</xdr:rowOff>
    </xdr:from>
    <xdr:to>
      <xdr:col>11</xdr:col>
      <xdr:colOff>571500</xdr:colOff>
      <xdr:row>3367</xdr:row>
      <xdr:rowOff>0</xdr:rowOff>
    </xdr:to>
    <xdr:pic>
      <xdr:nvPicPr>
        <xdr:cNvPr id="14785" name="Рисунок 14784">
          <a:extLst>
            <a:ext uri="{FF2B5EF4-FFF2-40B4-BE49-F238E27FC236}">
              <a16:creationId xmlns:a16="http://schemas.microsoft.com/office/drawing/2014/main" id="{F3AED202-3B6B-4FF0-9186-2F2C3098262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920560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3367</xdr:row>
      <xdr:rowOff>25400</xdr:rowOff>
    </xdr:from>
    <xdr:to>
      <xdr:col>11</xdr:col>
      <xdr:colOff>571500</xdr:colOff>
      <xdr:row>3368</xdr:row>
      <xdr:rowOff>0</xdr:rowOff>
    </xdr:to>
    <xdr:pic>
      <xdr:nvPicPr>
        <xdr:cNvPr id="14787" name="Рисунок 14786">
          <a:extLst>
            <a:ext uri="{FF2B5EF4-FFF2-40B4-BE49-F238E27FC236}">
              <a16:creationId xmlns:a16="http://schemas.microsoft.com/office/drawing/2014/main" id="{6C70E7E0-7D8D-4EED-896C-856A6039108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921132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3368</xdr:row>
      <xdr:rowOff>25400</xdr:rowOff>
    </xdr:from>
    <xdr:to>
      <xdr:col>11</xdr:col>
      <xdr:colOff>571500</xdr:colOff>
      <xdr:row>3369</xdr:row>
      <xdr:rowOff>0</xdr:rowOff>
    </xdr:to>
    <xdr:pic>
      <xdr:nvPicPr>
        <xdr:cNvPr id="14789" name="Рисунок 14788">
          <a:extLst>
            <a:ext uri="{FF2B5EF4-FFF2-40B4-BE49-F238E27FC236}">
              <a16:creationId xmlns:a16="http://schemas.microsoft.com/office/drawing/2014/main" id="{CD88A960-7FA4-4A6A-9201-84542CD574E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921703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3369</xdr:row>
      <xdr:rowOff>25400</xdr:rowOff>
    </xdr:from>
    <xdr:to>
      <xdr:col>11</xdr:col>
      <xdr:colOff>571500</xdr:colOff>
      <xdr:row>3370</xdr:row>
      <xdr:rowOff>0</xdr:rowOff>
    </xdr:to>
    <xdr:pic>
      <xdr:nvPicPr>
        <xdr:cNvPr id="14791" name="Рисунок 14790">
          <a:extLst>
            <a:ext uri="{FF2B5EF4-FFF2-40B4-BE49-F238E27FC236}">
              <a16:creationId xmlns:a16="http://schemas.microsoft.com/office/drawing/2014/main" id="{7E5D4227-0EBD-4E78-9BE3-FE6E64E3A91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922275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3370</xdr:row>
      <xdr:rowOff>25400</xdr:rowOff>
    </xdr:from>
    <xdr:to>
      <xdr:col>11</xdr:col>
      <xdr:colOff>571500</xdr:colOff>
      <xdr:row>3371</xdr:row>
      <xdr:rowOff>0</xdr:rowOff>
    </xdr:to>
    <xdr:pic>
      <xdr:nvPicPr>
        <xdr:cNvPr id="14793" name="Рисунок 14792">
          <a:extLst>
            <a:ext uri="{FF2B5EF4-FFF2-40B4-BE49-F238E27FC236}">
              <a16:creationId xmlns:a16="http://schemas.microsoft.com/office/drawing/2014/main" id="{7A0A8C6B-70F9-4074-8E5D-9CB6003BD44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922846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3371</xdr:row>
      <xdr:rowOff>25400</xdr:rowOff>
    </xdr:from>
    <xdr:to>
      <xdr:col>11</xdr:col>
      <xdr:colOff>571500</xdr:colOff>
      <xdr:row>3372</xdr:row>
      <xdr:rowOff>0</xdr:rowOff>
    </xdr:to>
    <xdr:pic>
      <xdr:nvPicPr>
        <xdr:cNvPr id="14795" name="Рисунок 14794">
          <a:extLst>
            <a:ext uri="{FF2B5EF4-FFF2-40B4-BE49-F238E27FC236}">
              <a16:creationId xmlns:a16="http://schemas.microsoft.com/office/drawing/2014/main" id="{B75D495E-F71E-418E-9811-204A1C0D8FB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3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923418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3372</xdr:row>
      <xdr:rowOff>25400</xdr:rowOff>
    </xdr:from>
    <xdr:to>
      <xdr:col>11</xdr:col>
      <xdr:colOff>571500</xdr:colOff>
      <xdr:row>3373</xdr:row>
      <xdr:rowOff>0</xdr:rowOff>
    </xdr:to>
    <xdr:pic>
      <xdr:nvPicPr>
        <xdr:cNvPr id="14797" name="Рисунок 14796">
          <a:extLst>
            <a:ext uri="{FF2B5EF4-FFF2-40B4-BE49-F238E27FC236}">
              <a16:creationId xmlns:a16="http://schemas.microsoft.com/office/drawing/2014/main" id="{3C5FEA8A-9053-4BD9-B8EC-B9C39AE1DE4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3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923989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3373</xdr:row>
      <xdr:rowOff>25400</xdr:rowOff>
    </xdr:from>
    <xdr:to>
      <xdr:col>11</xdr:col>
      <xdr:colOff>571500</xdr:colOff>
      <xdr:row>3374</xdr:row>
      <xdr:rowOff>0</xdr:rowOff>
    </xdr:to>
    <xdr:pic>
      <xdr:nvPicPr>
        <xdr:cNvPr id="14799" name="Рисунок 14798">
          <a:extLst>
            <a:ext uri="{FF2B5EF4-FFF2-40B4-BE49-F238E27FC236}">
              <a16:creationId xmlns:a16="http://schemas.microsoft.com/office/drawing/2014/main" id="{CC7B83B8-27B5-4B6A-95F8-94D0113F068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3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924561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3374</xdr:row>
      <xdr:rowOff>25400</xdr:rowOff>
    </xdr:from>
    <xdr:to>
      <xdr:col>11</xdr:col>
      <xdr:colOff>571500</xdr:colOff>
      <xdr:row>3375</xdr:row>
      <xdr:rowOff>0</xdr:rowOff>
    </xdr:to>
    <xdr:pic>
      <xdr:nvPicPr>
        <xdr:cNvPr id="14801" name="Рисунок 14800">
          <a:extLst>
            <a:ext uri="{FF2B5EF4-FFF2-40B4-BE49-F238E27FC236}">
              <a16:creationId xmlns:a16="http://schemas.microsoft.com/office/drawing/2014/main" id="{556E6BB5-8188-40C0-A246-DE79211988D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3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925132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3375</xdr:row>
      <xdr:rowOff>25400</xdr:rowOff>
    </xdr:from>
    <xdr:to>
      <xdr:col>11</xdr:col>
      <xdr:colOff>571500</xdr:colOff>
      <xdr:row>3376</xdr:row>
      <xdr:rowOff>0</xdr:rowOff>
    </xdr:to>
    <xdr:pic>
      <xdr:nvPicPr>
        <xdr:cNvPr id="14803" name="Рисунок 14802">
          <a:extLst>
            <a:ext uri="{FF2B5EF4-FFF2-40B4-BE49-F238E27FC236}">
              <a16:creationId xmlns:a16="http://schemas.microsoft.com/office/drawing/2014/main" id="{C8746FED-56A6-4069-9119-16A2130AC3F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3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925704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3376</xdr:row>
      <xdr:rowOff>25400</xdr:rowOff>
    </xdr:from>
    <xdr:to>
      <xdr:col>11</xdr:col>
      <xdr:colOff>571500</xdr:colOff>
      <xdr:row>3377</xdr:row>
      <xdr:rowOff>0</xdr:rowOff>
    </xdr:to>
    <xdr:pic>
      <xdr:nvPicPr>
        <xdr:cNvPr id="14805" name="Рисунок 14804">
          <a:extLst>
            <a:ext uri="{FF2B5EF4-FFF2-40B4-BE49-F238E27FC236}">
              <a16:creationId xmlns:a16="http://schemas.microsoft.com/office/drawing/2014/main" id="{A35D1629-0D14-415B-8DB7-CB0945A7D10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3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926275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3377</xdr:row>
      <xdr:rowOff>25400</xdr:rowOff>
    </xdr:from>
    <xdr:to>
      <xdr:col>11</xdr:col>
      <xdr:colOff>571500</xdr:colOff>
      <xdr:row>3378</xdr:row>
      <xdr:rowOff>0</xdr:rowOff>
    </xdr:to>
    <xdr:pic>
      <xdr:nvPicPr>
        <xdr:cNvPr id="14807" name="Рисунок 14806">
          <a:extLst>
            <a:ext uri="{FF2B5EF4-FFF2-40B4-BE49-F238E27FC236}">
              <a16:creationId xmlns:a16="http://schemas.microsoft.com/office/drawing/2014/main" id="{1724EEC5-18F3-4F13-AD0B-A0E5BCAEE28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3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926847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3378</xdr:row>
      <xdr:rowOff>25400</xdr:rowOff>
    </xdr:from>
    <xdr:to>
      <xdr:col>11</xdr:col>
      <xdr:colOff>571500</xdr:colOff>
      <xdr:row>3379</xdr:row>
      <xdr:rowOff>0</xdr:rowOff>
    </xdr:to>
    <xdr:pic>
      <xdr:nvPicPr>
        <xdr:cNvPr id="14809" name="Рисунок 14808">
          <a:extLst>
            <a:ext uri="{FF2B5EF4-FFF2-40B4-BE49-F238E27FC236}">
              <a16:creationId xmlns:a16="http://schemas.microsoft.com/office/drawing/2014/main" id="{00C96C65-5301-47D6-9895-D229451FC42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3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927418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3379</xdr:row>
      <xdr:rowOff>25400</xdr:rowOff>
    </xdr:from>
    <xdr:to>
      <xdr:col>11</xdr:col>
      <xdr:colOff>571500</xdr:colOff>
      <xdr:row>3380</xdr:row>
      <xdr:rowOff>0</xdr:rowOff>
    </xdr:to>
    <xdr:pic>
      <xdr:nvPicPr>
        <xdr:cNvPr id="14811" name="Рисунок 14810">
          <a:extLst>
            <a:ext uri="{FF2B5EF4-FFF2-40B4-BE49-F238E27FC236}">
              <a16:creationId xmlns:a16="http://schemas.microsoft.com/office/drawing/2014/main" id="{D11653E9-1630-4335-A4A7-05DC6FD2264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3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927990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3380</xdr:row>
      <xdr:rowOff>25400</xdr:rowOff>
    </xdr:from>
    <xdr:to>
      <xdr:col>11</xdr:col>
      <xdr:colOff>571500</xdr:colOff>
      <xdr:row>3381</xdr:row>
      <xdr:rowOff>0</xdr:rowOff>
    </xdr:to>
    <xdr:pic>
      <xdr:nvPicPr>
        <xdr:cNvPr id="14813" name="Рисунок 14812">
          <a:extLst>
            <a:ext uri="{FF2B5EF4-FFF2-40B4-BE49-F238E27FC236}">
              <a16:creationId xmlns:a16="http://schemas.microsoft.com/office/drawing/2014/main" id="{E9E66D25-F5FD-495E-A3AC-BBF6D82DA82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4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928561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3381</xdr:row>
      <xdr:rowOff>25400</xdr:rowOff>
    </xdr:from>
    <xdr:to>
      <xdr:col>11</xdr:col>
      <xdr:colOff>571500</xdr:colOff>
      <xdr:row>3382</xdr:row>
      <xdr:rowOff>0</xdr:rowOff>
    </xdr:to>
    <xdr:pic>
      <xdr:nvPicPr>
        <xdr:cNvPr id="14815" name="Рисунок 14814">
          <a:extLst>
            <a:ext uri="{FF2B5EF4-FFF2-40B4-BE49-F238E27FC236}">
              <a16:creationId xmlns:a16="http://schemas.microsoft.com/office/drawing/2014/main" id="{3B7CD9B1-DC20-4251-904E-BDAA9805066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4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929133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3382</xdr:row>
      <xdr:rowOff>25400</xdr:rowOff>
    </xdr:from>
    <xdr:to>
      <xdr:col>11</xdr:col>
      <xdr:colOff>571500</xdr:colOff>
      <xdr:row>3383</xdr:row>
      <xdr:rowOff>0</xdr:rowOff>
    </xdr:to>
    <xdr:pic>
      <xdr:nvPicPr>
        <xdr:cNvPr id="14817" name="Рисунок 14816">
          <a:extLst>
            <a:ext uri="{FF2B5EF4-FFF2-40B4-BE49-F238E27FC236}">
              <a16:creationId xmlns:a16="http://schemas.microsoft.com/office/drawing/2014/main" id="{59621516-6023-40A9-B3B9-85B09A4C939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929704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3383</xdr:row>
      <xdr:rowOff>25400</xdr:rowOff>
    </xdr:from>
    <xdr:to>
      <xdr:col>11</xdr:col>
      <xdr:colOff>571500</xdr:colOff>
      <xdr:row>3384</xdr:row>
      <xdr:rowOff>0</xdr:rowOff>
    </xdr:to>
    <xdr:pic>
      <xdr:nvPicPr>
        <xdr:cNvPr id="14819" name="Рисунок 14818">
          <a:extLst>
            <a:ext uri="{FF2B5EF4-FFF2-40B4-BE49-F238E27FC236}">
              <a16:creationId xmlns:a16="http://schemas.microsoft.com/office/drawing/2014/main" id="{68C01E95-ACD9-4E2C-92A5-2D690BAA2BD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930276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3384</xdr:row>
      <xdr:rowOff>25400</xdr:rowOff>
    </xdr:from>
    <xdr:to>
      <xdr:col>11</xdr:col>
      <xdr:colOff>571500</xdr:colOff>
      <xdr:row>3385</xdr:row>
      <xdr:rowOff>0</xdr:rowOff>
    </xdr:to>
    <xdr:pic>
      <xdr:nvPicPr>
        <xdr:cNvPr id="14821" name="Рисунок 14820">
          <a:extLst>
            <a:ext uri="{FF2B5EF4-FFF2-40B4-BE49-F238E27FC236}">
              <a16:creationId xmlns:a16="http://schemas.microsoft.com/office/drawing/2014/main" id="{A848C163-EF5E-4A6F-9CCD-45BB52EC380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930847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3385</xdr:row>
      <xdr:rowOff>25400</xdr:rowOff>
    </xdr:from>
    <xdr:to>
      <xdr:col>11</xdr:col>
      <xdr:colOff>571500</xdr:colOff>
      <xdr:row>3386</xdr:row>
      <xdr:rowOff>0</xdr:rowOff>
    </xdr:to>
    <xdr:pic>
      <xdr:nvPicPr>
        <xdr:cNvPr id="14823" name="Рисунок 14822">
          <a:extLst>
            <a:ext uri="{FF2B5EF4-FFF2-40B4-BE49-F238E27FC236}">
              <a16:creationId xmlns:a16="http://schemas.microsoft.com/office/drawing/2014/main" id="{117C4BF4-7D1E-4BD2-A0A5-D3B4B18605F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4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931419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3386</xdr:row>
      <xdr:rowOff>25400</xdr:rowOff>
    </xdr:from>
    <xdr:to>
      <xdr:col>11</xdr:col>
      <xdr:colOff>571500</xdr:colOff>
      <xdr:row>3387</xdr:row>
      <xdr:rowOff>0</xdr:rowOff>
    </xdr:to>
    <xdr:pic>
      <xdr:nvPicPr>
        <xdr:cNvPr id="14825" name="Рисунок 14824">
          <a:extLst>
            <a:ext uri="{FF2B5EF4-FFF2-40B4-BE49-F238E27FC236}">
              <a16:creationId xmlns:a16="http://schemas.microsoft.com/office/drawing/2014/main" id="{9ADEC194-5D18-4A93-B014-0F177E4B4C5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4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931990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3387</xdr:row>
      <xdr:rowOff>25400</xdr:rowOff>
    </xdr:from>
    <xdr:to>
      <xdr:col>11</xdr:col>
      <xdr:colOff>571500</xdr:colOff>
      <xdr:row>3388</xdr:row>
      <xdr:rowOff>0</xdr:rowOff>
    </xdr:to>
    <xdr:pic>
      <xdr:nvPicPr>
        <xdr:cNvPr id="14827" name="Рисунок 14826">
          <a:extLst>
            <a:ext uri="{FF2B5EF4-FFF2-40B4-BE49-F238E27FC236}">
              <a16:creationId xmlns:a16="http://schemas.microsoft.com/office/drawing/2014/main" id="{1969349E-A256-4910-B51D-2485BED3324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4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932562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3388</xdr:row>
      <xdr:rowOff>25400</xdr:rowOff>
    </xdr:from>
    <xdr:to>
      <xdr:col>11</xdr:col>
      <xdr:colOff>571500</xdr:colOff>
      <xdr:row>3389</xdr:row>
      <xdr:rowOff>0</xdr:rowOff>
    </xdr:to>
    <xdr:pic>
      <xdr:nvPicPr>
        <xdr:cNvPr id="14829" name="Рисунок 14828">
          <a:extLst>
            <a:ext uri="{FF2B5EF4-FFF2-40B4-BE49-F238E27FC236}">
              <a16:creationId xmlns:a16="http://schemas.microsoft.com/office/drawing/2014/main" id="{A354DFC0-3A55-480D-861B-35C19AEA72E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4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933133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3389</xdr:row>
      <xdr:rowOff>25400</xdr:rowOff>
    </xdr:from>
    <xdr:to>
      <xdr:col>11</xdr:col>
      <xdr:colOff>571500</xdr:colOff>
      <xdr:row>3390</xdr:row>
      <xdr:rowOff>0</xdr:rowOff>
    </xdr:to>
    <xdr:pic>
      <xdr:nvPicPr>
        <xdr:cNvPr id="14831" name="Рисунок 14830">
          <a:extLst>
            <a:ext uri="{FF2B5EF4-FFF2-40B4-BE49-F238E27FC236}">
              <a16:creationId xmlns:a16="http://schemas.microsoft.com/office/drawing/2014/main" id="{D6CA54A9-C02E-47F6-84CA-65B0D5572AE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4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933705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3390</xdr:row>
      <xdr:rowOff>25400</xdr:rowOff>
    </xdr:from>
    <xdr:to>
      <xdr:col>11</xdr:col>
      <xdr:colOff>571500</xdr:colOff>
      <xdr:row>3391</xdr:row>
      <xdr:rowOff>0</xdr:rowOff>
    </xdr:to>
    <xdr:pic>
      <xdr:nvPicPr>
        <xdr:cNvPr id="14833" name="Рисунок 14832">
          <a:extLst>
            <a:ext uri="{FF2B5EF4-FFF2-40B4-BE49-F238E27FC236}">
              <a16:creationId xmlns:a16="http://schemas.microsoft.com/office/drawing/2014/main" id="{661582AD-6AD0-4EBD-8240-A2A9BD12923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5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934276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3391</xdr:row>
      <xdr:rowOff>25400</xdr:rowOff>
    </xdr:from>
    <xdr:to>
      <xdr:col>11</xdr:col>
      <xdr:colOff>571500</xdr:colOff>
      <xdr:row>3392</xdr:row>
      <xdr:rowOff>0</xdr:rowOff>
    </xdr:to>
    <xdr:pic>
      <xdr:nvPicPr>
        <xdr:cNvPr id="14835" name="Рисунок 14834">
          <a:extLst>
            <a:ext uri="{FF2B5EF4-FFF2-40B4-BE49-F238E27FC236}">
              <a16:creationId xmlns:a16="http://schemas.microsoft.com/office/drawing/2014/main" id="{CC309111-2F65-4781-8B10-F6118D5DBEC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5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934848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3392</xdr:row>
      <xdr:rowOff>25400</xdr:rowOff>
    </xdr:from>
    <xdr:to>
      <xdr:col>11</xdr:col>
      <xdr:colOff>571500</xdr:colOff>
      <xdr:row>3393</xdr:row>
      <xdr:rowOff>0</xdr:rowOff>
    </xdr:to>
    <xdr:pic>
      <xdr:nvPicPr>
        <xdr:cNvPr id="14837" name="Рисунок 14836">
          <a:extLst>
            <a:ext uri="{FF2B5EF4-FFF2-40B4-BE49-F238E27FC236}">
              <a16:creationId xmlns:a16="http://schemas.microsoft.com/office/drawing/2014/main" id="{1C2B062D-93AB-4A2E-903A-2561FDE5834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935419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3393</xdr:row>
      <xdr:rowOff>25400</xdr:rowOff>
    </xdr:from>
    <xdr:to>
      <xdr:col>11</xdr:col>
      <xdr:colOff>571500</xdr:colOff>
      <xdr:row>3394</xdr:row>
      <xdr:rowOff>0</xdr:rowOff>
    </xdr:to>
    <xdr:pic>
      <xdr:nvPicPr>
        <xdr:cNvPr id="14839" name="Рисунок 14838">
          <a:extLst>
            <a:ext uri="{FF2B5EF4-FFF2-40B4-BE49-F238E27FC236}">
              <a16:creationId xmlns:a16="http://schemas.microsoft.com/office/drawing/2014/main" id="{12393B9E-02C3-4417-ACC5-6E07DDBA6AC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5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935991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3394</xdr:row>
      <xdr:rowOff>25400</xdr:rowOff>
    </xdr:from>
    <xdr:to>
      <xdr:col>11</xdr:col>
      <xdr:colOff>571500</xdr:colOff>
      <xdr:row>3395</xdr:row>
      <xdr:rowOff>0</xdr:rowOff>
    </xdr:to>
    <xdr:pic>
      <xdr:nvPicPr>
        <xdr:cNvPr id="14841" name="Рисунок 14840">
          <a:extLst>
            <a:ext uri="{FF2B5EF4-FFF2-40B4-BE49-F238E27FC236}">
              <a16:creationId xmlns:a16="http://schemas.microsoft.com/office/drawing/2014/main" id="{3F62A203-CFA8-430F-88A8-90236709E1B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5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936562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3395</xdr:row>
      <xdr:rowOff>25400</xdr:rowOff>
    </xdr:from>
    <xdr:to>
      <xdr:col>11</xdr:col>
      <xdr:colOff>571500</xdr:colOff>
      <xdr:row>3396</xdr:row>
      <xdr:rowOff>0</xdr:rowOff>
    </xdr:to>
    <xdr:pic>
      <xdr:nvPicPr>
        <xdr:cNvPr id="14843" name="Рисунок 14842">
          <a:extLst>
            <a:ext uri="{FF2B5EF4-FFF2-40B4-BE49-F238E27FC236}">
              <a16:creationId xmlns:a16="http://schemas.microsoft.com/office/drawing/2014/main" id="{A6F015E8-657C-46BD-89A8-F72DF6B3D6F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5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937134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3396</xdr:row>
      <xdr:rowOff>25400</xdr:rowOff>
    </xdr:from>
    <xdr:to>
      <xdr:col>11</xdr:col>
      <xdr:colOff>571500</xdr:colOff>
      <xdr:row>3397</xdr:row>
      <xdr:rowOff>0</xdr:rowOff>
    </xdr:to>
    <xdr:pic>
      <xdr:nvPicPr>
        <xdr:cNvPr id="14845" name="Рисунок 14844">
          <a:extLst>
            <a:ext uri="{FF2B5EF4-FFF2-40B4-BE49-F238E27FC236}">
              <a16:creationId xmlns:a16="http://schemas.microsoft.com/office/drawing/2014/main" id="{E438BCC5-4860-4DEA-9089-89CFA49FB1F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5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937705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3397</xdr:row>
      <xdr:rowOff>25400</xdr:rowOff>
    </xdr:from>
    <xdr:to>
      <xdr:col>11</xdr:col>
      <xdr:colOff>571500</xdr:colOff>
      <xdr:row>3398</xdr:row>
      <xdr:rowOff>0</xdr:rowOff>
    </xdr:to>
    <xdr:pic>
      <xdr:nvPicPr>
        <xdr:cNvPr id="14847" name="Рисунок 14846">
          <a:extLst>
            <a:ext uri="{FF2B5EF4-FFF2-40B4-BE49-F238E27FC236}">
              <a16:creationId xmlns:a16="http://schemas.microsoft.com/office/drawing/2014/main" id="{56E82C0B-88C4-4F9B-912A-46020CE4DFE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5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938277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3398</xdr:row>
      <xdr:rowOff>25400</xdr:rowOff>
    </xdr:from>
    <xdr:to>
      <xdr:col>11</xdr:col>
      <xdr:colOff>571500</xdr:colOff>
      <xdr:row>3399</xdr:row>
      <xdr:rowOff>0</xdr:rowOff>
    </xdr:to>
    <xdr:pic>
      <xdr:nvPicPr>
        <xdr:cNvPr id="14849" name="Рисунок 14848">
          <a:extLst>
            <a:ext uri="{FF2B5EF4-FFF2-40B4-BE49-F238E27FC236}">
              <a16:creationId xmlns:a16="http://schemas.microsoft.com/office/drawing/2014/main" id="{288243C7-F4B1-43AD-A2A2-225E62E43BE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5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938848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3399</xdr:row>
      <xdr:rowOff>25400</xdr:rowOff>
    </xdr:from>
    <xdr:to>
      <xdr:col>11</xdr:col>
      <xdr:colOff>571500</xdr:colOff>
      <xdr:row>3400</xdr:row>
      <xdr:rowOff>0</xdr:rowOff>
    </xdr:to>
    <xdr:pic>
      <xdr:nvPicPr>
        <xdr:cNvPr id="14851" name="Рисунок 14850">
          <a:extLst>
            <a:ext uri="{FF2B5EF4-FFF2-40B4-BE49-F238E27FC236}">
              <a16:creationId xmlns:a16="http://schemas.microsoft.com/office/drawing/2014/main" id="{F77DBB39-F177-4D15-88A1-46074BBB050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5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939420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3400</xdr:row>
      <xdr:rowOff>25400</xdr:rowOff>
    </xdr:from>
    <xdr:to>
      <xdr:col>11</xdr:col>
      <xdr:colOff>571500</xdr:colOff>
      <xdr:row>3401</xdr:row>
      <xdr:rowOff>0</xdr:rowOff>
    </xdr:to>
    <xdr:pic>
      <xdr:nvPicPr>
        <xdr:cNvPr id="14853" name="Рисунок 14852">
          <a:extLst>
            <a:ext uri="{FF2B5EF4-FFF2-40B4-BE49-F238E27FC236}">
              <a16:creationId xmlns:a16="http://schemas.microsoft.com/office/drawing/2014/main" id="{A3C39FC1-8113-4589-B405-BAAD323C742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6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939991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3401</xdr:row>
      <xdr:rowOff>25400</xdr:rowOff>
    </xdr:from>
    <xdr:to>
      <xdr:col>11</xdr:col>
      <xdr:colOff>571500</xdr:colOff>
      <xdr:row>3402</xdr:row>
      <xdr:rowOff>0</xdr:rowOff>
    </xdr:to>
    <xdr:pic>
      <xdr:nvPicPr>
        <xdr:cNvPr id="14855" name="Рисунок 14854">
          <a:extLst>
            <a:ext uri="{FF2B5EF4-FFF2-40B4-BE49-F238E27FC236}">
              <a16:creationId xmlns:a16="http://schemas.microsoft.com/office/drawing/2014/main" id="{930DB2B1-0919-4E3F-8DE1-AB25B9A837A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6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940563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3402</xdr:row>
      <xdr:rowOff>25400</xdr:rowOff>
    </xdr:from>
    <xdr:to>
      <xdr:col>11</xdr:col>
      <xdr:colOff>571500</xdr:colOff>
      <xdr:row>3403</xdr:row>
      <xdr:rowOff>0</xdr:rowOff>
    </xdr:to>
    <xdr:pic>
      <xdr:nvPicPr>
        <xdr:cNvPr id="14857" name="Рисунок 14856">
          <a:extLst>
            <a:ext uri="{FF2B5EF4-FFF2-40B4-BE49-F238E27FC236}">
              <a16:creationId xmlns:a16="http://schemas.microsoft.com/office/drawing/2014/main" id="{7A788DED-2CF8-4F35-A42A-D94EF8E97CB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6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941134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3403</xdr:row>
      <xdr:rowOff>25400</xdr:rowOff>
    </xdr:from>
    <xdr:to>
      <xdr:col>11</xdr:col>
      <xdr:colOff>571500</xdr:colOff>
      <xdr:row>3404</xdr:row>
      <xdr:rowOff>0</xdr:rowOff>
    </xdr:to>
    <xdr:pic>
      <xdr:nvPicPr>
        <xdr:cNvPr id="14859" name="Рисунок 14858">
          <a:extLst>
            <a:ext uri="{FF2B5EF4-FFF2-40B4-BE49-F238E27FC236}">
              <a16:creationId xmlns:a16="http://schemas.microsoft.com/office/drawing/2014/main" id="{5D279ACF-59B3-485B-A24C-97DB3E5BD0D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6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941706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3404</xdr:row>
      <xdr:rowOff>25400</xdr:rowOff>
    </xdr:from>
    <xdr:to>
      <xdr:col>11</xdr:col>
      <xdr:colOff>571500</xdr:colOff>
      <xdr:row>3405</xdr:row>
      <xdr:rowOff>0</xdr:rowOff>
    </xdr:to>
    <xdr:pic>
      <xdr:nvPicPr>
        <xdr:cNvPr id="14861" name="Рисунок 14860">
          <a:extLst>
            <a:ext uri="{FF2B5EF4-FFF2-40B4-BE49-F238E27FC236}">
              <a16:creationId xmlns:a16="http://schemas.microsoft.com/office/drawing/2014/main" id="{7EAC7784-C48F-49B9-8BFB-78477A81438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6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942277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3405</xdr:row>
      <xdr:rowOff>25400</xdr:rowOff>
    </xdr:from>
    <xdr:to>
      <xdr:col>11</xdr:col>
      <xdr:colOff>571500</xdr:colOff>
      <xdr:row>3406</xdr:row>
      <xdr:rowOff>0</xdr:rowOff>
    </xdr:to>
    <xdr:pic>
      <xdr:nvPicPr>
        <xdr:cNvPr id="14863" name="Рисунок 14862">
          <a:extLst>
            <a:ext uri="{FF2B5EF4-FFF2-40B4-BE49-F238E27FC236}">
              <a16:creationId xmlns:a16="http://schemas.microsoft.com/office/drawing/2014/main" id="{9FC802B6-8385-4726-96DC-E65EAFA89DC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6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942849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3406</xdr:row>
      <xdr:rowOff>25400</xdr:rowOff>
    </xdr:from>
    <xdr:to>
      <xdr:col>11</xdr:col>
      <xdr:colOff>571500</xdr:colOff>
      <xdr:row>3407</xdr:row>
      <xdr:rowOff>0</xdr:rowOff>
    </xdr:to>
    <xdr:pic>
      <xdr:nvPicPr>
        <xdr:cNvPr id="14865" name="Рисунок 14864">
          <a:extLst>
            <a:ext uri="{FF2B5EF4-FFF2-40B4-BE49-F238E27FC236}">
              <a16:creationId xmlns:a16="http://schemas.microsoft.com/office/drawing/2014/main" id="{D1FD62CE-DD4D-407B-BEE4-D9B8E30DA1C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6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943420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3407</xdr:row>
      <xdr:rowOff>25400</xdr:rowOff>
    </xdr:from>
    <xdr:to>
      <xdr:col>11</xdr:col>
      <xdr:colOff>571500</xdr:colOff>
      <xdr:row>3408</xdr:row>
      <xdr:rowOff>0</xdr:rowOff>
    </xdr:to>
    <xdr:pic>
      <xdr:nvPicPr>
        <xdr:cNvPr id="14867" name="Рисунок 14866">
          <a:extLst>
            <a:ext uri="{FF2B5EF4-FFF2-40B4-BE49-F238E27FC236}">
              <a16:creationId xmlns:a16="http://schemas.microsoft.com/office/drawing/2014/main" id="{A7DA295C-7F76-41E3-86EF-D7937FA3A8F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6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943992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3408</xdr:row>
      <xdr:rowOff>25400</xdr:rowOff>
    </xdr:from>
    <xdr:to>
      <xdr:col>11</xdr:col>
      <xdr:colOff>571500</xdr:colOff>
      <xdr:row>3409</xdr:row>
      <xdr:rowOff>0</xdr:rowOff>
    </xdr:to>
    <xdr:pic>
      <xdr:nvPicPr>
        <xdr:cNvPr id="14869" name="Рисунок 14868">
          <a:extLst>
            <a:ext uri="{FF2B5EF4-FFF2-40B4-BE49-F238E27FC236}">
              <a16:creationId xmlns:a16="http://schemas.microsoft.com/office/drawing/2014/main" id="{104FDE7A-788B-45BC-84B0-562A38A7A63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6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944563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3409</xdr:row>
      <xdr:rowOff>25400</xdr:rowOff>
    </xdr:from>
    <xdr:to>
      <xdr:col>11</xdr:col>
      <xdr:colOff>571500</xdr:colOff>
      <xdr:row>3410</xdr:row>
      <xdr:rowOff>0</xdr:rowOff>
    </xdr:to>
    <xdr:pic>
      <xdr:nvPicPr>
        <xdr:cNvPr id="14871" name="Рисунок 14870">
          <a:extLst>
            <a:ext uri="{FF2B5EF4-FFF2-40B4-BE49-F238E27FC236}">
              <a16:creationId xmlns:a16="http://schemas.microsoft.com/office/drawing/2014/main" id="{6CCFEE8F-6D14-4789-8E1A-2A44DDA54E5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6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945135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3410</xdr:row>
      <xdr:rowOff>25400</xdr:rowOff>
    </xdr:from>
    <xdr:to>
      <xdr:col>11</xdr:col>
      <xdr:colOff>571500</xdr:colOff>
      <xdr:row>3411</xdr:row>
      <xdr:rowOff>0</xdr:rowOff>
    </xdr:to>
    <xdr:pic>
      <xdr:nvPicPr>
        <xdr:cNvPr id="14873" name="Рисунок 14872">
          <a:extLst>
            <a:ext uri="{FF2B5EF4-FFF2-40B4-BE49-F238E27FC236}">
              <a16:creationId xmlns:a16="http://schemas.microsoft.com/office/drawing/2014/main" id="{475DEFDF-9E06-42DC-9D89-CED23AC501F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7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945706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3411</xdr:row>
      <xdr:rowOff>25400</xdr:rowOff>
    </xdr:from>
    <xdr:to>
      <xdr:col>11</xdr:col>
      <xdr:colOff>571500</xdr:colOff>
      <xdr:row>3412</xdr:row>
      <xdr:rowOff>0</xdr:rowOff>
    </xdr:to>
    <xdr:pic>
      <xdr:nvPicPr>
        <xdr:cNvPr id="14875" name="Рисунок 14874">
          <a:extLst>
            <a:ext uri="{FF2B5EF4-FFF2-40B4-BE49-F238E27FC236}">
              <a16:creationId xmlns:a16="http://schemas.microsoft.com/office/drawing/2014/main" id="{6BBFFEE4-9205-4DF2-AD96-87DC9524EF6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7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946278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3412</xdr:row>
      <xdr:rowOff>25400</xdr:rowOff>
    </xdr:from>
    <xdr:to>
      <xdr:col>11</xdr:col>
      <xdr:colOff>571500</xdr:colOff>
      <xdr:row>3413</xdr:row>
      <xdr:rowOff>0</xdr:rowOff>
    </xdr:to>
    <xdr:pic>
      <xdr:nvPicPr>
        <xdr:cNvPr id="14877" name="Рисунок 14876">
          <a:extLst>
            <a:ext uri="{FF2B5EF4-FFF2-40B4-BE49-F238E27FC236}">
              <a16:creationId xmlns:a16="http://schemas.microsoft.com/office/drawing/2014/main" id="{808AF3C2-B2C3-40DC-BFD9-55F09C213CE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7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946849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3413</xdr:row>
      <xdr:rowOff>25400</xdr:rowOff>
    </xdr:from>
    <xdr:to>
      <xdr:col>11</xdr:col>
      <xdr:colOff>571500</xdr:colOff>
      <xdr:row>3414</xdr:row>
      <xdr:rowOff>0</xdr:rowOff>
    </xdr:to>
    <xdr:pic>
      <xdr:nvPicPr>
        <xdr:cNvPr id="14879" name="Рисунок 14878">
          <a:extLst>
            <a:ext uri="{FF2B5EF4-FFF2-40B4-BE49-F238E27FC236}">
              <a16:creationId xmlns:a16="http://schemas.microsoft.com/office/drawing/2014/main" id="{E11D9814-EE41-48B4-9E21-3B62FE17BFA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7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947421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3414</xdr:row>
      <xdr:rowOff>25400</xdr:rowOff>
    </xdr:from>
    <xdr:to>
      <xdr:col>11</xdr:col>
      <xdr:colOff>571500</xdr:colOff>
      <xdr:row>3415</xdr:row>
      <xdr:rowOff>0</xdr:rowOff>
    </xdr:to>
    <xdr:pic>
      <xdr:nvPicPr>
        <xdr:cNvPr id="14881" name="Рисунок 14880">
          <a:extLst>
            <a:ext uri="{FF2B5EF4-FFF2-40B4-BE49-F238E27FC236}">
              <a16:creationId xmlns:a16="http://schemas.microsoft.com/office/drawing/2014/main" id="{A0302FC2-92A1-4BBD-BE26-C973C7CECE4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7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947992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3415</xdr:row>
      <xdr:rowOff>25400</xdr:rowOff>
    </xdr:from>
    <xdr:to>
      <xdr:col>11</xdr:col>
      <xdr:colOff>571500</xdr:colOff>
      <xdr:row>3416</xdr:row>
      <xdr:rowOff>0</xdr:rowOff>
    </xdr:to>
    <xdr:pic>
      <xdr:nvPicPr>
        <xdr:cNvPr id="14883" name="Рисунок 14882">
          <a:extLst>
            <a:ext uri="{FF2B5EF4-FFF2-40B4-BE49-F238E27FC236}">
              <a16:creationId xmlns:a16="http://schemas.microsoft.com/office/drawing/2014/main" id="{DFDA2913-5784-461C-8C13-5DF42335F9E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7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948564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3416</xdr:row>
      <xdr:rowOff>25400</xdr:rowOff>
    </xdr:from>
    <xdr:to>
      <xdr:col>11</xdr:col>
      <xdr:colOff>571500</xdr:colOff>
      <xdr:row>3417</xdr:row>
      <xdr:rowOff>0</xdr:rowOff>
    </xdr:to>
    <xdr:pic>
      <xdr:nvPicPr>
        <xdr:cNvPr id="14885" name="Рисунок 14884">
          <a:extLst>
            <a:ext uri="{FF2B5EF4-FFF2-40B4-BE49-F238E27FC236}">
              <a16:creationId xmlns:a16="http://schemas.microsoft.com/office/drawing/2014/main" id="{48057C48-9C47-4D61-A665-E87ADC22029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7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949135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3417</xdr:row>
      <xdr:rowOff>25400</xdr:rowOff>
    </xdr:from>
    <xdr:to>
      <xdr:col>11</xdr:col>
      <xdr:colOff>571500</xdr:colOff>
      <xdr:row>3418</xdr:row>
      <xdr:rowOff>0</xdr:rowOff>
    </xdr:to>
    <xdr:pic>
      <xdr:nvPicPr>
        <xdr:cNvPr id="14887" name="Рисунок 14886">
          <a:extLst>
            <a:ext uri="{FF2B5EF4-FFF2-40B4-BE49-F238E27FC236}">
              <a16:creationId xmlns:a16="http://schemas.microsoft.com/office/drawing/2014/main" id="{181DCFE4-8DBA-4C3E-907F-ABACFF10189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7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949707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3418</xdr:row>
      <xdr:rowOff>25400</xdr:rowOff>
    </xdr:from>
    <xdr:to>
      <xdr:col>11</xdr:col>
      <xdr:colOff>571500</xdr:colOff>
      <xdr:row>3419</xdr:row>
      <xdr:rowOff>0</xdr:rowOff>
    </xdr:to>
    <xdr:pic>
      <xdr:nvPicPr>
        <xdr:cNvPr id="14889" name="Рисунок 14888">
          <a:extLst>
            <a:ext uri="{FF2B5EF4-FFF2-40B4-BE49-F238E27FC236}">
              <a16:creationId xmlns:a16="http://schemas.microsoft.com/office/drawing/2014/main" id="{C50AD15C-2B2E-4513-B6DA-313214BA067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7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950278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3419</xdr:row>
      <xdr:rowOff>25400</xdr:rowOff>
    </xdr:from>
    <xdr:to>
      <xdr:col>11</xdr:col>
      <xdr:colOff>571500</xdr:colOff>
      <xdr:row>3420</xdr:row>
      <xdr:rowOff>0</xdr:rowOff>
    </xdr:to>
    <xdr:pic>
      <xdr:nvPicPr>
        <xdr:cNvPr id="14891" name="Рисунок 14890">
          <a:extLst>
            <a:ext uri="{FF2B5EF4-FFF2-40B4-BE49-F238E27FC236}">
              <a16:creationId xmlns:a16="http://schemas.microsoft.com/office/drawing/2014/main" id="{54DBBE80-8794-40A5-8390-0DB6354CD44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7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950850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3420</xdr:row>
      <xdr:rowOff>25400</xdr:rowOff>
    </xdr:from>
    <xdr:to>
      <xdr:col>11</xdr:col>
      <xdr:colOff>571500</xdr:colOff>
      <xdr:row>3421</xdr:row>
      <xdr:rowOff>0</xdr:rowOff>
    </xdr:to>
    <xdr:pic>
      <xdr:nvPicPr>
        <xdr:cNvPr id="14893" name="Рисунок 14892">
          <a:extLst>
            <a:ext uri="{FF2B5EF4-FFF2-40B4-BE49-F238E27FC236}">
              <a16:creationId xmlns:a16="http://schemas.microsoft.com/office/drawing/2014/main" id="{A5A4F79F-316D-468C-832B-1A4D6CF3B0B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8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951421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3421</xdr:row>
      <xdr:rowOff>25400</xdr:rowOff>
    </xdr:from>
    <xdr:to>
      <xdr:col>11</xdr:col>
      <xdr:colOff>571500</xdr:colOff>
      <xdr:row>3422</xdr:row>
      <xdr:rowOff>0</xdr:rowOff>
    </xdr:to>
    <xdr:pic>
      <xdr:nvPicPr>
        <xdr:cNvPr id="14895" name="Рисунок 14894">
          <a:extLst>
            <a:ext uri="{FF2B5EF4-FFF2-40B4-BE49-F238E27FC236}">
              <a16:creationId xmlns:a16="http://schemas.microsoft.com/office/drawing/2014/main" id="{B51FF2F7-02DE-43CB-9A2D-D64D00E38C1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8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951993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3422</xdr:row>
      <xdr:rowOff>25400</xdr:rowOff>
    </xdr:from>
    <xdr:to>
      <xdr:col>11</xdr:col>
      <xdr:colOff>571500</xdr:colOff>
      <xdr:row>3423</xdr:row>
      <xdr:rowOff>0</xdr:rowOff>
    </xdr:to>
    <xdr:pic>
      <xdr:nvPicPr>
        <xdr:cNvPr id="14897" name="Рисунок 14896">
          <a:extLst>
            <a:ext uri="{FF2B5EF4-FFF2-40B4-BE49-F238E27FC236}">
              <a16:creationId xmlns:a16="http://schemas.microsoft.com/office/drawing/2014/main" id="{4CECC488-759A-4E36-968F-204FA6804DB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8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952564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3423</xdr:row>
      <xdr:rowOff>25400</xdr:rowOff>
    </xdr:from>
    <xdr:to>
      <xdr:col>11</xdr:col>
      <xdr:colOff>571500</xdr:colOff>
      <xdr:row>3424</xdr:row>
      <xdr:rowOff>0</xdr:rowOff>
    </xdr:to>
    <xdr:pic>
      <xdr:nvPicPr>
        <xdr:cNvPr id="14899" name="Рисунок 14898">
          <a:extLst>
            <a:ext uri="{FF2B5EF4-FFF2-40B4-BE49-F238E27FC236}">
              <a16:creationId xmlns:a16="http://schemas.microsoft.com/office/drawing/2014/main" id="{31B27466-529F-45C1-8B96-127A45873A5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8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953136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3424</xdr:row>
      <xdr:rowOff>25400</xdr:rowOff>
    </xdr:from>
    <xdr:to>
      <xdr:col>11</xdr:col>
      <xdr:colOff>571500</xdr:colOff>
      <xdr:row>3425</xdr:row>
      <xdr:rowOff>0</xdr:rowOff>
    </xdr:to>
    <xdr:pic>
      <xdr:nvPicPr>
        <xdr:cNvPr id="14901" name="Рисунок 14900">
          <a:extLst>
            <a:ext uri="{FF2B5EF4-FFF2-40B4-BE49-F238E27FC236}">
              <a16:creationId xmlns:a16="http://schemas.microsoft.com/office/drawing/2014/main" id="{A01C8313-F197-4851-AC69-CF56CFB74FD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8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953707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3425</xdr:row>
      <xdr:rowOff>25400</xdr:rowOff>
    </xdr:from>
    <xdr:to>
      <xdr:col>11</xdr:col>
      <xdr:colOff>571500</xdr:colOff>
      <xdr:row>3426</xdr:row>
      <xdr:rowOff>0</xdr:rowOff>
    </xdr:to>
    <xdr:pic>
      <xdr:nvPicPr>
        <xdr:cNvPr id="14903" name="Рисунок 14902">
          <a:extLst>
            <a:ext uri="{FF2B5EF4-FFF2-40B4-BE49-F238E27FC236}">
              <a16:creationId xmlns:a16="http://schemas.microsoft.com/office/drawing/2014/main" id="{72F84C14-BE45-4BF2-97E7-8F213044A30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8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954279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3426</xdr:row>
      <xdr:rowOff>25400</xdr:rowOff>
    </xdr:from>
    <xdr:to>
      <xdr:col>11</xdr:col>
      <xdr:colOff>571500</xdr:colOff>
      <xdr:row>3427</xdr:row>
      <xdr:rowOff>0</xdr:rowOff>
    </xdr:to>
    <xdr:pic>
      <xdr:nvPicPr>
        <xdr:cNvPr id="14905" name="Рисунок 14904">
          <a:extLst>
            <a:ext uri="{FF2B5EF4-FFF2-40B4-BE49-F238E27FC236}">
              <a16:creationId xmlns:a16="http://schemas.microsoft.com/office/drawing/2014/main" id="{F827C81A-9BCA-4EDA-8623-D70A5DD6A97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8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954850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3427</xdr:row>
      <xdr:rowOff>25400</xdr:rowOff>
    </xdr:from>
    <xdr:to>
      <xdr:col>11</xdr:col>
      <xdr:colOff>571500</xdr:colOff>
      <xdr:row>3428</xdr:row>
      <xdr:rowOff>0</xdr:rowOff>
    </xdr:to>
    <xdr:pic>
      <xdr:nvPicPr>
        <xdr:cNvPr id="14907" name="Рисунок 14906">
          <a:extLst>
            <a:ext uri="{FF2B5EF4-FFF2-40B4-BE49-F238E27FC236}">
              <a16:creationId xmlns:a16="http://schemas.microsoft.com/office/drawing/2014/main" id="{8A6125FF-0A82-4933-B690-26A15CBC19D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8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955422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3428</xdr:row>
      <xdr:rowOff>25400</xdr:rowOff>
    </xdr:from>
    <xdr:to>
      <xdr:col>11</xdr:col>
      <xdr:colOff>571500</xdr:colOff>
      <xdr:row>3429</xdr:row>
      <xdr:rowOff>0</xdr:rowOff>
    </xdr:to>
    <xdr:pic>
      <xdr:nvPicPr>
        <xdr:cNvPr id="14909" name="Рисунок 14908">
          <a:extLst>
            <a:ext uri="{FF2B5EF4-FFF2-40B4-BE49-F238E27FC236}">
              <a16:creationId xmlns:a16="http://schemas.microsoft.com/office/drawing/2014/main" id="{6E8D6B6E-D695-4A86-9CC2-89BD3596E45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8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955993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3429</xdr:row>
      <xdr:rowOff>25400</xdr:rowOff>
    </xdr:from>
    <xdr:to>
      <xdr:col>11</xdr:col>
      <xdr:colOff>571500</xdr:colOff>
      <xdr:row>3430</xdr:row>
      <xdr:rowOff>0</xdr:rowOff>
    </xdr:to>
    <xdr:pic>
      <xdr:nvPicPr>
        <xdr:cNvPr id="14911" name="Рисунок 14910">
          <a:extLst>
            <a:ext uri="{FF2B5EF4-FFF2-40B4-BE49-F238E27FC236}">
              <a16:creationId xmlns:a16="http://schemas.microsoft.com/office/drawing/2014/main" id="{09A901B8-673A-4ADF-AB17-5A6A8BB0802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8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956565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3430</xdr:row>
      <xdr:rowOff>25400</xdr:rowOff>
    </xdr:from>
    <xdr:to>
      <xdr:col>11</xdr:col>
      <xdr:colOff>571500</xdr:colOff>
      <xdr:row>3431</xdr:row>
      <xdr:rowOff>0</xdr:rowOff>
    </xdr:to>
    <xdr:pic>
      <xdr:nvPicPr>
        <xdr:cNvPr id="14913" name="Рисунок 14912">
          <a:extLst>
            <a:ext uri="{FF2B5EF4-FFF2-40B4-BE49-F238E27FC236}">
              <a16:creationId xmlns:a16="http://schemas.microsoft.com/office/drawing/2014/main" id="{5AC73652-0C49-4635-A492-2A48DC98DE0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9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957136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3431</xdr:row>
      <xdr:rowOff>25400</xdr:rowOff>
    </xdr:from>
    <xdr:to>
      <xdr:col>11</xdr:col>
      <xdr:colOff>571500</xdr:colOff>
      <xdr:row>3432</xdr:row>
      <xdr:rowOff>0</xdr:rowOff>
    </xdr:to>
    <xdr:pic>
      <xdr:nvPicPr>
        <xdr:cNvPr id="14915" name="Рисунок 14914">
          <a:extLst>
            <a:ext uri="{FF2B5EF4-FFF2-40B4-BE49-F238E27FC236}">
              <a16:creationId xmlns:a16="http://schemas.microsoft.com/office/drawing/2014/main" id="{7FA0E18E-54AB-4E8D-AF89-475CB8812BC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9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957708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3432</xdr:row>
      <xdr:rowOff>25400</xdr:rowOff>
    </xdr:from>
    <xdr:to>
      <xdr:col>11</xdr:col>
      <xdr:colOff>571500</xdr:colOff>
      <xdr:row>3433</xdr:row>
      <xdr:rowOff>0</xdr:rowOff>
    </xdr:to>
    <xdr:pic>
      <xdr:nvPicPr>
        <xdr:cNvPr id="14917" name="Рисунок 14916">
          <a:extLst>
            <a:ext uri="{FF2B5EF4-FFF2-40B4-BE49-F238E27FC236}">
              <a16:creationId xmlns:a16="http://schemas.microsoft.com/office/drawing/2014/main" id="{4861E91E-1D67-4C62-B5C1-38E48A289DF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9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958279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3433</xdr:row>
      <xdr:rowOff>25400</xdr:rowOff>
    </xdr:from>
    <xdr:to>
      <xdr:col>11</xdr:col>
      <xdr:colOff>571500</xdr:colOff>
      <xdr:row>3434</xdr:row>
      <xdr:rowOff>0</xdr:rowOff>
    </xdr:to>
    <xdr:pic>
      <xdr:nvPicPr>
        <xdr:cNvPr id="14919" name="Рисунок 14918">
          <a:extLst>
            <a:ext uri="{FF2B5EF4-FFF2-40B4-BE49-F238E27FC236}">
              <a16:creationId xmlns:a16="http://schemas.microsoft.com/office/drawing/2014/main" id="{87FF920C-2B48-491C-AF5B-5B2A8BA1A41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9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958851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3434</xdr:row>
      <xdr:rowOff>25400</xdr:rowOff>
    </xdr:from>
    <xdr:to>
      <xdr:col>11</xdr:col>
      <xdr:colOff>571500</xdr:colOff>
      <xdr:row>3435</xdr:row>
      <xdr:rowOff>0</xdr:rowOff>
    </xdr:to>
    <xdr:pic>
      <xdr:nvPicPr>
        <xdr:cNvPr id="14921" name="Рисунок 14920">
          <a:extLst>
            <a:ext uri="{FF2B5EF4-FFF2-40B4-BE49-F238E27FC236}">
              <a16:creationId xmlns:a16="http://schemas.microsoft.com/office/drawing/2014/main" id="{C0422FA4-AF56-477B-9B6A-969BB9410F0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9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959422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3435</xdr:row>
      <xdr:rowOff>25400</xdr:rowOff>
    </xdr:from>
    <xdr:to>
      <xdr:col>11</xdr:col>
      <xdr:colOff>571500</xdr:colOff>
      <xdr:row>3436</xdr:row>
      <xdr:rowOff>0</xdr:rowOff>
    </xdr:to>
    <xdr:pic>
      <xdr:nvPicPr>
        <xdr:cNvPr id="14923" name="Рисунок 14922">
          <a:extLst>
            <a:ext uri="{FF2B5EF4-FFF2-40B4-BE49-F238E27FC236}">
              <a16:creationId xmlns:a16="http://schemas.microsoft.com/office/drawing/2014/main" id="{17104D9A-727B-4D78-B5FB-EC15F62AA34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9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959994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3436</xdr:row>
      <xdr:rowOff>25400</xdr:rowOff>
    </xdr:from>
    <xdr:to>
      <xdr:col>11</xdr:col>
      <xdr:colOff>571500</xdr:colOff>
      <xdr:row>3437</xdr:row>
      <xdr:rowOff>0</xdr:rowOff>
    </xdr:to>
    <xdr:pic>
      <xdr:nvPicPr>
        <xdr:cNvPr id="14925" name="Рисунок 14924">
          <a:extLst>
            <a:ext uri="{FF2B5EF4-FFF2-40B4-BE49-F238E27FC236}">
              <a16:creationId xmlns:a16="http://schemas.microsoft.com/office/drawing/2014/main" id="{EB321BEB-5F4C-4989-8F76-978A10F8AFB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9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960565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3437</xdr:row>
      <xdr:rowOff>25400</xdr:rowOff>
    </xdr:from>
    <xdr:to>
      <xdr:col>11</xdr:col>
      <xdr:colOff>571500</xdr:colOff>
      <xdr:row>3438</xdr:row>
      <xdr:rowOff>0</xdr:rowOff>
    </xdr:to>
    <xdr:pic>
      <xdr:nvPicPr>
        <xdr:cNvPr id="14927" name="Рисунок 14926">
          <a:extLst>
            <a:ext uri="{FF2B5EF4-FFF2-40B4-BE49-F238E27FC236}">
              <a16:creationId xmlns:a16="http://schemas.microsoft.com/office/drawing/2014/main" id="{FAD0FB81-8D3B-431B-A79D-32F3BE5DC50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9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961137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3438</xdr:row>
      <xdr:rowOff>25400</xdr:rowOff>
    </xdr:from>
    <xdr:to>
      <xdr:col>11</xdr:col>
      <xdr:colOff>571500</xdr:colOff>
      <xdr:row>3439</xdr:row>
      <xdr:rowOff>0</xdr:rowOff>
    </xdr:to>
    <xdr:pic>
      <xdr:nvPicPr>
        <xdr:cNvPr id="14929" name="Рисунок 14928">
          <a:extLst>
            <a:ext uri="{FF2B5EF4-FFF2-40B4-BE49-F238E27FC236}">
              <a16:creationId xmlns:a16="http://schemas.microsoft.com/office/drawing/2014/main" id="{E4654C91-46FE-4E66-A940-89CE0DDB837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9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961708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3439</xdr:row>
      <xdr:rowOff>25400</xdr:rowOff>
    </xdr:from>
    <xdr:to>
      <xdr:col>11</xdr:col>
      <xdr:colOff>571500</xdr:colOff>
      <xdr:row>3440</xdr:row>
      <xdr:rowOff>0</xdr:rowOff>
    </xdr:to>
    <xdr:pic>
      <xdr:nvPicPr>
        <xdr:cNvPr id="14931" name="Рисунок 14930">
          <a:extLst>
            <a:ext uri="{FF2B5EF4-FFF2-40B4-BE49-F238E27FC236}">
              <a16:creationId xmlns:a16="http://schemas.microsoft.com/office/drawing/2014/main" id="{AB429DF5-B849-43BB-BB68-2DAA1404318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39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962280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3440</xdr:row>
      <xdr:rowOff>25400</xdr:rowOff>
    </xdr:from>
    <xdr:to>
      <xdr:col>11</xdr:col>
      <xdr:colOff>571500</xdr:colOff>
      <xdr:row>3441</xdr:row>
      <xdr:rowOff>0</xdr:rowOff>
    </xdr:to>
    <xdr:pic>
      <xdr:nvPicPr>
        <xdr:cNvPr id="14933" name="Рисунок 14932">
          <a:extLst>
            <a:ext uri="{FF2B5EF4-FFF2-40B4-BE49-F238E27FC236}">
              <a16:creationId xmlns:a16="http://schemas.microsoft.com/office/drawing/2014/main" id="{6E59A081-9608-488B-8D8C-7B9FA1A6422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0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962851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3441</xdr:row>
      <xdr:rowOff>25400</xdr:rowOff>
    </xdr:from>
    <xdr:to>
      <xdr:col>11</xdr:col>
      <xdr:colOff>571500</xdr:colOff>
      <xdr:row>3442</xdr:row>
      <xdr:rowOff>0</xdr:rowOff>
    </xdr:to>
    <xdr:pic>
      <xdr:nvPicPr>
        <xdr:cNvPr id="14935" name="Рисунок 14934">
          <a:extLst>
            <a:ext uri="{FF2B5EF4-FFF2-40B4-BE49-F238E27FC236}">
              <a16:creationId xmlns:a16="http://schemas.microsoft.com/office/drawing/2014/main" id="{18A59A07-C12B-480A-B440-C120F4D5DBD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0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963423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3442</xdr:row>
      <xdr:rowOff>25400</xdr:rowOff>
    </xdr:from>
    <xdr:to>
      <xdr:col>11</xdr:col>
      <xdr:colOff>571500</xdr:colOff>
      <xdr:row>3443</xdr:row>
      <xdr:rowOff>0</xdr:rowOff>
    </xdr:to>
    <xdr:pic>
      <xdr:nvPicPr>
        <xdr:cNvPr id="14937" name="Рисунок 14936">
          <a:extLst>
            <a:ext uri="{FF2B5EF4-FFF2-40B4-BE49-F238E27FC236}">
              <a16:creationId xmlns:a16="http://schemas.microsoft.com/office/drawing/2014/main" id="{79D0F812-9D2C-4D94-B835-A39B8467D84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0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963994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3443</xdr:row>
      <xdr:rowOff>25400</xdr:rowOff>
    </xdr:from>
    <xdr:to>
      <xdr:col>11</xdr:col>
      <xdr:colOff>571500</xdr:colOff>
      <xdr:row>3444</xdr:row>
      <xdr:rowOff>0</xdr:rowOff>
    </xdr:to>
    <xdr:pic>
      <xdr:nvPicPr>
        <xdr:cNvPr id="14939" name="Рисунок 14938">
          <a:extLst>
            <a:ext uri="{FF2B5EF4-FFF2-40B4-BE49-F238E27FC236}">
              <a16:creationId xmlns:a16="http://schemas.microsoft.com/office/drawing/2014/main" id="{DFF343F9-E390-433C-B663-49F46328DD6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0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964566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3444</xdr:row>
      <xdr:rowOff>25400</xdr:rowOff>
    </xdr:from>
    <xdr:to>
      <xdr:col>11</xdr:col>
      <xdr:colOff>571500</xdr:colOff>
      <xdr:row>3445</xdr:row>
      <xdr:rowOff>0</xdr:rowOff>
    </xdr:to>
    <xdr:pic>
      <xdr:nvPicPr>
        <xdr:cNvPr id="14941" name="Рисунок 14940">
          <a:extLst>
            <a:ext uri="{FF2B5EF4-FFF2-40B4-BE49-F238E27FC236}">
              <a16:creationId xmlns:a16="http://schemas.microsoft.com/office/drawing/2014/main" id="{E13A7F2B-3549-4B85-B885-106CA62F577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0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965137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3445</xdr:row>
      <xdr:rowOff>25400</xdr:rowOff>
    </xdr:from>
    <xdr:to>
      <xdr:col>11</xdr:col>
      <xdr:colOff>571500</xdr:colOff>
      <xdr:row>3446</xdr:row>
      <xdr:rowOff>0</xdr:rowOff>
    </xdr:to>
    <xdr:pic>
      <xdr:nvPicPr>
        <xdr:cNvPr id="14943" name="Рисунок 14942">
          <a:extLst>
            <a:ext uri="{FF2B5EF4-FFF2-40B4-BE49-F238E27FC236}">
              <a16:creationId xmlns:a16="http://schemas.microsoft.com/office/drawing/2014/main" id="{230B1133-234D-4E26-8EF0-C02EEC29B27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0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965709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3446</xdr:row>
      <xdr:rowOff>25400</xdr:rowOff>
    </xdr:from>
    <xdr:to>
      <xdr:col>11</xdr:col>
      <xdr:colOff>571500</xdr:colOff>
      <xdr:row>3447</xdr:row>
      <xdr:rowOff>0</xdr:rowOff>
    </xdr:to>
    <xdr:pic>
      <xdr:nvPicPr>
        <xdr:cNvPr id="14945" name="Рисунок 14944">
          <a:extLst>
            <a:ext uri="{FF2B5EF4-FFF2-40B4-BE49-F238E27FC236}">
              <a16:creationId xmlns:a16="http://schemas.microsoft.com/office/drawing/2014/main" id="{113EF86D-5E2F-4026-890F-87F270CF35D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0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966280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3447</xdr:row>
      <xdr:rowOff>25400</xdr:rowOff>
    </xdr:from>
    <xdr:to>
      <xdr:col>11</xdr:col>
      <xdr:colOff>571500</xdr:colOff>
      <xdr:row>3448</xdr:row>
      <xdr:rowOff>0</xdr:rowOff>
    </xdr:to>
    <xdr:pic>
      <xdr:nvPicPr>
        <xdr:cNvPr id="14947" name="Рисунок 14946">
          <a:extLst>
            <a:ext uri="{FF2B5EF4-FFF2-40B4-BE49-F238E27FC236}">
              <a16:creationId xmlns:a16="http://schemas.microsoft.com/office/drawing/2014/main" id="{FB1944C7-92EE-44CC-ABA8-408501F0767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0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966852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3448</xdr:row>
      <xdr:rowOff>25400</xdr:rowOff>
    </xdr:from>
    <xdr:to>
      <xdr:col>11</xdr:col>
      <xdr:colOff>571500</xdr:colOff>
      <xdr:row>3449</xdr:row>
      <xdr:rowOff>0</xdr:rowOff>
    </xdr:to>
    <xdr:pic>
      <xdr:nvPicPr>
        <xdr:cNvPr id="14949" name="Рисунок 14948">
          <a:extLst>
            <a:ext uri="{FF2B5EF4-FFF2-40B4-BE49-F238E27FC236}">
              <a16:creationId xmlns:a16="http://schemas.microsoft.com/office/drawing/2014/main" id="{D042918F-6727-49AB-803E-5067286C099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0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967423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3449</xdr:row>
      <xdr:rowOff>25400</xdr:rowOff>
    </xdr:from>
    <xdr:to>
      <xdr:col>11</xdr:col>
      <xdr:colOff>571500</xdr:colOff>
      <xdr:row>3450</xdr:row>
      <xdr:rowOff>0</xdr:rowOff>
    </xdr:to>
    <xdr:pic>
      <xdr:nvPicPr>
        <xdr:cNvPr id="14951" name="Рисунок 14950">
          <a:extLst>
            <a:ext uri="{FF2B5EF4-FFF2-40B4-BE49-F238E27FC236}">
              <a16:creationId xmlns:a16="http://schemas.microsoft.com/office/drawing/2014/main" id="{CD255C58-AB3C-4A46-9574-F6DC5EF88EB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0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967995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3450</xdr:row>
      <xdr:rowOff>25400</xdr:rowOff>
    </xdr:from>
    <xdr:to>
      <xdr:col>11</xdr:col>
      <xdr:colOff>571500</xdr:colOff>
      <xdr:row>3451</xdr:row>
      <xdr:rowOff>0</xdr:rowOff>
    </xdr:to>
    <xdr:pic>
      <xdr:nvPicPr>
        <xdr:cNvPr id="14953" name="Рисунок 14952">
          <a:extLst>
            <a:ext uri="{FF2B5EF4-FFF2-40B4-BE49-F238E27FC236}">
              <a16:creationId xmlns:a16="http://schemas.microsoft.com/office/drawing/2014/main" id="{912C4AB2-849B-4496-8765-E6312A50406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968566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3451</xdr:row>
      <xdr:rowOff>25400</xdr:rowOff>
    </xdr:from>
    <xdr:to>
      <xdr:col>11</xdr:col>
      <xdr:colOff>571500</xdr:colOff>
      <xdr:row>3452</xdr:row>
      <xdr:rowOff>0</xdr:rowOff>
    </xdr:to>
    <xdr:pic>
      <xdr:nvPicPr>
        <xdr:cNvPr id="14955" name="Рисунок 14954">
          <a:extLst>
            <a:ext uri="{FF2B5EF4-FFF2-40B4-BE49-F238E27FC236}">
              <a16:creationId xmlns:a16="http://schemas.microsoft.com/office/drawing/2014/main" id="{D4D98330-4014-461E-9BFF-69C8CE8FD06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969138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3452</xdr:row>
      <xdr:rowOff>25400</xdr:rowOff>
    </xdr:from>
    <xdr:to>
      <xdr:col>11</xdr:col>
      <xdr:colOff>571500</xdr:colOff>
      <xdr:row>3453</xdr:row>
      <xdr:rowOff>0</xdr:rowOff>
    </xdr:to>
    <xdr:pic>
      <xdr:nvPicPr>
        <xdr:cNvPr id="14957" name="Рисунок 14956">
          <a:extLst>
            <a:ext uri="{FF2B5EF4-FFF2-40B4-BE49-F238E27FC236}">
              <a16:creationId xmlns:a16="http://schemas.microsoft.com/office/drawing/2014/main" id="{7273989A-D49B-42D5-80D6-CF13AFDDEEB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969709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3453</xdr:row>
      <xdr:rowOff>25400</xdr:rowOff>
    </xdr:from>
    <xdr:to>
      <xdr:col>11</xdr:col>
      <xdr:colOff>571500</xdr:colOff>
      <xdr:row>3454</xdr:row>
      <xdr:rowOff>0</xdr:rowOff>
    </xdr:to>
    <xdr:pic>
      <xdr:nvPicPr>
        <xdr:cNvPr id="14959" name="Рисунок 14958">
          <a:extLst>
            <a:ext uri="{FF2B5EF4-FFF2-40B4-BE49-F238E27FC236}">
              <a16:creationId xmlns:a16="http://schemas.microsoft.com/office/drawing/2014/main" id="{C888E8DC-A2EA-4386-8950-7F5E17ED836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970281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3454</xdr:row>
      <xdr:rowOff>25400</xdr:rowOff>
    </xdr:from>
    <xdr:to>
      <xdr:col>11</xdr:col>
      <xdr:colOff>571500</xdr:colOff>
      <xdr:row>3455</xdr:row>
      <xdr:rowOff>0</xdr:rowOff>
    </xdr:to>
    <xdr:pic>
      <xdr:nvPicPr>
        <xdr:cNvPr id="14961" name="Рисунок 14960">
          <a:extLst>
            <a:ext uri="{FF2B5EF4-FFF2-40B4-BE49-F238E27FC236}">
              <a16:creationId xmlns:a16="http://schemas.microsoft.com/office/drawing/2014/main" id="{1652B9DA-AD6D-41AA-932E-67723A1333E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970852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3455</xdr:row>
      <xdr:rowOff>25400</xdr:rowOff>
    </xdr:from>
    <xdr:to>
      <xdr:col>11</xdr:col>
      <xdr:colOff>571500</xdr:colOff>
      <xdr:row>3456</xdr:row>
      <xdr:rowOff>0</xdr:rowOff>
    </xdr:to>
    <xdr:pic>
      <xdr:nvPicPr>
        <xdr:cNvPr id="14963" name="Рисунок 14962">
          <a:extLst>
            <a:ext uri="{FF2B5EF4-FFF2-40B4-BE49-F238E27FC236}">
              <a16:creationId xmlns:a16="http://schemas.microsoft.com/office/drawing/2014/main" id="{038AFD3B-E338-44E7-B2A5-494EB05C840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971424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3456</xdr:row>
      <xdr:rowOff>25400</xdr:rowOff>
    </xdr:from>
    <xdr:to>
      <xdr:col>11</xdr:col>
      <xdr:colOff>571500</xdr:colOff>
      <xdr:row>3457</xdr:row>
      <xdr:rowOff>0</xdr:rowOff>
    </xdr:to>
    <xdr:pic>
      <xdr:nvPicPr>
        <xdr:cNvPr id="14965" name="Рисунок 14964">
          <a:extLst>
            <a:ext uri="{FF2B5EF4-FFF2-40B4-BE49-F238E27FC236}">
              <a16:creationId xmlns:a16="http://schemas.microsoft.com/office/drawing/2014/main" id="{294267CA-07EE-4A34-AAA5-828E311866B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971995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3457</xdr:row>
      <xdr:rowOff>25400</xdr:rowOff>
    </xdr:from>
    <xdr:to>
      <xdr:col>11</xdr:col>
      <xdr:colOff>571500</xdr:colOff>
      <xdr:row>3458</xdr:row>
      <xdr:rowOff>0</xdr:rowOff>
    </xdr:to>
    <xdr:pic>
      <xdr:nvPicPr>
        <xdr:cNvPr id="14967" name="Рисунок 14966">
          <a:extLst>
            <a:ext uri="{FF2B5EF4-FFF2-40B4-BE49-F238E27FC236}">
              <a16:creationId xmlns:a16="http://schemas.microsoft.com/office/drawing/2014/main" id="{C52088B9-81EA-4AC2-9EF4-155D964B790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972567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3458</xdr:row>
      <xdr:rowOff>25400</xdr:rowOff>
    </xdr:from>
    <xdr:to>
      <xdr:col>11</xdr:col>
      <xdr:colOff>571500</xdr:colOff>
      <xdr:row>3459</xdr:row>
      <xdr:rowOff>0</xdr:rowOff>
    </xdr:to>
    <xdr:pic>
      <xdr:nvPicPr>
        <xdr:cNvPr id="14969" name="Рисунок 14968">
          <a:extLst>
            <a:ext uri="{FF2B5EF4-FFF2-40B4-BE49-F238E27FC236}">
              <a16:creationId xmlns:a16="http://schemas.microsoft.com/office/drawing/2014/main" id="{97557CF5-8387-457E-85ED-98F8428957B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973138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3459</xdr:row>
      <xdr:rowOff>25400</xdr:rowOff>
    </xdr:from>
    <xdr:to>
      <xdr:col>11</xdr:col>
      <xdr:colOff>571500</xdr:colOff>
      <xdr:row>3460</xdr:row>
      <xdr:rowOff>0</xdr:rowOff>
    </xdr:to>
    <xdr:pic>
      <xdr:nvPicPr>
        <xdr:cNvPr id="14971" name="Рисунок 14970">
          <a:extLst>
            <a:ext uri="{FF2B5EF4-FFF2-40B4-BE49-F238E27FC236}">
              <a16:creationId xmlns:a16="http://schemas.microsoft.com/office/drawing/2014/main" id="{D631FF12-0C0D-40C5-9EDC-20570BD6555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973710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3460</xdr:row>
      <xdr:rowOff>25400</xdr:rowOff>
    </xdr:from>
    <xdr:to>
      <xdr:col>11</xdr:col>
      <xdr:colOff>571500</xdr:colOff>
      <xdr:row>3461</xdr:row>
      <xdr:rowOff>0</xdr:rowOff>
    </xdr:to>
    <xdr:pic>
      <xdr:nvPicPr>
        <xdr:cNvPr id="14973" name="Рисунок 14972">
          <a:extLst>
            <a:ext uri="{FF2B5EF4-FFF2-40B4-BE49-F238E27FC236}">
              <a16:creationId xmlns:a16="http://schemas.microsoft.com/office/drawing/2014/main" id="{6870E016-2BC3-452E-82B8-658E6796CD1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974281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3461</xdr:row>
      <xdr:rowOff>25400</xdr:rowOff>
    </xdr:from>
    <xdr:to>
      <xdr:col>11</xdr:col>
      <xdr:colOff>571500</xdr:colOff>
      <xdr:row>3462</xdr:row>
      <xdr:rowOff>0</xdr:rowOff>
    </xdr:to>
    <xdr:pic>
      <xdr:nvPicPr>
        <xdr:cNvPr id="14975" name="Рисунок 14974">
          <a:extLst>
            <a:ext uri="{FF2B5EF4-FFF2-40B4-BE49-F238E27FC236}">
              <a16:creationId xmlns:a16="http://schemas.microsoft.com/office/drawing/2014/main" id="{DA43E421-1C7B-4233-A39B-D881484C687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974853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3462</xdr:row>
      <xdr:rowOff>25400</xdr:rowOff>
    </xdr:from>
    <xdr:to>
      <xdr:col>11</xdr:col>
      <xdr:colOff>571500</xdr:colOff>
      <xdr:row>3463</xdr:row>
      <xdr:rowOff>0</xdr:rowOff>
    </xdr:to>
    <xdr:pic>
      <xdr:nvPicPr>
        <xdr:cNvPr id="14977" name="Рисунок 14976">
          <a:extLst>
            <a:ext uri="{FF2B5EF4-FFF2-40B4-BE49-F238E27FC236}">
              <a16:creationId xmlns:a16="http://schemas.microsoft.com/office/drawing/2014/main" id="{A0C4A288-01F9-4E00-B58F-AD54637F66D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975424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3463</xdr:row>
      <xdr:rowOff>25400</xdr:rowOff>
    </xdr:from>
    <xdr:to>
      <xdr:col>11</xdr:col>
      <xdr:colOff>571500</xdr:colOff>
      <xdr:row>3464</xdr:row>
      <xdr:rowOff>0</xdr:rowOff>
    </xdr:to>
    <xdr:pic>
      <xdr:nvPicPr>
        <xdr:cNvPr id="14979" name="Рисунок 14978">
          <a:extLst>
            <a:ext uri="{FF2B5EF4-FFF2-40B4-BE49-F238E27FC236}">
              <a16:creationId xmlns:a16="http://schemas.microsoft.com/office/drawing/2014/main" id="{E87FDB36-7AC7-459D-8A19-CF4175FA4A1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975996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3464</xdr:row>
      <xdr:rowOff>25400</xdr:rowOff>
    </xdr:from>
    <xdr:to>
      <xdr:col>11</xdr:col>
      <xdr:colOff>571500</xdr:colOff>
      <xdr:row>3465</xdr:row>
      <xdr:rowOff>0</xdr:rowOff>
    </xdr:to>
    <xdr:pic>
      <xdr:nvPicPr>
        <xdr:cNvPr id="14981" name="Рисунок 14980">
          <a:extLst>
            <a:ext uri="{FF2B5EF4-FFF2-40B4-BE49-F238E27FC236}">
              <a16:creationId xmlns:a16="http://schemas.microsoft.com/office/drawing/2014/main" id="{9926F818-2934-4EF3-B1C8-FC1C8C78BB5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976567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3465</xdr:row>
      <xdr:rowOff>25400</xdr:rowOff>
    </xdr:from>
    <xdr:to>
      <xdr:col>11</xdr:col>
      <xdr:colOff>571500</xdr:colOff>
      <xdr:row>3466</xdr:row>
      <xdr:rowOff>0</xdr:rowOff>
    </xdr:to>
    <xdr:pic>
      <xdr:nvPicPr>
        <xdr:cNvPr id="14983" name="Рисунок 14982">
          <a:extLst>
            <a:ext uri="{FF2B5EF4-FFF2-40B4-BE49-F238E27FC236}">
              <a16:creationId xmlns:a16="http://schemas.microsoft.com/office/drawing/2014/main" id="{C208F569-8418-47C1-9B87-2FE7D610A1C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977139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3466</xdr:row>
      <xdr:rowOff>25400</xdr:rowOff>
    </xdr:from>
    <xdr:to>
      <xdr:col>11</xdr:col>
      <xdr:colOff>571500</xdr:colOff>
      <xdr:row>3467</xdr:row>
      <xdr:rowOff>0</xdr:rowOff>
    </xdr:to>
    <xdr:pic>
      <xdr:nvPicPr>
        <xdr:cNvPr id="14985" name="Рисунок 14984">
          <a:extLst>
            <a:ext uri="{FF2B5EF4-FFF2-40B4-BE49-F238E27FC236}">
              <a16:creationId xmlns:a16="http://schemas.microsoft.com/office/drawing/2014/main" id="{B2238D7C-81CB-46CE-A2AC-A51B773A749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977710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3467</xdr:row>
      <xdr:rowOff>25400</xdr:rowOff>
    </xdr:from>
    <xdr:to>
      <xdr:col>11</xdr:col>
      <xdr:colOff>571500</xdr:colOff>
      <xdr:row>3468</xdr:row>
      <xdr:rowOff>0</xdr:rowOff>
    </xdr:to>
    <xdr:pic>
      <xdr:nvPicPr>
        <xdr:cNvPr id="14987" name="Рисунок 14986">
          <a:extLst>
            <a:ext uri="{FF2B5EF4-FFF2-40B4-BE49-F238E27FC236}">
              <a16:creationId xmlns:a16="http://schemas.microsoft.com/office/drawing/2014/main" id="{38661257-DDA5-4775-96C0-332ABFA80B1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978282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3468</xdr:row>
      <xdr:rowOff>25400</xdr:rowOff>
    </xdr:from>
    <xdr:to>
      <xdr:col>11</xdr:col>
      <xdr:colOff>571500</xdr:colOff>
      <xdr:row>3469</xdr:row>
      <xdr:rowOff>0</xdr:rowOff>
    </xdr:to>
    <xdr:pic>
      <xdr:nvPicPr>
        <xdr:cNvPr id="14989" name="Рисунок 14988">
          <a:extLst>
            <a:ext uri="{FF2B5EF4-FFF2-40B4-BE49-F238E27FC236}">
              <a16:creationId xmlns:a16="http://schemas.microsoft.com/office/drawing/2014/main" id="{496CCFA3-8ED2-4306-91C2-850606049BB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978853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3469</xdr:row>
      <xdr:rowOff>25400</xdr:rowOff>
    </xdr:from>
    <xdr:to>
      <xdr:col>11</xdr:col>
      <xdr:colOff>571500</xdr:colOff>
      <xdr:row>3470</xdr:row>
      <xdr:rowOff>0</xdr:rowOff>
    </xdr:to>
    <xdr:pic>
      <xdr:nvPicPr>
        <xdr:cNvPr id="14991" name="Рисунок 14990">
          <a:extLst>
            <a:ext uri="{FF2B5EF4-FFF2-40B4-BE49-F238E27FC236}">
              <a16:creationId xmlns:a16="http://schemas.microsoft.com/office/drawing/2014/main" id="{4B9911A4-4573-43B3-8901-FAF826DDD71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979425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3470</xdr:row>
      <xdr:rowOff>25400</xdr:rowOff>
    </xdr:from>
    <xdr:to>
      <xdr:col>11</xdr:col>
      <xdr:colOff>571500</xdr:colOff>
      <xdr:row>3471</xdr:row>
      <xdr:rowOff>0</xdr:rowOff>
    </xdr:to>
    <xdr:pic>
      <xdr:nvPicPr>
        <xdr:cNvPr id="14993" name="Рисунок 14992">
          <a:extLst>
            <a:ext uri="{FF2B5EF4-FFF2-40B4-BE49-F238E27FC236}">
              <a16:creationId xmlns:a16="http://schemas.microsoft.com/office/drawing/2014/main" id="{8E863492-A285-4306-9A5C-633EC50DFE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979996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3471</xdr:row>
      <xdr:rowOff>25400</xdr:rowOff>
    </xdr:from>
    <xdr:to>
      <xdr:col>11</xdr:col>
      <xdr:colOff>571500</xdr:colOff>
      <xdr:row>3472</xdr:row>
      <xdr:rowOff>0</xdr:rowOff>
    </xdr:to>
    <xdr:pic>
      <xdr:nvPicPr>
        <xdr:cNvPr id="14995" name="Рисунок 14994">
          <a:extLst>
            <a:ext uri="{FF2B5EF4-FFF2-40B4-BE49-F238E27FC236}">
              <a16:creationId xmlns:a16="http://schemas.microsoft.com/office/drawing/2014/main" id="{021A90E0-7527-4CE6-973A-3147B4FB459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3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980568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3472</xdr:row>
      <xdr:rowOff>25400</xdr:rowOff>
    </xdr:from>
    <xdr:to>
      <xdr:col>11</xdr:col>
      <xdr:colOff>571500</xdr:colOff>
      <xdr:row>3473</xdr:row>
      <xdr:rowOff>0</xdr:rowOff>
    </xdr:to>
    <xdr:pic>
      <xdr:nvPicPr>
        <xdr:cNvPr id="14997" name="Рисунок 14996">
          <a:extLst>
            <a:ext uri="{FF2B5EF4-FFF2-40B4-BE49-F238E27FC236}">
              <a16:creationId xmlns:a16="http://schemas.microsoft.com/office/drawing/2014/main" id="{0A1417EB-6334-43BC-A69F-AC09506131F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3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981139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3473</xdr:row>
      <xdr:rowOff>25400</xdr:rowOff>
    </xdr:from>
    <xdr:to>
      <xdr:col>11</xdr:col>
      <xdr:colOff>571500</xdr:colOff>
      <xdr:row>3474</xdr:row>
      <xdr:rowOff>0</xdr:rowOff>
    </xdr:to>
    <xdr:pic>
      <xdr:nvPicPr>
        <xdr:cNvPr id="14999" name="Рисунок 14998">
          <a:extLst>
            <a:ext uri="{FF2B5EF4-FFF2-40B4-BE49-F238E27FC236}">
              <a16:creationId xmlns:a16="http://schemas.microsoft.com/office/drawing/2014/main" id="{4B9C8C67-DF8C-4945-8231-330C8A99345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3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981711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3474</xdr:row>
      <xdr:rowOff>25400</xdr:rowOff>
    </xdr:from>
    <xdr:to>
      <xdr:col>11</xdr:col>
      <xdr:colOff>571500</xdr:colOff>
      <xdr:row>3475</xdr:row>
      <xdr:rowOff>0</xdr:rowOff>
    </xdr:to>
    <xdr:pic>
      <xdr:nvPicPr>
        <xdr:cNvPr id="15001" name="Рисунок 15000">
          <a:extLst>
            <a:ext uri="{FF2B5EF4-FFF2-40B4-BE49-F238E27FC236}">
              <a16:creationId xmlns:a16="http://schemas.microsoft.com/office/drawing/2014/main" id="{EC8987E0-E871-4B9D-A1FA-3325F231F9D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3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982282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3475</xdr:row>
      <xdr:rowOff>25400</xdr:rowOff>
    </xdr:from>
    <xdr:to>
      <xdr:col>11</xdr:col>
      <xdr:colOff>571500</xdr:colOff>
      <xdr:row>3476</xdr:row>
      <xdr:rowOff>0</xdr:rowOff>
    </xdr:to>
    <xdr:pic>
      <xdr:nvPicPr>
        <xdr:cNvPr id="15003" name="Рисунок 15002">
          <a:extLst>
            <a:ext uri="{FF2B5EF4-FFF2-40B4-BE49-F238E27FC236}">
              <a16:creationId xmlns:a16="http://schemas.microsoft.com/office/drawing/2014/main" id="{6B40FB25-F304-4782-9244-496764D4C23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3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982854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3476</xdr:row>
      <xdr:rowOff>25400</xdr:rowOff>
    </xdr:from>
    <xdr:to>
      <xdr:col>11</xdr:col>
      <xdr:colOff>571500</xdr:colOff>
      <xdr:row>3477</xdr:row>
      <xdr:rowOff>0</xdr:rowOff>
    </xdr:to>
    <xdr:pic>
      <xdr:nvPicPr>
        <xdr:cNvPr id="15005" name="Рисунок 15004">
          <a:extLst>
            <a:ext uri="{FF2B5EF4-FFF2-40B4-BE49-F238E27FC236}">
              <a16:creationId xmlns:a16="http://schemas.microsoft.com/office/drawing/2014/main" id="{DB53F718-2264-4646-B2B9-F7DC6E96E42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3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983425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3477</xdr:row>
      <xdr:rowOff>25400</xdr:rowOff>
    </xdr:from>
    <xdr:to>
      <xdr:col>11</xdr:col>
      <xdr:colOff>571500</xdr:colOff>
      <xdr:row>3478</xdr:row>
      <xdr:rowOff>0</xdr:rowOff>
    </xdr:to>
    <xdr:pic>
      <xdr:nvPicPr>
        <xdr:cNvPr id="15007" name="Рисунок 15006">
          <a:extLst>
            <a:ext uri="{FF2B5EF4-FFF2-40B4-BE49-F238E27FC236}">
              <a16:creationId xmlns:a16="http://schemas.microsoft.com/office/drawing/2014/main" id="{72C57E54-0675-4833-80A2-334A01B1D39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3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983997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3478</xdr:row>
      <xdr:rowOff>25400</xdr:rowOff>
    </xdr:from>
    <xdr:to>
      <xdr:col>11</xdr:col>
      <xdr:colOff>571500</xdr:colOff>
      <xdr:row>3479</xdr:row>
      <xdr:rowOff>0</xdr:rowOff>
    </xdr:to>
    <xdr:pic>
      <xdr:nvPicPr>
        <xdr:cNvPr id="15009" name="Рисунок 15008">
          <a:extLst>
            <a:ext uri="{FF2B5EF4-FFF2-40B4-BE49-F238E27FC236}">
              <a16:creationId xmlns:a16="http://schemas.microsoft.com/office/drawing/2014/main" id="{E1DA91D6-489C-4EFC-898B-6226621969A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3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984568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3479</xdr:row>
      <xdr:rowOff>25400</xdr:rowOff>
    </xdr:from>
    <xdr:to>
      <xdr:col>11</xdr:col>
      <xdr:colOff>571500</xdr:colOff>
      <xdr:row>3480</xdr:row>
      <xdr:rowOff>0</xdr:rowOff>
    </xdr:to>
    <xdr:pic>
      <xdr:nvPicPr>
        <xdr:cNvPr id="15011" name="Рисунок 15010">
          <a:extLst>
            <a:ext uri="{FF2B5EF4-FFF2-40B4-BE49-F238E27FC236}">
              <a16:creationId xmlns:a16="http://schemas.microsoft.com/office/drawing/2014/main" id="{3F789E15-8490-4696-8C2C-CAFE4E057DE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3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985140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3480</xdr:row>
      <xdr:rowOff>25400</xdr:rowOff>
    </xdr:from>
    <xdr:to>
      <xdr:col>11</xdr:col>
      <xdr:colOff>571500</xdr:colOff>
      <xdr:row>3481</xdr:row>
      <xdr:rowOff>0</xdr:rowOff>
    </xdr:to>
    <xdr:pic>
      <xdr:nvPicPr>
        <xdr:cNvPr id="15013" name="Рисунок 15012">
          <a:extLst>
            <a:ext uri="{FF2B5EF4-FFF2-40B4-BE49-F238E27FC236}">
              <a16:creationId xmlns:a16="http://schemas.microsoft.com/office/drawing/2014/main" id="{50DD327E-D75C-4F84-AE53-CE615558D46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4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985711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3481</xdr:row>
      <xdr:rowOff>25400</xdr:rowOff>
    </xdr:from>
    <xdr:to>
      <xdr:col>11</xdr:col>
      <xdr:colOff>571500</xdr:colOff>
      <xdr:row>3482</xdr:row>
      <xdr:rowOff>0</xdr:rowOff>
    </xdr:to>
    <xdr:pic>
      <xdr:nvPicPr>
        <xdr:cNvPr id="15015" name="Рисунок 15014">
          <a:extLst>
            <a:ext uri="{FF2B5EF4-FFF2-40B4-BE49-F238E27FC236}">
              <a16:creationId xmlns:a16="http://schemas.microsoft.com/office/drawing/2014/main" id="{531CBEF3-1C5E-43A2-9191-D4D119A6CDB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4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986283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3482</xdr:row>
      <xdr:rowOff>25400</xdr:rowOff>
    </xdr:from>
    <xdr:to>
      <xdr:col>11</xdr:col>
      <xdr:colOff>571500</xdr:colOff>
      <xdr:row>3483</xdr:row>
      <xdr:rowOff>0</xdr:rowOff>
    </xdr:to>
    <xdr:pic>
      <xdr:nvPicPr>
        <xdr:cNvPr id="15017" name="Рисунок 15016">
          <a:extLst>
            <a:ext uri="{FF2B5EF4-FFF2-40B4-BE49-F238E27FC236}">
              <a16:creationId xmlns:a16="http://schemas.microsoft.com/office/drawing/2014/main" id="{02D1C5D8-07F4-4B4E-9AD3-D589E3334CD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986854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3483</xdr:row>
      <xdr:rowOff>25400</xdr:rowOff>
    </xdr:from>
    <xdr:to>
      <xdr:col>11</xdr:col>
      <xdr:colOff>571500</xdr:colOff>
      <xdr:row>3484</xdr:row>
      <xdr:rowOff>0</xdr:rowOff>
    </xdr:to>
    <xdr:pic>
      <xdr:nvPicPr>
        <xdr:cNvPr id="15019" name="Рисунок 15018">
          <a:extLst>
            <a:ext uri="{FF2B5EF4-FFF2-40B4-BE49-F238E27FC236}">
              <a16:creationId xmlns:a16="http://schemas.microsoft.com/office/drawing/2014/main" id="{2FE95EC7-34D7-465F-A4CC-CBC3AF39D05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987426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3484</xdr:row>
      <xdr:rowOff>25400</xdr:rowOff>
    </xdr:from>
    <xdr:to>
      <xdr:col>11</xdr:col>
      <xdr:colOff>571500</xdr:colOff>
      <xdr:row>3485</xdr:row>
      <xdr:rowOff>0</xdr:rowOff>
    </xdr:to>
    <xdr:pic>
      <xdr:nvPicPr>
        <xdr:cNvPr id="15021" name="Рисунок 15020">
          <a:extLst>
            <a:ext uri="{FF2B5EF4-FFF2-40B4-BE49-F238E27FC236}">
              <a16:creationId xmlns:a16="http://schemas.microsoft.com/office/drawing/2014/main" id="{5A47E146-D60E-48A9-965F-D8C752D1D0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987997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3485</xdr:row>
      <xdr:rowOff>25400</xdr:rowOff>
    </xdr:from>
    <xdr:to>
      <xdr:col>11</xdr:col>
      <xdr:colOff>571500</xdr:colOff>
      <xdr:row>3486</xdr:row>
      <xdr:rowOff>0</xdr:rowOff>
    </xdr:to>
    <xdr:pic>
      <xdr:nvPicPr>
        <xdr:cNvPr id="15023" name="Рисунок 15022">
          <a:extLst>
            <a:ext uri="{FF2B5EF4-FFF2-40B4-BE49-F238E27FC236}">
              <a16:creationId xmlns:a16="http://schemas.microsoft.com/office/drawing/2014/main" id="{55B8D62D-EDD5-4629-8AC5-B4DE65B2B0D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4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988569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3486</xdr:row>
      <xdr:rowOff>25400</xdr:rowOff>
    </xdr:from>
    <xdr:to>
      <xdr:col>11</xdr:col>
      <xdr:colOff>571500</xdr:colOff>
      <xdr:row>3487</xdr:row>
      <xdr:rowOff>0</xdr:rowOff>
    </xdr:to>
    <xdr:pic>
      <xdr:nvPicPr>
        <xdr:cNvPr id="15025" name="Рисунок 15024">
          <a:extLst>
            <a:ext uri="{FF2B5EF4-FFF2-40B4-BE49-F238E27FC236}">
              <a16:creationId xmlns:a16="http://schemas.microsoft.com/office/drawing/2014/main" id="{69DF498C-440D-46D6-85C1-880C87D016B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4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989140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3487</xdr:row>
      <xdr:rowOff>25400</xdr:rowOff>
    </xdr:from>
    <xdr:to>
      <xdr:col>11</xdr:col>
      <xdr:colOff>571500</xdr:colOff>
      <xdr:row>3488</xdr:row>
      <xdr:rowOff>0</xdr:rowOff>
    </xdr:to>
    <xdr:pic>
      <xdr:nvPicPr>
        <xdr:cNvPr id="15027" name="Рисунок 15026">
          <a:extLst>
            <a:ext uri="{FF2B5EF4-FFF2-40B4-BE49-F238E27FC236}">
              <a16:creationId xmlns:a16="http://schemas.microsoft.com/office/drawing/2014/main" id="{84E2AF49-A0DF-4B05-B9C5-B67BCA48034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4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989712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3488</xdr:row>
      <xdr:rowOff>25400</xdr:rowOff>
    </xdr:from>
    <xdr:to>
      <xdr:col>11</xdr:col>
      <xdr:colOff>571500</xdr:colOff>
      <xdr:row>3489</xdr:row>
      <xdr:rowOff>0</xdr:rowOff>
    </xdr:to>
    <xdr:pic>
      <xdr:nvPicPr>
        <xdr:cNvPr id="15029" name="Рисунок 15028">
          <a:extLst>
            <a:ext uri="{FF2B5EF4-FFF2-40B4-BE49-F238E27FC236}">
              <a16:creationId xmlns:a16="http://schemas.microsoft.com/office/drawing/2014/main" id="{2A7014D9-3212-4715-A183-196E857DEE9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4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990283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3489</xdr:row>
      <xdr:rowOff>25400</xdr:rowOff>
    </xdr:from>
    <xdr:to>
      <xdr:col>11</xdr:col>
      <xdr:colOff>571500</xdr:colOff>
      <xdr:row>3490</xdr:row>
      <xdr:rowOff>0</xdr:rowOff>
    </xdr:to>
    <xdr:pic>
      <xdr:nvPicPr>
        <xdr:cNvPr id="15031" name="Рисунок 15030">
          <a:extLst>
            <a:ext uri="{FF2B5EF4-FFF2-40B4-BE49-F238E27FC236}">
              <a16:creationId xmlns:a16="http://schemas.microsoft.com/office/drawing/2014/main" id="{08D66B02-D8D7-47D1-AEDC-3A36F3876F4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4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990855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3490</xdr:row>
      <xdr:rowOff>25400</xdr:rowOff>
    </xdr:from>
    <xdr:to>
      <xdr:col>11</xdr:col>
      <xdr:colOff>571500</xdr:colOff>
      <xdr:row>3491</xdr:row>
      <xdr:rowOff>0</xdr:rowOff>
    </xdr:to>
    <xdr:pic>
      <xdr:nvPicPr>
        <xdr:cNvPr id="15033" name="Рисунок 15032">
          <a:extLst>
            <a:ext uri="{FF2B5EF4-FFF2-40B4-BE49-F238E27FC236}">
              <a16:creationId xmlns:a16="http://schemas.microsoft.com/office/drawing/2014/main" id="{92286B1E-E6A5-41CC-8E75-FBCD0CFE10E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5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991426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3491</xdr:row>
      <xdr:rowOff>25400</xdr:rowOff>
    </xdr:from>
    <xdr:to>
      <xdr:col>11</xdr:col>
      <xdr:colOff>571500</xdr:colOff>
      <xdr:row>3492</xdr:row>
      <xdr:rowOff>0</xdr:rowOff>
    </xdr:to>
    <xdr:pic>
      <xdr:nvPicPr>
        <xdr:cNvPr id="15035" name="Рисунок 15034">
          <a:extLst>
            <a:ext uri="{FF2B5EF4-FFF2-40B4-BE49-F238E27FC236}">
              <a16:creationId xmlns:a16="http://schemas.microsoft.com/office/drawing/2014/main" id="{49553CAC-375E-469C-9FAB-B89A26DA308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5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991998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3492</xdr:row>
      <xdr:rowOff>25400</xdr:rowOff>
    </xdr:from>
    <xdr:to>
      <xdr:col>11</xdr:col>
      <xdr:colOff>571500</xdr:colOff>
      <xdr:row>3493</xdr:row>
      <xdr:rowOff>0</xdr:rowOff>
    </xdr:to>
    <xdr:pic>
      <xdr:nvPicPr>
        <xdr:cNvPr id="15037" name="Рисунок 15036">
          <a:extLst>
            <a:ext uri="{FF2B5EF4-FFF2-40B4-BE49-F238E27FC236}">
              <a16:creationId xmlns:a16="http://schemas.microsoft.com/office/drawing/2014/main" id="{D622AFF8-5C53-45E8-9E14-23ED27CFB59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992569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3493</xdr:row>
      <xdr:rowOff>25400</xdr:rowOff>
    </xdr:from>
    <xdr:to>
      <xdr:col>11</xdr:col>
      <xdr:colOff>571500</xdr:colOff>
      <xdr:row>3494</xdr:row>
      <xdr:rowOff>0</xdr:rowOff>
    </xdr:to>
    <xdr:pic>
      <xdr:nvPicPr>
        <xdr:cNvPr id="15039" name="Рисунок 15038">
          <a:extLst>
            <a:ext uri="{FF2B5EF4-FFF2-40B4-BE49-F238E27FC236}">
              <a16:creationId xmlns:a16="http://schemas.microsoft.com/office/drawing/2014/main" id="{27DD6C9D-45F9-4784-ABEF-A0957FCED00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5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993141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3494</xdr:row>
      <xdr:rowOff>25400</xdr:rowOff>
    </xdr:from>
    <xdr:to>
      <xdr:col>11</xdr:col>
      <xdr:colOff>571500</xdr:colOff>
      <xdr:row>3495</xdr:row>
      <xdr:rowOff>0</xdr:rowOff>
    </xdr:to>
    <xdr:pic>
      <xdr:nvPicPr>
        <xdr:cNvPr id="15041" name="Рисунок 15040">
          <a:extLst>
            <a:ext uri="{FF2B5EF4-FFF2-40B4-BE49-F238E27FC236}">
              <a16:creationId xmlns:a16="http://schemas.microsoft.com/office/drawing/2014/main" id="{BE71BD2F-A5B7-4E51-B0BC-B44A2544D37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5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993712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3495</xdr:row>
      <xdr:rowOff>25400</xdr:rowOff>
    </xdr:from>
    <xdr:to>
      <xdr:col>11</xdr:col>
      <xdr:colOff>571500</xdr:colOff>
      <xdr:row>3496</xdr:row>
      <xdr:rowOff>0</xdr:rowOff>
    </xdr:to>
    <xdr:pic>
      <xdr:nvPicPr>
        <xdr:cNvPr id="15043" name="Рисунок 15042">
          <a:extLst>
            <a:ext uri="{FF2B5EF4-FFF2-40B4-BE49-F238E27FC236}">
              <a16:creationId xmlns:a16="http://schemas.microsoft.com/office/drawing/2014/main" id="{60895C82-4122-409B-84AD-87BA7D4806D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5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994284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3496</xdr:row>
      <xdr:rowOff>25400</xdr:rowOff>
    </xdr:from>
    <xdr:to>
      <xdr:col>11</xdr:col>
      <xdr:colOff>571500</xdr:colOff>
      <xdr:row>3497</xdr:row>
      <xdr:rowOff>0</xdr:rowOff>
    </xdr:to>
    <xdr:pic>
      <xdr:nvPicPr>
        <xdr:cNvPr id="15045" name="Рисунок 15044">
          <a:extLst>
            <a:ext uri="{FF2B5EF4-FFF2-40B4-BE49-F238E27FC236}">
              <a16:creationId xmlns:a16="http://schemas.microsoft.com/office/drawing/2014/main" id="{23B16A3E-BAA3-4685-8C52-E0B97ECBF2C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5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994855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3497</xdr:row>
      <xdr:rowOff>25400</xdr:rowOff>
    </xdr:from>
    <xdr:to>
      <xdr:col>11</xdr:col>
      <xdr:colOff>571500</xdr:colOff>
      <xdr:row>3498</xdr:row>
      <xdr:rowOff>0</xdr:rowOff>
    </xdr:to>
    <xdr:pic>
      <xdr:nvPicPr>
        <xdr:cNvPr id="15047" name="Рисунок 15046">
          <a:extLst>
            <a:ext uri="{FF2B5EF4-FFF2-40B4-BE49-F238E27FC236}">
              <a16:creationId xmlns:a16="http://schemas.microsoft.com/office/drawing/2014/main" id="{2564A786-D522-42FC-911C-D64E488CB19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5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995427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3498</xdr:row>
      <xdr:rowOff>25400</xdr:rowOff>
    </xdr:from>
    <xdr:to>
      <xdr:col>11</xdr:col>
      <xdr:colOff>571500</xdr:colOff>
      <xdr:row>3499</xdr:row>
      <xdr:rowOff>0</xdr:rowOff>
    </xdr:to>
    <xdr:pic>
      <xdr:nvPicPr>
        <xdr:cNvPr id="15049" name="Рисунок 15048">
          <a:extLst>
            <a:ext uri="{FF2B5EF4-FFF2-40B4-BE49-F238E27FC236}">
              <a16:creationId xmlns:a16="http://schemas.microsoft.com/office/drawing/2014/main" id="{9B1DC3C6-30FD-4455-A1AC-B1598D6F442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5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995998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3499</xdr:row>
      <xdr:rowOff>25400</xdr:rowOff>
    </xdr:from>
    <xdr:to>
      <xdr:col>11</xdr:col>
      <xdr:colOff>571500</xdr:colOff>
      <xdr:row>3500</xdr:row>
      <xdr:rowOff>0</xdr:rowOff>
    </xdr:to>
    <xdr:pic>
      <xdr:nvPicPr>
        <xdr:cNvPr id="15051" name="Рисунок 15050">
          <a:extLst>
            <a:ext uri="{FF2B5EF4-FFF2-40B4-BE49-F238E27FC236}">
              <a16:creationId xmlns:a16="http://schemas.microsoft.com/office/drawing/2014/main" id="{F7183BDC-323A-404D-9A61-52EDE04C948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5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996570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3500</xdr:row>
      <xdr:rowOff>25400</xdr:rowOff>
    </xdr:from>
    <xdr:to>
      <xdr:col>11</xdr:col>
      <xdr:colOff>571500</xdr:colOff>
      <xdr:row>3501</xdr:row>
      <xdr:rowOff>0</xdr:rowOff>
    </xdr:to>
    <xdr:pic>
      <xdr:nvPicPr>
        <xdr:cNvPr id="15053" name="Рисунок 15052">
          <a:extLst>
            <a:ext uri="{FF2B5EF4-FFF2-40B4-BE49-F238E27FC236}">
              <a16:creationId xmlns:a16="http://schemas.microsoft.com/office/drawing/2014/main" id="{5EF3FF38-A5DD-456E-9819-4A13FC70B2C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6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997141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3501</xdr:row>
      <xdr:rowOff>25400</xdr:rowOff>
    </xdr:from>
    <xdr:to>
      <xdr:col>11</xdr:col>
      <xdr:colOff>571500</xdr:colOff>
      <xdr:row>3502</xdr:row>
      <xdr:rowOff>0</xdr:rowOff>
    </xdr:to>
    <xdr:pic>
      <xdr:nvPicPr>
        <xdr:cNvPr id="15055" name="Рисунок 15054">
          <a:extLst>
            <a:ext uri="{FF2B5EF4-FFF2-40B4-BE49-F238E27FC236}">
              <a16:creationId xmlns:a16="http://schemas.microsoft.com/office/drawing/2014/main" id="{43F30CB4-499D-4B97-9865-92B9E53ED0B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6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997713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3502</xdr:row>
      <xdr:rowOff>25400</xdr:rowOff>
    </xdr:from>
    <xdr:to>
      <xdr:col>11</xdr:col>
      <xdr:colOff>571500</xdr:colOff>
      <xdr:row>3503</xdr:row>
      <xdr:rowOff>0</xdr:rowOff>
    </xdr:to>
    <xdr:pic>
      <xdr:nvPicPr>
        <xdr:cNvPr id="15057" name="Рисунок 15056">
          <a:extLst>
            <a:ext uri="{FF2B5EF4-FFF2-40B4-BE49-F238E27FC236}">
              <a16:creationId xmlns:a16="http://schemas.microsoft.com/office/drawing/2014/main" id="{7228BE73-16A4-4FC9-9E57-A2D065329F8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6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998284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3503</xdr:row>
      <xdr:rowOff>25400</xdr:rowOff>
    </xdr:from>
    <xdr:to>
      <xdr:col>11</xdr:col>
      <xdr:colOff>571500</xdr:colOff>
      <xdr:row>3504</xdr:row>
      <xdr:rowOff>0</xdr:rowOff>
    </xdr:to>
    <xdr:pic>
      <xdr:nvPicPr>
        <xdr:cNvPr id="15059" name="Рисунок 15058">
          <a:extLst>
            <a:ext uri="{FF2B5EF4-FFF2-40B4-BE49-F238E27FC236}">
              <a16:creationId xmlns:a16="http://schemas.microsoft.com/office/drawing/2014/main" id="{D0C6B3E1-9D0B-4683-9AC6-33A1C733889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6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998856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3504</xdr:row>
      <xdr:rowOff>25400</xdr:rowOff>
    </xdr:from>
    <xdr:to>
      <xdr:col>11</xdr:col>
      <xdr:colOff>571500</xdr:colOff>
      <xdr:row>3505</xdr:row>
      <xdr:rowOff>0</xdr:rowOff>
    </xdr:to>
    <xdr:pic>
      <xdr:nvPicPr>
        <xdr:cNvPr id="15061" name="Рисунок 15060">
          <a:extLst>
            <a:ext uri="{FF2B5EF4-FFF2-40B4-BE49-F238E27FC236}">
              <a16:creationId xmlns:a16="http://schemas.microsoft.com/office/drawing/2014/main" id="{2DCA2AC1-D0F1-43F6-9F89-188B7125BD2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6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999427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3505</xdr:row>
      <xdr:rowOff>25400</xdr:rowOff>
    </xdr:from>
    <xdr:to>
      <xdr:col>11</xdr:col>
      <xdr:colOff>571500</xdr:colOff>
      <xdr:row>3506</xdr:row>
      <xdr:rowOff>0</xdr:rowOff>
    </xdr:to>
    <xdr:pic>
      <xdr:nvPicPr>
        <xdr:cNvPr id="15063" name="Рисунок 15062">
          <a:extLst>
            <a:ext uri="{FF2B5EF4-FFF2-40B4-BE49-F238E27FC236}">
              <a16:creationId xmlns:a16="http://schemas.microsoft.com/office/drawing/2014/main" id="{F565D2A0-7723-473D-8DA1-5A3D5745CCD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6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1999999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3506</xdr:row>
      <xdr:rowOff>25400</xdr:rowOff>
    </xdr:from>
    <xdr:to>
      <xdr:col>11</xdr:col>
      <xdr:colOff>571500</xdr:colOff>
      <xdr:row>3507</xdr:row>
      <xdr:rowOff>0</xdr:rowOff>
    </xdr:to>
    <xdr:pic>
      <xdr:nvPicPr>
        <xdr:cNvPr id="15065" name="Рисунок 15064">
          <a:extLst>
            <a:ext uri="{FF2B5EF4-FFF2-40B4-BE49-F238E27FC236}">
              <a16:creationId xmlns:a16="http://schemas.microsoft.com/office/drawing/2014/main" id="{EA527FAC-BAFD-4BFF-87DD-34A219AAE89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6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000570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3507</xdr:row>
      <xdr:rowOff>25400</xdr:rowOff>
    </xdr:from>
    <xdr:to>
      <xdr:col>11</xdr:col>
      <xdr:colOff>571500</xdr:colOff>
      <xdr:row>3508</xdr:row>
      <xdr:rowOff>0</xdr:rowOff>
    </xdr:to>
    <xdr:pic>
      <xdr:nvPicPr>
        <xdr:cNvPr id="15067" name="Рисунок 15066">
          <a:extLst>
            <a:ext uri="{FF2B5EF4-FFF2-40B4-BE49-F238E27FC236}">
              <a16:creationId xmlns:a16="http://schemas.microsoft.com/office/drawing/2014/main" id="{B789C833-F0CA-43BC-AAC6-E5BBA5D14DF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6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001142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3508</xdr:row>
      <xdr:rowOff>25400</xdr:rowOff>
    </xdr:from>
    <xdr:to>
      <xdr:col>11</xdr:col>
      <xdr:colOff>571500</xdr:colOff>
      <xdr:row>3509</xdr:row>
      <xdr:rowOff>0</xdr:rowOff>
    </xdr:to>
    <xdr:pic>
      <xdr:nvPicPr>
        <xdr:cNvPr id="15069" name="Рисунок 15068">
          <a:extLst>
            <a:ext uri="{FF2B5EF4-FFF2-40B4-BE49-F238E27FC236}">
              <a16:creationId xmlns:a16="http://schemas.microsoft.com/office/drawing/2014/main" id="{4A2928AB-A11A-4CF1-BA84-6FC649172DF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6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001713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3509</xdr:row>
      <xdr:rowOff>25400</xdr:rowOff>
    </xdr:from>
    <xdr:to>
      <xdr:col>11</xdr:col>
      <xdr:colOff>571500</xdr:colOff>
      <xdr:row>3510</xdr:row>
      <xdr:rowOff>0</xdr:rowOff>
    </xdr:to>
    <xdr:pic>
      <xdr:nvPicPr>
        <xdr:cNvPr id="15071" name="Рисунок 15070">
          <a:extLst>
            <a:ext uri="{FF2B5EF4-FFF2-40B4-BE49-F238E27FC236}">
              <a16:creationId xmlns:a16="http://schemas.microsoft.com/office/drawing/2014/main" id="{052D7D04-D985-4BF7-8AD4-26B1DC1C94D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6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002285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3510</xdr:row>
      <xdr:rowOff>25400</xdr:rowOff>
    </xdr:from>
    <xdr:to>
      <xdr:col>11</xdr:col>
      <xdr:colOff>571500</xdr:colOff>
      <xdr:row>3511</xdr:row>
      <xdr:rowOff>0</xdr:rowOff>
    </xdr:to>
    <xdr:pic>
      <xdr:nvPicPr>
        <xdr:cNvPr id="15073" name="Рисунок 15072">
          <a:extLst>
            <a:ext uri="{FF2B5EF4-FFF2-40B4-BE49-F238E27FC236}">
              <a16:creationId xmlns:a16="http://schemas.microsoft.com/office/drawing/2014/main" id="{C0CEB845-D5A2-4749-A16A-E147D77A475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7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002856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3511</xdr:row>
      <xdr:rowOff>25400</xdr:rowOff>
    </xdr:from>
    <xdr:to>
      <xdr:col>11</xdr:col>
      <xdr:colOff>571500</xdr:colOff>
      <xdr:row>3512</xdr:row>
      <xdr:rowOff>0</xdr:rowOff>
    </xdr:to>
    <xdr:pic>
      <xdr:nvPicPr>
        <xdr:cNvPr id="15075" name="Рисунок 15074">
          <a:extLst>
            <a:ext uri="{FF2B5EF4-FFF2-40B4-BE49-F238E27FC236}">
              <a16:creationId xmlns:a16="http://schemas.microsoft.com/office/drawing/2014/main" id="{8D7504A1-0292-4240-B7A6-5966C1CB2E1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7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003428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3512</xdr:row>
      <xdr:rowOff>25400</xdr:rowOff>
    </xdr:from>
    <xdr:to>
      <xdr:col>11</xdr:col>
      <xdr:colOff>571500</xdr:colOff>
      <xdr:row>3513</xdr:row>
      <xdr:rowOff>0</xdr:rowOff>
    </xdr:to>
    <xdr:pic>
      <xdr:nvPicPr>
        <xdr:cNvPr id="15077" name="Рисунок 15076">
          <a:extLst>
            <a:ext uri="{FF2B5EF4-FFF2-40B4-BE49-F238E27FC236}">
              <a16:creationId xmlns:a16="http://schemas.microsoft.com/office/drawing/2014/main" id="{C74B43B2-E649-465C-964F-FB00A0ABD89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7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003999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3513</xdr:row>
      <xdr:rowOff>25400</xdr:rowOff>
    </xdr:from>
    <xdr:to>
      <xdr:col>11</xdr:col>
      <xdr:colOff>571500</xdr:colOff>
      <xdr:row>3514</xdr:row>
      <xdr:rowOff>0</xdr:rowOff>
    </xdr:to>
    <xdr:pic>
      <xdr:nvPicPr>
        <xdr:cNvPr id="15079" name="Рисунок 15078">
          <a:extLst>
            <a:ext uri="{FF2B5EF4-FFF2-40B4-BE49-F238E27FC236}">
              <a16:creationId xmlns:a16="http://schemas.microsoft.com/office/drawing/2014/main" id="{3FBB9AB6-350A-4480-838C-3D38F4DC1B3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7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004571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3514</xdr:row>
      <xdr:rowOff>25400</xdr:rowOff>
    </xdr:from>
    <xdr:to>
      <xdr:col>11</xdr:col>
      <xdr:colOff>571500</xdr:colOff>
      <xdr:row>3515</xdr:row>
      <xdr:rowOff>0</xdr:rowOff>
    </xdr:to>
    <xdr:pic>
      <xdr:nvPicPr>
        <xdr:cNvPr id="15081" name="Рисунок 15080">
          <a:extLst>
            <a:ext uri="{FF2B5EF4-FFF2-40B4-BE49-F238E27FC236}">
              <a16:creationId xmlns:a16="http://schemas.microsoft.com/office/drawing/2014/main" id="{9C7FD1DD-A66B-40B2-AF19-0EA29BC9075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7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005142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3515</xdr:row>
      <xdr:rowOff>25400</xdr:rowOff>
    </xdr:from>
    <xdr:to>
      <xdr:col>11</xdr:col>
      <xdr:colOff>571500</xdr:colOff>
      <xdr:row>3516</xdr:row>
      <xdr:rowOff>0</xdr:rowOff>
    </xdr:to>
    <xdr:pic>
      <xdr:nvPicPr>
        <xdr:cNvPr id="15083" name="Рисунок 15082">
          <a:extLst>
            <a:ext uri="{FF2B5EF4-FFF2-40B4-BE49-F238E27FC236}">
              <a16:creationId xmlns:a16="http://schemas.microsoft.com/office/drawing/2014/main" id="{19416F73-C6A6-4456-B634-CD5C3F4516E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7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005714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3516</xdr:row>
      <xdr:rowOff>25400</xdr:rowOff>
    </xdr:from>
    <xdr:to>
      <xdr:col>11</xdr:col>
      <xdr:colOff>571500</xdr:colOff>
      <xdr:row>3517</xdr:row>
      <xdr:rowOff>0</xdr:rowOff>
    </xdr:to>
    <xdr:pic>
      <xdr:nvPicPr>
        <xdr:cNvPr id="15085" name="Рисунок 15084">
          <a:extLst>
            <a:ext uri="{FF2B5EF4-FFF2-40B4-BE49-F238E27FC236}">
              <a16:creationId xmlns:a16="http://schemas.microsoft.com/office/drawing/2014/main" id="{03588E85-4979-4D84-830E-46CC30E22DB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7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006285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3517</xdr:row>
      <xdr:rowOff>25400</xdr:rowOff>
    </xdr:from>
    <xdr:to>
      <xdr:col>11</xdr:col>
      <xdr:colOff>571500</xdr:colOff>
      <xdr:row>3518</xdr:row>
      <xdr:rowOff>0</xdr:rowOff>
    </xdr:to>
    <xdr:pic>
      <xdr:nvPicPr>
        <xdr:cNvPr id="15087" name="Рисунок 15086">
          <a:extLst>
            <a:ext uri="{FF2B5EF4-FFF2-40B4-BE49-F238E27FC236}">
              <a16:creationId xmlns:a16="http://schemas.microsoft.com/office/drawing/2014/main" id="{8B4D501C-B62E-4FFD-AE11-B77D50A1402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7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006857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3518</xdr:row>
      <xdr:rowOff>25400</xdr:rowOff>
    </xdr:from>
    <xdr:to>
      <xdr:col>11</xdr:col>
      <xdr:colOff>571500</xdr:colOff>
      <xdr:row>3519</xdr:row>
      <xdr:rowOff>0</xdr:rowOff>
    </xdr:to>
    <xdr:pic>
      <xdr:nvPicPr>
        <xdr:cNvPr id="15089" name="Рисунок 15088">
          <a:extLst>
            <a:ext uri="{FF2B5EF4-FFF2-40B4-BE49-F238E27FC236}">
              <a16:creationId xmlns:a16="http://schemas.microsoft.com/office/drawing/2014/main" id="{FBE513EE-912C-46B5-ADC6-26BC1D5F3D3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7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007428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3519</xdr:row>
      <xdr:rowOff>25400</xdr:rowOff>
    </xdr:from>
    <xdr:to>
      <xdr:col>11</xdr:col>
      <xdr:colOff>571500</xdr:colOff>
      <xdr:row>3520</xdr:row>
      <xdr:rowOff>0</xdr:rowOff>
    </xdr:to>
    <xdr:pic>
      <xdr:nvPicPr>
        <xdr:cNvPr id="15091" name="Рисунок 15090">
          <a:extLst>
            <a:ext uri="{FF2B5EF4-FFF2-40B4-BE49-F238E27FC236}">
              <a16:creationId xmlns:a16="http://schemas.microsoft.com/office/drawing/2014/main" id="{F069DA3B-3A52-4244-BA5A-C29B9362976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7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008000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3520</xdr:row>
      <xdr:rowOff>25400</xdr:rowOff>
    </xdr:from>
    <xdr:to>
      <xdr:col>11</xdr:col>
      <xdr:colOff>571500</xdr:colOff>
      <xdr:row>3521</xdr:row>
      <xdr:rowOff>0</xdr:rowOff>
    </xdr:to>
    <xdr:pic>
      <xdr:nvPicPr>
        <xdr:cNvPr id="15093" name="Рисунок 15092">
          <a:extLst>
            <a:ext uri="{FF2B5EF4-FFF2-40B4-BE49-F238E27FC236}">
              <a16:creationId xmlns:a16="http://schemas.microsoft.com/office/drawing/2014/main" id="{29FAA92F-B1AF-4906-84F7-AEF6C38A2CE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8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008571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3521</xdr:row>
      <xdr:rowOff>25400</xdr:rowOff>
    </xdr:from>
    <xdr:to>
      <xdr:col>11</xdr:col>
      <xdr:colOff>571500</xdr:colOff>
      <xdr:row>3522</xdr:row>
      <xdr:rowOff>0</xdr:rowOff>
    </xdr:to>
    <xdr:pic>
      <xdr:nvPicPr>
        <xdr:cNvPr id="15095" name="Рисунок 15094">
          <a:extLst>
            <a:ext uri="{FF2B5EF4-FFF2-40B4-BE49-F238E27FC236}">
              <a16:creationId xmlns:a16="http://schemas.microsoft.com/office/drawing/2014/main" id="{DC376EC9-C560-461E-910B-D8CDD32DC2C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8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009143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3522</xdr:row>
      <xdr:rowOff>25400</xdr:rowOff>
    </xdr:from>
    <xdr:to>
      <xdr:col>11</xdr:col>
      <xdr:colOff>571500</xdr:colOff>
      <xdr:row>3523</xdr:row>
      <xdr:rowOff>0</xdr:rowOff>
    </xdr:to>
    <xdr:pic>
      <xdr:nvPicPr>
        <xdr:cNvPr id="15097" name="Рисунок 15096">
          <a:extLst>
            <a:ext uri="{FF2B5EF4-FFF2-40B4-BE49-F238E27FC236}">
              <a16:creationId xmlns:a16="http://schemas.microsoft.com/office/drawing/2014/main" id="{6E89C9D9-1F39-45B1-BDFA-6678515D1B4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8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009714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3523</xdr:row>
      <xdr:rowOff>25400</xdr:rowOff>
    </xdr:from>
    <xdr:to>
      <xdr:col>11</xdr:col>
      <xdr:colOff>571500</xdr:colOff>
      <xdr:row>3524</xdr:row>
      <xdr:rowOff>0</xdr:rowOff>
    </xdr:to>
    <xdr:pic>
      <xdr:nvPicPr>
        <xdr:cNvPr id="15099" name="Рисунок 15098">
          <a:extLst>
            <a:ext uri="{FF2B5EF4-FFF2-40B4-BE49-F238E27FC236}">
              <a16:creationId xmlns:a16="http://schemas.microsoft.com/office/drawing/2014/main" id="{644D2F75-AC50-4C16-95F0-B3209062DE8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8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010286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3524</xdr:row>
      <xdr:rowOff>25400</xdr:rowOff>
    </xdr:from>
    <xdr:to>
      <xdr:col>11</xdr:col>
      <xdr:colOff>571500</xdr:colOff>
      <xdr:row>3525</xdr:row>
      <xdr:rowOff>0</xdr:rowOff>
    </xdr:to>
    <xdr:pic>
      <xdr:nvPicPr>
        <xdr:cNvPr id="15101" name="Рисунок 15100">
          <a:extLst>
            <a:ext uri="{FF2B5EF4-FFF2-40B4-BE49-F238E27FC236}">
              <a16:creationId xmlns:a16="http://schemas.microsoft.com/office/drawing/2014/main" id="{34B083C1-88DC-4C0D-9C5E-8AD54FE5B4B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8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010857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3525</xdr:row>
      <xdr:rowOff>25400</xdr:rowOff>
    </xdr:from>
    <xdr:to>
      <xdr:col>11</xdr:col>
      <xdr:colOff>571500</xdr:colOff>
      <xdr:row>3526</xdr:row>
      <xdr:rowOff>0</xdr:rowOff>
    </xdr:to>
    <xdr:pic>
      <xdr:nvPicPr>
        <xdr:cNvPr id="15103" name="Рисунок 15102">
          <a:extLst>
            <a:ext uri="{FF2B5EF4-FFF2-40B4-BE49-F238E27FC236}">
              <a16:creationId xmlns:a16="http://schemas.microsoft.com/office/drawing/2014/main" id="{A3747512-1559-4D5F-B21B-9FE76A9AE36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8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011429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3526</xdr:row>
      <xdr:rowOff>25400</xdr:rowOff>
    </xdr:from>
    <xdr:to>
      <xdr:col>11</xdr:col>
      <xdr:colOff>571500</xdr:colOff>
      <xdr:row>3527</xdr:row>
      <xdr:rowOff>0</xdr:rowOff>
    </xdr:to>
    <xdr:pic>
      <xdr:nvPicPr>
        <xdr:cNvPr id="15105" name="Рисунок 15104">
          <a:extLst>
            <a:ext uri="{FF2B5EF4-FFF2-40B4-BE49-F238E27FC236}">
              <a16:creationId xmlns:a16="http://schemas.microsoft.com/office/drawing/2014/main" id="{5A3B0182-0710-4E87-B59D-25FF85E53D7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8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012000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3527</xdr:row>
      <xdr:rowOff>25400</xdr:rowOff>
    </xdr:from>
    <xdr:to>
      <xdr:col>11</xdr:col>
      <xdr:colOff>571500</xdr:colOff>
      <xdr:row>3528</xdr:row>
      <xdr:rowOff>0</xdr:rowOff>
    </xdr:to>
    <xdr:pic>
      <xdr:nvPicPr>
        <xdr:cNvPr id="15107" name="Рисунок 15106">
          <a:extLst>
            <a:ext uri="{FF2B5EF4-FFF2-40B4-BE49-F238E27FC236}">
              <a16:creationId xmlns:a16="http://schemas.microsoft.com/office/drawing/2014/main" id="{AACCDA2D-A4CA-4577-8325-71DCA60EE65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8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012572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3528</xdr:row>
      <xdr:rowOff>25400</xdr:rowOff>
    </xdr:from>
    <xdr:to>
      <xdr:col>11</xdr:col>
      <xdr:colOff>571500</xdr:colOff>
      <xdr:row>3529</xdr:row>
      <xdr:rowOff>0</xdr:rowOff>
    </xdr:to>
    <xdr:pic>
      <xdr:nvPicPr>
        <xdr:cNvPr id="15109" name="Рисунок 15108">
          <a:extLst>
            <a:ext uri="{FF2B5EF4-FFF2-40B4-BE49-F238E27FC236}">
              <a16:creationId xmlns:a16="http://schemas.microsoft.com/office/drawing/2014/main" id="{2C2E23BC-0F6C-480A-9981-C69C6D6AF78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8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013143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3529</xdr:row>
      <xdr:rowOff>25400</xdr:rowOff>
    </xdr:from>
    <xdr:to>
      <xdr:col>11</xdr:col>
      <xdr:colOff>571500</xdr:colOff>
      <xdr:row>3530</xdr:row>
      <xdr:rowOff>0</xdr:rowOff>
    </xdr:to>
    <xdr:pic>
      <xdr:nvPicPr>
        <xdr:cNvPr id="15111" name="Рисунок 15110">
          <a:extLst>
            <a:ext uri="{FF2B5EF4-FFF2-40B4-BE49-F238E27FC236}">
              <a16:creationId xmlns:a16="http://schemas.microsoft.com/office/drawing/2014/main" id="{48B919E5-13AD-47E6-9BE9-3DE050F98B3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8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013715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3530</xdr:row>
      <xdr:rowOff>25400</xdr:rowOff>
    </xdr:from>
    <xdr:to>
      <xdr:col>11</xdr:col>
      <xdr:colOff>571500</xdr:colOff>
      <xdr:row>3531</xdr:row>
      <xdr:rowOff>0</xdr:rowOff>
    </xdr:to>
    <xdr:pic>
      <xdr:nvPicPr>
        <xdr:cNvPr id="15113" name="Рисунок 15112">
          <a:extLst>
            <a:ext uri="{FF2B5EF4-FFF2-40B4-BE49-F238E27FC236}">
              <a16:creationId xmlns:a16="http://schemas.microsoft.com/office/drawing/2014/main" id="{697A04FB-4F59-47D0-AD6F-8DDEF3B1942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9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014286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3531</xdr:row>
      <xdr:rowOff>25400</xdr:rowOff>
    </xdr:from>
    <xdr:to>
      <xdr:col>11</xdr:col>
      <xdr:colOff>571500</xdr:colOff>
      <xdr:row>3532</xdr:row>
      <xdr:rowOff>0</xdr:rowOff>
    </xdr:to>
    <xdr:pic>
      <xdr:nvPicPr>
        <xdr:cNvPr id="15115" name="Рисунок 15114">
          <a:extLst>
            <a:ext uri="{FF2B5EF4-FFF2-40B4-BE49-F238E27FC236}">
              <a16:creationId xmlns:a16="http://schemas.microsoft.com/office/drawing/2014/main" id="{FFFA3145-BC45-4932-BC78-2B8CAD65C67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9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014858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3532</xdr:row>
      <xdr:rowOff>25400</xdr:rowOff>
    </xdr:from>
    <xdr:to>
      <xdr:col>11</xdr:col>
      <xdr:colOff>571500</xdr:colOff>
      <xdr:row>3533</xdr:row>
      <xdr:rowOff>0</xdr:rowOff>
    </xdr:to>
    <xdr:pic>
      <xdr:nvPicPr>
        <xdr:cNvPr id="15117" name="Рисунок 15116">
          <a:extLst>
            <a:ext uri="{FF2B5EF4-FFF2-40B4-BE49-F238E27FC236}">
              <a16:creationId xmlns:a16="http://schemas.microsoft.com/office/drawing/2014/main" id="{971A6602-E266-407C-9231-36762F964C5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9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015429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3533</xdr:row>
      <xdr:rowOff>25400</xdr:rowOff>
    </xdr:from>
    <xdr:to>
      <xdr:col>11</xdr:col>
      <xdr:colOff>571500</xdr:colOff>
      <xdr:row>3534</xdr:row>
      <xdr:rowOff>0</xdr:rowOff>
    </xdr:to>
    <xdr:pic>
      <xdr:nvPicPr>
        <xdr:cNvPr id="15119" name="Рисунок 15118">
          <a:extLst>
            <a:ext uri="{FF2B5EF4-FFF2-40B4-BE49-F238E27FC236}">
              <a16:creationId xmlns:a16="http://schemas.microsoft.com/office/drawing/2014/main" id="{1456095C-CDB2-4B19-A71F-06468D3D805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9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016001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3534</xdr:row>
      <xdr:rowOff>25400</xdr:rowOff>
    </xdr:from>
    <xdr:to>
      <xdr:col>11</xdr:col>
      <xdr:colOff>571500</xdr:colOff>
      <xdr:row>3535</xdr:row>
      <xdr:rowOff>0</xdr:rowOff>
    </xdr:to>
    <xdr:pic>
      <xdr:nvPicPr>
        <xdr:cNvPr id="15121" name="Рисунок 15120">
          <a:extLst>
            <a:ext uri="{FF2B5EF4-FFF2-40B4-BE49-F238E27FC236}">
              <a16:creationId xmlns:a16="http://schemas.microsoft.com/office/drawing/2014/main" id="{5E743DFE-63F7-4EEB-BFD0-B65F2884686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9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016572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3535</xdr:row>
      <xdr:rowOff>25400</xdr:rowOff>
    </xdr:from>
    <xdr:to>
      <xdr:col>11</xdr:col>
      <xdr:colOff>571500</xdr:colOff>
      <xdr:row>3536</xdr:row>
      <xdr:rowOff>0</xdr:rowOff>
    </xdr:to>
    <xdr:pic>
      <xdr:nvPicPr>
        <xdr:cNvPr id="15123" name="Рисунок 15122">
          <a:extLst>
            <a:ext uri="{FF2B5EF4-FFF2-40B4-BE49-F238E27FC236}">
              <a16:creationId xmlns:a16="http://schemas.microsoft.com/office/drawing/2014/main" id="{2AF640C4-89DD-4400-9C52-053C55F22FC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9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017144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3536</xdr:row>
      <xdr:rowOff>25400</xdr:rowOff>
    </xdr:from>
    <xdr:to>
      <xdr:col>11</xdr:col>
      <xdr:colOff>571500</xdr:colOff>
      <xdr:row>3537</xdr:row>
      <xdr:rowOff>0</xdr:rowOff>
    </xdr:to>
    <xdr:pic>
      <xdr:nvPicPr>
        <xdr:cNvPr id="15125" name="Рисунок 15124">
          <a:extLst>
            <a:ext uri="{FF2B5EF4-FFF2-40B4-BE49-F238E27FC236}">
              <a16:creationId xmlns:a16="http://schemas.microsoft.com/office/drawing/2014/main" id="{82401BFC-58AC-4EBB-8193-5182176C8ED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9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017715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3537</xdr:row>
      <xdr:rowOff>25400</xdr:rowOff>
    </xdr:from>
    <xdr:to>
      <xdr:col>11</xdr:col>
      <xdr:colOff>571500</xdr:colOff>
      <xdr:row>3538</xdr:row>
      <xdr:rowOff>0</xdr:rowOff>
    </xdr:to>
    <xdr:pic>
      <xdr:nvPicPr>
        <xdr:cNvPr id="15127" name="Рисунок 15126">
          <a:extLst>
            <a:ext uri="{FF2B5EF4-FFF2-40B4-BE49-F238E27FC236}">
              <a16:creationId xmlns:a16="http://schemas.microsoft.com/office/drawing/2014/main" id="{F9AB03ED-2EF4-49EE-8CA8-9234254F05F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9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018287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3538</xdr:row>
      <xdr:rowOff>25400</xdr:rowOff>
    </xdr:from>
    <xdr:to>
      <xdr:col>11</xdr:col>
      <xdr:colOff>571500</xdr:colOff>
      <xdr:row>3539</xdr:row>
      <xdr:rowOff>0</xdr:rowOff>
    </xdr:to>
    <xdr:pic>
      <xdr:nvPicPr>
        <xdr:cNvPr id="15129" name="Рисунок 15128">
          <a:extLst>
            <a:ext uri="{FF2B5EF4-FFF2-40B4-BE49-F238E27FC236}">
              <a16:creationId xmlns:a16="http://schemas.microsoft.com/office/drawing/2014/main" id="{4D347D14-BCD5-46A3-9856-37E1967E2C1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9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018858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3539</xdr:row>
      <xdr:rowOff>25400</xdr:rowOff>
    </xdr:from>
    <xdr:to>
      <xdr:col>11</xdr:col>
      <xdr:colOff>571500</xdr:colOff>
      <xdr:row>3540</xdr:row>
      <xdr:rowOff>0</xdr:rowOff>
    </xdr:to>
    <xdr:pic>
      <xdr:nvPicPr>
        <xdr:cNvPr id="15131" name="Рисунок 15130">
          <a:extLst>
            <a:ext uri="{FF2B5EF4-FFF2-40B4-BE49-F238E27FC236}">
              <a16:creationId xmlns:a16="http://schemas.microsoft.com/office/drawing/2014/main" id="{8B510207-9284-4A49-B2AC-4E91C80D90B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49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019430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3540</xdr:row>
      <xdr:rowOff>25400</xdr:rowOff>
    </xdr:from>
    <xdr:to>
      <xdr:col>11</xdr:col>
      <xdr:colOff>571500</xdr:colOff>
      <xdr:row>3541</xdr:row>
      <xdr:rowOff>0</xdr:rowOff>
    </xdr:to>
    <xdr:pic>
      <xdr:nvPicPr>
        <xdr:cNvPr id="15133" name="Рисунок 15132">
          <a:extLst>
            <a:ext uri="{FF2B5EF4-FFF2-40B4-BE49-F238E27FC236}">
              <a16:creationId xmlns:a16="http://schemas.microsoft.com/office/drawing/2014/main" id="{F369D80C-2E2A-4FD1-A632-A266DE7009D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0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020001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3541</xdr:row>
      <xdr:rowOff>25400</xdr:rowOff>
    </xdr:from>
    <xdr:to>
      <xdr:col>11</xdr:col>
      <xdr:colOff>571500</xdr:colOff>
      <xdr:row>3542</xdr:row>
      <xdr:rowOff>0</xdr:rowOff>
    </xdr:to>
    <xdr:pic>
      <xdr:nvPicPr>
        <xdr:cNvPr id="15135" name="Рисунок 15134">
          <a:extLst>
            <a:ext uri="{FF2B5EF4-FFF2-40B4-BE49-F238E27FC236}">
              <a16:creationId xmlns:a16="http://schemas.microsoft.com/office/drawing/2014/main" id="{F3ABC84D-C634-47E9-8E48-7870A54496B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0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020573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3542</xdr:row>
      <xdr:rowOff>25400</xdr:rowOff>
    </xdr:from>
    <xdr:to>
      <xdr:col>11</xdr:col>
      <xdr:colOff>571500</xdr:colOff>
      <xdr:row>3543</xdr:row>
      <xdr:rowOff>0</xdr:rowOff>
    </xdr:to>
    <xdr:pic>
      <xdr:nvPicPr>
        <xdr:cNvPr id="15137" name="Рисунок 15136">
          <a:extLst>
            <a:ext uri="{FF2B5EF4-FFF2-40B4-BE49-F238E27FC236}">
              <a16:creationId xmlns:a16="http://schemas.microsoft.com/office/drawing/2014/main" id="{01C81ABF-5072-4412-A71A-16F39B32F91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0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021144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3543</xdr:row>
      <xdr:rowOff>25400</xdr:rowOff>
    </xdr:from>
    <xdr:to>
      <xdr:col>11</xdr:col>
      <xdr:colOff>571500</xdr:colOff>
      <xdr:row>3544</xdr:row>
      <xdr:rowOff>0</xdr:rowOff>
    </xdr:to>
    <xdr:pic>
      <xdr:nvPicPr>
        <xdr:cNvPr id="15139" name="Рисунок 15138">
          <a:extLst>
            <a:ext uri="{FF2B5EF4-FFF2-40B4-BE49-F238E27FC236}">
              <a16:creationId xmlns:a16="http://schemas.microsoft.com/office/drawing/2014/main" id="{B5FA9C27-CB64-494B-801F-97039372D04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0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021716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3544</xdr:row>
      <xdr:rowOff>25400</xdr:rowOff>
    </xdr:from>
    <xdr:to>
      <xdr:col>11</xdr:col>
      <xdr:colOff>571500</xdr:colOff>
      <xdr:row>3545</xdr:row>
      <xdr:rowOff>0</xdr:rowOff>
    </xdr:to>
    <xdr:pic>
      <xdr:nvPicPr>
        <xdr:cNvPr id="15141" name="Рисунок 15140">
          <a:extLst>
            <a:ext uri="{FF2B5EF4-FFF2-40B4-BE49-F238E27FC236}">
              <a16:creationId xmlns:a16="http://schemas.microsoft.com/office/drawing/2014/main" id="{21333709-967F-4423-AA61-A2487A6BC6C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0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022287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3545</xdr:row>
      <xdr:rowOff>25400</xdr:rowOff>
    </xdr:from>
    <xdr:to>
      <xdr:col>11</xdr:col>
      <xdr:colOff>571500</xdr:colOff>
      <xdr:row>3546</xdr:row>
      <xdr:rowOff>0</xdr:rowOff>
    </xdr:to>
    <xdr:pic>
      <xdr:nvPicPr>
        <xdr:cNvPr id="15143" name="Рисунок 15142">
          <a:extLst>
            <a:ext uri="{FF2B5EF4-FFF2-40B4-BE49-F238E27FC236}">
              <a16:creationId xmlns:a16="http://schemas.microsoft.com/office/drawing/2014/main" id="{E8799721-AC09-4122-AFF4-327BA02143F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0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022859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3546</xdr:row>
      <xdr:rowOff>25400</xdr:rowOff>
    </xdr:from>
    <xdr:to>
      <xdr:col>11</xdr:col>
      <xdr:colOff>571500</xdr:colOff>
      <xdr:row>3547</xdr:row>
      <xdr:rowOff>0</xdr:rowOff>
    </xdr:to>
    <xdr:pic>
      <xdr:nvPicPr>
        <xdr:cNvPr id="15145" name="Рисунок 15144">
          <a:extLst>
            <a:ext uri="{FF2B5EF4-FFF2-40B4-BE49-F238E27FC236}">
              <a16:creationId xmlns:a16="http://schemas.microsoft.com/office/drawing/2014/main" id="{7171B802-9034-4855-B094-9FDF6909ED8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0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023430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3547</xdr:row>
      <xdr:rowOff>25400</xdr:rowOff>
    </xdr:from>
    <xdr:to>
      <xdr:col>11</xdr:col>
      <xdr:colOff>571500</xdr:colOff>
      <xdr:row>3548</xdr:row>
      <xdr:rowOff>0</xdr:rowOff>
    </xdr:to>
    <xdr:pic>
      <xdr:nvPicPr>
        <xdr:cNvPr id="15147" name="Рисунок 15146">
          <a:extLst>
            <a:ext uri="{FF2B5EF4-FFF2-40B4-BE49-F238E27FC236}">
              <a16:creationId xmlns:a16="http://schemas.microsoft.com/office/drawing/2014/main" id="{D761D017-4252-4B57-A9BE-CA165904C96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0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024002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3548</xdr:row>
      <xdr:rowOff>25400</xdr:rowOff>
    </xdr:from>
    <xdr:to>
      <xdr:col>11</xdr:col>
      <xdr:colOff>571500</xdr:colOff>
      <xdr:row>3549</xdr:row>
      <xdr:rowOff>0</xdr:rowOff>
    </xdr:to>
    <xdr:pic>
      <xdr:nvPicPr>
        <xdr:cNvPr id="15149" name="Рисунок 15148">
          <a:extLst>
            <a:ext uri="{FF2B5EF4-FFF2-40B4-BE49-F238E27FC236}">
              <a16:creationId xmlns:a16="http://schemas.microsoft.com/office/drawing/2014/main" id="{FBF56176-B3AE-44D1-B75E-E94F12F0C10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0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024573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3549</xdr:row>
      <xdr:rowOff>25400</xdr:rowOff>
    </xdr:from>
    <xdr:to>
      <xdr:col>11</xdr:col>
      <xdr:colOff>571500</xdr:colOff>
      <xdr:row>3550</xdr:row>
      <xdr:rowOff>0</xdr:rowOff>
    </xdr:to>
    <xdr:pic>
      <xdr:nvPicPr>
        <xdr:cNvPr id="15151" name="Рисунок 15150">
          <a:extLst>
            <a:ext uri="{FF2B5EF4-FFF2-40B4-BE49-F238E27FC236}">
              <a16:creationId xmlns:a16="http://schemas.microsoft.com/office/drawing/2014/main" id="{017FFB10-2DC3-4B4C-829A-DE9DD05CD3D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0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025145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3550</xdr:row>
      <xdr:rowOff>25400</xdr:rowOff>
    </xdr:from>
    <xdr:to>
      <xdr:col>11</xdr:col>
      <xdr:colOff>571500</xdr:colOff>
      <xdr:row>3551</xdr:row>
      <xdr:rowOff>0</xdr:rowOff>
    </xdr:to>
    <xdr:pic>
      <xdr:nvPicPr>
        <xdr:cNvPr id="15153" name="Рисунок 15152">
          <a:extLst>
            <a:ext uri="{FF2B5EF4-FFF2-40B4-BE49-F238E27FC236}">
              <a16:creationId xmlns:a16="http://schemas.microsoft.com/office/drawing/2014/main" id="{C4E570C1-16EB-40DA-817E-EB6C813EB75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025716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3551</xdr:row>
      <xdr:rowOff>25400</xdr:rowOff>
    </xdr:from>
    <xdr:to>
      <xdr:col>11</xdr:col>
      <xdr:colOff>571500</xdr:colOff>
      <xdr:row>3552</xdr:row>
      <xdr:rowOff>0</xdr:rowOff>
    </xdr:to>
    <xdr:pic>
      <xdr:nvPicPr>
        <xdr:cNvPr id="15155" name="Рисунок 15154">
          <a:extLst>
            <a:ext uri="{FF2B5EF4-FFF2-40B4-BE49-F238E27FC236}">
              <a16:creationId xmlns:a16="http://schemas.microsoft.com/office/drawing/2014/main" id="{1A8E6D57-9B7E-42FC-9871-60E3BE7CC28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026288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3552</xdr:row>
      <xdr:rowOff>25400</xdr:rowOff>
    </xdr:from>
    <xdr:to>
      <xdr:col>11</xdr:col>
      <xdr:colOff>571500</xdr:colOff>
      <xdr:row>3553</xdr:row>
      <xdr:rowOff>0</xdr:rowOff>
    </xdr:to>
    <xdr:pic>
      <xdr:nvPicPr>
        <xdr:cNvPr id="15157" name="Рисунок 15156">
          <a:extLst>
            <a:ext uri="{FF2B5EF4-FFF2-40B4-BE49-F238E27FC236}">
              <a16:creationId xmlns:a16="http://schemas.microsoft.com/office/drawing/2014/main" id="{623E9B9B-1578-43C8-9CD9-A44D14A487A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026859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3553</xdr:row>
      <xdr:rowOff>25400</xdr:rowOff>
    </xdr:from>
    <xdr:to>
      <xdr:col>11</xdr:col>
      <xdr:colOff>571500</xdr:colOff>
      <xdr:row>3554</xdr:row>
      <xdr:rowOff>0</xdr:rowOff>
    </xdr:to>
    <xdr:pic>
      <xdr:nvPicPr>
        <xdr:cNvPr id="15159" name="Рисунок 15158">
          <a:extLst>
            <a:ext uri="{FF2B5EF4-FFF2-40B4-BE49-F238E27FC236}">
              <a16:creationId xmlns:a16="http://schemas.microsoft.com/office/drawing/2014/main" id="{E96F05CA-F3E6-4A48-90B7-56261D450E1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027431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3554</xdr:row>
      <xdr:rowOff>25400</xdr:rowOff>
    </xdr:from>
    <xdr:to>
      <xdr:col>11</xdr:col>
      <xdr:colOff>571500</xdr:colOff>
      <xdr:row>3555</xdr:row>
      <xdr:rowOff>0</xdr:rowOff>
    </xdr:to>
    <xdr:pic>
      <xdr:nvPicPr>
        <xdr:cNvPr id="15161" name="Рисунок 15160">
          <a:extLst>
            <a:ext uri="{FF2B5EF4-FFF2-40B4-BE49-F238E27FC236}">
              <a16:creationId xmlns:a16="http://schemas.microsoft.com/office/drawing/2014/main" id="{68B82573-297E-4DFF-ADF3-9E0CC11F235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028002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3555</xdr:row>
      <xdr:rowOff>25400</xdr:rowOff>
    </xdr:from>
    <xdr:to>
      <xdr:col>11</xdr:col>
      <xdr:colOff>571500</xdr:colOff>
      <xdr:row>3556</xdr:row>
      <xdr:rowOff>0</xdr:rowOff>
    </xdr:to>
    <xdr:pic>
      <xdr:nvPicPr>
        <xdr:cNvPr id="15163" name="Рисунок 15162">
          <a:extLst>
            <a:ext uri="{FF2B5EF4-FFF2-40B4-BE49-F238E27FC236}">
              <a16:creationId xmlns:a16="http://schemas.microsoft.com/office/drawing/2014/main" id="{D2D8C992-4268-4530-A906-02F71D8711E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028574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3556</xdr:row>
      <xdr:rowOff>25400</xdr:rowOff>
    </xdr:from>
    <xdr:to>
      <xdr:col>11</xdr:col>
      <xdr:colOff>571500</xdr:colOff>
      <xdr:row>3557</xdr:row>
      <xdr:rowOff>0</xdr:rowOff>
    </xdr:to>
    <xdr:pic>
      <xdr:nvPicPr>
        <xdr:cNvPr id="15165" name="Рисунок 15164">
          <a:extLst>
            <a:ext uri="{FF2B5EF4-FFF2-40B4-BE49-F238E27FC236}">
              <a16:creationId xmlns:a16="http://schemas.microsoft.com/office/drawing/2014/main" id="{D7AE72B0-49D9-4BEB-924D-F159EBFCC86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029145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3557</xdr:row>
      <xdr:rowOff>25400</xdr:rowOff>
    </xdr:from>
    <xdr:to>
      <xdr:col>11</xdr:col>
      <xdr:colOff>571500</xdr:colOff>
      <xdr:row>3558</xdr:row>
      <xdr:rowOff>0</xdr:rowOff>
    </xdr:to>
    <xdr:pic>
      <xdr:nvPicPr>
        <xdr:cNvPr id="15167" name="Рисунок 15166">
          <a:extLst>
            <a:ext uri="{FF2B5EF4-FFF2-40B4-BE49-F238E27FC236}">
              <a16:creationId xmlns:a16="http://schemas.microsoft.com/office/drawing/2014/main" id="{896F6C83-8C39-48A3-94DC-DA8D84E3EB7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029717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3558</xdr:row>
      <xdr:rowOff>25400</xdr:rowOff>
    </xdr:from>
    <xdr:to>
      <xdr:col>11</xdr:col>
      <xdr:colOff>571500</xdr:colOff>
      <xdr:row>3559</xdr:row>
      <xdr:rowOff>0</xdr:rowOff>
    </xdr:to>
    <xdr:pic>
      <xdr:nvPicPr>
        <xdr:cNvPr id="15169" name="Рисунок 15168">
          <a:extLst>
            <a:ext uri="{FF2B5EF4-FFF2-40B4-BE49-F238E27FC236}">
              <a16:creationId xmlns:a16="http://schemas.microsoft.com/office/drawing/2014/main" id="{1273B292-0711-4F72-B5B2-C18251EFBF7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030288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3559</xdr:row>
      <xdr:rowOff>25400</xdr:rowOff>
    </xdr:from>
    <xdr:to>
      <xdr:col>11</xdr:col>
      <xdr:colOff>571500</xdr:colOff>
      <xdr:row>3560</xdr:row>
      <xdr:rowOff>0</xdr:rowOff>
    </xdr:to>
    <xdr:pic>
      <xdr:nvPicPr>
        <xdr:cNvPr id="15171" name="Рисунок 15170">
          <a:extLst>
            <a:ext uri="{FF2B5EF4-FFF2-40B4-BE49-F238E27FC236}">
              <a16:creationId xmlns:a16="http://schemas.microsoft.com/office/drawing/2014/main" id="{6B68E2B3-D036-4BFF-B5D8-4621C3564C5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030860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3560</xdr:row>
      <xdr:rowOff>25400</xdr:rowOff>
    </xdr:from>
    <xdr:to>
      <xdr:col>11</xdr:col>
      <xdr:colOff>571500</xdr:colOff>
      <xdr:row>3561</xdr:row>
      <xdr:rowOff>0</xdr:rowOff>
    </xdr:to>
    <xdr:pic>
      <xdr:nvPicPr>
        <xdr:cNvPr id="15173" name="Рисунок 15172">
          <a:extLst>
            <a:ext uri="{FF2B5EF4-FFF2-40B4-BE49-F238E27FC236}">
              <a16:creationId xmlns:a16="http://schemas.microsoft.com/office/drawing/2014/main" id="{030FB931-21B7-46F6-97A7-CABE60EC748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031431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3561</xdr:row>
      <xdr:rowOff>25400</xdr:rowOff>
    </xdr:from>
    <xdr:to>
      <xdr:col>11</xdr:col>
      <xdr:colOff>571500</xdr:colOff>
      <xdr:row>3562</xdr:row>
      <xdr:rowOff>0</xdr:rowOff>
    </xdr:to>
    <xdr:pic>
      <xdr:nvPicPr>
        <xdr:cNvPr id="15175" name="Рисунок 15174">
          <a:extLst>
            <a:ext uri="{FF2B5EF4-FFF2-40B4-BE49-F238E27FC236}">
              <a16:creationId xmlns:a16="http://schemas.microsoft.com/office/drawing/2014/main" id="{EF04C721-7214-40ED-9E10-C711D1DA726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032003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3562</xdr:row>
      <xdr:rowOff>25400</xdr:rowOff>
    </xdr:from>
    <xdr:to>
      <xdr:col>11</xdr:col>
      <xdr:colOff>571500</xdr:colOff>
      <xdr:row>3563</xdr:row>
      <xdr:rowOff>0</xdr:rowOff>
    </xdr:to>
    <xdr:pic>
      <xdr:nvPicPr>
        <xdr:cNvPr id="15177" name="Рисунок 15176">
          <a:extLst>
            <a:ext uri="{FF2B5EF4-FFF2-40B4-BE49-F238E27FC236}">
              <a16:creationId xmlns:a16="http://schemas.microsoft.com/office/drawing/2014/main" id="{D769930E-3B00-4F37-87EB-391E6B5BDD5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032574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3563</xdr:row>
      <xdr:rowOff>25400</xdr:rowOff>
    </xdr:from>
    <xdr:to>
      <xdr:col>11</xdr:col>
      <xdr:colOff>571500</xdr:colOff>
      <xdr:row>3564</xdr:row>
      <xdr:rowOff>0</xdr:rowOff>
    </xdr:to>
    <xdr:pic>
      <xdr:nvPicPr>
        <xdr:cNvPr id="15179" name="Рисунок 15178">
          <a:extLst>
            <a:ext uri="{FF2B5EF4-FFF2-40B4-BE49-F238E27FC236}">
              <a16:creationId xmlns:a16="http://schemas.microsoft.com/office/drawing/2014/main" id="{E166A0D7-05B7-4ED9-B255-113D607E728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033146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3564</xdr:row>
      <xdr:rowOff>25400</xdr:rowOff>
    </xdr:from>
    <xdr:to>
      <xdr:col>11</xdr:col>
      <xdr:colOff>571500</xdr:colOff>
      <xdr:row>3565</xdr:row>
      <xdr:rowOff>0</xdr:rowOff>
    </xdr:to>
    <xdr:pic>
      <xdr:nvPicPr>
        <xdr:cNvPr id="15181" name="Рисунок 15180">
          <a:extLst>
            <a:ext uri="{FF2B5EF4-FFF2-40B4-BE49-F238E27FC236}">
              <a16:creationId xmlns:a16="http://schemas.microsoft.com/office/drawing/2014/main" id="{B9619737-13C4-4A79-99E7-D5F83990EF4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033717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3565</xdr:row>
      <xdr:rowOff>25400</xdr:rowOff>
    </xdr:from>
    <xdr:to>
      <xdr:col>11</xdr:col>
      <xdr:colOff>571500</xdr:colOff>
      <xdr:row>3566</xdr:row>
      <xdr:rowOff>0</xdr:rowOff>
    </xdr:to>
    <xdr:pic>
      <xdr:nvPicPr>
        <xdr:cNvPr id="15183" name="Рисунок 15182">
          <a:extLst>
            <a:ext uri="{FF2B5EF4-FFF2-40B4-BE49-F238E27FC236}">
              <a16:creationId xmlns:a16="http://schemas.microsoft.com/office/drawing/2014/main" id="{0D321D57-104A-4F4D-8F79-ADD66D8BE22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034289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3566</xdr:row>
      <xdr:rowOff>25400</xdr:rowOff>
    </xdr:from>
    <xdr:to>
      <xdr:col>11</xdr:col>
      <xdr:colOff>571500</xdr:colOff>
      <xdr:row>3567</xdr:row>
      <xdr:rowOff>0</xdr:rowOff>
    </xdr:to>
    <xdr:pic>
      <xdr:nvPicPr>
        <xdr:cNvPr id="15185" name="Рисунок 15184">
          <a:extLst>
            <a:ext uri="{FF2B5EF4-FFF2-40B4-BE49-F238E27FC236}">
              <a16:creationId xmlns:a16="http://schemas.microsoft.com/office/drawing/2014/main" id="{AEE98DF7-36F8-4866-B05A-A7AE39FE671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034860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3567</xdr:row>
      <xdr:rowOff>25400</xdr:rowOff>
    </xdr:from>
    <xdr:to>
      <xdr:col>11</xdr:col>
      <xdr:colOff>571500</xdr:colOff>
      <xdr:row>3568</xdr:row>
      <xdr:rowOff>0</xdr:rowOff>
    </xdr:to>
    <xdr:pic>
      <xdr:nvPicPr>
        <xdr:cNvPr id="15187" name="Рисунок 15186">
          <a:extLst>
            <a:ext uri="{FF2B5EF4-FFF2-40B4-BE49-F238E27FC236}">
              <a16:creationId xmlns:a16="http://schemas.microsoft.com/office/drawing/2014/main" id="{66184AC8-E518-4F59-A6F2-876CB3D5DD8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035432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3568</xdr:row>
      <xdr:rowOff>25400</xdr:rowOff>
    </xdr:from>
    <xdr:to>
      <xdr:col>11</xdr:col>
      <xdr:colOff>571500</xdr:colOff>
      <xdr:row>3569</xdr:row>
      <xdr:rowOff>0</xdr:rowOff>
    </xdr:to>
    <xdr:pic>
      <xdr:nvPicPr>
        <xdr:cNvPr id="15189" name="Рисунок 15188">
          <a:extLst>
            <a:ext uri="{FF2B5EF4-FFF2-40B4-BE49-F238E27FC236}">
              <a16:creationId xmlns:a16="http://schemas.microsoft.com/office/drawing/2014/main" id="{236FBD3D-FD72-4E8F-89A5-AA651617F72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036003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3569</xdr:row>
      <xdr:rowOff>25400</xdr:rowOff>
    </xdr:from>
    <xdr:to>
      <xdr:col>11</xdr:col>
      <xdr:colOff>571500</xdr:colOff>
      <xdr:row>3570</xdr:row>
      <xdr:rowOff>0</xdr:rowOff>
    </xdr:to>
    <xdr:pic>
      <xdr:nvPicPr>
        <xdr:cNvPr id="15191" name="Рисунок 15190">
          <a:extLst>
            <a:ext uri="{FF2B5EF4-FFF2-40B4-BE49-F238E27FC236}">
              <a16:creationId xmlns:a16="http://schemas.microsoft.com/office/drawing/2014/main" id="{0AFF5A61-9FE7-4C91-AEAF-3B689DC94CA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036575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3570</xdr:row>
      <xdr:rowOff>25400</xdr:rowOff>
    </xdr:from>
    <xdr:to>
      <xdr:col>11</xdr:col>
      <xdr:colOff>571500</xdr:colOff>
      <xdr:row>3571</xdr:row>
      <xdr:rowOff>0</xdr:rowOff>
    </xdr:to>
    <xdr:pic>
      <xdr:nvPicPr>
        <xdr:cNvPr id="15193" name="Рисунок 15192">
          <a:extLst>
            <a:ext uri="{FF2B5EF4-FFF2-40B4-BE49-F238E27FC236}">
              <a16:creationId xmlns:a16="http://schemas.microsoft.com/office/drawing/2014/main" id="{22209499-854B-4205-A2FB-649E54E3AF8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037146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3571</xdr:row>
      <xdr:rowOff>25400</xdr:rowOff>
    </xdr:from>
    <xdr:to>
      <xdr:col>11</xdr:col>
      <xdr:colOff>571500</xdr:colOff>
      <xdr:row>3572</xdr:row>
      <xdr:rowOff>0</xdr:rowOff>
    </xdr:to>
    <xdr:pic>
      <xdr:nvPicPr>
        <xdr:cNvPr id="15195" name="Рисунок 15194">
          <a:extLst>
            <a:ext uri="{FF2B5EF4-FFF2-40B4-BE49-F238E27FC236}">
              <a16:creationId xmlns:a16="http://schemas.microsoft.com/office/drawing/2014/main" id="{FD50474E-0687-450F-BDC6-033CB75C43F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3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037718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3572</xdr:row>
      <xdr:rowOff>25400</xdr:rowOff>
    </xdr:from>
    <xdr:to>
      <xdr:col>11</xdr:col>
      <xdr:colOff>571500</xdr:colOff>
      <xdr:row>3573</xdr:row>
      <xdr:rowOff>0</xdr:rowOff>
    </xdr:to>
    <xdr:pic>
      <xdr:nvPicPr>
        <xdr:cNvPr id="15197" name="Рисунок 15196">
          <a:extLst>
            <a:ext uri="{FF2B5EF4-FFF2-40B4-BE49-F238E27FC236}">
              <a16:creationId xmlns:a16="http://schemas.microsoft.com/office/drawing/2014/main" id="{EC8A694E-BAFE-4AA0-B629-D4523F0FD58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3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038289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3573</xdr:row>
      <xdr:rowOff>25400</xdr:rowOff>
    </xdr:from>
    <xdr:to>
      <xdr:col>11</xdr:col>
      <xdr:colOff>571500</xdr:colOff>
      <xdr:row>3574</xdr:row>
      <xdr:rowOff>0</xdr:rowOff>
    </xdr:to>
    <xdr:pic>
      <xdr:nvPicPr>
        <xdr:cNvPr id="15199" name="Рисунок 15198">
          <a:extLst>
            <a:ext uri="{FF2B5EF4-FFF2-40B4-BE49-F238E27FC236}">
              <a16:creationId xmlns:a16="http://schemas.microsoft.com/office/drawing/2014/main" id="{3005C6EF-4D8D-42AD-8173-B21B6C04B98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3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038861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3574</xdr:row>
      <xdr:rowOff>25400</xdr:rowOff>
    </xdr:from>
    <xdr:to>
      <xdr:col>11</xdr:col>
      <xdr:colOff>571500</xdr:colOff>
      <xdr:row>3575</xdr:row>
      <xdr:rowOff>0</xdr:rowOff>
    </xdr:to>
    <xdr:pic>
      <xdr:nvPicPr>
        <xdr:cNvPr id="15201" name="Рисунок 15200">
          <a:extLst>
            <a:ext uri="{FF2B5EF4-FFF2-40B4-BE49-F238E27FC236}">
              <a16:creationId xmlns:a16="http://schemas.microsoft.com/office/drawing/2014/main" id="{8BEB7853-FBBF-4282-9995-8E29FAABFCD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3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039432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3575</xdr:row>
      <xdr:rowOff>25400</xdr:rowOff>
    </xdr:from>
    <xdr:to>
      <xdr:col>11</xdr:col>
      <xdr:colOff>571500</xdr:colOff>
      <xdr:row>3576</xdr:row>
      <xdr:rowOff>0</xdr:rowOff>
    </xdr:to>
    <xdr:pic>
      <xdr:nvPicPr>
        <xdr:cNvPr id="15203" name="Рисунок 15202">
          <a:extLst>
            <a:ext uri="{FF2B5EF4-FFF2-40B4-BE49-F238E27FC236}">
              <a16:creationId xmlns:a16="http://schemas.microsoft.com/office/drawing/2014/main" id="{C7E31E47-353D-4811-B2D6-E1CBD88D2C3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3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040004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3576</xdr:row>
      <xdr:rowOff>25400</xdr:rowOff>
    </xdr:from>
    <xdr:to>
      <xdr:col>11</xdr:col>
      <xdr:colOff>571500</xdr:colOff>
      <xdr:row>3577</xdr:row>
      <xdr:rowOff>0</xdr:rowOff>
    </xdr:to>
    <xdr:pic>
      <xdr:nvPicPr>
        <xdr:cNvPr id="15205" name="Рисунок 15204">
          <a:extLst>
            <a:ext uri="{FF2B5EF4-FFF2-40B4-BE49-F238E27FC236}">
              <a16:creationId xmlns:a16="http://schemas.microsoft.com/office/drawing/2014/main" id="{A25CBA90-7417-4A02-8683-7B829B9A79B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3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040575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3577</xdr:row>
      <xdr:rowOff>25400</xdr:rowOff>
    </xdr:from>
    <xdr:to>
      <xdr:col>11</xdr:col>
      <xdr:colOff>571500</xdr:colOff>
      <xdr:row>3578</xdr:row>
      <xdr:rowOff>0</xdr:rowOff>
    </xdr:to>
    <xdr:pic>
      <xdr:nvPicPr>
        <xdr:cNvPr id="15207" name="Рисунок 15206">
          <a:extLst>
            <a:ext uri="{FF2B5EF4-FFF2-40B4-BE49-F238E27FC236}">
              <a16:creationId xmlns:a16="http://schemas.microsoft.com/office/drawing/2014/main" id="{9D345FDA-0130-454E-844E-B70422B5985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3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041147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3578</xdr:row>
      <xdr:rowOff>25400</xdr:rowOff>
    </xdr:from>
    <xdr:to>
      <xdr:col>11</xdr:col>
      <xdr:colOff>571500</xdr:colOff>
      <xdr:row>3579</xdr:row>
      <xdr:rowOff>0</xdr:rowOff>
    </xdr:to>
    <xdr:pic>
      <xdr:nvPicPr>
        <xdr:cNvPr id="15209" name="Рисунок 15208">
          <a:extLst>
            <a:ext uri="{FF2B5EF4-FFF2-40B4-BE49-F238E27FC236}">
              <a16:creationId xmlns:a16="http://schemas.microsoft.com/office/drawing/2014/main" id="{DAE884EC-45D8-4E97-926C-A022EC8C2C1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3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041718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3579</xdr:row>
      <xdr:rowOff>25400</xdr:rowOff>
    </xdr:from>
    <xdr:to>
      <xdr:col>11</xdr:col>
      <xdr:colOff>571500</xdr:colOff>
      <xdr:row>3580</xdr:row>
      <xdr:rowOff>0</xdr:rowOff>
    </xdr:to>
    <xdr:pic>
      <xdr:nvPicPr>
        <xdr:cNvPr id="15211" name="Рисунок 15210">
          <a:extLst>
            <a:ext uri="{FF2B5EF4-FFF2-40B4-BE49-F238E27FC236}">
              <a16:creationId xmlns:a16="http://schemas.microsoft.com/office/drawing/2014/main" id="{80A8A3DE-B2AB-4769-9FD9-6C9F6269430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3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042290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3580</xdr:row>
      <xdr:rowOff>25400</xdr:rowOff>
    </xdr:from>
    <xdr:to>
      <xdr:col>11</xdr:col>
      <xdr:colOff>571500</xdr:colOff>
      <xdr:row>3581</xdr:row>
      <xdr:rowOff>0</xdr:rowOff>
    </xdr:to>
    <xdr:pic>
      <xdr:nvPicPr>
        <xdr:cNvPr id="15213" name="Рисунок 15212">
          <a:extLst>
            <a:ext uri="{FF2B5EF4-FFF2-40B4-BE49-F238E27FC236}">
              <a16:creationId xmlns:a16="http://schemas.microsoft.com/office/drawing/2014/main" id="{FE7BA5F8-4C4A-46CB-98A4-AA6838A0210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4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042861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3581</xdr:row>
      <xdr:rowOff>25400</xdr:rowOff>
    </xdr:from>
    <xdr:to>
      <xdr:col>11</xdr:col>
      <xdr:colOff>571500</xdr:colOff>
      <xdr:row>3582</xdr:row>
      <xdr:rowOff>0</xdr:rowOff>
    </xdr:to>
    <xdr:pic>
      <xdr:nvPicPr>
        <xdr:cNvPr id="15215" name="Рисунок 15214">
          <a:extLst>
            <a:ext uri="{FF2B5EF4-FFF2-40B4-BE49-F238E27FC236}">
              <a16:creationId xmlns:a16="http://schemas.microsoft.com/office/drawing/2014/main" id="{B0B220C3-AF2F-47CE-A7E9-EBA3D880722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4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043433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3582</xdr:row>
      <xdr:rowOff>25400</xdr:rowOff>
    </xdr:from>
    <xdr:to>
      <xdr:col>11</xdr:col>
      <xdr:colOff>571500</xdr:colOff>
      <xdr:row>3583</xdr:row>
      <xdr:rowOff>0</xdr:rowOff>
    </xdr:to>
    <xdr:pic>
      <xdr:nvPicPr>
        <xdr:cNvPr id="15217" name="Рисунок 15216">
          <a:extLst>
            <a:ext uri="{FF2B5EF4-FFF2-40B4-BE49-F238E27FC236}">
              <a16:creationId xmlns:a16="http://schemas.microsoft.com/office/drawing/2014/main" id="{DA57FAE8-D3F1-4C79-A239-4E87C65066D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044004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3583</xdr:row>
      <xdr:rowOff>25400</xdr:rowOff>
    </xdr:from>
    <xdr:to>
      <xdr:col>11</xdr:col>
      <xdr:colOff>571500</xdr:colOff>
      <xdr:row>3584</xdr:row>
      <xdr:rowOff>0</xdr:rowOff>
    </xdr:to>
    <xdr:pic>
      <xdr:nvPicPr>
        <xdr:cNvPr id="15219" name="Рисунок 15218">
          <a:extLst>
            <a:ext uri="{FF2B5EF4-FFF2-40B4-BE49-F238E27FC236}">
              <a16:creationId xmlns:a16="http://schemas.microsoft.com/office/drawing/2014/main" id="{A0F9BE0A-9293-4DEB-B2A7-0C5078E0078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044576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3584</xdr:row>
      <xdr:rowOff>25400</xdr:rowOff>
    </xdr:from>
    <xdr:to>
      <xdr:col>11</xdr:col>
      <xdr:colOff>571500</xdr:colOff>
      <xdr:row>3585</xdr:row>
      <xdr:rowOff>0</xdr:rowOff>
    </xdr:to>
    <xdr:pic>
      <xdr:nvPicPr>
        <xdr:cNvPr id="15221" name="Рисунок 15220">
          <a:extLst>
            <a:ext uri="{FF2B5EF4-FFF2-40B4-BE49-F238E27FC236}">
              <a16:creationId xmlns:a16="http://schemas.microsoft.com/office/drawing/2014/main" id="{E08CF10D-A4FD-4B2F-9F66-618ADFDB085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045147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3585</xdr:row>
      <xdr:rowOff>25400</xdr:rowOff>
    </xdr:from>
    <xdr:to>
      <xdr:col>11</xdr:col>
      <xdr:colOff>571500</xdr:colOff>
      <xdr:row>3586</xdr:row>
      <xdr:rowOff>0</xdr:rowOff>
    </xdr:to>
    <xdr:pic>
      <xdr:nvPicPr>
        <xdr:cNvPr id="15223" name="Рисунок 15222">
          <a:extLst>
            <a:ext uri="{FF2B5EF4-FFF2-40B4-BE49-F238E27FC236}">
              <a16:creationId xmlns:a16="http://schemas.microsoft.com/office/drawing/2014/main" id="{E743BB92-3FF0-4466-AA60-7EC6384ADED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4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045719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3586</xdr:row>
      <xdr:rowOff>25400</xdr:rowOff>
    </xdr:from>
    <xdr:to>
      <xdr:col>11</xdr:col>
      <xdr:colOff>571500</xdr:colOff>
      <xdr:row>3587</xdr:row>
      <xdr:rowOff>0</xdr:rowOff>
    </xdr:to>
    <xdr:pic>
      <xdr:nvPicPr>
        <xdr:cNvPr id="15225" name="Рисунок 15224">
          <a:extLst>
            <a:ext uri="{FF2B5EF4-FFF2-40B4-BE49-F238E27FC236}">
              <a16:creationId xmlns:a16="http://schemas.microsoft.com/office/drawing/2014/main" id="{81EC86A6-F5C5-4B68-9959-0617A2DFB50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4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046290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3587</xdr:row>
      <xdr:rowOff>25400</xdr:rowOff>
    </xdr:from>
    <xdr:to>
      <xdr:col>11</xdr:col>
      <xdr:colOff>571500</xdr:colOff>
      <xdr:row>3588</xdr:row>
      <xdr:rowOff>0</xdr:rowOff>
    </xdr:to>
    <xdr:pic>
      <xdr:nvPicPr>
        <xdr:cNvPr id="15227" name="Рисунок 15226">
          <a:extLst>
            <a:ext uri="{FF2B5EF4-FFF2-40B4-BE49-F238E27FC236}">
              <a16:creationId xmlns:a16="http://schemas.microsoft.com/office/drawing/2014/main" id="{D6E086FB-3375-40EC-9B2D-B7212E010D1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4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046862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3588</xdr:row>
      <xdr:rowOff>25400</xdr:rowOff>
    </xdr:from>
    <xdr:to>
      <xdr:col>11</xdr:col>
      <xdr:colOff>571500</xdr:colOff>
      <xdr:row>3589</xdr:row>
      <xdr:rowOff>0</xdr:rowOff>
    </xdr:to>
    <xdr:pic>
      <xdr:nvPicPr>
        <xdr:cNvPr id="15229" name="Рисунок 15228">
          <a:extLst>
            <a:ext uri="{FF2B5EF4-FFF2-40B4-BE49-F238E27FC236}">
              <a16:creationId xmlns:a16="http://schemas.microsoft.com/office/drawing/2014/main" id="{F64EBB1C-5CDB-4FC8-A6A1-57178EBB3D6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4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047433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3589</xdr:row>
      <xdr:rowOff>25400</xdr:rowOff>
    </xdr:from>
    <xdr:to>
      <xdr:col>11</xdr:col>
      <xdr:colOff>571500</xdr:colOff>
      <xdr:row>3590</xdr:row>
      <xdr:rowOff>0</xdr:rowOff>
    </xdr:to>
    <xdr:pic>
      <xdr:nvPicPr>
        <xdr:cNvPr id="15231" name="Рисунок 15230">
          <a:extLst>
            <a:ext uri="{FF2B5EF4-FFF2-40B4-BE49-F238E27FC236}">
              <a16:creationId xmlns:a16="http://schemas.microsoft.com/office/drawing/2014/main" id="{AEFA73E2-1D21-46AE-A90C-3AD035D3AC5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4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048005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3590</xdr:row>
      <xdr:rowOff>25400</xdr:rowOff>
    </xdr:from>
    <xdr:to>
      <xdr:col>11</xdr:col>
      <xdr:colOff>571500</xdr:colOff>
      <xdr:row>3591</xdr:row>
      <xdr:rowOff>0</xdr:rowOff>
    </xdr:to>
    <xdr:pic>
      <xdr:nvPicPr>
        <xdr:cNvPr id="15233" name="Рисунок 15232">
          <a:extLst>
            <a:ext uri="{FF2B5EF4-FFF2-40B4-BE49-F238E27FC236}">
              <a16:creationId xmlns:a16="http://schemas.microsoft.com/office/drawing/2014/main" id="{CC9A9FC0-F74A-49BC-B75C-E43E1F747EA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5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048576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3591</xdr:row>
      <xdr:rowOff>25400</xdr:rowOff>
    </xdr:from>
    <xdr:to>
      <xdr:col>11</xdr:col>
      <xdr:colOff>571500</xdr:colOff>
      <xdr:row>3592</xdr:row>
      <xdr:rowOff>0</xdr:rowOff>
    </xdr:to>
    <xdr:pic>
      <xdr:nvPicPr>
        <xdr:cNvPr id="15235" name="Рисунок 15234">
          <a:extLst>
            <a:ext uri="{FF2B5EF4-FFF2-40B4-BE49-F238E27FC236}">
              <a16:creationId xmlns:a16="http://schemas.microsoft.com/office/drawing/2014/main" id="{A6AAE484-4820-45CE-B4AF-33AB20AB5E5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5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049148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3592</xdr:row>
      <xdr:rowOff>25400</xdr:rowOff>
    </xdr:from>
    <xdr:to>
      <xdr:col>11</xdr:col>
      <xdr:colOff>571500</xdr:colOff>
      <xdr:row>3593</xdr:row>
      <xdr:rowOff>0</xdr:rowOff>
    </xdr:to>
    <xdr:pic>
      <xdr:nvPicPr>
        <xdr:cNvPr id="15237" name="Рисунок 15236">
          <a:extLst>
            <a:ext uri="{FF2B5EF4-FFF2-40B4-BE49-F238E27FC236}">
              <a16:creationId xmlns:a16="http://schemas.microsoft.com/office/drawing/2014/main" id="{56D91772-B71B-407E-A7B0-457E9FDB83A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049719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3593</xdr:row>
      <xdr:rowOff>25400</xdr:rowOff>
    </xdr:from>
    <xdr:to>
      <xdr:col>11</xdr:col>
      <xdr:colOff>571500</xdr:colOff>
      <xdr:row>3594</xdr:row>
      <xdr:rowOff>0</xdr:rowOff>
    </xdr:to>
    <xdr:pic>
      <xdr:nvPicPr>
        <xdr:cNvPr id="15239" name="Рисунок 15238">
          <a:extLst>
            <a:ext uri="{FF2B5EF4-FFF2-40B4-BE49-F238E27FC236}">
              <a16:creationId xmlns:a16="http://schemas.microsoft.com/office/drawing/2014/main" id="{AC6FB2FB-A8B9-4DD3-B3AE-942D911CC90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5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050291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3594</xdr:row>
      <xdr:rowOff>25400</xdr:rowOff>
    </xdr:from>
    <xdr:to>
      <xdr:col>11</xdr:col>
      <xdr:colOff>571500</xdr:colOff>
      <xdr:row>3595</xdr:row>
      <xdr:rowOff>0</xdr:rowOff>
    </xdr:to>
    <xdr:pic>
      <xdr:nvPicPr>
        <xdr:cNvPr id="15241" name="Рисунок 15240">
          <a:extLst>
            <a:ext uri="{FF2B5EF4-FFF2-40B4-BE49-F238E27FC236}">
              <a16:creationId xmlns:a16="http://schemas.microsoft.com/office/drawing/2014/main" id="{0BCB359F-3984-4C63-BD20-526EBC7AC96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5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050862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3595</xdr:row>
      <xdr:rowOff>25400</xdr:rowOff>
    </xdr:from>
    <xdr:to>
      <xdr:col>11</xdr:col>
      <xdr:colOff>571500</xdr:colOff>
      <xdr:row>3596</xdr:row>
      <xdr:rowOff>0</xdr:rowOff>
    </xdr:to>
    <xdr:pic>
      <xdr:nvPicPr>
        <xdr:cNvPr id="15243" name="Рисунок 15242">
          <a:extLst>
            <a:ext uri="{FF2B5EF4-FFF2-40B4-BE49-F238E27FC236}">
              <a16:creationId xmlns:a16="http://schemas.microsoft.com/office/drawing/2014/main" id="{C86F3B6E-629D-4199-9DFF-B03101A523A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5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051434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3596</xdr:row>
      <xdr:rowOff>25400</xdr:rowOff>
    </xdr:from>
    <xdr:to>
      <xdr:col>11</xdr:col>
      <xdr:colOff>571500</xdr:colOff>
      <xdr:row>3597</xdr:row>
      <xdr:rowOff>0</xdr:rowOff>
    </xdr:to>
    <xdr:pic>
      <xdr:nvPicPr>
        <xdr:cNvPr id="15245" name="Рисунок 15244">
          <a:extLst>
            <a:ext uri="{FF2B5EF4-FFF2-40B4-BE49-F238E27FC236}">
              <a16:creationId xmlns:a16="http://schemas.microsoft.com/office/drawing/2014/main" id="{7BDACCE8-366A-40F5-AF67-FC69BFDD409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5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052005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3597</xdr:row>
      <xdr:rowOff>25400</xdr:rowOff>
    </xdr:from>
    <xdr:to>
      <xdr:col>11</xdr:col>
      <xdr:colOff>571500</xdr:colOff>
      <xdr:row>3598</xdr:row>
      <xdr:rowOff>0</xdr:rowOff>
    </xdr:to>
    <xdr:pic>
      <xdr:nvPicPr>
        <xdr:cNvPr id="15247" name="Рисунок 15246">
          <a:extLst>
            <a:ext uri="{FF2B5EF4-FFF2-40B4-BE49-F238E27FC236}">
              <a16:creationId xmlns:a16="http://schemas.microsoft.com/office/drawing/2014/main" id="{43A28FDB-B356-4FB4-8E1D-0C534AD75FC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5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052577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3599</xdr:row>
      <xdr:rowOff>25400</xdr:rowOff>
    </xdr:from>
    <xdr:to>
      <xdr:col>11</xdr:col>
      <xdr:colOff>571500</xdr:colOff>
      <xdr:row>3600</xdr:row>
      <xdr:rowOff>0</xdr:rowOff>
    </xdr:to>
    <xdr:pic>
      <xdr:nvPicPr>
        <xdr:cNvPr id="15249" name="Рисунок 15248">
          <a:extLst>
            <a:ext uri="{FF2B5EF4-FFF2-40B4-BE49-F238E27FC236}">
              <a16:creationId xmlns:a16="http://schemas.microsoft.com/office/drawing/2014/main" id="{A9234EED-B61B-4CFE-844E-8D30061BAB5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5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053720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3600</xdr:row>
      <xdr:rowOff>25400</xdr:rowOff>
    </xdr:from>
    <xdr:to>
      <xdr:col>11</xdr:col>
      <xdr:colOff>571500</xdr:colOff>
      <xdr:row>3601</xdr:row>
      <xdr:rowOff>0</xdr:rowOff>
    </xdr:to>
    <xdr:pic>
      <xdr:nvPicPr>
        <xdr:cNvPr id="15251" name="Рисунок 15250">
          <a:extLst>
            <a:ext uri="{FF2B5EF4-FFF2-40B4-BE49-F238E27FC236}">
              <a16:creationId xmlns:a16="http://schemas.microsoft.com/office/drawing/2014/main" id="{30640905-4535-4D3E-9B7F-BE68FEDF08F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5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054291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3601</xdr:row>
      <xdr:rowOff>25400</xdr:rowOff>
    </xdr:from>
    <xdr:to>
      <xdr:col>11</xdr:col>
      <xdr:colOff>571500</xdr:colOff>
      <xdr:row>3602</xdr:row>
      <xdr:rowOff>0</xdr:rowOff>
    </xdr:to>
    <xdr:pic>
      <xdr:nvPicPr>
        <xdr:cNvPr id="15253" name="Рисунок 15252">
          <a:extLst>
            <a:ext uri="{FF2B5EF4-FFF2-40B4-BE49-F238E27FC236}">
              <a16:creationId xmlns:a16="http://schemas.microsoft.com/office/drawing/2014/main" id="{E0440E91-6AD4-4C15-BEC1-06CB20520DB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6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054863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3602</xdr:row>
      <xdr:rowOff>25400</xdr:rowOff>
    </xdr:from>
    <xdr:to>
      <xdr:col>11</xdr:col>
      <xdr:colOff>571500</xdr:colOff>
      <xdr:row>3603</xdr:row>
      <xdr:rowOff>0</xdr:rowOff>
    </xdr:to>
    <xdr:pic>
      <xdr:nvPicPr>
        <xdr:cNvPr id="15255" name="Рисунок 15254">
          <a:extLst>
            <a:ext uri="{FF2B5EF4-FFF2-40B4-BE49-F238E27FC236}">
              <a16:creationId xmlns:a16="http://schemas.microsoft.com/office/drawing/2014/main" id="{E0C8AF15-DF0B-4EBC-9002-59BFCFD84D3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6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055434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3603</xdr:row>
      <xdr:rowOff>25400</xdr:rowOff>
    </xdr:from>
    <xdr:to>
      <xdr:col>11</xdr:col>
      <xdr:colOff>571500</xdr:colOff>
      <xdr:row>3604</xdr:row>
      <xdr:rowOff>0</xdr:rowOff>
    </xdr:to>
    <xdr:pic>
      <xdr:nvPicPr>
        <xdr:cNvPr id="15257" name="Рисунок 15256">
          <a:extLst>
            <a:ext uri="{FF2B5EF4-FFF2-40B4-BE49-F238E27FC236}">
              <a16:creationId xmlns:a16="http://schemas.microsoft.com/office/drawing/2014/main" id="{EDE14C08-B0DF-4D98-B407-3D069CF0926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6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056006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3604</xdr:row>
      <xdr:rowOff>25400</xdr:rowOff>
    </xdr:from>
    <xdr:to>
      <xdr:col>11</xdr:col>
      <xdr:colOff>571500</xdr:colOff>
      <xdr:row>3605</xdr:row>
      <xdr:rowOff>0</xdr:rowOff>
    </xdr:to>
    <xdr:pic>
      <xdr:nvPicPr>
        <xdr:cNvPr id="15259" name="Рисунок 15258">
          <a:extLst>
            <a:ext uri="{FF2B5EF4-FFF2-40B4-BE49-F238E27FC236}">
              <a16:creationId xmlns:a16="http://schemas.microsoft.com/office/drawing/2014/main" id="{352C6B0B-520A-4434-A01E-FEDB960FC79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6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056577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3605</xdr:row>
      <xdr:rowOff>25400</xdr:rowOff>
    </xdr:from>
    <xdr:to>
      <xdr:col>11</xdr:col>
      <xdr:colOff>571500</xdr:colOff>
      <xdr:row>3606</xdr:row>
      <xdr:rowOff>0</xdr:rowOff>
    </xdr:to>
    <xdr:pic>
      <xdr:nvPicPr>
        <xdr:cNvPr id="15261" name="Рисунок 15260">
          <a:extLst>
            <a:ext uri="{FF2B5EF4-FFF2-40B4-BE49-F238E27FC236}">
              <a16:creationId xmlns:a16="http://schemas.microsoft.com/office/drawing/2014/main" id="{EA5E556E-6C51-4363-A0FF-D18BA9CB5BE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6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057149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3606</xdr:row>
      <xdr:rowOff>25400</xdr:rowOff>
    </xdr:from>
    <xdr:to>
      <xdr:col>11</xdr:col>
      <xdr:colOff>571500</xdr:colOff>
      <xdr:row>3607</xdr:row>
      <xdr:rowOff>0</xdr:rowOff>
    </xdr:to>
    <xdr:pic>
      <xdr:nvPicPr>
        <xdr:cNvPr id="15263" name="Рисунок 15262">
          <a:extLst>
            <a:ext uri="{FF2B5EF4-FFF2-40B4-BE49-F238E27FC236}">
              <a16:creationId xmlns:a16="http://schemas.microsoft.com/office/drawing/2014/main" id="{E3E771A5-D856-417A-ADF2-DD146779FD3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6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057720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3607</xdr:row>
      <xdr:rowOff>25400</xdr:rowOff>
    </xdr:from>
    <xdr:to>
      <xdr:col>11</xdr:col>
      <xdr:colOff>571500</xdr:colOff>
      <xdr:row>3608</xdr:row>
      <xdr:rowOff>0</xdr:rowOff>
    </xdr:to>
    <xdr:pic>
      <xdr:nvPicPr>
        <xdr:cNvPr id="15265" name="Рисунок 15264">
          <a:extLst>
            <a:ext uri="{FF2B5EF4-FFF2-40B4-BE49-F238E27FC236}">
              <a16:creationId xmlns:a16="http://schemas.microsoft.com/office/drawing/2014/main" id="{69275A75-3608-448A-835C-1C54FE6E444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6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058292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3608</xdr:row>
      <xdr:rowOff>25400</xdr:rowOff>
    </xdr:from>
    <xdr:to>
      <xdr:col>11</xdr:col>
      <xdr:colOff>571500</xdr:colOff>
      <xdr:row>3609</xdr:row>
      <xdr:rowOff>0</xdr:rowOff>
    </xdr:to>
    <xdr:pic>
      <xdr:nvPicPr>
        <xdr:cNvPr id="15267" name="Рисунок 15266">
          <a:extLst>
            <a:ext uri="{FF2B5EF4-FFF2-40B4-BE49-F238E27FC236}">
              <a16:creationId xmlns:a16="http://schemas.microsoft.com/office/drawing/2014/main" id="{3034FE55-08D5-4D5E-A923-AAC19CB2DE7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6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058863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3609</xdr:row>
      <xdr:rowOff>25400</xdr:rowOff>
    </xdr:from>
    <xdr:to>
      <xdr:col>11</xdr:col>
      <xdr:colOff>571500</xdr:colOff>
      <xdr:row>3610</xdr:row>
      <xdr:rowOff>0</xdr:rowOff>
    </xdr:to>
    <xdr:pic>
      <xdr:nvPicPr>
        <xdr:cNvPr id="15269" name="Рисунок 15268">
          <a:extLst>
            <a:ext uri="{FF2B5EF4-FFF2-40B4-BE49-F238E27FC236}">
              <a16:creationId xmlns:a16="http://schemas.microsoft.com/office/drawing/2014/main" id="{5BDC90F0-1CC3-4DBB-ACFB-7A9DC68D247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6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059435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3610</xdr:row>
      <xdr:rowOff>25400</xdr:rowOff>
    </xdr:from>
    <xdr:to>
      <xdr:col>11</xdr:col>
      <xdr:colOff>571500</xdr:colOff>
      <xdr:row>3611</xdr:row>
      <xdr:rowOff>0</xdr:rowOff>
    </xdr:to>
    <xdr:pic>
      <xdr:nvPicPr>
        <xdr:cNvPr id="15271" name="Рисунок 15270">
          <a:extLst>
            <a:ext uri="{FF2B5EF4-FFF2-40B4-BE49-F238E27FC236}">
              <a16:creationId xmlns:a16="http://schemas.microsoft.com/office/drawing/2014/main" id="{72609C47-DA36-4FA9-82E9-BA96B95AC53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6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060006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3611</xdr:row>
      <xdr:rowOff>25400</xdr:rowOff>
    </xdr:from>
    <xdr:to>
      <xdr:col>11</xdr:col>
      <xdr:colOff>571500</xdr:colOff>
      <xdr:row>3612</xdr:row>
      <xdr:rowOff>0</xdr:rowOff>
    </xdr:to>
    <xdr:pic>
      <xdr:nvPicPr>
        <xdr:cNvPr id="15273" name="Рисунок 15272">
          <a:extLst>
            <a:ext uri="{FF2B5EF4-FFF2-40B4-BE49-F238E27FC236}">
              <a16:creationId xmlns:a16="http://schemas.microsoft.com/office/drawing/2014/main" id="{0A419313-8AB7-4267-B44D-9BBB764E1EF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7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060578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3612</xdr:row>
      <xdr:rowOff>25400</xdr:rowOff>
    </xdr:from>
    <xdr:to>
      <xdr:col>11</xdr:col>
      <xdr:colOff>571500</xdr:colOff>
      <xdr:row>3613</xdr:row>
      <xdr:rowOff>0</xdr:rowOff>
    </xdr:to>
    <xdr:pic>
      <xdr:nvPicPr>
        <xdr:cNvPr id="15275" name="Рисунок 15274">
          <a:extLst>
            <a:ext uri="{FF2B5EF4-FFF2-40B4-BE49-F238E27FC236}">
              <a16:creationId xmlns:a16="http://schemas.microsoft.com/office/drawing/2014/main" id="{58E06AD3-21BE-4CD4-B6DE-D878EE097D5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7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061149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3613</xdr:row>
      <xdr:rowOff>25400</xdr:rowOff>
    </xdr:from>
    <xdr:to>
      <xdr:col>11</xdr:col>
      <xdr:colOff>571500</xdr:colOff>
      <xdr:row>3614</xdr:row>
      <xdr:rowOff>0</xdr:rowOff>
    </xdr:to>
    <xdr:pic>
      <xdr:nvPicPr>
        <xdr:cNvPr id="15277" name="Рисунок 15276">
          <a:extLst>
            <a:ext uri="{FF2B5EF4-FFF2-40B4-BE49-F238E27FC236}">
              <a16:creationId xmlns:a16="http://schemas.microsoft.com/office/drawing/2014/main" id="{924F253A-72F1-4C5E-BD26-085A0DF8C1C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7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061721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3614</xdr:row>
      <xdr:rowOff>25400</xdr:rowOff>
    </xdr:from>
    <xdr:to>
      <xdr:col>11</xdr:col>
      <xdr:colOff>571500</xdr:colOff>
      <xdr:row>3615</xdr:row>
      <xdr:rowOff>0</xdr:rowOff>
    </xdr:to>
    <xdr:pic>
      <xdr:nvPicPr>
        <xdr:cNvPr id="15279" name="Рисунок 15278">
          <a:extLst>
            <a:ext uri="{FF2B5EF4-FFF2-40B4-BE49-F238E27FC236}">
              <a16:creationId xmlns:a16="http://schemas.microsoft.com/office/drawing/2014/main" id="{CF81EF48-78DC-427E-B2DF-32ED8E85673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7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062292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3615</xdr:row>
      <xdr:rowOff>25400</xdr:rowOff>
    </xdr:from>
    <xdr:to>
      <xdr:col>11</xdr:col>
      <xdr:colOff>571500</xdr:colOff>
      <xdr:row>3616</xdr:row>
      <xdr:rowOff>0</xdr:rowOff>
    </xdr:to>
    <xdr:pic>
      <xdr:nvPicPr>
        <xdr:cNvPr id="15281" name="Рисунок 15280">
          <a:extLst>
            <a:ext uri="{FF2B5EF4-FFF2-40B4-BE49-F238E27FC236}">
              <a16:creationId xmlns:a16="http://schemas.microsoft.com/office/drawing/2014/main" id="{CCBA5A1A-C442-4D32-8134-C42D315476B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7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062864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3616</xdr:row>
      <xdr:rowOff>25400</xdr:rowOff>
    </xdr:from>
    <xdr:to>
      <xdr:col>11</xdr:col>
      <xdr:colOff>571500</xdr:colOff>
      <xdr:row>3617</xdr:row>
      <xdr:rowOff>0</xdr:rowOff>
    </xdr:to>
    <xdr:pic>
      <xdr:nvPicPr>
        <xdr:cNvPr id="15283" name="Рисунок 15282">
          <a:extLst>
            <a:ext uri="{FF2B5EF4-FFF2-40B4-BE49-F238E27FC236}">
              <a16:creationId xmlns:a16="http://schemas.microsoft.com/office/drawing/2014/main" id="{F4B60125-D219-4AC8-BE67-2A7F34502A8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7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063435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3617</xdr:row>
      <xdr:rowOff>25400</xdr:rowOff>
    </xdr:from>
    <xdr:to>
      <xdr:col>11</xdr:col>
      <xdr:colOff>571500</xdr:colOff>
      <xdr:row>3618</xdr:row>
      <xdr:rowOff>0</xdr:rowOff>
    </xdr:to>
    <xdr:pic>
      <xdr:nvPicPr>
        <xdr:cNvPr id="15285" name="Рисунок 15284">
          <a:extLst>
            <a:ext uri="{FF2B5EF4-FFF2-40B4-BE49-F238E27FC236}">
              <a16:creationId xmlns:a16="http://schemas.microsoft.com/office/drawing/2014/main" id="{A24A1CC3-8D2A-4809-837C-D89173EF451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7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064007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3618</xdr:row>
      <xdr:rowOff>25400</xdr:rowOff>
    </xdr:from>
    <xdr:to>
      <xdr:col>11</xdr:col>
      <xdr:colOff>571500</xdr:colOff>
      <xdr:row>3619</xdr:row>
      <xdr:rowOff>0</xdr:rowOff>
    </xdr:to>
    <xdr:pic>
      <xdr:nvPicPr>
        <xdr:cNvPr id="15287" name="Рисунок 15286">
          <a:extLst>
            <a:ext uri="{FF2B5EF4-FFF2-40B4-BE49-F238E27FC236}">
              <a16:creationId xmlns:a16="http://schemas.microsoft.com/office/drawing/2014/main" id="{21E44B69-C096-43CE-844E-6D6D9CBDE2E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7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064578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3619</xdr:row>
      <xdr:rowOff>25400</xdr:rowOff>
    </xdr:from>
    <xdr:to>
      <xdr:col>11</xdr:col>
      <xdr:colOff>571500</xdr:colOff>
      <xdr:row>3620</xdr:row>
      <xdr:rowOff>0</xdr:rowOff>
    </xdr:to>
    <xdr:pic>
      <xdr:nvPicPr>
        <xdr:cNvPr id="15289" name="Рисунок 15288">
          <a:extLst>
            <a:ext uri="{FF2B5EF4-FFF2-40B4-BE49-F238E27FC236}">
              <a16:creationId xmlns:a16="http://schemas.microsoft.com/office/drawing/2014/main" id="{625D07FE-BBC0-4740-BECB-B27FE3FFA9D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7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065150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3620</xdr:row>
      <xdr:rowOff>25400</xdr:rowOff>
    </xdr:from>
    <xdr:to>
      <xdr:col>11</xdr:col>
      <xdr:colOff>571500</xdr:colOff>
      <xdr:row>3621</xdr:row>
      <xdr:rowOff>0</xdr:rowOff>
    </xdr:to>
    <xdr:pic>
      <xdr:nvPicPr>
        <xdr:cNvPr id="15291" name="Рисунок 15290">
          <a:extLst>
            <a:ext uri="{FF2B5EF4-FFF2-40B4-BE49-F238E27FC236}">
              <a16:creationId xmlns:a16="http://schemas.microsoft.com/office/drawing/2014/main" id="{30098C20-C794-4C62-8743-273B6A68379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7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065721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3621</xdr:row>
      <xdr:rowOff>25400</xdr:rowOff>
    </xdr:from>
    <xdr:to>
      <xdr:col>11</xdr:col>
      <xdr:colOff>571500</xdr:colOff>
      <xdr:row>3622</xdr:row>
      <xdr:rowOff>0</xdr:rowOff>
    </xdr:to>
    <xdr:pic>
      <xdr:nvPicPr>
        <xdr:cNvPr id="15293" name="Рисунок 15292">
          <a:extLst>
            <a:ext uri="{FF2B5EF4-FFF2-40B4-BE49-F238E27FC236}">
              <a16:creationId xmlns:a16="http://schemas.microsoft.com/office/drawing/2014/main" id="{F9DE32E1-396B-4B57-979B-72334BC0F2D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8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066293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3622</xdr:row>
      <xdr:rowOff>25400</xdr:rowOff>
    </xdr:from>
    <xdr:to>
      <xdr:col>11</xdr:col>
      <xdr:colOff>571500</xdr:colOff>
      <xdr:row>3623</xdr:row>
      <xdr:rowOff>0</xdr:rowOff>
    </xdr:to>
    <xdr:pic>
      <xdr:nvPicPr>
        <xdr:cNvPr id="15295" name="Рисунок 15294">
          <a:extLst>
            <a:ext uri="{FF2B5EF4-FFF2-40B4-BE49-F238E27FC236}">
              <a16:creationId xmlns:a16="http://schemas.microsoft.com/office/drawing/2014/main" id="{8A8D37B0-EB04-4CD3-B86A-02BB262FD8D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8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066864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3623</xdr:row>
      <xdr:rowOff>25400</xdr:rowOff>
    </xdr:from>
    <xdr:to>
      <xdr:col>11</xdr:col>
      <xdr:colOff>571500</xdr:colOff>
      <xdr:row>3624</xdr:row>
      <xdr:rowOff>0</xdr:rowOff>
    </xdr:to>
    <xdr:pic>
      <xdr:nvPicPr>
        <xdr:cNvPr id="15297" name="Рисунок 15296">
          <a:extLst>
            <a:ext uri="{FF2B5EF4-FFF2-40B4-BE49-F238E27FC236}">
              <a16:creationId xmlns:a16="http://schemas.microsoft.com/office/drawing/2014/main" id="{4BBF1FA4-F8C3-4826-99BB-50AEFC02743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8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067436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3624</xdr:row>
      <xdr:rowOff>25400</xdr:rowOff>
    </xdr:from>
    <xdr:to>
      <xdr:col>11</xdr:col>
      <xdr:colOff>571500</xdr:colOff>
      <xdr:row>3625</xdr:row>
      <xdr:rowOff>0</xdr:rowOff>
    </xdr:to>
    <xdr:pic>
      <xdr:nvPicPr>
        <xdr:cNvPr id="15299" name="Рисунок 15298">
          <a:extLst>
            <a:ext uri="{FF2B5EF4-FFF2-40B4-BE49-F238E27FC236}">
              <a16:creationId xmlns:a16="http://schemas.microsoft.com/office/drawing/2014/main" id="{EF6E111A-38A3-42A9-977D-658A00B0069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8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068007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3625</xdr:row>
      <xdr:rowOff>25400</xdr:rowOff>
    </xdr:from>
    <xdr:to>
      <xdr:col>11</xdr:col>
      <xdr:colOff>571500</xdr:colOff>
      <xdr:row>3626</xdr:row>
      <xdr:rowOff>0</xdr:rowOff>
    </xdr:to>
    <xdr:pic>
      <xdr:nvPicPr>
        <xdr:cNvPr id="15301" name="Рисунок 15300">
          <a:extLst>
            <a:ext uri="{FF2B5EF4-FFF2-40B4-BE49-F238E27FC236}">
              <a16:creationId xmlns:a16="http://schemas.microsoft.com/office/drawing/2014/main" id="{AEF2C4D2-EF55-46F9-A694-0D9173FB227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8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068579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3626</xdr:row>
      <xdr:rowOff>25400</xdr:rowOff>
    </xdr:from>
    <xdr:to>
      <xdr:col>11</xdr:col>
      <xdr:colOff>571500</xdr:colOff>
      <xdr:row>3627</xdr:row>
      <xdr:rowOff>0</xdr:rowOff>
    </xdr:to>
    <xdr:pic>
      <xdr:nvPicPr>
        <xdr:cNvPr id="15303" name="Рисунок 15302">
          <a:extLst>
            <a:ext uri="{FF2B5EF4-FFF2-40B4-BE49-F238E27FC236}">
              <a16:creationId xmlns:a16="http://schemas.microsoft.com/office/drawing/2014/main" id="{2AF5F630-A986-48C4-ACCB-1C7D209833B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8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069150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3627</xdr:row>
      <xdr:rowOff>25400</xdr:rowOff>
    </xdr:from>
    <xdr:to>
      <xdr:col>11</xdr:col>
      <xdr:colOff>571500</xdr:colOff>
      <xdr:row>3628</xdr:row>
      <xdr:rowOff>0</xdr:rowOff>
    </xdr:to>
    <xdr:pic>
      <xdr:nvPicPr>
        <xdr:cNvPr id="15305" name="Рисунок 15304">
          <a:extLst>
            <a:ext uri="{FF2B5EF4-FFF2-40B4-BE49-F238E27FC236}">
              <a16:creationId xmlns:a16="http://schemas.microsoft.com/office/drawing/2014/main" id="{F2E9E0E0-E6B4-488A-B843-CF1CE1DFCED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8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069722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3628</xdr:row>
      <xdr:rowOff>25400</xdr:rowOff>
    </xdr:from>
    <xdr:to>
      <xdr:col>11</xdr:col>
      <xdr:colOff>571500</xdr:colOff>
      <xdr:row>3629</xdr:row>
      <xdr:rowOff>0</xdr:rowOff>
    </xdr:to>
    <xdr:pic>
      <xdr:nvPicPr>
        <xdr:cNvPr id="15307" name="Рисунок 15306">
          <a:extLst>
            <a:ext uri="{FF2B5EF4-FFF2-40B4-BE49-F238E27FC236}">
              <a16:creationId xmlns:a16="http://schemas.microsoft.com/office/drawing/2014/main" id="{240995E9-6E8E-4B10-A54A-F5BB2ADA7BB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8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070293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3629</xdr:row>
      <xdr:rowOff>25400</xdr:rowOff>
    </xdr:from>
    <xdr:to>
      <xdr:col>11</xdr:col>
      <xdr:colOff>571500</xdr:colOff>
      <xdr:row>3630</xdr:row>
      <xdr:rowOff>0</xdr:rowOff>
    </xdr:to>
    <xdr:pic>
      <xdr:nvPicPr>
        <xdr:cNvPr id="15309" name="Рисунок 15308">
          <a:extLst>
            <a:ext uri="{FF2B5EF4-FFF2-40B4-BE49-F238E27FC236}">
              <a16:creationId xmlns:a16="http://schemas.microsoft.com/office/drawing/2014/main" id="{03F6E28A-BD4B-4C71-B8AB-F022B7CED1F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8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070865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3630</xdr:row>
      <xdr:rowOff>25400</xdr:rowOff>
    </xdr:from>
    <xdr:to>
      <xdr:col>11</xdr:col>
      <xdr:colOff>571500</xdr:colOff>
      <xdr:row>3631</xdr:row>
      <xdr:rowOff>0</xdr:rowOff>
    </xdr:to>
    <xdr:pic>
      <xdr:nvPicPr>
        <xdr:cNvPr id="15311" name="Рисунок 15310">
          <a:extLst>
            <a:ext uri="{FF2B5EF4-FFF2-40B4-BE49-F238E27FC236}">
              <a16:creationId xmlns:a16="http://schemas.microsoft.com/office/drawing/2014/main" id="{3A711B0E-0699-41B7-AA4B-D1C1595AD10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8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071436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3631</xdr:row>
      <xdr:rowOff>25400</xdr:rowOff>
    </xdr:from>
    <xdr:to>
      <xdr:col>11</xdr:col>
      <xdr:colOff>571500</xdr:colOff>
      <xdr:row>3632</xdr:row>
      <xdr:rowOff>0</xdr:rowOff>
    </xdr:to>
    <xdr:pic>
      <xdr:nvPicPr>
        <xdr:cNvPr id="15313" name="Рисунок 15312">
          <a:extLst>
            <a:ext uri="{FF2B5EF4-FFF2-40B4-BE49-F238E27FC236}">
              <a16:creationId xmlns:a16="http://schemas.microsoft.com/office/drawing/2014/main" id="{421479CA-99B6-4544-8C8E-3DB6BDBA8F2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9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072008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3632</xdr:row>
      <xdr:rowOff>25400</xdr:rowOff>
    </xdr:from>
    <xdr:to>
      <xdr:col>11</xdr:col>
      <xdr:colOff>571500</xdr:colOff>
      <xdr:row>3633</xdr:row>
      <xdr:rowOff>0</xdr:rowOff>
    </xdr:to>
    <xdr:pic>
      <xdr:nvPicPr>
        <xdr:cNvPr id="15315" name="Рисунок 15314">
          <a:extLst>
            <a:ext uri="{FF2B5EF4-FFF2-40B4-BE49-F238E27FC236}">
              <a16:creationId xmlns:a16="http://schemas.microsoft.com/office/drawing/2014/main" id="{CB1CCC54-D58F-419E-82B6-635A576C745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9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072579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3633</xdr:row>
      <xdr:rowOff>25400</xdr:rowOff>
    </xdr:from>
    <xdr:to>
      <xdr:col>11</xdr:col>
      <xdr:colOff>571500</xdr:colOff>
      <xdr:row>3634</xdr:row>
      <xdr:rowOff>0</xdr:rowOff>
    </xdr:to>
    <xdr:pic>
      <xdr:nvPicPr>
        <xdr:cNvPr id="15317" name="Рисунок 15316">
          <a:extLst>
            <a:ext uri="{FF2B5EF4-FFF2-40B4-BE49-F238E27FC236}">
              <a16:creationId xmlns:a16="http://schemas.microsoft.com/office/drawing/2014/main" id="{FFB42FBA-8410-4D50-9483-4809C1F067C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9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073151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3634</xdr:row>
      <xdr:rowOff>25400</xdr:rowOff>
    </xdr:from>
    <xdr:to>
      <xdr:col>11</xdr:col>
      <xdr:colOff>571500</xdr:colOff>
      <xdr:row>3635</xdr:row>
      <xdr:rowOff>0</xdr:rowOff>
    </xdr:to>
    <xdr:pic>
      <xdr:nvPicPr>
        <xdr:cNvPr id="15319" name="Рисунок 15318">
          <a:extLst>
            <a:ext uri="{FF2B5EF4-FFF2-40B4-BE49-F238E27FC236}">
              <a16:creationId xmlns:a16="http://schemas.microsoft.com/office/drawing/2014/main" id="{BB52B51B-7AE7-4AD1-BA17-78823E7E124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9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073722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3635</xdr:row>
      <xdr:rowOff>25400</xdr:rowOff>
    </xdr:from>
    <xdr:to>
      <xdr:col>11</xdr:col>
      <xdr:colOff>571500</xdr:colOff>
      <xdr:row>3636</xdr:row>
      <xdr:rowOff>0</xdr:rowOff>
    </xdr:to>
    <xdr:pic>
      <xdr:nvPicPr>
        <xdr:cNvPr id="15321" name="Рисунок 15320">
          <a:extLst>
            <a:ext uri="{FF2B5EF4-FFF2-40B4-BE49-F238E27FC236}">
              <a16:creationId xmlns:a16="http://schemas.microsoft.com/office/drawing/2014/main" id="{99FB12A9-B2F9-4928-A4EB-0E90C59F683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9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074294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3636</xdr:row>
      <xdr:rowOff>25400</xdr:rowOff>
    </xdr:from>
    <xdr:to>
      <xdr:col>11</xdr:col>
      <xdr:colOff>571500</xdr:colOff>
      <xdr:row>3637</xdr:row>
      <xdr:rowOff>0</xdr:rowOff>
    </xdr:to>
    <xdr:pic>
      <xdr:nvPicPr>
        <xdr:cNvPr id="15323" name="Рисунок 15322">
          <a:extLst>
            <a:ext uri="{FF2B5EF4-FFF2-40B4-BE49-F238E27FC236}">
              <a16:creationId xmlns:a16="http://schemas.microsoft.com/office/drawing/2014/main" id="{8A18B586-3EA7-4191-84C8-B904C1E41F2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9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074865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3637</xdr:row>
      <xdr:rowOff>25400</xdr:rowOff>
    </xdr:from>
    <xdr:to>
      <xdr:col>11</xdr:col>
      <xdr:colOff>571500</xdr:colOff>
      <xdr:row>3638</xdr:row>
      <xdr:rowOff>0</xdr:rowOff>
    </xdr:to>
    <xdr:pic>
      <xdr:nvPicPr>
        <xdr:cNvPr id="15325" name="Рисунок 15324">
          <a:extLst>
            <a:ext uri="{FF2B5EF4-FFF2-40B4-BE49-F238E27FC236}">
              <a16:creationId xmlns:a16="http://schemas.microsoft.com/office/drawing/2014/main" id="{4A410BE0-5C3D-4A00-9D09-BB1096BC843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9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075437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3638</xdr:row>
      <xdr:rowOff>25400</xdr:rowOff>
    </xdr:from>
    <xdr:to>
      <xdr:col>11</xdr:col>
      <xdr:colOff>571500</xdr:colOff>
      <xdr:row>3639</xdr:row>
      <xdr:rowOff>0</xdr:rowOff>
    </xdr:to>
    <xdr:pic>
      <xdr:nvPicPr>
        <xdr:cNvPr id="15327" name="Рисунок 15326">
          <a:extLst>
            <a:ext uri="{FF2B5EF4-FFF2-40B4-BE49-F238E27FC236}">
              <a16:creationId xmlns:a16="http://schemas.microsoft.com/office/drawing/2014/main" id="{C1609A60-D1D5-4931-81CF-3A2EABD6299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9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076008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3639</xdr:row>
      <xdr:rowOff>25400</xdr:rowOff>
    </xdr:from>
    <xdr:to>
      <xdr:col>11</xdr:col>
      <xdr:colOff>571500</xdr:colOff>
      <xdr:row>3640</xdr:row>
      <xdr:rowOff>0</xdr:rowOff>
    </xdr:to>
    <xdr:pic>
      <xdr:nvPicPr>
        <xdr:cNvPr id="15329" name="Рисунок 15328">
          <a:extLst>
            <a:ext uri="{FF2B5EF4-FFF2-40B4-BE49-F238E27FC236}">
              <a16:creationId xmlns:a16="http://schemas.microsoft.com/office/drawing/2014/main" id="{037FFC16-ACBC-40F1-B15C-C0076419C0D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9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076580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3640</xdr:row>
      <xdr:rowOff>25400</xdr:rowOff>
    </xdr:from>
    <xdr:to>
      <xdr:col>11</xdr:col>
      <xdr:colOff>571500</xdr:colOff>
      <xdr:row>3641</xdr:row>
      <xdr:rowOff>0</xdr:rowOff>
    </xdr:to>
    <xdr:pic>
      <xdr:nvPicPr>
        <xdr:cNvPr id="15331" name="Рисунок 15330">
          <a:extLst>
            <a:ext uri="{FF2B5EF4-FFF2-40B4-BE49-F238E27FC236}">
              <a16:creationId xmlns:a16="http://schemas.microsoft.com/office/drawing/2014/main" id="{FBBE9657-C122-42AF-9AAA-AD90890BD62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59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077151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3641</xdr:row>
      <xdr:rowOff>25400</xdr:rowOff>
    </xdr:from>
    <xdr:to>
      <xdr:col>11</xdr:col>
      <xdr:colOff>571500</xdr:colOff>
      <xdr:row>3642</xdr:row>
      <xdr:rowOff>0</xdr:rowOff>
    </xdr:to>
    <xdr:pic>
      <xdr:nvPicPr>
        <xdr:cNvPr id="15333" name="Рисунок 15332">
          <a:extLst>
            <a:ext uri="{FF2B5EF4-FFF2-40B4-BE49-F238E27FC236}">
              <a16:creationId xmlns:a16="http://schemas.microsoft.com/office/drawing/2014/main" id="{5D1D485C-110C-453F-BC1B-5804FB3C44B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0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077723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3642</xdr:row>
      <xdr:rowOff>25400</xdr:rowOff>
    </xdr:from>
    <xdr:to>
      <xdr:col>11</xdr:col>
      <xdr:colOff>571500</xdr:colOff>
      <xdr:row>3643</xdr:row>
      <xdr:rowOff>0</xdr:rowOff>
    </xdr:to>
    <xdr:pic>
      <xdr:nvPicPr>
        <xdr:cNvPr id="15335" name="Рисунок 15334">
          <a:extLst>
            <a:ext uri="{FF2B5EF4-FFF2-40B4-BE49-F238E27FC236}">
              <a16:creationId xmlns:a16="http://schemas.microsoft.com/office/drawing/2014/main" id="{B8AE250C-294F-46EE-AD79-DCADD3D9509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0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078294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3643</xdr:row>
      <xdr:rowOff>25400</xdr:rowOff>
    </xdr:from>
    <xdr:to>
      <xdr:col>11</xdr:col>
      <xdr:colOff>571500</xdr:colOff>
      <xdr:row>3644</xdr:row>
      <xdr:rowOff>0</xdr:rowOff>
    </xdr:to>
    <xdr:pic>
      <xdr:nvPicPr>
        <xdr:cNvPr id="15337" name="Рисунок 15336">
          <a:extLst>
            <a:ext uri="{FF2B5EF4-FFF2-40B4-BE49-F238E27FC236}">
              <a16:creationId xmlns:a16="http://schemas.microsoft.com/office/drawing/2014/main" id="{3DDFFC2A-848A-4000-B1B5-2A652825C82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0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078866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3644</xdr:row>
      <xdr:rowOff>25400</xdr:rowOff>
    </xdr:from>
    <xdr:to>
      <xdr:col>11</xdr:col>
      <xdr:colOff>571500</xdr:colOff>
      <xdr:row>3645</xdr:row>
      <xdr:rowOff>0</xdr:rowOff>
    </xdr:to>
    <xdr:pic>
      <xdr:nvPicPr>
        <xdr:cNvPr id="15339" name="Рисунок 15338">
          <a:extLst>
            <a:ext uri="{FF2B5EF4-FFF2-40B4-BE49-F238E27FC236}">
              <a16:creationId xmlns:a16="http://schemas.microsoft.com/office/drawing/2014/main" id="{47249E42-FD39-4474-9450-B7F55EB590A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0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079437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3645</xdr:row>
      <xdr:rowOff>25400</xdr:rowOff>
    </xdr:from>
    <xdr:to>
      <xdr:col>11</xdr:col>
      <xdr:colOff>571500</xdr:colOff>
      <xdr:row>3646</xdr:row>
      <xdr:rowOff>0</xdr:rowOff>
    </xdr:to>
    <xdr:pic>
      <xdr:nvPicPr>
        <xdr:cNvPr id="15341" name="Рисунок 15340">
          <a:extLst>
            <a:ext uri="{FF2B5EF4-FFF2-40B4-BE49-F238E27FC236}">
              <a16:creationId xmlns:a16="http://schemas.microsoft.com/office/drawing/2014/main" id="{40776CD9-54DB-4AF6-BB00-17D8AF8507A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0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080009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3646</xdr:row>
      <xdr:rowOff>25400</xdr:rowOff>
    </xdr:from>
    <xdr:to>
      <xdr:col>11</xdr:col>
      <xdr:colOff>571500</xdr:colOff>
      <xdr:row>3647</xdr:row>
      <xdr:rowOff>0</xdr:rowOff>
    </xdr:to>
    <xdr:pic>
      <xdr:nvPicPr>
        <xdr:cNvPr id="15343" name="Рисунок 15342">
          <a:extLst>
            <a:ext uri="{FF2B5EF4-FFF2-40B4-BE49-F238E27FC236}">
              <a16:creationId xmlns:a16="http://schemas.microsoft.com/office/drawing/2014/main" id="{A8952B97-BF52-44F8-8DB0-C695622C2ED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0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080580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3647</xdr:row>
      <xdr:rowOff>25400</xdr:rowOff>
    </xdr:from>
    <xdr:to>
      <xdr:col>11</xdr:col>
      <xdr:colOff>571500</xdr:colOff>
      <xdr:row>3648</xdr:row>
      <xdr:rowOff>0</xdr:rowOff>
    </xdr:to>
    <xdr:pic>
      <xdr:nvPicPr>
        <xdr:cNvPr id="15345" name="Рисунок 15344">
          <a:extLst>
            <a:ext uri="{FF2B5EF4-FFF2-40B4-BE49-F238E27FC236}">
              <a16:creationId xmlns:a16="http://schemas.microsoft.com/office/drawing/2014/main" id="{B32338B8-C7C8-4ECC-BA8D-59F106C3DE5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0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081152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3649</xdr:row>
      <xdr:rowOff>25400</xdr:rowOff>
    </xdr:from>
    <xdr:to>
      <xdr:col>11</xdr:col>
      <xdr:colOff>571500</xdr:colOff>
      <xdr:row>3650</xdr:row>
      <xdr:rowOff>0</xdr:rowOff>
    </xdr:to>
    <xdr:pic>
      <xdr:nvPicPr>
        <xdr:cNvPr id="15347" name="Рисунок 15346">
          <a:extLst>
            <a:ext uri="{FF2B5EF4-FFF2-40B4-BE49-F238E27FC236}">
              <a16:creationId xmlns:a16="http://schemas.microsoft.com/office/drawing/2014/main" id="{18D87B5E-0316-43CB-85F0-C5DA18D2851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0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082295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3650</xdr:row>
      <xdr:rowOff>25400</xdr:rowOff>
    </xdr:from>
    <xdr:to>
      <xdr:col>11</xdr:col>
      <xdr:colOff>571500</xdr:colOff>
      <xdr:row>3651</xdr:row>
      <xdr:rowOff>0</xdr:rowOff>
    </xdr:to>
    <xdr:pic>
      <xdr:nvPicPr>
        <xdr:cNvPr id="15349" name="Рисунок 15348">
          <a:extLst>
            <a:ext uri="{FF2B5EF4-FFF2-40B4-BE49-F238E27FC236}">
              <a16:creationId xmlns:a16="http://schemas.microsoft.com/office/drawing/2014/main" id="{8233BF4A-0F43-4382-8E08-A0A23D64951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0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082866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3651</xdr:row>
      <xdr:rowOff>25400</xdr:rowOff>
    </xdr:from>
    <xdr:to>
      <xdr:col>11</xdr:col>
      <xdr:colOff>571500</xdr:colOff>
      <xdr:row>3652</xdr:row>
      <xdr:rowOff>0</xdr:rowOff>
    </xdr:to>
    <xdr:pic>
      <xdr:nvPicPr>
        <xdr:cNvPr id="15351" name="Рисунок 15350">
          <a:extLst>
            <a:ext uri="{FF2B5EF4-FFF2-40B4-BE49-F238E27FC236}">
              <a16:creationId xmlns:a16="http://schemas.microsoft.com/office/drawing/2014/main" id="{877356A2-BF3B-425B-82CF-D83D58F8502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0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083438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3652</xdr:row>
      <xdr:rowOff>25400</xdr:rowOff>
    </xdr:from>
    <xdr:to>
      <xdr:col>11</xdr:col>
      <xdr:colOff>571500</xdr:colOff>
      <xdr:row>3653</xdr:row>
      <xdr:rowOff>0</xdr:rowOff>
    </xdr:to>
    <xdr:pic>
      <xdr:nvPicPr>
        <xdr:cNvPr id="15353" name="Рисунок 15352">
          <a:extLst>
            <a:ext uri="{FF2B5EF4-FFF2-40B4-BE49-F238E27FC236}">
              <a16:creationId xmlns:a16="http://schemas.microsoft.com/office/drawing/2014/main" id="{0AF3660A-2E3C-46FE-9007-31F42952BFB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084009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3653</xdr:row>
      <xdr:rowOff>25400</xdr:rowOff>
    </xdr:from>
    <xdr:to>
      <xdr:col>11</xdr:col>
      <xdr:colOff>571500</xdr:colOff>
      <xdr:row>3654</xdr:row>
      <xdr:rowOff>0</xdr:rowOff>
    </xdr:to>
    <xdr:pic>
      <xdr:nvPicPr>
        <xdr:cNvPr id="15355" name="Рисунок 15354">
          <a:extLst>
            <a:ext uri="{FF2B5EF4-FFF2-40B4-BE49-F238E27FC236}">
              <a16:creationId xmlns:a16="http://schemas.microsoft.com/office/drawing/2014/main" id="{C167928C-AC4F-47E9-9E78-BE3C79D3860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084581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3654</xdr:row>
      <xdr:rowOff>25400</xdr:rowOff>
    </xdr:from>
    <xdr:to>
      <xdr:col>11</xdr:col>
      <xdr:colOff>571500</xdr:colOff>
      <xdr:row>3655</xdr:row>
      <xdr:rowOff>0</xdr:rowOff>
    </xdr:to>
    <xdr:pic>
      <xdr:nvPicPr>
        <xdr:cNvPr id="15357" name="Рисунок 15356">
          <a:extLst>
            <a:ext uri="{FF2B5EF4-FFF2-40B4-BE49-F238E27FC236}">
              <a16:creationId xmlns:a16="http://schemas.microsoft.com/office/drawing/2014/main" id="{9661E0C5-6594-446B-BF2D-577BDDB9AB6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085152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3655</xdr:row>
      <xdr:rowOff>25400</xdr:rowOff>
    </xdr:from>
    <xdr:to>
      <xdr:col>11</xdr:col>
      <xdr:colOff>571500</xdr:colOff>
      <xdr:row>3656</xdr:row>
      <xdr:rowOff>0</xdr:rowOff>
    </xdr:to>
    <xdr:pic>
      <xdr:nvPicPr>
        <xdr:cNvPr id="15359" name="Рисунок 15358">
          <a:extLst>
            <a:ext uri="{FF2B5EF4-FFF2-40B4-BE49-F238E27FC236}">
              <a16:creationId xmlns:a16="http://schemas.microsoft.com/office/drawing/2014/main" id="{2C026FAD-533E-4FDE-8313-808ABC200D9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085724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3656</xdr:row>
      <xdr:rowOff>25400</xdr:rowOff>
    </xdr:from>
    <xdr:to>
      <xdr:col>11</xdr:col>
      <xdr:colOff>571500</xdr:colOff>
      <xdr:row>3657</xdr:row>
      <xdr:rowOff>0</xdr:rowOff>
    </xdr:to>
    <xdr:pic>
      <xdr:nvPicPr>
        <xdr:cNvPr id="15361" name="Рисунок 15360">
          <a:extLst>
            <a:ext uri="{FF2B5EF4-FFF2-40B4-BE49-F238E27FC236}">
              <a16:creationId xmlns:a16="http://schemas.microsoft.com/office/drawing/2014/main" id="{09B77CF3-618B-4E3F-A761-CE2C7F09A8C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086295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3657</xdr:row>
      <xdr:rowOff>25400</xdr:rowOff>
    </xdr:from>
    <xdr:to>
      <xdr:col>11</xdr:col>
      <xdr:colOff>571500</xdr:colOff>
      <xdr:row>3658</xdr:row>
      <xdr:rowOff>0</xdr:rowOff>
    </xdr:to>
    <xdr:pic>
      <xdr:nvPicPr>
        <xdr:cNvPr id="15363" name="Рисунок 15362">
          <a:extLst>
            <a:ext uri="{FF2B5EF4-FFF2-40B4-BE49-F238E27FC236}">
              <a16:creationId xmlns:a16="http://schemas.microsoft.com/office/drawing/2014/main" id="{E1ED37AF-04D4-4E6E-AB43-F0134082C6F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086867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3658</xdr:row>
      <xdr:rowOff>25400</xdr:rowOff>
    </xdr:from>
    <xdr:to>
      <xdr:col>11</xdr:col>
      <xdr:colOff>571500</xdr:colOff>
      <xdr:row>3659</xdr:row>
      <xdr:rowOff>0</xdr:rowOff>
    </xdr:to>
    <xdr:pic>
      <xdr:nvPicPr>
        <xdr:cNvPr id="15365" name="Рисунок 15364">
          <a:extLst>
            <a:ext uri="{FF2B5EF4-FFF2-40B4-BE49-F238E27FC236}">
              <a16:creationId xmlns:a16="http://schemas.microsoft.com/office/drawing/2014/main" id="{797408DA-2A34-44E6-BB11-937D63BAF57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087438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3659</xdr:row>
      <xdr:rowOff>25400</xdr:rowOff>
    </xdr:from>
    <xdr:to>
      <xdr:col>11</xdr:col>
      <xdr:colOff>571500</xdr:colOff>
      <xdr:row>3660</xdr:row>
      <xdr:rowOff>0</xdr:rowOff>
    </xdr:to>
    <xdr:pic>
      <xdr:nvPicPr>
        <xdr:cNvPr id="15367" name="Рисунок 15366">
          <a:extLst>
            <a:ext uri="{FF2B5EF4-FFF2-40B4-BE49-F238E27FC236}">
              <a16:creationId xmlns:a16="http://schemas.microsoft.com/office/drawing/2014/main" id="{1BDE9106-8A41-44E4-A715-FDDE4A9F220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088010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3660</xdr:row>
      <xdr:rowOff>25400</xdr:rowOff>
    </xdr:from>
    <xdr:to>
      <xdr:col>11</xdr:col>
      <xdr:colOff>571500</xdr:colOff>
      <xdr:row>3661</xdr:row>
      <xdr:rowOff>0</xdr:rowOff>
    </xdr:to>
    <xdr:pic>
      <xdr:nvPicPr>
        <xdr:cNvPr id="15369" name="Рисунок 15368">
          <a:extLst>
            <a:ext uri="{FF2B5EF4-FFF2-40B4-BE49-F238E27FC236}">
              <a16:creationId xmlns:a16="http://schemas.microsoft.com/office/drawing/2014/main" id="{70D7F709-6022-424B-9DFE-8F9E3276E21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088581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3661</xdr:row>
      <xdr:rowOff>25400</xdr:rowOff>
    </xdr:from>
    <xdr:to>
      <xdr:col>11</xdr:col>
      <xdr:colOff>571500</xdr:colOff>
      <xdr:row>3662</xdr:row>
      <xdr:rowOff>0</xdr:rowOff>
    </xdr:to>
    <xdr:pic>
      <xdr:nvPicPr>
        <xdr:cNvPr id="15371" name="Рисунок 15370">
          <a:extLst>
            <a:ext uri="{FF2B5EF4-FFF2-40B4-BE49-F238E27FC236}">
              <a16:creationId xmlns:a16="http://schemas.microsoft.com/office/drawing/2014/main" id="{2ED2831A-0AA8-4100-8E0D-8F798BDD0E7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089153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3662</xdr:row>
      <xdr:rowOff>25400</xdr:rowOff>
    </xdr:from>
    <xdr:to>
      <xdr:col>11</xdr:col>
      <xdr:colOff>571500</xdr:colOff>
      <xdr:row>3663</xdr:row>
      <xdr:rowOff>0</xdr:rowOff>
    </xdr:to>
    <xdr:pic>
      <xdr:nvPicPr>
        <xdr:cNvPr id="15373" name="Рисунок 15372">
          <a:extLst>
            <a:ext uri="{FF2B5EF4-FFF2-40B4-BE49-F238E27FC236}">
              <a16:creationId xmlns:a16="http://schemas.microsoft.com/office/drawing/2014/main" id="{D738E7C6-B237-4239-B9AC-AD1C6F2D13B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089724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3663</xdr:row>
      <xdr:rowOff>25400</xdr:rowOff>
    </xdr:from>
    <xdr:to>
      <xdr:col>11</xdr:col>
      <xdr:colOff>571500</xdr:colOff>
      <xdr:row>3664</xdr:row>
      <xdr:rowOff>0</xdr:rowOff>
    </xdr:to>
    <xdr:pic>
      <xdr:nvPicPr>
        <xdr:cNvPr id="15375" name="Рисунок 15374">
          <a:extLst>
            <a:ext uri="{FF2B5EF4-FFF2-40B4-BE49-F238E27FC236}">
              <a16:creationId xmlns:a16="http://schemas.microsoft.com/office/drawing/2014/main" id="{0F97649F-49CE-4899-AC49-C75C27051DC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090296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3664</xdr:row>
      <xdr:rowOff>25400</xdr:rowOff>
    </xdr:from>
    <xdr:to>
      <xdr:col>11</xdr:col>
      <xdr:colOff>571500</xdr:colOff>
      <xdr:row>3665</xdr:row>
      <xdr:rowOff>0</xdr:rowOff>
    </xdr:to>
    <xdr:pic>
      <xdr:nvPicPr>
        <xdr:cNvPr id="15377" name="Рисунок 15376">
          <a:extLst>
            <a:ext uri="{FF2B5EF4-FFF2-40B4-BE49-F238E27FC236}">
              <a16:creationId xmlns:a16="http://schemas.microsoft.com/office/drawing/2014/main" id="{F1337BA4-7135-4836-B187-6A8FC22BC13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090867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3665</xdr:row>
      <xdr:rowOff>25400</xdr:rowOff>
    </xdr:from>
    <xdr:to>
      <xdr:col>11</xdr:col>
      <xdr:colOff>571500</xdr:colOff>
      <xdr:row>3666</xdr:row>
      <xdr:rowOff>0</xdr:rowOff>
    </xdr:to>
    <xdr:pic>
      <xdr:nvPicPr>
        <xdr:cNvPr id="15379" name="Рисунок 15378">
          <a:extLst>
            <a:ext uri="{FF2B5EF4-FFF2-40B4-BE49-F238E27FC236}">
              <a16:creationId xmlns:a16="http://schemas.microsoft.com/office/drawing/2014/main" id="{53FB9525-1203-4872-8621-752BC7CAE77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091439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3666</xdr:row>
      <xdr:rowOff>25400</xdr:rowOff>
    </xdr:from>
    <xdr:to>
      <xdr:col>11</xdr:col>
      <xdr:colOff>571500</xdr:colOff>
      <xdr:row>3667</xdr:row>
      <xdr:rowOff>0</xdr:rowOff>
    </xdr:to>
    <xdr:pic>
      <xdr:nvPicPr>
        <xdr:cNvPr id="15381" name="Рисунок 15380">
          <a:extLst>
            <a:ext uri="{FF2B5EF4-FFF2-40B4-BE49-F238E27FC236}">
              <a16:creationId xmlns:a16="http://schemas.microsoft.com/office/drawing/2014/main" id="{A834F69E-63D6-46ED-BF0E-86C497E5708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092010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3667</xdr:row>
      <xdr:rowOff>25400</xdr:rowOff>
    </xdr:from>
    <xdr:to>
      <xdr:col>11</xdr:col>
      <xdr:colOff>571500</xdr:colOff>
      <xdr:row>3668</xdr:row>
      <xdr:rowOff>0</xdr:rowOff>
    </xdr:to>
    <xdr:pic>
      <xdr:nvPicPr>
        <xdr:cNvPr id="15383" name="Рисунок 15382">
          <a:extLst>
            <a:ext uri="{FF2B5EF4-FFF2-40B4-BE49-F238E27FC236}">
              <a16:creationId xmlns:a16="http://schemas.microsoft.com/office/drawing/2014/main" id="{9624ACAB-BECF-4126-8A5D-388D29C790C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092582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3668</xdr:row>
      <xdr:rowOff>25400</xdr:rowOff>
    </xdr:from>
    <xdr:to>
      <xdr:col>11</xdr:col>
      <xdr:colOff>571500</xdr:colOff>
      <xdr:row>3669</xdr:row>
      <xdr:rowOff>0</xdr:rowOff>
    </xdr:to>
    <xdr:pic>
      <xdr:nvPicPr>
        <xdr:cNvPr id="15385" name="Рисунок 15384">
          <a:extLst>
            <a:ext uri="{FF2B5EF4-FFF2-40B4-BE49-F238E27FC236}">
              <a16:creationId xmlns:a16="http://schemas.microsoft.com/office/drawing/2014/main" id="{21F5223C-3050-4B15-9C68-11DEE709015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093153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3669</xdr:row>
      <xdr:rowOff>25400</xdr:rowOff>
    </xdr:from>
    <xdr:to>
      <xdr:col>11</xdr:col>
      <xdr:colOff>571500</xdr:colOff>
      <xdr:row>3670</xdr:row>
      <xdr:rowOff>0</xdr:rowOff>
    </xdr:to>
    <xdr:pic>
      <xdr:nvPicPr>
        <xdr:cNvPr id="15387" name="Рисунок 15386">
          <a:extLst>
            <a:ext uri="{FF2B5EF4-FFF2-40B4-BE49-F238E27FC236}">
              <a16:creationId xmlns:a16="http://schemas.microsoft.com/office/drawing/2014/main" id="{2A9A66B5-7397-41A7-B398-635AAB333FE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093725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3670</xdr:row>
      <xdr:rowOff>25400</xdr:rowOff>
    </xdr:from>
    <xdr:to>
      <xdr:col>11</xdr:col>
      <xdr:colOff>571500</xdr:colOff>
      <xdr:row>3671</xdr:row>
      <xdr:rowOff>0</xdr:rowOff>
    </xdr:to>
    <xdr:pic>
      <xdr:nvPicPr>
        <xdr:cNvPr id="15389" name="Рисунок 15388">
          <a:extLst>
            <a:ext uri="{FF2B5EF4-FFF2-40B4-BE49-F238E27FC236}">
              <a16:creationId xmlns:a16="http://schemas.microsoft.com/office/drawing/2014/main" id="{3CFAFEA6-572F-44C5-8456-A5D639F1EF0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094296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3671</xdr:row>
      <xdr:rowOff>25400</xdr:rowOff>
    </xdr:from>
    <xdr:to>
      <xdr:col>11</xdr:col>
      <xdr:colOff>571500</xdr:colOff>
      <xdr:row>3672</xdr:row>
      <xdr:rowOff>0</xdr:rowOff>
    </xdr:to>
    <xdr:pic>
      <xdr:nvPicPr>
        <xdr:cNvPr id="15391" name="Рисунок 15390">
          <a:extLst>
            <a:ext uri="{FF2B5EF4-FFF2-40B4-BE49-F238E27FC236}">
              <a16:creationId xmlns:a16="http://schemas.microsoft.com/office/drawing/2014/main" id="{56C9FF31-2BB0-4EA8-A064-A739750EADD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094868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3672</xdr:row>
      <xdr:rowOff>25400</xdr:rowOff>
    </xdr:from>
    <xdr:to>
      <xdr:col>11</xdr:col>
      <xdr:colOff>571500</xdr:colOff>
      <xdr:row>3673</xdr:row>
      <xdr:rowOff>0</xdr:rowOff>
    </xdr:to>
    <xdr:pic>
      <xdr:nvPicPr>
        <xdr:cNvPr id="15393" name="Рисунок 15392">
          <a:extLst>
            <a:ext uri="{FF2B5EF4-FFF2-40B4-BE49-F238E27FC236}">
              <a16:creationId xmlns:a16="http://schemas.microsoft.com/office/drawing/2014/main" id="{B1BCC6B9-2342-44F1-8A91-DAF04CDC814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095439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3673</xdr:row>
      <xdr:rowOff>25400</xdr:rowOff>
    </xdr:from>
    <xdr:to>
      <xdr:col>11</xdr:col>
      <xdr:colOff>571500</xdr:colOff>
      <xdr:row>3674</xdr:row>
      <xdr:rowOff>0</xdr:rowOff>
    </xdr:to>
    <xdr:pic>
      <xdr:nvPicPr>
        <xdr:cNvPr id="15395" name="Рисунок 15394">
          <a:extLst>
            <a:ext uri="{FF2B5EF4-FFF2-40B4-BE49-F238E27FC236}">
              <a16:creationId xmlns:a16="http://schemas.microsoft.com/office/drawing/2014/main" id="{6ED19805-CB84-4EBB-86B1-7F65BDF35F0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3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096011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3674</xdr:row>
      <xdr:rowOff>25400</xdr:rowOff>
    </xdr:from>
    <xdr:to>
      <xdr:col>11</xdr:col>
      <xdr:colOff>571500</xdr:colOff>
      <xdr:row>3675</xdr:row>
      <xdr:rowOff>0</xdr:rowOff>
    </xdr:to>
    <xdr:pic>
      <xdr:nvPicPr>
        <xdr:cNvPr id="15397" name="Рисунок 15396">
          <a:extLst>
            <a:ext uri="{FF2B5EF4-FFF2-40B4-BE49-F238E27FC236}">
              <a16:creationId xmlns:a16="http://schemas.microsoft.com/office/drawing/2014/main" id="{557DE824-25D4-4FC4-A0EC-77A402CF732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3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096582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3675</xdr:row>
      <xdr:rowOff>25400</xdr:rowOff>
    </xdr:from>
    <xdr:to>
      <xdr:col>11</xdr:col>
      <xdr:colOff>571500</xdr:colOff>
      <xdr:row>3676</xdr:row>
      <xdr:rowOff>0</xdr:rowOff>
    </xdr:to>
    <xdr:pic>
      <xdr:nvPicPr>
        <xdr:cNvPr id="15399" name="Рисунок 15398">
          <a:extLst>
            <a:ext uri="{FF2B5EF4-FFF2-40B4-BE49-F238E27FC236}">
              <a16:creationId xmlns:a16="http://schemas.microsoft.com/office/drawing/2014/main" id="{BCAEBF3B-5D30-4278-B845-EAE8B62763A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3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097154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3676</xdr:row>
      <xdr:rowOff>25400</xdr:rowOff>
    </xdr:from>
    <xdr:to>
      <xdr:col>11</xdr:col>
      <xdr:colOff>571500</xdr:colOff>
      <xdr:row>3677</xdr:row>
      <xdr:rowOff>0</xdr:rowOff>
    </xdr:to>
    <xdr:pic>
      <xdr:nvPicPr>
        <xdr:cNvPr id="15401" name="Рисунок 15400">
          <a:extLst>
            <a:ext uri="{FF2B5EF4-FFF2-40B4-BE49-F238E27FC236}">
              <a16:creationId xmlns:a16="http://schemas.microsoft.com/office/drawing/2014/main" id="{6B1412AC-64AF-4062-BB6C-6EB13243535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3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097725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3677</xdr:row>
      <xdr:rowOff>25400</xdr:rowOff>
    </xdr:from>
    <xdr:to>
      <xdr:col>11</xdr:col>
      <xdr:colOff>571500</xdr:colOff>
      <xdr:row>3678</xdr:row>
      <xdr:rowOff>0</xdr:rowOff>
    </xdr:to>
    <xdr:pic>
      <xdr:nvPicPr>
        <xdr:cNvPr id="15403" name="Рисунок 15402">
          <a:extLst>
            <a:ext uri="{FF2B5EF4-FFF2-40B4-BE49-F238E27FC236}">
              <a16:creationId xmlns:a16="http://schemas.microsoft.com/office/drawing/2014/main" id="{24AD7017-73DD-4BAD-8B1E-6D65567705B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3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098297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3678</xdr:row>
      <xdr:rowOff>25400</xdr:rowOff>
    </xdr:from>
    <xdr:to>
      <xdr:col>11</xdr:col>
      <xdr:colOff>571500</xdr:colOff>
      <xdr:row>3679</xdr:row>
      <xdr:rowOff>0</xdr:rowOff>
    </xdr:to>
    <xdr:pic>
      <xdr:nvPicPr>
        <xdr:cNvPr id="15405" name="Рисунок 15404">
          <a:extLst>
            <a:ext uri="{FF2B5EF4-FFF2-40B4-BE49-F238E27FC236}">
              <a16:creationId xmlns:a16="http://schemas.microsoft.com/office/drawing/2014/main" id="{56977A8D-4835-4EAA-BA7B-C5B68F9295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3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098868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3679</xdr:row>
      <xdr:rowOff>25400</xdr:rowOff>
    </xdr:from>
    <xdr:to>
      <xdr:col>11</xdr:col>
      <xdr:colOff>571500</xdr:colOff>
      <xdr:row>3680</xdr:row>
      <xdr:rowOff>0</xdr:rowOff>
    </xdr:to>
    <xdr:pic>
      <xdr:nvPicPr>
        <xdr:cNvPr id="15407" name="Рисунок 15406">
          <a:extLst>
            <a:ext uri="{FF2B5EF4-FFF2-40B4-BE49-F238E27FC236}">
              <a16:creationId xmlns:a16="http://schemas.microsoft.com/office/drawing/2014/main" id="{89F2C1A4-BB83-4F1B-B114-6BF7AFEBC4E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3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099440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3680</xdr:row>
      <xdr:rowOff>25400</xdr:rowOff>
    </xdr:from>
    <xdr:to>
      <xdr:col>11</xdr:col>
      <xdr:colOff>571500</xdr:colOff>
      <xdr:row>3681</xdr:row>
      <xdr:rowOff>0</xdr:rowOff>
    </xdr:to>
    <xdr:pic>
      <xdr:nvPicPr>
        <xdr:cNvPr id="15409" name="Рисунок 15408">
          <a:extLst>
            <a:ext uri="{FF2B5EF4-FFF2-40B4-BE49-F238E27FC236}">
              <a16:creationId xmlns:a16="http://schemas.microsoft.com/office/drawing/2014/main" id="{68265865-6E94-4165-B908-8808D4AA571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3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100011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3681</xdr:row>
      <xdr:rowOff>25400</xdr:rowOff>
    </xdr:from>
    <xdr:to>
      <xdr:col>11</xdr:col>
      <xdr:colOff>571500</xdr:colOff>
      <xdr:row>3682</xdr:row>
      <xdr:rowOff>0</xdr:rowOff>
    </xdr:to>
    <xdr:pic>
      <xdr:nvPicPr>
        <xdr:cNvPr id="15411" name="Рисунок 15410">
          <a:extLst>
            <a:ext uri="{FF2B5EF4-FFF2-40B4-BE49-F238E27FC236}">
              <a16:creationId xmlns:a16="http://schemas.microsoft.com/office/drawing/2014/main" id="{BD8E78D3-7F4E-466C-A1C4-27D19865EA8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3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100583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3682</xdr:row>
      <xdr:rowOff>25400</xdr:rowOff>
    </xdr:from>
    <xdr:to>
      <xdr:col>11</xdr:col>
      <xdr:colOff>571500</xdr:colOff>
      <xdr:row>3683</xdr:row>
      <xdr:rowOff>0</xdr:rowOff>
    </xdr:to>
    <xdr:pic>
      <xdr:nvPicPr>
        <xdr:cNvPr id="15413" name="Рисунок 15412">
          <a:extLst>
            <a:ext uri="{FF2B5EF4-FFF2-40B4-BE49-F238E27FC236}">
              <a16:creationId xmlns:a16="http://schemas.microsoft.com/office/drawing/2014/main" id="{DC10877F-D296-4BB0-B639-135BB739501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4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101154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3683</xdr:row>
      <xdr:rowOff>25400</xdr:rowOff>
    </xdr:from>
    <xdr:to>
      <xdr:col>11</xdr:col>
      <xdr:colOff>571500</xdr:colOff>
      <xdr:row>3684</xdr:row>
      <xdr:rowOff>0</xdr:rowOff>
    </xdr:to>
    <xdr:pic>
      <xdr:nvPicPr>
        <xdr:cNvPr id="15415" name="Рисунок 15414">
          <a:extLst>
            <a:ext uri="{FF2B5EF4-FFF2-40B4-BE49-F238E27FC236}">
              <a16:creationId xmlns:a16="http://schemas.microsoft.com/office/drawing/2014/main" id="{B40460B0-5171-4998-964F-31500559CA2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4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101726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3684</xdr:row>
      <xdr:rowOff>25400</xdr:rowOff>
    </xdr:from>
    <xdr:to>
      <xdr:col>11</xdr:col>
      <xdr:colOff>571500</xdr:colOff>
      <xdr:row>3685</xdr:row>
      <xdr:rowOff>0</xdr:rowOff>
    </xdr:to>
    <xdr:pic>
      <xdr:nvPicPr>
        <xdr:cNvPr id="15417" name="Рисунок 15416">
          <a:extLst>
            <a:ext uri="{FF2B5EF4-FFF2-40B4-BE49-F238E27FC236}">
              <a16:creationId xmlns:a16="http://schemas.microsoft.com/office/drawing/2014/main" id="{8EED2685-4005-490C-825F-00BF6D14597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102297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3685</xdr:row>
      <xdr:rowOff>25400</xdr:rowOff>
    </xdr:from>
    <xdr:to>
      <xdr:col>11</xdr:col>
      <xdr:colOff>571500</xdr:colOff>
      <xdr:row>3686</xdr:row>
      <xdr:rowOff>0</xdr:rowOff>
    </xdr:to>
    <xdr:pic>
      <xdr:nvPicPr>
        <xdr:cNvPr id="15419" name="Рисунок 15418">
          <a:extLst>
            <a:ext uri="{FF2B5EF4-FFF2-40B4-BE49-F238E27FC236}">
              <a16:creationId xmlns:a16="http://schemas.microsoft.com/office/drawing/2014/main" id="{3F1CE7A0-FD1F-4A0D-B167-B4FE9BD215F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102869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3686</xdr:row>
      <xdr:rowOff>25400</xdr:rowOff>
    </xdr:from>
    <xdr:to>
      <xdr:col>11</xdr:col>
      <xdr:colOff>571500</xdr:colOff>
      <xdr:row>3687</xdr:row>
      <xdr:rowOff>0</xdr:rowOff>
    </xdr:to>
    <xdr:pic>
      <xdr:nvPicPr>
        <xdr:cNvPr id="15421" name="Рисунок 15420">
          <a:extLst>
            <a:ext uri="{FF2B5EF4-FFF2-40B4-BE49-F238E27FC236}">
              <a16:creationId xmlns:a16="http://schemas.microsoft.com/office/drawing/2014/main" id="{785EBE13-8E2C-4576-8742-73D951D73AA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103440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3687</xdr:row>
      <xdr:rowOff>25400</xdr:rowOff>
    </xdr:from>
    <xdr:to>
      <xdr:col>11</xdr:col>
      <xdr:colOff>571500</xdr:colOff>
      <xdr:row>3688</xdr:row>
      <xdr:rowOff>0</xdr:rowOff>
    </xdr:to>
    <xdr:pic>
      <xdr:nvPicPr>
        <xdr:cNvPr id="15423" name="Рисунок 15422">
          <a:extLst>
            <a:ext uri="{FF2B5EF4-FFF2-40B4-BE49-F238E27FC236}">
              <a16:creationId xmlns:a16="http://schemas.microsoft.com/office/drawing/2014/main" id="{77D0032C-DFD3-46FB-BC36-1AE2B904610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4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104012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3688</xdr:row>
      <xdr:rowOff>25400</xdr:rowOff>
    </xdr:from>
    <xdr:to>
      <xdr:col>11</xdr:col>
      <xdr:colOff>571500</xdr:colOff>
      <xdr:row>3689</xdr:row>
      <xdr:rowOff>0</xdr:rowOff>
    </xdr:to>
    <xdr:pic>
      <xdr:nvPicPr>
        <xdr:cNvPr id="15425" name="Рисунок 15424">
          <a:extLst>
            <a:ext uri="{FF2B5EF4-FFF2-40B4-BE49-F238E27FC236}">
              <a16:creationId xmlns:a16="http://schemas.microsoft.com/office/drawing/2014/main" id="{746D06DE-635F-4AEA-938F-E199819546A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4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104583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3689</xdr:row>
      <xdr:rowOff>25400</xdr:rowOff>
    </xdr:from>
    <xdr:to>
      <xdr:col>11</xdr:col>
      <xdr:colOff>571500</xdr:colOff>
      <xdr:row>3690</xdr:row>
      <xdr:rowOff>0</xdr:rowOff>
    </xdr:to>
    <xdr:pic>
      <xdr:nvPicPr>
        <xdr:cNvPr id="15427" name="Рисунок 15426">
          <a:extLst>
            <a:ext uri="{FF2B5EF4-FFF2-40B4-BE49-F238E27FC236}">
              <a16:creationId xmlns:a16="http://schemas.microsoft.com/office/drawing/2014/main" id="{EDE10DF6-7521-4610-BDFA-C77A4D5CFA2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4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105155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3690</xdr:row>
      <xdr:rowOff>25400</xdr:rowOff>
    </xdr:from>
    <xdr:to>
      <xdr:col>11</xdr:col>
      <xdr:colOff>571500</xdr:colOff>
      <xdr:row>3691</xdr:row>
      <xdr:rowOff>0</xdr:rowOff>
    </xdr:to>
    <xdr:pic>
      <xdr:nvPicPr>
        <xdr:cNvPr id="15429" name="Рисунок 15428">
          <a:extLst>
            <a:ext uri="{FF2B5EF4-FFF2-40B4-BE49-F238E27FC236}">
              <a16:creationId xmlns:a16="http://schemas.microsoft.com/office/drawing/2014/main" id="{508BA88B-7A40-4D27-8C23-7EAB88C8838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4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105726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3691</xdr:row>
      <xdr:rowOff>25400</xdr:rowOff>
    </xdr:from>
    <xdr:to>
      <xdr:col>11</xdr:col>
      <xdr:colOff>571500</xdr:colOff>
      <xdr:row>3692</xdr:row>
      <xdr:rowOff>0</xdr:rowOff>
    </xdr:to>
    <xdr:pic>
      <xdr:nvPicPr>
        <xdr:cNvPr id="15431" name="Рисунок 15430">
          <a:extLst>
            <a:ext uri="{FF2B5EF4-FFF2-40B4-BE49-F238E27FC236}">
              <a16:creationId xmlns:a16="http://schemas.microsoft.com/office/drawing/2014/main" id="{6366C853-D327-4441-833A-BC367FAA130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4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106298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3692</xdr:row>
      <xdr:rowOff>25400</xdr:rowOff>
    </xdr:from>
    <xdr:to>
      <xdr:col>11</xdr:col>
      <xdr:colOff>571500</xdr:colOff>
      <xdr:row>3693</xdr:row>
      <xdr:rowOff>0</xdr:rowOff>
    </xdr:to>
    <xdr:pic>
      <xdr:nvPicPr>
        <xdr:cNvPr id="15433" name="Рисунок 15432">
          <a:extLst>
            <a:ext uri="{FF2B5EF4-FFF2-40B4-BE49-F238E27FC236}">
              <a16:creationId xmlns:a16="http://schemas.microsoft.com/office/drawing/2014/main" id="{1537D7B4-19DF-4F04-A4DB-A6DECD65432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5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106869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3693</xdr:row>
      <xdr:rowOff>25400</xdr:rowOff>
    </xdr:from>
    <xdr:to>
      <xdr:col>11</xdr:col>
      <xdr:colOff>571500</xdr:colOff>
      <xdr:row>3694</xdr:row>
      <xdr:rowOff>0</xdr:rowOff>
    </xdr:to>
    <xdr:pic>
      <xdr:nvPicPr>
        <xdr:cNvPr id="15435" name="Рисунок 15434">
          <a:extLst>
            <a:ext uri="{FF2B5EF4-FFF2-40B4-BE49-F238E27FC236}">
              <a16:creationId xmlns:a16="http://schemas.microsoft.com/office/drawing/2014/main" id="{73D80D54-98AC-4CA8-857A-C902EA548D5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5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107441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3694</xdr:row>
      <xdr:rowOff>25400</xdr:rowOff>
    </xdr:from>
    <xdr:to>
      <xdr:col>11</xdr:col>
      <xdr:colOff>571500</xdr:colOff>
      <xdr:row>3695</xdr:row>
      <xdr:rowOff>0</xdr:rowOff>
    </xdr:to>
    <xdr:pic>
      <xdr:nvPicPr>
        <xdr:cNvPr id="15437" name="Рисунок 15436">
          <a:extLst>
            <a:ext uri="{FF2B5EF4-FFF2-40B4-BE49-F238E27FC236}">
              <a16:creationId xmlns:a16="http://schemas.microsoft.com/office/drawing/2014/main" id="{E168A6C8-B628-46F9-8344-FA5A0477B0A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108012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3695</xdr:row>
      <xdr:rowOff>25400</xdr:rowOff>
    </xdr:from>
    <xdr:to>
      <xdr:col>11</xdr:col>
      <xdr:colOff>571500</xdr:colOff>
      <xdr:row>3696</xdr:row>
      <xdr:rowOff>0</xdr:rowOff>
    </xdr:to>
    <xdr:pic>
      <xdr:nvPicPr>
        <xdr:cNvPr id="15439" name="Рисунок 15438">
          <a:extLst>
            <a:ext uri="{FF2B5EF4-FFF2-40B4-BE49-F238E27FC236}">
              <a16:creationId xmlns:a16="http://schemas.microsoft.com/office/drawing/2014/main" id="{25D4BE9E-84FB-4127-AFE9-8ECE9B25026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5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108584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3696</xdr:row>
      <xdr:rowOff>25400</xdr:rowOff>
    </xdr:from>
    <xdr:to>
      <xdr:col>11</xdr:col>
      <xdr:colOff>571500</xdr:colOff>
      <xdr:row>3697</xdr:row>
      <xdr:rowOff>0</xdr:rowOff>
    </xdr:to>
    <xdr:pic>
      <xdr:nvPicPr>
        <xdr:cNvPr id="15441" name="Рисунок 15440">
          <a:extLst>
            <a:ext uri="{FF2B5EF4-FFF2-40B4-BE49-F238E27FC236}">
              <a16:creationId xmlns:a16="http://schemas.microsoft.com/office/drawing/2014/main" id="{A18B84B8-B20D-4E0E-AC5B-461AB85D867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5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109155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3697</xdr:row>
      <xdr:rowOff>25400</xdr:rowOff>
    </xdr:from>
    <xdr:to>
      <xdr:col>11</xdr:col>
      <xdr:colOff>571500</xdr:colOff>
      <xdr:row>3698</xdr:row>
      <xdr:rowOff>0</xdr:rowOff>
    </xdr:to>
    <xdr:pic>
      <xdr:nvPicPr>
        <xdr:cNvPr id="15443" name="Рисунок 15442">
          <a:extLst>
            <a:ext uri="{FF2B5EF4-FFF2-40B4-BE49-F238E27FC236}">
              <a16:creationId xmlns:a16="http://schemas.microsoft.com/office/drawing/2014/main" id="{AAB0B0F1-BBB1-4F22-A097-76535C28D4D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5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109727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3698</xdr:row>
      <xdr:rowOff>25400</xdr:rowOff>
    </xdr:from>
    <xdr:to>
      <xdr:col>11</xdr:col>
      <xdr:colOff>571500</xdr:colOff>
      <xdr:row>3699</xdr:row>
      <xdr:rowOff>0</xdr:rowOff>
    </xdr:to>
    <xdr:pic>
      <xdr:nvPicPr>
        <xdr:cNvPr id="15445" name="Рисунок 15444">
          <a:extLst>
            <a:ext uri="{FF2B5EF4-FFF2-40B4-BE49-F238E27FC236}">
              <a16:creationId xmlns:a16="http://schemas.microsoft.com/office/drawing/2014/main" id="{797F3C30-933B-4090-ADF0-0A9525712CF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5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110298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3699</xdr:row>
      <xdr:rowOff>25400</xdr:rowOff>
    </xdr:from>
    <xdr:to>
      <xdr:col>11</xdr:col>
      <xdr:colOff>571500</xdr:colOff>
      <xdr:row>3700</xdr:row>
      <xdr:rowOff>0</xdr:rowOff>
    </xdr:to>
    <xdr:pic>
      <xdr:nvPicPr>
        <xdr:cNvPr id="15447" name="Рисунок 15446">
          <a:extLst>
            <a:ext uri="{FF2B5EF4-FFF2-40B4-BE49-F238E27FC236}">
              <a16:creationId xmlns:a16="http://schemas.microsoft.com/office/drawing/2014/main" id="{3F9C9096-1D86-4008-8B34-507BF3918BC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5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110870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3700</xdr:row>
      <xdr:rowOff>25400</xdr:rowOff>
    </xdr:from>
    <xdr:to>
      <xdr:col>11</xdr:col>
      <xdr:colOff>571500</xdr:colOff>
      <xdr:row>3701</xdr:row>
      <xdr:rowOff>0</xdr:rowOff>
    </xdr:to>
    <xdr:pic>
      <xdr:nvPicPr>
        <xdr:cNvPr id="15449" name="Рисунок 15448">
          <a:extLst>
            <a:ext uri="{FF2B5EF4-FFF2-40B4-BE49-F238E27FC236}">
              <a16:creationId xmlns:a16="http://schemas.microsoft.com/office/drawing/2014/main" id="{D42EDFF8-FE35-4715-A9DB-5BD64D01510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5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111441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3701</xdr:row>
      <xdr:rowOff>25400</xdr:rowOff>
    </xdr:from>
    <xdr:to>
      <xdr:col>11</xdr:col>
      <xdr:colOff>571500</xdr:colOff>
      <xdr:row>3702</xdr:row>
      <xdr:rowOff>0</xdr:rowOff>
    </xdr:to>
    <xdr:pic>
      <xdr:nvPicPr>
        <xdr:cNvPr id="15451" name="Рисунок 15450">
          <a:extLst>
            <a:ext uri="{FF2B5EF4-FFF2-40B4-BE49-F238E27FC236}">
              <a16:creationId xmlns:a16="http://schemas.microsoft.com/office/drawing/2014/main" id="{FC8B26CF-1E5F-4CC4-9FDD-28A831E01BC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5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112013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3702</xdr:row>
      <xdr:rowOff>25400</xdr:rowOff>
    </xdr:from>
    <xdr:to>
      <xdr:col>11</xdr:col>
      <xdr:colOff>571500</xdr:colOff>
      <xdr:row>3703</xdr:row>
      <xdr:rowOff>0</xdr:rowOff>
    </xdr:to>
    <xdr:pic>
      <xdr:nvPicPr>
        <xdr:cNvPr id="15453" name="Рисунок 15452">
          <a:extLst>
            <a:ext uri="{FF2B5EF4-FFF2-40B4-BE49-F238E27FC236}">
              <a16:creationId xmlns:a16="http://schemas.microsoft.com/office/drawing/2014/main" id="{6BF63893-BB23-4C21-B6AC-A53B2896CFF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6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112584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3703</xdr:row>
      <xdr:rowOff>25400</xdr:rowOff>
    </xdr:from>
    <xdr:to>
      <xdr:col>11</xdr:col>
      <xdr:colOff>571500</xdr:colOff>
      <xdr:row>3704</xdr:row>
      <xdr:rowOff>0</xdr:rowOff>
    </xdr:to>
    <xdr:pic>
      <xdr:nvPicPr>
        <xdr:cNvPr id="15455" name="Рисунок 15454">
          <a:extLst>
            <a:ext uri="{FF2B5EF4-FFF2-40B4-BE49-F238E27FC236}">
              <a16:creationId xmlns:a16="http://schemas.microsoft.com/office/drawing/2014/main" id="{41193E5A-C33E-41A4-A8E1-FB8B7FD5BE6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6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113156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3704</xdr:row>
      <xdr:rowOff>25400</xdr:rowOff>
    </xdr:from>
    <xdr:to>
      <xdr:col>11</xdr:col>
      <xdr:colOff>571500</xdr:colOff>
      <xdr:row>3705</xdr:row>
      <xdr:rowOff>0</xdr:rowOff>
    </xdr:to>
    <xdr:pic>
      <xdr:nvPicPr>
        <xdr:cNvPr id="15457" name="Рисунок 15456">
          <a:extLst>
            <a:ext uri="{FF2B5EF4-FFF2-40B4-BE49-F238E27FC236}">
              <a16:creationId xmlns:a16="http://schemas.microsoft.com/office/drawing/2014/main" id="{FE282FEF-EFED-4CAB-9968-DC1E79FD267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6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113727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3705</xdr:row>
      <xdr:rowOff>25400</xdr:rowOff>
    </xdr:from>
    <xdr:to>
      <xdr:col>11</xdr:col>
      <xdr:colOff>571500</xdr:colOff>
      <xdr:row>3706</xdr:row>
      <xdr:rowOff>0</xdr:rowOff>
    </xdr:to>
    <xdr:pic>
      <xdr:nvPicPr>
        <xdr:cNvPr id="15459" name="Рисунок 15458">
          <a:extLst>
            <a:ext uri="{FF2B5EF4-FFF2-40B4-BE49-F238E27FC236}">
              <a16:creationId xmlns:a16="http://schemas.microsoft.com/office/drawing/2014/main" id="{18974B77-02B7-46C9-A86A-278FA848A31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6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114299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3706</xdr:row>
      <xdr:rowOff>25400</xdr:rowOff>
    </xdr:from>
    <xdr:to>
      <xdr:col>11</xdr:col>
      <xdr:colOff>571500</xdr:colOff>
      <xdr:row>3707</xdr:row>
      <xdr:rowOff>0</xdr:rowOff>
    </xdr:to>
    <xdr:pic>
      <xdr:nvPicPr>
        <xdr:cNvPr id="15461" name="Рисунок 15460">
          <a:extLst>
            <a:ext uri="{FF2B5EF4-FFF2-40B4-BE49-F238E27FC236}">
              <a16:creationId xmlns:a16="http://schemas.microsoft.com/office/drawing/2014/main" id="{E03C10BB-94A4-409D-AE42-10AC360011F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6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114870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3707</xdr:row>
      <xdr:rowOff>25400</xdr:rowOff>
    </xdr:from>
    <xdr:to>
      <xdr:col>11</xdr:col>
      <xdr:colOff>571500</xdr:colOff>
      <xdr:row>3708</xdr:row>
      <xdr:rowOff>0</xdr:rowOff>
    </xdr:to>
    <xdr:pic>
      <xdr:nvPicPr>
        <xdr:cNvPr id="15463" name="Рисунок 15462">
          <a:extLst>
            <a:ext uri="{FF2B5EF4-FFF2-40B4-BE49-F238E27FC236}">
              <a16:creationId xmlns:a16="http://schemas.microsoft.com/office/drawing/2014/main" id="{59008885-28A8-47D3-A8D4-9BDFB580589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6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115442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3708</xdr:row>
      <xdr:rowOff>25400</xdr:rowOff>
    </xdr:from>
    <xdr:to>
      <xdr:col>11</xdr:col>
      <xdr:colOff>571500</xdr:colOff>
      <xdr:row>3709</xdr:row>
      <xdr:rowOff>0</xdr:rowOff>
    </xdr:to>
    <xdr:pic>
      <xdr:nvPicPr>
        <xdr:cNvPr id="15465" name="Рисунок 15464">
          <a:extLst>
            <a:ext uri="{FF2B5EF4-FFF2-40B4-BE49-F238E27FC236}">
              <a16:creationId xmlns:a16="http://schemas.microsoft.com/office/drawing/2014/main" id="{4CD453FF-D784-4E26-AD47-4B7FDD6B343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6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116013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3709</xdr:row>
      <xdr:rowOff>25400</xdr:rowOff>
    </xdr:from>
    <xdr:to>
      <xdr:col>11</xdr:col>
      <xdr:colOff>571500</xdr:colOff>
      <xdr:row>3710</xdr:row>
      <xdr:rowOff>0</xdr:rowOff>
    </xdr:to>
    <xdr:pic>
      <xdr:nvPicPr>
        <xdr:cNvPr id="15467" name="Рисунок 15466">
          <a:extLst>
            <a:ext uri="{FF2B5EF4-FFF2-40B4-BE49-F238E27FC236}">
              <a16:creationId xmlns:a16="http://schemas.microsoft.com/office/drawing/2014/main" id="{8849FC26-5BC5-4797-BCF4-13CD0C356AF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6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116585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3710</xdr:row>
      <xdr:rowOff>25400</xdr:rowOff>
    </xdr:from>
    <xdr:to>
      <xdr:col>11</xdr:col>
      <xdr:colOff>571500</xdr:colOff>
      <xdr:row>3711</xdr:row>
      <xdr:rowOff>0</xdr:rowOff>
    </xdr:to>
    <xdr:pic>
      <xdr:nvPicPr>
        <xdr:cNvPr id="15469" name="Рисунок 15468">
          <a:extLst>
            <a:ext uri="{FF2B5EF4-FFF2-40B4-BE49-F238E27FC236}">
              <a16:creationId xmlns:a16="http://schemas.microsoft.com/office/drawing/2014/main" id="{C22F700E-4264-412E-BC85-B10E2C08823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6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117156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3711</xdr:row>
      <xdr:rowOff>25400</xdr:rowOff>
    </xdr:from>
    <xdr:to>
      <xdr:col>11</xdr:col>
      <xdr:colOff>571500</xdr:colOff>
      <xdr:row>3712</xdr:row>
      <xdr:rowOff>0</xdr:rowOff>
    </xdr:to>
    <xdr:pic>
      <xdr:nvPicPr>
        <xdr:cNvPr id="15471" name="Рисунок 15470">
          <a:extLst>
            <a:ext uri="{FF2B5EF4-FFF2-40B4-BE49-F238E27FC236}">
              <a16:creationId xmlns:a16="http://schemas.microsoft.com/office/drawing/2014/main" id="{1571FAB3-9C67-4E04-AA92-CDD44C05801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6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117728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3712</xdr:row>
      <xdr:rowOff>25400</xdr:rowOff>
    </xdr:from>
    <xdr:to>
      <xdr:col>11</xdr:col>
      <xdr:colOff>571500</xdr:colOff>
      <xdr:row>3713</xdr:row>
      <xdr:rowOff>0</xdr:rowOff>
    </xdr:to>
    <xdr:pic>
      <xdr:nvPicPr>
        <xdr:cNvPr id="15473" name="Рисунок 15472">
          <a:extLst>
            <a:ext uri="{FF2B5EF4-FFF2-40B4-BE49-F238E27FC236}">
              <a16:creationId xmlns:a16="http://schemas.microsoft.com/office/drawing/2014/main" id="{DC3DE698-FF9E-482B-8DE3-D28B5CA52C2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7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118299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3713</xdr:row>
      <xdr:rowOff>25400</xdr:rowOff>
    </xdr:from>
    <xdr:to>
      <xdr:col>11</xdr:col>
      <xdr:colOff>571500</xdr:colOff>
      <xdr:row>3714</xdr:row>
      <xdr:rowOff>0</xdr:rowOff>
    </xdr:to>
    <xdr:pic>
      <xdr:nvPicPr>
        <xdr:cNvPr id="15475" name="Рисунок 15474">
          <a:extLst>
            <a:ext uri="{FF2B5EF4-FFF2-40B4-BE49-F238E27FC236}">
              <a16:creationId xmlns:a16="http://schemas.microsoft.com/office/drawing/2014/main" id="{44F1722D-96F8-4098-B0D0-BF523E6B9A5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7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118871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3714</xdr:row>
      <xdr:rowOff>25400</xdr:rowOff>
    </xdr:from>
    <xdr:to>
      <xdr:col>11</xdr:col>
      <xdr:colOff>571500</xdr:colOff>
      <xdr:row>3715</xdr:row>
      <xdr:rowOff>0</xdr:rowOff>
    </xdr:to>
    <xdr:pic>
      <xdr:nvPicPr>
        <xdr:cNvPr id="15477" name="Рисунок 15476">
          <a:extLst>
            <a:ext uri="{FF2B5EF4-FFF2-40B4-BE49-F238E27FC236}">
              <a16:creationId xmlns:a16="http://schemas.microsoft.com/office/drawing/2014/main" id="{F2C685C7-40D2-4423-8A16-F5598335C32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7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119442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3715</xdr:row>
      <xdr:rowOff>25400</xdr:rowOff>
    </xdr:from>
    <xdr:to>
      <xdr:col>11</xdr:col>
      <xdr:colOff>571500</xdr:colOff>
      <xdr:row>3716</xdr:row>
      <xdr:rowOff>0</xdr:rowOff>
    </xdr:to>
    <xdr:pic>
      <xdr:nvPicPr>
        <xdr:cNvPr id="15479" name="Рисунок 15478">
          <a:extLst>
            <a:ext uri="{FF2B5EF4-FFF2-40B4-BE49-F238E27FC236}">
              <a16:creationId xmlns:a16="http://schemas.microsoft.com/office/drawing/2014/main" id="{9310274F-E586-4A6A-84EB-F111FD5774F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7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120014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3716</xdr:row>
      <xdr:rowOff>25400</xdr:rowOff>
    </xdr:from>
    <xdr:to>
      <xdr:col>11</xdr:col>
      <xdr:colOff>571500</xdr:colOff>
      <xdr:row>3717</xdr:row>
      <xdr:rowOff>0</xdr:rowOff>
    </xdr:to>
    <xdr:pic>
      <xdr:nvPicPr>
        <xdr:cNvPr id="15481" name="Рисунок 15480">
          <a:extLst>
            <a:ext uri="{FF2B5EF4-FFF2-40B4-BE49-F238E27FC236}">
              <a16:creationId xmlns:a16="http://schemas.microsoft.com/office/drawing/2014/main" id="{96AB43A1-532E-4EEB-B3CD-AA48B9480EC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7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120585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3717</xdr:row>
      <xdr:rowOff>25400</xdr:rowOff>
    </xdr:from>
    <xdr:to>
      <xdr:col>11</xdr:col>
      <xdr:colOff>571500</xdr:colOff>
      <xdr:row>3718</xdr:row>
      <xdr:rowOff>0</xdr:rowOff>
    </xdr:to>
    <xdr:pic>
      <xdr:nvPicPr>
        <xdr:cNvPr id="15483" name="Рисунок 15482">
          <a:extLst>
            <a:ext uri="{FF2B5EF4-FFF2-40B4-BE49-F238E27FC236}">
              <a16:creationId xmlns:a16="http://schemas.microsoft.com/office/drawing/2014/main" id="{BDD77B2F-3C4D-42BF-83CB-3DFF26E4860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7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121157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3718</xdr:row>
      <xdr:rowOff>25400</xdr:rowOff>
    </xdr:from>
    <xdr:to>
      <xdr:col>11</xdr:col>
      <xdr:colOff>571500</xdr:colOff>
      <xdr:row>3719</xdr:row>
      <xdr:rowOff>0</xdr:rowOff>
    </xdr:to>
    <xdr:pic>
      <xdr:nvPicPr>
        <xdr:cNvPr id="15485" name="Рисунок 15484">
          <a:extLst>
            <a:ext uri="{FF2B5EF4-FFF2-40B4-BE49-F238E27FC236}">
              <a16:creationId xmlns:a16="http://schemas.microsoft.com/office/drawing/2014/main" id="{D97ED0B3-1476-4A92-B59C-575136E9BF9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7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121728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3719</xdr:row>
      <xdr:rowOff>25400</xdr:rowOff>
    </xdr:from>
    <xdr:to>
      <xdr:col>11</xdr:col>
      <xdr:colOff>571500</xdr:colOff>
      <xdr:row>3720</xdr:row>
      <xdr:rowOff>0</xdr:rowOff>
    </xdr:to>
    <xdr:pic>
      <xdr:nvPicPr>
        <xdr:cNvPr id="15487" name="Рисунок 15486">
          <a:extLst>
            <a:ext uri="{FF2B5EF4-FFF2-40B4-BE49-F238E27FC236}">
              <a16:creationId xmlns:a16="http://schemas.microsoft.com/office/drawing/2014/main" id="{52F720F0-6E64-44D6-BB63-6217C7EF238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7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122300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3720</xdr:row>
      <xdr:rowOff>25400</xdr:rowOff>
    </xdr:from>
    <xdr:to>
      <xdr:col>11</xdr:col>
      <xdr:colOff>571500</xdr:colOff>
      <xdr:row>3721</xdr:row>
      <xdr:rowOff>0</xdr:rowOff>
    </xdr:to>
    <xdr:pic>
      <xdr:nvPicPr>
        <xdr:cNvPr id="15489" name="Рисунок 15488">
          <a:extLst>
            <a:ext uri="{FF2B5EF4-FFF2-40B4-BE49-F238E27FC236}">
              <a16:creationId xmlns:a16="http://schemas.microsoft.com/office/drawing/2014/main" id="{A617AFCF-047C-435E-A44D-A186204E61E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7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122871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3721</xdr:row>
      <xdr:rowOff>25400</xdr:rowOff>
    </xdr:from>
    <xdr:to>
      <xdr:col>11</xdr:col>
      <xdr:colOff>571500</xdr:colOff>
      <xdr:row>3722</xdr:row>
      <xdr:rowOff>0</xdr:rowOff>
    </xdr:to>
    <xdr:pic>
      <xdr:nvPicPr>
        <xdr:cNvPr id="15491" name="Рисунок 15490">
          <a:extLst>
            <a:ext uri="{FF2B5EF4-FFF2-40B4-BE49-F238E27FC236}">
              <a16:creationId xmlns:a16="http://schemas.microsoft.com/office/drawing/2014/main" id="{2A46F1D7-02CC-4E1A-B474-5E6CE532C8E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7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123443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3722</xdr:row>
      <xdr:rowOff>25400</xdr:rowOff>
    </xdr:from>
    <xdr:to>
      <xdr:col>11</xdr:col>
      <xdr:colOff>571500</xdr:colOff>
      <xdr:row>3723</xdr:row>
      <xdr:rowOff>0</xdr:rowOff>
    </xdr:to>
    <xdr:pic>
      <xdr:nvPicPr>
        <xdr:cNvPr id="15493" name="Рисунок 15492">
          <a:extLst>
            <a:ext uri="{FF2B5EF4-FFF2-40B4-BE49-F238E27FC236}">
              <a16:creationId xmlns:a16="http://schemas.microsoft.com/office/drawing/2014/main" id="{5A7A1F8E-2A54-485C-B708-EBF64E4C93D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8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124014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3723</xdr:row>
      <xdr:rowOff>25400</xdr:rowOff>
    </xdr:from>
    <xdr:to>
      <xdr:col>11</xdr:col>
      <xdr:colOff>571500</xdr:colOff>
      <xdr:row>3724</xdr:row>
      <xdr:rowOff>0</xdr:rowOff>
    </xdr:to>
    <xdr:pic>
      <xdr:nvPicPr>
        <xdr:cNvPr id="15495" name="Рисунок 15494">
          <a:extLst>
            <a:ext uri="{FF2B5EF4-FFF2-40B4-BE49-F238E27FC236}">
              <a16:creationId xmlns:a16="http://schemas.microsoft.com/office/drawing/2014/main" id="{54B18CE5-D497-4393-A81E-8215F6716CE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8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124586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3724</xdr:row>
      <xdr:rowOff>25400</xdr:rowOff>
    </xdr:from>
    <xdr:to>
      <xdr:col>11</xdr:col>
      <xdr:colOff>571500</xdr:colOff>
      <xdr:row>3725</xdr:row>
      <xdr:rowOff>0</xdr:rowOff>
    </xdr:to>
    <xdr:pic>
      <xdr:nvPicPr>
        <xdr:cNvPr id="15497" name="Рисунок 15496">
          <a:extLst>
            <a:ext uri="{FF2B5EF4-FFF2-40B4-BE49-F238E27FC236}">
              <a16:creationId xmlns:a16="http://schemas.microsoft.com/office/drawing/2014/main" id="{CCAA6341-7E0A-41EF-A51E-1EED32DD646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8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125157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3725</xdr:row>
      <xdr:rowOff>25400</xdr:rowOff>
    </xdr:from>
    <xdr:to>
      <xdr:col>11</xdr:col>
      <xdr:colOff>571500</xdr:colOff>
      <xdr:row>3726</xdr:row>
      <xdr:rowOff>0</xdr:rowOff>
    </xdr:to>
    <xdr:pic>
      <xdr:nvPicPr>
        <xdr:cNvPr id="15499" name="Рисунок 15498">
          <a:extLst>
            <a:ext uri="{FF2B5EF4-FFF2-40B4-BE49-F238E27FC236}">
              <a16:creationId xmlns:a16="http://schemas.microsoft.com/office/drawing/2014/main" id="{337582D3-CA65-4E0B-A6AB-44470089D16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8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125729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3726</xdr:row>
      <xdr:rowOff>25400</xdr:rowOff>
    </xdr:from>
    <xdr:to>
      <xdr:col>11</xdr:col>
      <xdr:colOff>571500</xdr:colOff>
      <xdr:row>3727</xdr:row>
      <xdr:rowOff>0</xdr:rowOff>
    </xdr:to>
    <xdr:pic>
      <xdr:nvPicPr>
        <xdr:cNvPr id="15501" name="Рисунок 15500">
          <a:extLst>
            <a:ext uri="{FF2B5EF4-FFF2-40B4-BE49-F238E27FC236}">
              <a16:creationId xmlns:a16="http://schemas.microsoft.com/office/drawing/2014/main" id="{7117AB1C-EB36-4BC5-B6EE-20296272EC0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8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126300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3727</xdr:row>
      <xdr:rowOff>25400</xdr:rowOff>
    </xdr:from>
    <xdr:to>
      <xdr:col>11</xdr:col>
      <xdr:colOff>571500</xdr:colOff>
      <xdr:row>3728</xdr:row>
      <xdr:rowOff>0</xdr:rowOff>
    </xdr:to>
    <xdr:pic>
      <xdr:nvPicPr>
        <xdr:cNvPr id="15503" name="Рисунок 15502">
          <a:extLst>
            <a:ext uri="{FF2B5EF4-FFF2-40B4-BE49-F238E27FC236}">
              <a16:creationId xmlns:a16="http://schemas.microsoft.com/office/drawing/2014/main" id="{8448D346-1A9F-43B5-BAE5-739F02EA3A8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8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126872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3728</xdr:row>
      <xdr:rowOff>25400</xdr:rowOff>
    </xdr:from>
    <xdr:to>
      <xdr:col>11</xdr:col>
      <xdr:colOff>571500</xdr:colOff>
      <xdr:row>3729</xdr:row>
      <xdr:rowOff>0</xdr:rowOff>
    </xdr:to>
    <xdr:pic>
      <xdr:nvPicPr>
        <xdr:cNvPr id="15505" name="Рисунок 15504">
          <a:extLst>
            <a:ext uri="{FF2B5EF4-FFF2-40B4-BE49-F238E27FC236}">
              <a16:creationId xmlns:a16="http://schemas.microsoft.com/office/drawing/2014/main" id="{28287172-ECFE-4458-BAED-FAAD9621763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8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127443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3729</xdr:row>
      <xdr:rowOff>25400</xdr:rowOff>
    </xdr:from>
    <xdr:to>
      <xdr:col>11</xdr:col>
      <xdr:colOff>571500</xdr:colOff>
      <xdr:row>3730</xdr:row>
      <xdr:rowOff>0</xdr:rowOff>
    </xdr:to>
    <xdr:pic>
      <xdr:nvPicPr>
        <xdr:cNvPr id="15507" name="Рисунок 15506">
          <a:extLst>
            <a:ext uri="{FF2B5EF4-FFF2-40B4-BE49-F238E27FC236}">
              <a16:creationId xmlns:a16="http://schemas.microsoft.com/office/drawing/2014/main" id="{C0AF8AF1-8497-4ECC-B9FD-77131F0E33F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8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128015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3730</xdr:row>
      <xdr:rowOff>25400</xdr:rowOff>
    </xdr:from>
    <xdr:to>
      <xdr:col>11</xdr:col>
      <xdr:colOff>571500</xdr:colOff>
      <xdr:row>3731</xdr:row>
      <xdr:rowOff>0</xdr:rowOff>
    </xdr:to>
    <xdr:pic>
      <xdr:nvPicPr>
        <xdr:cNvPr id="15509" name="Рисунок 15508">
          <a:extLst>
            <a:ext uri="{FF2B5EF4-FFF2-40B4-BE49-F238E27FC236}">
              <a16:creationId xmlns:a16="http://schemas.microsoft.com/office/drawing/2014/main" id="{C761EE4A-1EEF-4F96-9029-9778E23CB3F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8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128586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3731</xdr:row>
      <xdr:rowOff>25400</xdr:rowOff>
    </xdr:from>
    <xdr:to>
      <xdr:col>11</xdr:col>
      <xdr:colOff>571500</xdr:colOff>
      <xdr:row>3732</xdr:row>
      <xdr:rowOff>0</xdr:rowOff>
    </xdr:to>
    <xdr:pic>
      <xdr:nvPicPr>
        <xdr:cNvPr id="15511" name="Рисунок 15510">
          <a:extLst>
            <a:ext uri="{FF2B5EF4-FFF2-40B4-BE49-F238E27FC236}">
              <a16:creationId xmlns:a16="http://schemas.microsoft.com/office/drawing/2014/main" id="{1D70C91F-2E8D-4A27-883C-D704FE3B8ED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8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129158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3732</xdr:row>
      <xdr:rowOff>25400</xdr:rowOff>
    </xdr:from>
    <xdr:to>
      <xdr:col>11</xdr:col>
      <xdr:colOff>571500</xdr:colOff>
      <xdr:row>3733</xdr:row>
      <xdr:rowOff>0</xdr:rowOff>
    </xdr:to>
    <xdr:pic>
      <xdr:nvPicPr>
        <xdr:cNvPr id="15513" name="Рисунок 15512">
          <a:extLst>
            <a:ext uri="{FF2B5EF4-FFF2-40B4-BE49-F238E27FC236}">
              <a16:creationId xmlns:a16="http://schemas.microsoft.com/office/drawing/2014/main" id="{DA8B888D-3668-4058-9D36-B0795CC5387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9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129729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3733</xdr:row>
      <xdr:rowOff>25400</xdr:rowOff>
    </xdr:from>
    <xdr:to>
      <xdr:col>11</xdr:col>
      <xdr:colOff>571500</xdr:colOff>
      <xdr:row>3734</xdr:row>
      <xdr:rowOff>0</xdr:rowOff>
    </xdr:to>
    <xdr:pic>
      <xdr:nvPicPr>
        <xdr:cNvPr id="15515" name="Рисунок 15514">
          <a:extLst>
            <a:ext uri="{FF2B5EF4-FFF2-40B4-BE49-F238E27FC236}">
              <a16:creationId xmlns:a16="http://schemas.microsoft.com/office/drawing/2014/main" id="{BCA563C4-C92A-4629-BFBF-4AD436C7183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9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130301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3734</xdr:row>
      <xdr:rowOff>25400</xdr:rowOff>
    </xdr:from>
    <xdr:to>
      <xdr:col>11</xdr:col>
      <xdr:colOff>571500</xdr:colOff>
      <xdr:row>3735</xdr:row>
      <xdr:rowOff>0</xdr:rowOff>
    </xdr:to>
    <xdr:pic>
      <xdr:nvPicPr>
        <xdr:cNvPr id="15517" name="Рисунок 15516">
          <a:extLst>
            <a:ext uri="{FF2B5EF4-FFF2-40B4-BE49-F238E27FC236}">
              <a16:creationId xmlns:a16="http://schemas.microsoft.com/office/drawing/2014/main" id="{7C2C54F8-2381-4326-B930-0420CB9728C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9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130872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3735</xdr:row>
      <xdr:rowOff>25400</xdr:rowOff>
    </xdr:from>
    <xdr:to>
      <xdr:col>11</xdr:col>
      <xdr:colOff>571500</xdr:colOff>
      <xdr:row>3736</xdr:row>
      <xdr:rowOff>0</xdr:rowOff>
    </xdr:to>
    <xdr:pic>
      <xdr:nvPicPr>
        <xdr:cNvPr id="15519" name="Рисунок 15518">
          <a:extLst>
            <a:ext uri="{FF2B5EF4-FFF2-40B4-BE49-F238E27FC236}">
              <a16:creationId xmlns:a16="http://schemas.microsoft.com/office/drawing/2014/main" id="{49BEEEC5-C5DD-4A2A-8F41-49BE25ECB55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9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131444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3736</xdr:row>
      <xdr:rowOff>25400</xdr:rowOff>
    </xdr:from>
    <xdr:to>
      <xdr:col>11</xdr:col>
      <xdr:colOff>571500</xdr:colOff>
      <xdr:row>3737</xdr:row>
      <xdr:rowOff>0</xdr:rowOff>
    </xdr:to>
    <xdr:pic>
      <xdr:nvPicPr>
        <xdr:cNvPr id="15521" name="Рисунок 15520">
          <a:extLst>
            <a:ext uri="{FF2B5EF4-FFF2-40B4-BE49-F238E27FC236}">
              <a16:creationId xmlns:a16="http://schemas.microsoft.com/office/drawing/2014/main" id="{7B01CBE8-A016-4B48-A414-F179246472D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9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132015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3737</xdr:row>
      <xdr:rowOff>25400</xdr:rowOff>
    </xdr:from>
    <xdr:to>
      <xdr:col>11</xdr:col>
      <xdr:colOff>571500</xdr:colOff>
      <xdr:row>3738</xdr:row>
      <xdr:rowOff>0</xdr:rowOff>
    </xdr:to>
    <xdr:pic>
      <xdr:nvPicPr>
        <xdr:cNvPr id="15523" name="Рисунок 15522">
          <a:extLst>
            <a:ext uri="{FF2B5EF4-FFF2-40B4-BE49-F238E27FC236}">
              <a16:creationId xmlns:a16="http://schemas.microsoft.com/office/drawing/2014/main" id="{A059EEDD-61AD-4C30-B803-49CF4ED9A99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9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132587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3738</xdr:row>
      <xdr:rowOff>25400</xdr:rowOff>
    </xdr:from>
    <xdr:to>
      <xdr:col>11</xdr:col>
      <xdr:colOff>571500</xdr:colOff>
      <xdr:row>3739</xdr:row>
      <xdr:rowOff>0</xdr:rowOff>
    </xdr:to>
    <xdr:pic>
      <xdr:nvPicPr>
        <xdr:cNvPr id="15525" name="Рисунок 15524">
          <a:extLst>
            <a:ext uri="{FF2B5EF4-FFF2-40B4-BE49-F238E27FC236}">
              <a16:creationId xmlns:a16="http://schemas.microsoft.com/office/drawing/2014/main" id="{8E5E10B8-5350-46F6-AF4D-E22F025A545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9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133158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3739</xdr:row>
      <xdr:rowOff>25400</xdr:rowOff>
    </xdr:from>
    <xdr:to>
      <xdr:col>11</xdr:col>
      <xdr:colOff>571500</xdr:colOff>
      <xdr:row>3740</xdr:row>
      <xdr:rowOff>0</xdr:rowOff>
    </xdr:to>
    <xdr:pic>
      <xdr:nvPicPr>
        <xdr:cNvPr id="15527" name="Рисунок 15526">
          <a:extLst>
            <a:ext uri="{FF2B5EF4-FFF2-40B4-BE49-F238E27FC236}">
              <a16:creationId xmlns:a16="http://schemas.microsoft.com/office/drawing/2014/main" id="{5D79A83C-CB68-420E-823E-B0FAB45EEE4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9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133730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3740</xdr:row>
      <xdr:rowOff>25400</xdr:rowOff>
    </xdr:from>
    <xdr:to>
      <xdr:col>11</xdr:col>
      <xdr:colOff>571500</xdr:colOff>
      <xdr:row>3741</xdr:row>
      <xdr:rowOff>0</xdr:rowOff>
    </xdr:to>
    <xdr:pic>
      <xdr:nvPicPr>
        <xdr:cNvPr id="15529" name="Рисунок 15528">
          <a:extLst>
            <a:ext uri="{FF2B5EF4-FFF2-40B4-BE49-F238E27FC236}">
              <a16:creationId xmlns:a16="http://schemas.microsoft.com/office/drawing/2014/main" id="{F525E9FF-4675-436C-A069-D0AFF9E5033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9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134301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3741</xdr:row>
      <xdr:rowOff>25400</xdr:rowOff>
    </xdr:from>
    <xdr:to>
      <xdr:col>11</xdr:col>
      <xdr:colOff>571500</xdr:colOff>
      <xdr:row>3742</xdr:row>
      <xdr:rowOff>0</xdr:rowOff>
    </xdr:to>
    <xdr:pic>
      <xdr:nvPicPr>
        <xdr:cNvPr id="15531" name="Рисунок 15530">
          <a:extLst>
            <a:ext uri="{FF2B5EF4-FFF2-40B4-BE49-F238E27FC236}">
              <a16:creationId xmlns:a16="http://schemas.microsoft.com/office/drawing/2014/main" id="{5E1B99FB-A013-487E-9E80-18201ED0FB4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69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134873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3742</xdr:row>
      <xdr:rowOff>25400</xdr:rowOff>
    </xdr:from>
    <xdr:to>
      <xdr:col>11</xdr:col>
      <xdr:colOff>571500</xdr:colOff>
      <xdr:row>3743</xdr:row>
      <xdr:rowOff>0</xdr:rowOff>
    </xdr:to>
    <xdr:pic>
      <xdr:nvPicPr>
        <xdr:cNvPr id="15533" name="Рисунок 15532">
          <a:extLst>
            <a:ext uri="{FF2B5EF4-FFF2-40B4-BE49-F238E27FC236}">
              <a16:creationId xmlns:a16="http://schemas.microsoft.com/office/drawing/2014/main" id="{968FAA26-8B48-451E-AE8E-028624269F3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0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135444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3743</xdr:row>
      <xdr:rowOff>25400</xdr:rowOff>
    </xdr:from>
    <xdr:to>
      <xdr:col>11</xdr:col>
      <xdr:colOff>571500</xdr:colOff>
      <xdr:row>3744</xdr:row>
      <xdr:rowOff>0</xdr:rowOff>
    </xdr:to>
    <xdr:pic>
      <xdr:nvPicPr>
        <xdr:cNvPr id="15535" name="Рисунок 15534">
          <a:extLst>
            <a:ext uri="{FF2B5EF4-FFF2-40B4-BE49-F238E27FC236}">
              <a16:creationId xmlns:a16="http://schemas.microsoft.com/office/drawing/2014/main" id="{059E0F40-05D7-4070-A00E-913FAAE33DD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0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136016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3744</xdr:row>
      <xdr:rowOff>25400</xdr:rowOff>
    </xdr:from>
    <xdr:to>
      <xdr:col>11</xdr:col>
      <xdr:colOff>571500</xdr:colOff>
      <xdr:row>3745</xdr:row>
      <xdr:rowOff>0</xdr:rowOff>
    </xdr:to>
    <xdr:pic>
      <xdr:nvPicPr>
        <xdr:cNvPr id="15537" name="Рисунок 15536">
          <a:extLst>
            <a:ext uri="{FF2B5EF4-FFF2-40B4-BE49-F238E27FC236}">
              <a16:creationId xmlns:a16="http://schemas.microsoft.com/office/drawing/2014/main" id="{D0140CC3-096E-4943-B76A-BC06C508731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0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136587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3745</xdr:row>
      <xdr:rowOff>25400</xdr:rowOff>
    </xdr:from>
    <xdr:to>
      <xdr:col>11</xdr:col>
      <xdr:colOff>571500</xdr:colOff>
      <xdr:row>3746</xdr:row>
      <xdr:rowOff>0</xdr:rowOff>
    </xdr:to>
    <xdr:pic>
      <xdr:nvPicPr>
        <xdr:cNvPr id="15539" name="Рисунок 15538">
          <a:extLst>
            <a:ext uri="{FF2B5EF4-FFF2-40B4-BE49-F238E27FC236}">
              <a16:creationId xmlns:a16="http://schemas.microsoft.com/office/drawing/2014/main" id="{DF427FDB-5AD0-4172-9829-EB48F6B43AF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0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137159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3746</xdr:row>
      <xdr:rowOff>25400</xdr:rowOff>
    </xdr:from>
    <xdr:to>
      <xdr:col>11</xdr:col>
      <xdr:colOff>571500</xdr:colOff>
      <xdr:row>3747</xdr:row>
      <xdr:rowOff>0</xdr:rowOff>
    </xdr:to>
    <xdr:pic>
      <xdr:nvPicPr>
        <xdr:cNvPr id="15541" name="Рисунок 15540">
          <a:extLst>
            <a:ext uri="{FF2B5EF4-FFF2-40B4-BE49-F238E27FC236}">
              <a16:creationId xmlns:a16="http://schemas.microsoft.com/office/drawing/2014/main" id="{E4B146E8-8DF3-480E-9CCF-D9CDAF2970E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0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137730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3747</xdr:row>
      <xdr:rowOff>25400</xdr:rowOff>
    </xdr:from>
    <xdr:to>
      <xdr:col>11</xdr:col>
      <xdr:colOff>571500</xdr:colOff>
      <xdr:row>3748</xdr:row>
      <xdr:rowOff>0</xdr:rowOff>
    </xdr:to>
    <xdr:pic>
      <xdr:nvPicPr>
        <xdr:cNvPr id="15543" name="Рисунок 15542">
          <a:extLst>
            <a:ext uri="{FF2B5EF4-FFF2-40B4-BE49-F238E27FC236}">
              <a16:creationId xmlns:a16="http://schemas.microsoft.com/office/drawing/2014/main" id="{BB530A6B-8F07-4314-B8CB-2264EA09D02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0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138302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3748</xdr:row>
      <xdr:rowOff>25400</xdr:rowOff>
    </xdr:from>
    <xdr:to>
      <xdr:col>11</xdr:col>
      <xdr:colOff>571500</xdr:colOff>
      <xdr:row>3749</xdr:row>
      <xdr:rowOff>0</xdr:rowOff>
    </xdr:to>
    <xdr:pic>
      <xdr:nvPicPr>
        <xdr:cNvPr id="15545" name="Рисунок 15544">
          <a:extLst>
            <a:ext uri="{FF2B5EF4-FFF2-40B4-BE49-F238E27FC236}">
              <a16:creationId xmlns:a16="http://schemas.microsoft.com/office/drawing/2014/main" id="{49642980-3EF7-41D6-8A88-FD3B49467BD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0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138873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3749</xdr:row>
      <xdr:rowOff>25400</xdr:rowOff>
    </xdr:from>
    <xdr:to>
      <xdr:col>11</xdr:col>
      <xdr:colOff>571500</xdr:colOff>
      <xdr:row>3750</xdr:row>
      <xdr:rowOff>0</xdr:rowOff>
    </xdr:to>
    <xdr:pic>
      <xdr:nvPicPr>
        <xdr:cNvPr id="15547" name="Рисунок 15546">
          <a:extLst>
            <a:ext uri="{FF2B5EF4-FFF2-40B4-BE49-F238E27FC236}">
              <a16:creationId xmlns:a16="http://schemas.microsoft.com/office/drawing/2014/main" id="{370EA349-F0D3-40F2-8691-4C78F50E9E5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0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139445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3750</xdr:row>
      <xdr:rowOff>25400</xdr:rowOff>
    </xdr:from>
    <xdr:to>
      <xdr:col>11</xdr:col>
      <xdr:colOff>571500</xdr:colOff>
      <xdr:row>3751</xdr:row>
      <xdr:rowOff>0</xdr:rowOff>
    </xdr:to>
    <xdr:pic>
      <xdr:nvPicPr>
        <xdr:cNvPr id="15549" name="Рисунок 15548">
          <a:extLst>
            <a:ext uri="{FF2B5EF4-FFF2-40B4-BE49-F238E27FC236}">
              <a16:creationId xmlns:a16="http://schemas.microsoft.com/office/drawing/2014/main" id="{C8FB190A-A740-4EDF-B39E-B169B7E9EBB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0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140016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3751</xdr:row>
      <xdr:rowOff>25400</xdr:rowOff>
    </xdr:from>
    <xdr:to>
      <xdr:col>11</xdr:col>
      <xdr:colOff>571500</xdr:colOff>
      <xdr:row>3752</xdr:row>
      <xdr:rowOff>0</xdr:rowOff>
    </xdr:to>
    <xdr:pic>
      <xdr:nvPicPr>
        <xdr:cNvPr id="15551" name="Рисунок 15550">
          <a:extLst>
            <a:ext uri="{FF2B5EF4-FFF2-40B4-BE49-F238E27FC236}">
              <a16:creationId xmlns:a16="http://schemas.microsoft.com/office/drawing/2014/main" id="{6D7606E3-7ADB-46C2-B725-3721E9488E0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0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140588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3752</xdr:row>
      <xdr:rowOff>25400</xdr:rowOff>
    </xdr:from>
    <xdr:to>
      <xdr:col>11</xdr:col>
      <xdr:colOff>571500</xdr:colOff>
      <xdr:row>3753</xdr:row>
      <xdr:rowOff>0</xdr:rowOff>
    </xdr:to>
    <xdr:pic>
      <xdr:nvPicPr>
        <xdr:cNvPr id="15553" name="Рисунок 15552">
          <a:extLst>
            <a:ext uri="{FF2B5EF4-FFF2-40B4-BE49-F238E27FC236}">
              <a16:creationId xmlns:a16="http://schemas.microsoft.com/office/drawing/2014/main" id="{85D0AD92-A869-4C97-9C44-18AFCB9C2E1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141159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3753</xdr:row>
      <xdr:rowOff>25400</xdr:rowOff>
    </xdr:from>
    <xdr:to>
      <xdr:col>11</xdr:col>
      <xdr:colOff>571500</xdr:colOff>
      <xdr:row>3754</xdr:row>
      <xdr:rowOff>0</xdr:rowOff>
    </xdr:to>
    <xdr:pic>
      <xdr:nvPicPr>
        <xdr:cNvPr id="15555" name="Рисунок 15554">
          <a:extLst>
            <a:ext uri="{FF2B5EF4-FFF2-40B4-BE49-F238E27FC236}">
              <a16:creationId xmlns:a16="http://schemas.microsoft.com/office/drawing/2014/main" id="{CF2C5523-9AFC-44DB-8643-DE8E54C5287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141731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3754</xdr:row>
      <xdr:rowOff>25400</xdr:rowOff>
    </xdr:from>
    <xdr:to>
      <xdr:col>11</xdr:col>
      <xdr:colOff>571500</xdr:colOff>
      <xdr:row>3755</xdr:row>
      <xdr:rowOff>0</xdr:rowOff>
    </xdr:to>
    <xdr:pic>
      <xdr:nvPicPr>
        <xdr:cNvPr id="15557" name="Рисунок 15556">
          <a:extLst>
            <a:ext uri="{FF2B5EF4-FFF2-40B4-BE49-F238E27FC236}">
              <a16:creationId xmlns:a16="http://schemas.microsoft.com/office/drawing/2014/main" id="{0A98E06E-8545-4BCE-946E-78BB65AAB7F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142302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3755</xdr:row>
      <xdr:rowOff>25400</xdr:rowOff>
    </xdr:from>
    <xdr:to>
      <xdr:col>11</xdr:col>
      <xdr:colOff>571500</xdr:colOff>
      <xdr:row>3756</xdr:row>
      <xdr:rowOff>0</xdr:rowOff>
    </xdr:to>
    <xdr:pic>
      <xdr:nvPicPr>
        <xdr:cNvPr id="15559" name="Рисунок 15558">
          <a:extLst>
            <a:ext uri="{FF2B5EF4-FFF2-40B4-BE49-F238E27FC236}">
              <a16:creationId xmlns:a16="http://schemas.microsoft.com/office/drawing/2014/main" id="{B3409343-FFC8-442F-9E8F-505E94C4F91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142874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3756</xdr:row>
      <xdr:rowOff>25400</xdr:rowOff>
    </xdr:from>
    <xdr:to>
      <xdr:col>11</xdr:col>
      <xdr:colOff>571500</xdr:colOff>
      <xdr:row>3757</xdr:row>
      <xdr:rowOff>0</xdr:rowOff>
    </xdr:to>
    <xdr:pic>
      <xdr:nvPicPr>
        <xdr:cNvPr id="15561" name="Рисунок 15560">
          <a:extLst>
            <a:ext uri="{FF2B5EF4-FFF2-40B4-BE49-F238E27FC236}">
              <a16:creationId xmlns:a16="http://schemas.microsoft.com/office/drawing/2014/main" id="{790337C3-86B6-4775-AA5E-22EDC76EB55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143445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3757</xdr:row>
      <xdr:rowOff>25400</xdr:rowOff>
    </xdr:from>
    <xdr:to>
      <xdr:col>11</xdr:col>
      <xdr:colOff>571500</xdr:colOff>
      <xdr:row>3758</xdr:row>
      <xdr:rowOff>0</xdr:rowOff>
    </xdr:to>
    <xdr:pic>
      <xdr:nvPicPr>
        <xdr:cNvPr id="15563" name="Рисунок 15562">
          <a:extLst>
            <a:ext uri="{FF2B5EF4-FFF2-40B4-BE49-F238E27FC236}">
              <a16:creationId xmlns:a16="http://schemas.microsoft.com/office/drawing/2014/main" id="{07FB8447-7D03-4F59-B2BF-4CD997CEF72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144017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3758</xdr:row>
      <xdr:rowOff>25400</xdr:rowOff>
    </xdr:from>
    <xdr:to>
      <xdr:col>11</xdr:col>
      <xdr:colOff>571500</xdr:colOff>
      <xdr:row>3759</xdr:row>
      <xdr:rowOff>0</xdr:rowOff>
    </xdr:to>
    <xdr:pic>
      <xdr:nvPicPr>
        <xdr:cNvPr id="15565" name="Рисунок 15564">
          <a:extLst>
            <a:ext uri="{FF2B5EF4-FFF2-40B4-BE49-F238E27FC236}">
              <a16:creationId xmlns:a16="http://schemas.microsoft.com/office/drawing/2014/main" id="{00E30ADA-A81B-4143-A3AD-BF36B2B4D3B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144588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3759</xdr:row>
      <xdr:rowOff>25400</xdr:rowOff>
    </xdr:from>
    <xdr:to>
      <xdr:col>11</xdr:col>
      <xdr:colOff>571500</xdr:colOff>
      <xdr:row>3760</xdr:row>
      <xdr:rowOff>0</xdr:rowOff>
    </xdr:to>
    <xdr:pic>
      <xdr:nvPicPr>
        <xdr:cNvPr id="15567" name="Рисунок 15566">
          <a:extLst>
            <a:ext uri="{FF2B5EF4-FFF2-40B4-BE49-F238E27FC236}">
              <a16:creationId xmlns:a16="http://schemas.microsoft.com/office/drawing/2014/main" id="{28E821BA-3B7F-44F9-A27E-10E1ABDB4DE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145160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3760</xdr:row>
      <xdr:rowOff>25400</xdr:rowOff>
    </xdr:from>
    <xdr:to>
      <xdr:col>11</xdr:col>
      <xdr:colOff>571500</xdr:colOff>
      <xdr:row>3761</xdr:row>
      <xdr:rowOff>0</xdr:rowOff>
    </xdr:to>
    <xdr:pic>
      <xdr:nvPicPr>
        <xdr:cNvPr id="15569" name="Рисунок 15568">
          <a:extLst>
            <a:ext uri="{FF2B5EF4-FFF2-40B4-BE49-F238E27FC236}">
              <a16:creationId xmlns:a16="http://schemas.microsoft.com/office/drawing/2014/main" id="{3962AFDF-3DC6-40F5-9763-F7B499BD303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145731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3761</xdr:row>
      <xdr:rowOff>25400</xdr:rowOff>
    </xdr:from>
    <xdr:to>
      <xdr:col>11</xdr:col>
      <xdr:colOff>571500</xdr:colOff>
      <xdr:row>3762</xdr:row>
      <xdr:rowOff>0</xdr:rowOff>
    </xdr:to>
    <xdr:pic>
      <xdr:nvPicPr>
        <xdr:cNvPr id="15571" name="Рисунок 15570">
          <a:extLst>
            <a:ext uri="{FF2B5EF4-FFF2-40B4-BE49-F238E27FC236}">
              <a16:creationId xmlns:a16="http://schemas.microsoft.com/office/drawing/2014/main" id="{306DEEBC-74A8-4857-9631-7C6DF1A8BAD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146303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3762</xdr:row>
      <xdr:rowOff>25400</xdr:rowOff>
    </xdr:from>
    <xdr:to>
      <xdr:col>11</xdr:col>
      <xdr:colOff>571500</xdr:colOff>
      <xdr:row>3763</xdr:row>
      <xdr:rowOff>0</xdr:rowOff>
    </xdr:to>
    <xdr:pic>
      <xdr:nvPicPr>
        <xdr:cNvPr id="15573" name="Рисунок 15572">
          <a:extLst>
            <a:ext uri="{FF2B5EF4-FFF2-40B4-BE49-F238E27FC236}">
              <a16:creationId xmlns:a16="http://schemas.microsoft.com/office/drawing/2014/main" id="{5B9896B5-5B3B-427B-8026-CA7BB0CE2FB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146874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3763</xdr:row>
      <xdr:rowOff>25400</xdr:rowOff>
    </xdr:from>
    <xdr:to>
      <xdr:col>11</xdr:col>
      <xdr:colOff>571500</xdr:colOff>
      <xdr:row>3764</xdr:row>
      <xdr:rowOff>0</xdr:rowOff>
    </xdr:to>
    <xdr:pic>
      <xdr:nvPicPr>
        <xdr:cNvPr id="15575" name="Рисунок 15574">
          <a:extLst>
            <a:ext uri="{FF2B5EF4-FFF2-40B4-BE49-F238E27FC236}">
              <a16:creationId xmlns:a16="http://schemas.microsoft.com/office/drawing/2014/main" id="{1D9BFE67-9035-4EC8-A79C-C4AFA018A16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147446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3764</xdr:row>
      <xdr:rowOff>25400</xdr:rowOff>
    </xdr:from>
    <xdr:to>
      <xdr:col>11</xdr:col>
      <xdr:colOff>571500</xdr:colOff>
      <xdr:row>3765</xdr:row>
      <xdr:rowOff>0</xdr:rowOff>
    </xdr:to>
    <xdr:pic>
      <xdr:nvPicPr>
        <xdr:cNvPr id="15577" name="Рисунок 15576">
          <a:extLst>
            <a:ext uri="{FF2B5EF4-FFF2-40B4-BE49-F238E27FC236}">
              <a16:creationId xmlns:a16="http://schemas.microsoft.com/office/drawing/2014/main" id="{8C08AF0C-C4A1-41C6-B0CB-2C22D646530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148017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3765</xdr:row>
      <xdr:rowOff>25400</xdr:rowOff>
    </xdr:from>
    <xdr:to>
      <xdr:col>11</xdr:col>
      <xdr:colOff>571500</xdr:colOff>
      <xdr:row>3766</xdr:row>
      <xdr:rowOff>0</xdr:rowOff>
    </xdr:to>
    <xdr:pic>
      <xdr:nvPicPr>
        <xdr:cNvPr id="15579" name="Рисунок 15578">
          <a:extLst>
            <a:ext uri="{FF2B5EF4-FFF2-40B4-BE49-F238E27FC236}">
              <a16:creationId xmlns:a16="http://schemas.microsoft.com/office/drawing/2014/main" id="{06CFD09E-7ADB-4678-896D-9A49D21534F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148589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3766</xdr:row>
      <xdr:rowOff>25400</xdr:rowOff>
    </xdr:from>
    <xdr:to>
      <xdr:col>11</xdr:col>
      <xdr:colOff>571500</xdr:colOff>
      <xdr:row>3767</xdr:row>
      <xdr:rowOff>0</xdr:rowOff>
    </xdr:to>
    <xdr:pic>
      <xdr:nvPicPr>
        <xdr:cNvPr id="15581" name="Рисунок 15580">
          <a:extLst>
            <a:ext uri="{FF2B5EF4-FFF2-40B4-BE49-F238E27FC236}">
              <a16:creationId xmlns:a16="http://schemas.microsoft.com/office/drawing/2014/main" id="{CDC1A694-7557-4066-934B-D0A8AB3393E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149160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3767</xdr:row>
      <xdr:rowOff>25400</xdr:rowOff>
    </xdr:from>
    <xdr:to>
      <xdr:col>11</xdr:col>
      <xdr:colOff>571500</xdr:colOff>
      <xdr:row>3768</xdr:row>
      <xdr:rowOff>0</xdr:rowOff>
    </xdr:to>
    <xdr:pic>
      <xdr:nvPicPr>
        <xdr:cNvPr id="15583" name="Рисунок 15582">
          <a:extLst>
            <a:ext uri="{FF2B5EF4-FFF2-40B4-BE49-F238E27FC236}">
              <a16:creationId xmlns:a16="http://schemas.microsoft.com/office/drawing/2014/main" id="{F94380E3-DE79-4C2A-BC46-E32CFF61072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149732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3768</xdr:row>
      <xdr:rowOff>25400</xdr:rowOff>
    </xdr:from>
    <xdr:to>
      <xdr:col>11</xdr:col>
      <xdr:colOff>571500</xdr:colOff>
      <xdr:row>3769</xdr:row>
      <xdr:rowOff>0</xdr:rowOff>
    </xdr:to>
    <xdr:pic>
      <xdr:nvPicPr>
        <xdr:cNvPr id="15585" name="Рисунок 15584">
          <a:extLst>
            <a:ext uri="{FF2B5EF4-FFF2-40B4-BE49-F238E27FC236}">
              <a16:creationId xmlns:a16="http://schemas.microsoft.com/office/drawing/2014/main" id="{D8F78114-CCC3-4889-ACA6-86C499E0D00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150303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3769</xdr:row>
      <xdr:rowOff>25400</xdr:rowOff>
    </xdr:from>
    <xdr:to>
      <xdr:col>11</xdr:col>
      <xdr:colOff>571500</xdr:colOff>
      <xdr:row>3770</xdr:row>
      <xdr:rowOff>0</xdr:rowOff>
    </xdr:to>
    <xdr:pic>
      <xdr:nvPicPr>
        <xdr:cNvPr id="15587" name="Рисунок 15586">
          <a:extLst>
            <a:ext uri="{FF2B5EF4-FFF2-40B4-BE49-F238E27FC236}">
              <a16:creationId xmlns:a16="http://schemas.microsoft.com/office/drawing/2014/main" id="{86677BF1-3CBF-443E-A044-59DC15D2385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150875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3770</xdr:row>
      <xdr:rowOff>25400</xdr:rowOff>
    </xdr:from>
    <xdr:to>
      <xdr:col>11</xdr:col>
      <xdr:colOff>571500</xdr:colOff>
      <xdr:row>3771</xdr:row>
      <xdr:rowOff>0</xdr:rowOff>
    </xdr:to>
    <xdr:pic>
      <xdr:nvPicPr>
        <xdr:cNvPr id="15589" name="Рисунок 15588">
          <a:extLst>
            <a:ext uri="{FF2B5EF4-FFF2-40B4-BE49-F238E27FC236}">
              <a16:creationId xmlns:a16="http://schemas.microsoft.com/office/drawing/2014/main" id="{560A7EBD-F202-4BBD-BCC4-59A44B1B323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151446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3771</xdr:row>
      <xdr:rowOff>25400</xdr:rowOff>
    </xdr:from>
    <xdr:to>
      <xdr:col>11</xdr:col>
      <xdr:colOff>571500</xdr:colOff>
      <xdr:row>3772</xdr:row>
      <xdr:rowOff>0</xdr:rowOff>
    </xdr:to>
    <xdr:pic>
      <xdr:nvPicPr>
        <xdr:cNvPr id="15591" name="Рисунок 15590">
          <a:extLst>
            <a:ext uri="{FF2B5EF4-FFF2-40B4-BE49-F238E27FC236}">
              <a16:creationId xmlns:a16="http://schemas.microsoft.com/office/drawing/2014/main" id="{10353082-CCC4-4F54-8B0B-40B4319E75E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152018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3772</xdr:row>
      <xdr:rowOff>25400</xdr:rowOff>
    </xdr:from>
    <xdr:to>
      <xdr:col>11</xdr:col>
      <xdr:colOff>571500</xdr:colOff>
      <xdr:row>3773</xdr:row>
      <xdr:rowOff>0</xdr:rowOff>
    </xdr:to>
    <xdr:pic>
      <xdr:nvPicPr>
        <xdr:cNvPr id="15593" name="Рисунок 15592">
          <a:extLst>
            <a:ext uri="{FF2B5EF4-FFF2-40B4-BE49-F238E27FC236}">
              <a16:creationId xmlns:a16="http://schemas.microsoft.com/office/drawing/2014/main" id="{714CBCA6-E05C-4BBD-B137-04970AB1D58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152589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3773</xdr:row>
      <xdr:rowOff>25400</xdr:rowOff>
    </xdr:from>
    <xdr:to>
      <xdr:col>11</xdr:col>
      <xdr:colOff>571500</xdr:colOff>
      <xdr:row>3774</xdr:row>
      <xdr:rowOff>0</xdr:rowOff>
    </xdr:to>
    <xdr:pic>
      <xdr:nvPicPr>
        <xdr:cNvPr id="15595" name="Рисунок 15594">
          <a:extLst>
            <a:ext uri="{FF2B5EF4-FFF2-40B4-BE49-F238E27FC236}">
              <a16:creationId xmlns:a16="http://schemas.microsoft.com/office/drawing/2014/main" id="{38694A9A-F536-448E-91BC-549AC5A2D25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3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153161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3774</xdr:row>
      <xdr:rowOff>25400</xdr:rowOff>
    </xdr:from>
    <xdr:to>
      <xdr:col>11</xdr:col>
      <xdr:colOff>571500</xdr:colOff>
      <xdr:row>3775</xdr:row>
      <xdr:rowOff>0</xdr:rowOff>
    </xdr:to>
    <xdr:pic>
      <xdr:nvPicPr>
        <xdr:cNvPr id="15597" name="Рисунок 15596">
          <a:extLst>
            <a:ext uri="{FF2B5EF4-FFF2-40B4-BE49-F238E27FC236}">
              <a16:creationId xmlns:a16="http://schemas.microsoft.com/office/drawing/2014/main" id="{2C27F90E-61E7-4FE3-8B19-91F14C44EDA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3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153732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3775</xdr:row>
      <xdr:rowOff>25400</xdr:rowOff>
    </xdr:from>
    <xdr:to>
      <xdr:col>11</xdr:col>
      <xdr:colOff>571500</xdr:colOff>
      <xdr:row>3776</xdr:row>
      <xdr:rowOff>0</xdr:rowOff>
    </xdr:to>
    <xdr:pic>
      <xdr:nvPicPr>
        <xdr:cNvPr id="15599" name="Рисунок 15598">
          <a:extLst>
            <a:ext uri="{FF2B5EF4-FFF2-40B4-BE49-F238E27FC236}">
              <a16:creationId xmlns:a16="http://schemas.microsoft.com/office/drawing/2014/main" id="{279572BA-05EC-4E31-8676-3CA9174D4AB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3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154304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3776</xdr:row>
      <xdr:rowOff>25400</xdr:rowOff>
    </xdr:from>
    <xdr:to>
      <xdr:col>11</xdr:col>
      <xdr:colOff>571500</xdr:colOff>
      <xdr:row>3777</xdr:row>
      <xdr:rowOff>0</xdr:rowOff>
    </xdr:to>
    <xdr:pic>
      <xdr:nvPicPr>
        <xdr:cNvPr id="15601" name="Рисунок 15600">
          <a:extLst>
            <a:ext uri="{FF2B5EF4-FFF2-40B4-BE49-F238E27FC236}">
              <a16:creationId xmlns:a16="http://schemas.microsoft.com/office/drawing/2014/main" id="{32A530AF-5CB8-43AA-B0EB-C5019A51691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3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154875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3777</xdr:row>
      <xdr:rowOff>25400</xdr:rowOff>
    </xdr:from>
    <xdr:to>
      <xdr:col>11</xdr:col>
      <xdr:colOff>571500</xdr:colOff>
      <xdr:row>3778</xdr:row>
      <xdr:rowOff>0</xdr:rowOff>
    </xdr:to>
    <xdr:pic>
      <xdr:nvPicPr>
        <xdr:cNvPr id="15603" name="Рисунок 15602">
          <a:extLst>
            <a:ext uri="{FF2B5EF4-FFF2-40B4-BE49-F238E27FC236}">
              <a16:creationId xmlns:a16="http://schemas.microsoft.com/office/drawing/2014/main" id="{F5C2A8C5-3F53-4A5B-B6CD-B35160643A1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3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155447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3778</xdr:row>
      <xdr:rowOff>25400</xdr:rowOff>
    </xdr:from>
    <xdr:to>
      <xdr:col>11</xdr:col>
      <xdr:colOff>571500</xdr:colOff>
      <xdr:row>3779</xdr:row>
      <xdr:rowOff>0</xdr:rowOff>
    </xdr:to>
    <xdr:pic>
      <xdr:nvPicPr>
        <xdr:cNvPr id="15605" name="Рисунок 15604">
          <a:extLst>
            <a:ext uri="{FF2B5EF4-FFF2-40B4-BE49-F238E27FC236}">
              <a16:creationId xmlns:a16="http://schemas.microsoft.com/office/drawing/2014/main" id="{80F394E7-8523-4369-A1BD-96AE27F10FB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3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156018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3779</xdr:row>
      <xdr:rowOff>25400</xdr:rowOff>
    </xdr:from>
    <xdr:to>
      <xdr:col>11</xdr:col>
      <xdr:colOff>571500</xdr:colOff>
      <xdr:row>3780</xdr:row>
      <xdr:rowOff>0</xdr:rowOff>
    </xdr:to>
    <xdr:pic>
      <xdr:nvPicPr>
        <xdr:cNvPr id="15607" name="Рисунок 15606">
          <a:extLst>
            <a:ext uri="{FF2B5EF4-FFF2-40B4-BE49-F238E27FC236}">
              <a16:creationId xmlns:a16="http://schemas.microsoft.com/office/drawing/2014/main" id="{13CD391E-B8A0-439D-9C86-B1004A65AFE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3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156590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3780</xdr:row>
      <xdr:rowOff>25400</xdr:rowOff>
    </xdr:from>
    <xdr:to>
      <xdr:col>11</xdr:col>
      <xdr:colOff>571500</xdr:colOff>
      <xdr:row>3781</xdr:row>
      <xdr:rowOff>0</xdr:rowOff>
    </xdr:to>
    <xdr:pic>
      <xdr:nvPicPr>
        <xdr:cNvPr id="15609" name="Рисунок 15608">
          <a:extLst>
            <a:ext uri="{FF2B5EF4-FFF2-40B4-BE49-F238E27FC236}">
              <a16:creationId xmlns:a16="http://schemas.microsoft.com/office/drawing/2014/main" id="{3D5D211F-5E1F-4554-9DBF-47E7534619F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3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157161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3781</xdr:row>
      <xdr:rowOff>25400</xdr:rowOff>
    </xdr:from>
    <xdr:to>
      <xdr:col>11</xdr:col>
      <xdr:colOff>571500</xdr:colOff>
      <xdr:row>3782</xdr:row>
      <xdr:rowOff>0</xdr:rowOff>
    </xdr:to>
    <xdr:pic>
      <xdr:nvPicPr>
        <xdr:cNvPr id="15611" name="Рисунок 15610">
          <a:extLst>
            <a:ext uri="{FF2B5EF4-FFF2-40B4-BE49-F238E27FC236}">
              <a16:creationId xmlns:a16="http://schemas.microsoft.com/office/drawing/2014/main" id="{06D9F3B5-7F3C-4EFA-913B-B86D7428911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3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157733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3782</xdr:row>
      <xdr:rowOff>25400</xdr:rowOff>
    </xdr:from>
    <xdr:to>
      <xdr:col>11</xdr:col>
      <xdr:colOff>571500</xdr:colOff>
      <xdr:row>3783</xdr:row>
      <xdr:rowOff>0</xdr:rowOff>
    </xdr:to>
    <xdr:pic>
      <xdr:nvPicPr>
        <xdr:cNvPr id="15613" name="Рисунок 15612">
          <a:extLst>
            <a:ext uri="{FF2B5EF4-FFF2-40B4-BE49-F238E27FC236}">
              <a16:creationId xmlns:a16="http://schemas.microsoft.com/office/drawing/2014/main" id="{786DC777-4378-44FB-BA9F-1E14B196101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4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158304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3783</xdr:row>
      <xdr:rowOff>25400</xdr:rowOff>
    </xdr:from>
    <xdr:to>
      <xdr:col>11</xdr:col>
      <xdr:colOff>571500</xdr:colOff>
      <xdr:row>3784</xdr:row>
      <xdr:rowOff>0</xdr:rowOff>
    </xdr:to>
    <xdr:pic>
      <xdr:nvPicPr>
        <xdr:cNvPr id="15615" name="Рисунок 15614">
          <a:extLst>
            <a:ext uri="{FF2B5EF4-FFF2-40B4-BE49-F238E27FC236}">
              <a16:creationId xmlns:a16="http://schemas.microsoft.com/office/drawing/2014/main" id="{E00785C0-E4FC-41D2-ABA7-48507C94A19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4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158876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3784</xdr:row>
      <xdr:rowOff>25400</xdr:rowOff>
    </xdr:from>
    <xdr:to>
      <xdr:col>11</xdr:col>
      <xdr:colOff>571500</xdr:colOff>
      <xdr:row>3785</xdr:row>
      <xdr:rowOff>0</xdr:rowOff>
    </xdr:to>
    <xdr:pic>
      <xdr:nvPicPr>
        <xdr:cNvPr id="15617" name="Рисунок 15616">
          <a:extLst>
            <a:ext uri="{FF2B5EF4-FFF2-40B4-BE49-F238E27FC236}">
              <a16:creationId xmlns:a16="http://schemas.microsoft.com/office/drawing/2014/main" id="{DFDCA6D3-C97F-4AB9-98BB-AF77AF4B5D7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159447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3785</xdr:row>
      <xdr:rowOff>25400</xdr:rowOff>
    </xdr:from>
    <xdr:to>
      <xdr:col>11</xdr:col>
      <xdr:colOff>571500</xdr:colOff>
      <xdr:row>3786</xdr:row>
      <xdr:rowOff>0</xdr:rowOff>
    </xdr:to>
    <xdr:pic>
      <xdr:nvPicPr>
        <xdr:cNvPr id="15619" name="Рисунок 15618">
          <a:extLst>
            <a:ext uri="{FF2B5EF4-FFF2-40B4-BE49-F238E27FC236}">
              <a16:creationId xmlns:a16="http://schemas.microsoft.com/office/drawing/2014/main" id="{64B3E257-7F89-4EF8-A1B0-589B9B58914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160019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3786</xdr:row>
      <xdr:rowOff>25400</xdr:rowOff>
    </xdr:from>
    <xdr:to>
      <xdr:col>11</xdr:col>
      <xdr:colOff>571500</xdr:colOff>
      <xdr:row>3787</xdr:row>
      <xdr:rowOff>0</xdr:rowOff>
    </xdr:to>
    <xdr:pic>
      <xdr:nvPicPr>
        <xdr:cNvPr id="15621" name="Рисунок 15620">
          <a:extLst>
            <a:ext uri="{FF2B5EF4-FFF2-40B4-BE49-F238E27FC236}">
              <a16:creationId xmlns:a16="http://schemas.microsoft.com/office/drawing/2014/main" id="{81416BB9-52C8-4806-A4B9-53BDE9EFB91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160590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3787</xdr:row>
      <xdr:rowOff>25400</xdr:rowOff>
    </xdr:from>
    <xdr:to>
      <xdr:col>11</xdr:col>
      <xdr:colOff>571500</xdr:colOff>
      <xdr:row>3788</xdr:row>
      <xdr:rowOff>0</xdr:rowOff>
    </xdr:to>
    <xdr:pic>
      <xdr:nvPicPr>
        <xdr:cNvPr id="15623" name="Рисунок 15622">
          <a:extLst>
            <a:ext uri="{FF2B5EF4-FFF2-40B4-BE49-F238E27FC236}">
              <a16:creationId xmlns:a16="http://schemas.microsoft.com/office/drawing/2014/main" id="{7FDD9EBE-1972-4A92-9A3F-486A5A82160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4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161162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3788</xdr:row>
      <xdr:rowOff>25400</xdr:rowOff>
    </xdr:from>
    <xdr:to>
      <xdr:col>11</xdr:col>
      <xdr:colOff>571500</xdr:colOff>
      <xdr:row>3789</xdr:row>
      <xdr:rowOff>0</xdr:rowOff>
    </xdr:to>
    <xdr:pic>
      <xdr:nvPicPr>
        <xdr:cNvPr id="15625" name="Рисунок 15624">
          <a:extLst>
            <a:ext uri="{FF2B5EF4-FFF2-40B4-BE49-F238E27FC236}">
              <a16:creationId xmlns:a16="http://schemas.microsoft.com/office/drawing/2014/main" id="{479B8509-98CA-4615-A9CA-03F2FDF5B58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4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161733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3789</xdr:row>
      <xdr:rowOff>25400</xdr:rowOff>
    </xdr:from>
    <xdr:to>
      <xdr:col>11</xdr:col>
      <xdr:colOff>571500</xdr:colOff>
      <xdr:row>3790</xdr:row>
      <xdr:rowOff>0</xdr:rowOff>
    </xdr:to>
    <xdr:pic>
      <xdr:nvPicPr>
        <xdr:cNvPr id="15627" name="Рисунок 15626">
          <a:extLst>
            <a:ext uri="{FF2B5EF4-FFF2-40B4-BE49-F238E27FC236}">
              <a16:creationId xmlns:a16="http://schemas.microsoft.com/office/drawing/2014/main" id="{92E72DBB-5491-47C3-9E98-EA45266A8E0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4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162305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3790</xdr:row>
      <xdr:rowOff>25400</xdr:rowOff>
    </xdr:from>
    <xdr:to>
      <xdr:col>11</xdr:col>
      <xdr:colOff>571500</xdr:colOff>
      <xdr:row>3791</xdr:row>
      <xdr:rowOff>0</xdr:rowOff>
    </xdr:to>
    <xdr:pic>
      <xdr:nvPicPr>
        <xdr:cNvPr id="15629" name="Рисунок 15628">
          <a:extLst>
            <a:ext uri="{FF2B5EF4-FFF2-40B4-BE49-F238E27FC236}">
              <a16:creationId xmlns:a16="http://schemas.microsoft.com/office/drawing/2014/main" id="{FE0C43B3-A3B2-4CF7-8F94-D85A5F98329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4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162876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3791</xdr:row>
      <xdr:rowOff>25400</xdr:rowOff>
    </xdr:from>
    <xdr:to>
      <xdr:col>11</xdr:col>
      <xdr:colOff>571500</xdr:colOff>
      <xdr:row>3792</xdr:row>
      <xdr:rowOff>0</xdr:rowOff>
    </xdr:to>
    <xdr:pic>
      <xdr:nvPicPr>
        <xdr:cNvPr id="15631" name="Рисунок 15630">
          <a:extLst>
            <a:ext uri="{FF2B5EF4-FFF2-40B4-BE49-F238E27FC236}">
              <a16:creationId xmlns:a16="http://schemas.microsoft.com/office/drawing/2014/main" id="{FA34D536-A6BF-461B-BF69-F675EDAF1BE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4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163448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3792</xdr:row>
      <xdr:rowOff>25400</xdr:rowOff>
    </xdr:from>
    <xdr:to>
      <xdr:col>11</xdr:col>
      <xdr:colOff>571500</xdr:colOff>
      <xdr:row>3793</xdr:row>
      <xdr:rowOff>0</xdr:rowOff>
    </xdr:to>
    <xdr:pic>
      <xdr:nvPicPr>
        <xdr:cNvPr id="15633" name="Рисунок 15632">
          <a:extLst>
            <a:ext uri="{FF2B5EF4-FFF2-40B4-BE49-F238E27FC236}">
              <a16:creationId xmlns:a16="http://schemas.microsoft.com/office/drawing/2014/main" id="{6CEB6A2F-299C-4BAE-A50D-45978A00617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5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164019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3793</xdr:row>
      <xdr:rowOff>25400</xdr:rowOff>
    </xdr:from>
    <xdr:to>
      <xdr:col>11</xdr:col>
      <xdr:colOff>571500</xdr:colOff>
      <xdr:row>3794</xdr:row>
      <xdr:rowOff>0</xdr:rowOff>
    </xdr:to>
    <xdr:pic>
      <xdr:nvPicPr>
        <xdr:cNvPr id="15635" name="Рисунок 15634">
          <a:extLst>
            <a:ext uri="{FF2B5EF4-FFF2-40B4-BE49-F238E27FC236}">
              <a16:creationId xmlns:a16="http://schemas.microsoft.com/office/drawing/2014/main" id="{D80BE45E-0343-402E-A6FF-EC30047C455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5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164591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3794</xdr:row>
      <xdr:rowOff>25400</xdr:rowOff>
    </xdr:from>
    <xdr:to>
      <xdr:col>11</xdr:col>
      <xdr:colOff>571500</xdr:colOff>
      <xdr:row>3795</xdr:row>
      <xdr:rowOff>0</xdr:rowOff>
    </xdr:to>
    <xdr:pic>
      <xdr:nvPicPr>
        <xdr:cNvPr id="15637" name="Рисунок 15636">
          <a:extLst>
            <a:ext uri="{FF2B5EF4-FFF2-40B4-BE49-F238E27FC236}">
              <a16:creationId xmlns:a16="http://schemas.microsoft.com/office/drawing/2014/main" id="{89033D36-F90E-4502-AFFB-20E84B181B6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165162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3795</xdr:row>
      <xdr:rowOff>25400</xdr:rowOff>
    </xdr:from>
    <xdr:to>
      <xdr:col>11</xdr:col>
      <xdr:colOff>571500</xdr:colOff>
      <xdr:row>3796</xdr:row>
      <xdr:rowOff>0</xdr:rowOff>
    </xdr:to>
    <xdr:pic>
      <xdr:nvPicPr>
        <xdr:cNvPr id="15639" name="Рисунок 15638">
          <a:extLst>
            <a:ext uri="{FF2B5EF4-FFF2-40B4-BE49-F238E27FC236}">
              <a16:creationId xmlns:a16="http://schemas.microsoft.com/office/drawing/2014/main" id="{5F2515C5-4DD2-4A6F-A052-EF76393770F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5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165734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3796</xdr:row>
      <xdr:rowOff>25400</xdr:rowOff>
    </xdr:from>
    <xdr:to>
      <xdr:col>11</xdr:col>
      <xdr:colOff>571500</xdr:colOff>
      <xdr:row>3797</xdr:row>
      <xdr:rowOff>0</xdr:rowOff>
    </xdr:to>
    <xdr:pic>
      <xdr:nvPicPr>
        <xdr:cNvPr id="15641" name="Рисунок 15640">
          <a:extLst>
            <a:ext uri="{FF2B5EF4-FFF2-40B4-BE49-F238E27FC236}">
              <a16:creationId xmlns:a16="http://schemas.microsoft.com/office/drawing/2014/main" id="{80487B62-965D-43D3-A4EA-7E15E618DE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5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166305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3797</xdr:row>
      <xdr:rowOff>25400</xdr:rowOff>
    </xdr:from>
    <xdr:to>
      <xdr:col>11</xdr:col>
      <xdr:colOff>571500</xdr:colOff>
      <xdr:row>3798</xdr:row>
      <xdr:rowOff>0</xdr:rowOff>
    </xdr:to>
    <xdr:pic>
      <xdr:nvPicPr>
        <xdr:cNvPr id="15643" name="Рисунок 15642">
          <a:extLst>
            <a:ext uri="{FF2B5EF4-FFF2-40B4-BE49-F238E27FC236}">
              <a16:creationId xmlns:a16="http://schemas.microsoft.com/office/drawing/2014/main" id="{F358A4D5-9F8F-46F6-B712-309C707CB8A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5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166877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3798</xdr:row>
      <xdr:rowOff>25400</xdr:rowOff>
    </xdr:from>
    <xdr:to>
      <xdr:col>11</xdr:col>
      <xdr:colOff>571500</xdr:colOff>
      <xdr:row>3799</xdr:row>
      <xdr:rowOff>0</xdr:rowOff>
    </xdr:to>
    <xdr:pic>
      <xdr:nvPicPr>
        <xdr:cNvPr id="15645" name="Рисунок 15644">
          <a:extLst>
            <a:ext uri="{FF2B5EF4-FFF2-40B4-BE49-F238E27FC236}">
              <a16:creationId xmlns:a16="http://schemas.microsoft.com/office/drawing/2014/main" id="{7445CD4E-9007-4412-91EA-6FB4674C1EA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5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167448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3799</xdr:row>
      <xdr:rowOff>25400</xdr:rowOff>
    </xdr:from>
    <xdr:to>
      <xdr:col>11</xdr:col>
      <xdr:colOff>571500</xdr:colOff>
      <xdr:row>3800</xdr:row>
      <xdr:rowOff>0</xdr:rowOff>
    </xdr:to>
    <xdr:pic>
      <xdr:nvPicPr>
        <xdr:cNvPr id="15647" name="Рисунок 15646">
          <a:extLst>
            <a:ext uri="{FF2B5EF4-FFF2-40B4-BE49-F238E27FC236}">
              <a16:creationId xmlns:a16="http://schemas.microsoft.com/office/drawing/2014/main" id="{0C36BF83-67E6-4F71-8850-3F901482437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5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168020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3800</xdr:row>
      <xdr:rowOff>25400</xdr:rowOff>
    </xdr:from>
    <xdr:to>
      <xdr:col>11</xdr:col>
      <xdr:colOff>571500</xdr:colOff>
      <xdr:row>3801</xdr:row>
      <xdr:rowOff>0</xdr:rowOff>
    </xdr:to>
    <xdr:pic>
      <xdr:nvPicPr>
        <xdr:cNvPr id="15649" name="Рисунок 15648">
          <a:extLst>
            <a:ext uri="{FF2B5EF4-FFF2-40B4-BE49-F238E27FC236}">
              <a16:creationId xmlns:a16="http://schemas.microsoft.com/office/drawing/2014/main" id="{FEC83FF9-FF0D-415F-BDBB-5B8CCECE0B8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5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168591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3801</xdr:row>
      <xdr:rowOff>25400</xdr:rowOff>
    </xdr:from>
    <xdr:to>
      <xdr:col>11</xdr:col>
      <xdr:colOff>571500</xdr:colOff>
      <xdr:row>3802</xdr:row>
      <xdr:rowOff>0</xdr:rowOff>
    </xdr:to>
    <xdr:pic>
      <xdr:nvPicPr>
        <xdr:cNvPr id="15651" name="Рисунок 15650">
          <a:extLst>
            <a:ext uri="{FF2B5EF4-FFF2-40B4-BE49-F238E27FC236}">
              <a16:creationId xmlns:a16="http://schemas.microsoft.com/office/drawing/2014/main" id="{FDEA3E0A-55ED-4366-99E5-EECE3813C8D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5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169163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3802</xdr:row>
      <xdr:rowOff>25400</xdr:rowOff>
    </xdr:from>
    <xdr:to>
      <xdr:col>11</xdr:col>
      <xdr:colOff>571500</xdr:colOff>
      <xdr:row>3803</xdr:row>
      <xdr:rowOff>0</xdr:rowOff>
    </xdr:to>
    <xdr:pic>
      <xdr:nvPicPr>
        <xdr:cNvPr id="15653" name="Рисунок 15652">
          <a:extLst>
            <a:ext uri="{FF2B5EF4-FFF2-40B4-BE49-F238E27FC236}">
              <a16:creationId xmlns:a16="http://schemas.microsoft.com/office/drawing/2014/main" id="{2E5032C9-C801-4EAB-9155-4CFE5FD3685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6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169734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3803</xdr:row>
      <xdr:rowOff>25400</xdr:rowOff>
    </xdr:from>
    <xdr:to>
      <xdr:col>11</xdr:col>
      <xdr:colOff>571500</xdr:colOff>
      <xdr:row>3804</xdr:row>
      <xdr:rowOff>0</xdr:rowOff>
    </xdr:to>
    <xdr:pic>
      <xdr:nvPicPr>
        <xdr:cNvPr id="15655" name="Рисунок 15654">
          <a:extLst>
            <a:ext uri="{FF2B5EF4-FFF2-40B4-BE49-F238E27FC236}">
              <a16:creationId xmlns:a16="http://schemas.microsoft.com/office/drawing/2014/main" id="{4CA1A2B0-4882-4333-84FB-145529E4E72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6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170306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3804</xdr:row>
      <xdr:rowOff>25400</xdr:rowOff>
    </xdr:from>
    <xdr:to>
      <xdr:col>11</xdr:col>
      <xdr:colOff>571500</xdr:colOff>
      <xdr:row>3805</xdr:row>
      <xdr:rowOff>0</xdr:rowOff>
    </xdr:to>
    <xdr:pic>
      <xdr:nvPicPr>
        <xdr:cNvPr id="15657" name="Рисунок 15656">
          <a:extLst>
            <a:ext uri="{FF2B5EF4-FFF2-40B4-BE49-F238E27FC236}">
              <a16:creationId xmlns:a16="http://schemas.microsoft.com/office/drawing/2014/main" id="{F321776D-5F40-43FD-A830-C763C8FD1FB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6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170877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3805</xdr:row>
      <xdr:rowOff>25400</xdr:rowOff>
    </xdr:from>
    <xdr:to>
      <xdr:col>11</xdr:col>
      <xdr:colOff>571500</xdr:colOff>
      <xdr:row>3806</xdr:row>
      <xdr:rowOff>0</xdr:rowOff>
    </xdr:to>
    <xdr:pic>
      <xdr:nvPicPr>
        <xdr:cNvPr id="15659" name="Рисунок 15658">
          <a:extLst>
            <a:ext uri="{FF2B5EF4-FFF2-40B4-BE49-F238E27FC236}">
              <a16:creationId xmlns:a16="http://schemas.microsoft.com/office/drawing/2014/main" id="{06EBD5BB-5434-4442-9318-E17843A603B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6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171449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3806</xdr:row>
      <xdr:rowOff>25400</xdr:rowOff>
    </xdr:from>
    <xdr:to>
      <xdr:col>11</xdr:col>
      <xdr:colOff>571500</xdr:colOff>
      <xdr:row>3807</xdr:row>
      <xdr:rowOff>0</xdr:rowOff>
    </xdr:to>
    <xdr:pic>
      <xdr:nvPicPr>
        <xdr:cNvPr id="15661" name="Рисунок 15660">
          <a:extLst>
            <a:ext uri="{FF2B5EF4-FFF2-40B4-BE49-F238E27FC236}">
              <a16:creationId xmlns:a16="http://schemas.microsoft.com/office/drawing/2014/main" id="{2D1953A0-A1DD-4704-B2DD-01BC8B2E298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6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172020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3807</xdr:row>
      <xdr:rowOff>25400</xdr:rowOff>
    </xdr:from>
    <xdr:to>
      <xdr:col>11</xdr:col>
      <xdr:colOff>571500</xdr:colOff>
      <xdr:row>3808</xdr:row>
      <xdr:rowOff>0</xdr:rowOff>
    </xdr:to>
    <xdr:pic>
      <xdr:nvPicPr>
        <xdr:cNvPr id="15663" name="Рисунок 15662">
          <a:extLst>
            <a:ext uri="{FF2B5EF4-FFF2-40B4-BE49-F238E27FC236}">
              <a16:creationId xmlns:a16="http://schemas.microsoft.com/office/drawing/2014/main" id="{ED20BB69-072A-4316-A43B-A7418216892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6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172592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3808</xdr:row>
      <xdr:rowOff>25400</xdr:rowOff>
    </xdr:from>
    <xdr:to>
      <xdr:col>11</xdr:col>
      <xdr:colOff>571500</xdr:colOff>
      <xdr:row>3809</xdr:row>
      <xdr:rowOff>0</xdr:rowOff>
    </xdr:to>
    <xdr:pic>
      <xdr:nvPicPr>
        <xdr:cNvPr id="15665" name="Рисунок 15664">
          <a:extLst>
            <a:ext uri="{FF2B5EF4-FFF2-40B4-BE49-F238E27FC236}">
              <a16:creationId xmlns:a16="http://schemas.microsoft.com/office/drawing/2014/main" id="{D1937A5C-0E74-4B60-A28E-660B885B867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6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173163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3809</xdr:row>
      <xdr:rowOff>25400</xdr:rowOff>
    </xdr:from>
    <xdr:to>
      <xdr:col>11</xdr:col>
      <xdr:colOff>571500</xdr:colOff>
      <xdr:row>3810</xdr:row>
      <xdr:rowOff>0</xdr:rowOff>
    </xdr:to>
    <xdr:pic>
      <xdr:nvPicPr>
        <xdr:cNvPr id="15667" name="Рисунок 15666">
          <a:extLst>
            <a:ext uri="{FF2B5EF4-FFF2-40B4-BE49-F238E27FC236}">
              <a16:creationId xmlns:a16="http://schemas.microsoft.com/office/drawing/2014/main" id="{5A434624-AF9E-46AF-997A-603499B82A9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6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173735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3810</xdr:row>
      <xdr:rowOff>25400</xdr:rowOff>
    </xdr:from>
    <xdr:to>
      <xdr:col>11</xdr:col>
      <xdr:colOff>571500</xdr:colOff>
      <xdr:row>3811</xdr:row>
      <xdr:rowOff>0</xdr:rowOff>
    </xdr:to>
    <xdr:pic>
      <xdr:nvPicPr>
        <xdr:cNvPr id="15669" name="Рисунок 15668">
          <a:extLst>
            <a:ext uri="{FF2B5EF4-FFF2-40B4-BE49-F238E27FC236}">
              <a16:creationId xmlns:a16="http://schemas.microsoft.com/office/drawing/2014/main" id="{55843E56-6C58-4B32-A147-1AA9637E45F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6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174306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3811</xdr:row>
      <xdr:rowOff>25400</xdr:rowOff>
    </xdr:from>
    <xdr:to>
      <xdr:col>11</xdr:col>
      <xdr:colOff>571500</xdr:colOff>
      <xdr:row>3812</xdr:row>
      <xdr:rowOff>0</xdr:rowOff>
    </xdr:to>
    <xdr:pic>
      <xdr:nvPicPr>
        <xdr:cNvPr id="15671" name="Рисунок 15670">
          <a:extLst>
            <a:ext uri="{FF2B5EF4-FFF2-40B4-BE49-F238E27FC236}">
              <a16:creationId xmlns:a16="http://schemas.microsoft.com/office/drawing/2014/main" id="{3EDC589B-2DDD-417F-9928-10F1CE18D38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6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174878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3812</xdr:row>
      <xdr:rowOff>25400</xdr:rowOff>
    </xdr:from>
    <xdr:to>
      <xdr:col>11</xdr:col>
      <xdr:colOff>571500</xdr:colOff>
      <xdr:row>3813</xdr:row>
      <xdr:rowOff>0</xdr:rowOff>
    </xdr:to>
    <xdr:pic>
      <xdr:nvPicPr>
        <xdr:cNvPr id="15673" name="Рисунок 15672">
          <a:extLst>
            <a:ext uri="{FF2B5EF4-FFF2-40B4-BE49-F238E27FC236}">
              <a16:creationId xmlns:a16="http://schemas.microsoft.com/office/drawing/2014/main" id="{5EDF3889-C0EC-4ED8-9049-75FAFD91DF1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7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175449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3813</xdr:row>
      <xdr:rowOff>25400</xdr:rowOff>
    </xdr:from>
    <xdr:to>
      <xdr:col>11</xdr:col>
      <xdr:colOff>571500</xdr:colOff>
      <xdr:row>3814</xdr:row>
      <xdr:rowOff>0</xdr:rowOff>
    </xdr:to>
    <xdr:pic>
      <xdr:nvPicPr>
        <xdr:cNvPr id="15675" name="Рисунок 15674">
          <a:extLst>
            <a:ext uri="{FF2B5EF4-FFF2-40B4-BE49-F238E27FC236}">
              <a16:creationId xmlns:a16="http://schemas.microsoft.com/office/drawing/2014/main" id="{7CB423BC-2B50-4FBC-B85A-49A59BDAE8A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7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176021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3814</xdr:row>
      <xdr:rowOff>25400</xdr:rowOff>
    </xdr:from>
    <xdr:to>
      <xdr:col>11</xdr:col>
      <xdr:colOff>571500</xdr:colOff>
      <xdr:row>3815</xdr:row>
      <xdr:rowOff>0</xdr:rowOff>
    </xdr:to>
    <xdr:pic>
      <xdr:nvPicPr>
        <xdr:cNvPr id="15677" name="Рисунок 15676">
          <a:extLst>
            <a:ext uri="{FF2B5EF4-FFF2-40B4-BE49-F238E27FC236}">
              <a16:creationId xmlns:a16="http://schemas.microsoft.com/office/drawing/2014/main" id="{C6D1F8EE-E37A-420B-B9DD-2589596D1BD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7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176592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3815</xdr:row>
      <xdr:rowOff>25400</xdr:rowOff>
    </xdr:from>
    <xdr:to>
      <xdr:col>11</xdr:col>
      <xdr:colOff>571500</xdr:colOff>
      <xdr:row>3816</xdr:row>
      <xdr:rowOff>0</xdr:rowOff>
    </xdr:to>
    <xdr:pic>
      <xdr:nvPicPr>
        <xdr:cNvPr id="15679" name="Рисунок 15678">
          <a:extLst>
            <a:ext uri="{FF2B5EF4-FFF2-40B4-BE49-F238E27FC236}">
              <a16:creationId xmlns:a16="http://schemas.microsoft.com/office/drawing/2014/main" id="{0ED3B7E3-F506-4277-B10E-AE3BB738868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7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177164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3816</xdr:row>
      <xdr:rowOff>25400</xdr:rowOff>
    </xdr:from>
    <xdr:to>
      <xdr:col>11</xdr:col>
      <xdr:colOff>571500</xdr:colOff>
      <xdr:row>3817</xdr:row>
      <xdr:rowOff>0</xdr:rowOff>
    </xdr:to>
    <xdr:pic>
      <xdr:nvPicPr>
        <xdr:cNvPr id="15681" name="Рисунок 15680">
          <a:extLst>
            <a:ext uri="{FF2B5EF4-FFF2-40B4-BE49-F238E27FC236}">
              <a16:creationId xmlns:a16="http://schemas.microsoft.com/office/drawing/2014/main" id="{B06A4E28-CEDD-4484-BDAD-02D58C3278E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7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177735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3817</xdr:row>
      <xdr:rowOff>25400</xdr:rowOff>
    </xdr:from>
    <xdr:to>
      <xdr:col>11</xdr:col>
      <xdr:colOff>571500</xdr:colOff>
      <xdr:row>3818</xdr:row>
      <xdr:rowOff>0</xdr:rowOff>
    </xdr:to>
    <xdr:pic>
      <xdr:nvPicPr>
        <xdr:cNvPr id="15683" name="Рисунок 15682">
          <a:extLst>
            <a:ext uri="{FF2B5EF4-FFF2-40B4-BE49-F238E27FC236}">
              <a16:creationId xmlns:a16="http://schemas.microsoft.com/office/drawing/2014/main" id="{C84338B3-19EA-461C-8122-7DA7F7904FC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7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178307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3818</xdr:row>
      <xdr:rowOff>25400</xdr:rowOff>
    </xdr:from>
    <xdr:to>
      <xdr:col>11</xdr:col>
      <xdr:colOff>571500</xdr:colOff>
      <xdr:row>3819</xdr:row>
      <xdr:rowOff>0</xdr:rowOff>
    </xdr:to>
    <xdr:pic>
      <xdr:nvPicPr>
        <xdr:cNvPr id="15685" name="Рисунок 15684">
          <a:extLst>
            <a:ext uri="{FF2B5EF4-FFF2-40B4-BE49-F238E27FC236}">
              <a16:creationId xmlns:a16="http://schemas.microsoft.com/office/drawing/2014/main" id="{9A570B19-69C9-4686-BF1F-BF22F5495DB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7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178878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3819</xdr:row>
      <xdr:rowOff>25400</xdr:rowOff>
    </xdr:from>
    <xdr:to>
      <xdr:col>11</xdr:col>
      <xdr:colOff>571500</xdr:colOff>
      <xdr:row>3820</xdr:row>
      <xdr:rowOff>0</xdr:rowOff>
    </xdr:to>
    <xdr:pic>
      <xdr:nvPicPr>
        <xdr:cNvPr id="15687" name="Рисунок 15686">
          <a:extLst>
            <a:ext uri="{FF2B5EF4-FFF2-40B4-BE49-F238E27FC236}">
              <a16:creationId xmlns:a16="http://schemas.microsoft.com/office/drawing/2014/main" id="{6A8BAE7D-A781-4204-8DAD-8A1070A38DB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7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179450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3820</xdr:row>
      <xdr:rowOff>25400</xdr:rowOff>
    </xdr:from>
    <xdr:to>
      <xdr:col>11</xdr:col>
      <xdr:colOff>571500</xdr:colOff>
      <xdr:row>3821</xdr:row>
      <xdr:rowOff>0</xdr:rowOff>
    </xdr:to>
    <xdr:pic>
      <xdr:nvPicPr>
        <xdr:cNvPr id="15689" name="Рисунок 15688">
          <a:extLst>
            <a:ext uri="{FF2B5EF4-FFF2-40B4-BE49-F238E27FC236}">
              <a16:creationId xmlns:a16="http://schemas.microsoft.com/office/drawing/2014/main" id="{1EA85457-34B6-4C5B-9BC5-CD14D3BE791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7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180021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3821</xdr:row>
      <xdr:rowOff>25400</xdr:rowOff>
    </xdr:from>
    <xdr:to>
      <xdr:col>11</xdr:col>
      <xdr:colOff>571500</xdr:colOff>
      <xdr:row>3822</xdr:row>
      <xdr:rowOff>0</xdr:rowOff>
    </xdr:to>
    <xdr:pic>
      <xdr:nvPicPr>
        <xdr:cNvPr id="15691" name="Рисунок 15690">
          <a:extLst>
            <a:ext uri="{FF2B5EF4-FFF2-40B4-BE49-F238E27FC236}">
              <a16:creationId xmlns:a16="http://schemas.microsoft.com/office/drawing/2014/main" id="{7FFA9DD9-B400-4069-A0A3-EE158426CAC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7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180593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3822</xdr:row>
      <xdr:rowOff>25400</xdr:rowOff>
    </xdr:from>
    <xdr:to>
      <xdr:col>11</xdr:col>
      <xdr:colOff>571500</xdr:colOff>
      <xdr:row>3823</xdr:row>
      <xdr:rowOff>0</xdr:rowOff>
    </xdr:to>
    <xdr:pic>
      <xdr:nvPicPr>
        <xdr:cNvPr id="15693" name="Рисунок 15692">
          <a:extLst>
            <a:ext uri="{FF2B5EF4-FFF2-40B4-BE49-F238E27FC236}">
              <a16:creationId xmlns:a16="http://schemas.microsoft.com/office/drawing/2014/main" id="{AD50C178-DA55-4D3A-8C44-F1576FE37D9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8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181164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3823</xdr:row>
      <xdr:rowOff>25400</xdr:rowOff>
    </xdr:from>
    <xdr:to>
      <xdr:col>11</xdr:col>
      <xdr:colOff>571500</xdr:colOff>
      <xdr:row>3824</xdr:row>
      <xdr:rowOff>0</xdr:rowOff>
    </xdr:to>
    <xdr:pic>
      <xdr:nvPicPr>
        <xdr:cNvPr id="15695" name="Рисунок 15694">
          <a:extLst>
            <a:ext uri="{FF2B5EF4-FFF2-40B4-BE49-F238E27FC236}">
              <a16:creationId xmlns:a16="http://schemas.microsoft.com/office/drawing/2014/main" id="{3AB776B5-2C3D-45D3-B7D2-D81099ED5EB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8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181736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3824</xdr:row>
      <xdr:rowOff>25400</xdr:rowOff>
    </xdr:from>
    <xdr:to>
      <xdr:col>11</xdr:col>
      <xdr:colOff>571500</xdr:colOff>
      <xdr:row>3825</xdr:row>
      <xdr:rowOff>0</xdr:rowOff>
    </xdr:to>
    <xdr:pic>
      <xdr:nvPicPr>
        <xdr:cNvPr id="15697" name="Рисунок 15696">
          <a:extLst>
            <a:ext uri="{FF2B5EF4-FFF2-40B4-BE49-F238E27FC236}">
              <a16:creationId xmlns:a16="http://schemas.microsoft.com/office/drawing/2014/main" id="{3454A7CA-4CAA-4138-B972-F2D2B054248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8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182307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3825</xdr:row>
      <xdr:rowOff>25400</xdr:rowOff>
    </xdr:from>
    <xdr:to>
      <xdr:col>11</xdr:col>
      <xdr:colOff>571500</xdr:colOff>
      <xdr:row>3826</xdr:row>
      <xdr:rowOff>0</xdr:rowOff>
    </xdr:to>
    <xdr:pic>
      <xdr:nvPicPr>
        <xdr:cNvPr id="15699" name="Рисунок 15698">
          <a:extLst>
            <a:ext uri="{FF2B5EF4-FFF2-40B4-BE49-F238E27FC236}">
              <a16:creationId xmlns:a16="http://schemas.microsoft.com/office/drawing/2014/main" id="{5D330C71-1368-429D-A487-DCBA4A18423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8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182879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3826</xdr:row>
      <xdr:rowOff>25400</xdr:rowOff>
    </xdr:from>
    <xdr:to>
      <xdr:col>11</xdr:col>
      <xdr:colOff>571500</xdr:colOff>
      <xdr:row>3827</xdr:row>
      <xdr:rowOff>0</xdr:rowOff>
    </xdr:to>
    <xdr:pic>
      <xdr:nvPicPr>
        <xdr:cNvPr id="15701" name="Рисунок 15700">
          <a:extLst>
            <a:ext uri="{FF2B5EF4-FFF2-40B4-BE49-F238E27FC236}">
              <a16:creationId xmlns:a16="http://schemas.microsoft.com/office/drawing/2014/main" id="{C9EB5589-6830-4E3D-B4CE-618BFD12FB2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8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183450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3827</xdr:row>
      <xdr:rowOff>25400</xdr:rowOff>
    </xdr:from>
    <xdr:to>
      <xdr:col>11</xdr:col>
      <xdr:colOff>571500</xdr:colOff>
      <xdr:row>3828</xdr:row>
      <xdr:rowOff>0</xdr:rowOff>
    </xdr:to>
    <xdr:pic>
      <xdr:nvPicPr>
        <xdr:cNvPr id="15703" name="Рисунок 15702">
          <a:extLst>
            <a:ext uri="{FF2B5EF4-FFF2-40B4-BE49-F238E27FC236}">
              <a16:creationId xmlns:a16="http://schemas.microsoft.com/office/drawing/2014/main" id="{B77EFFC4-7725-49C1-84E0-F5AA35FFC5C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8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184022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3828</xdr:row>
      <xdr:rowOff>25400</xdr:rowOff>
    </xdr:from>
    <xdr:to>
      <xdr:col>11</xdr:col>
      <xdr:colOff>571500</xdr:colOff>
      <xdr:row>3829</xdr:row>
      <xdr:rowOff>0</xdr:rowOff>
    </xdr:to>
    <xdr:pic>
      <xdr:nvPicPr>
        <xdr:cNvPr id="15705" name="Рисунок 15704">
          <a:extLst>
            <a:ext uri="{FF2B5EF4-FFF2-40B4-BE49-F238E27FC236}">
              <a16:creationId xmlns:a16="http://schemas.microsoft.com/office/drawing/2014/main" id="{EC6F11A9-6CDB-4D9C-9342-CD6B9135DFC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8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184593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3829</xdr:row>
      <xdr:rowOff>25400</xdr:rowOff>
    </xdr:from>
    <xdr:to>
      <xdr:col>11</xdr:col>
      <xdr:colOff>571500</xdr:colOff>
      <xdr:row>3830</xdr:row>
      <xdr:rowOff>0</xdr:rowOff>
    </xdr:to>
    <xdr:pic>
      <xdr:nvPicPr>
        <xdr:cNvPr id="15707" name="Рисунок 15706">
          <a:extLst>
            <a:ext uri="{FF2B5EF4-FFF2-40B4-BE49-F238E27FC236}">
              <a16:creationId xmlns:a16="http://schemas.microsoft.com/office/drawing/2014/main" id="{567C1EAA-832E-4409-B391-F3CBE42AA1E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8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185165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3830</xdr:row>
      <xdr:rowOff>25400</xdr:rowOff>
    </xdr:from>
    <xdr:to>
      <xdr:col>11</xdr:col>
      <xdr:colOff>571500</xdr:colOff>
      <xdr:row>3831</xdr:row>
      <xdr:rowOff>0</xdr:rowOff>
    </xdr:to>
    <xdr:pic>
      <xdr:nvPicPr>
        <xdr:cNvPr id="15709" name="Рисунок 15708">
          <a:extLst>
            <a:ext uri="{FF2B5EF4-FFF2-40B4-BE49-F238E27FC236}">
              <a16:creationId xmlns:a16="http://schemas.microsoft.com/office/drawing/2014/main" id="{0ED65156-7D70-4659-81E3-2B48F95E42F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8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185736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3831</xdr:row>
      <xdr:rowOff>25400</xdr:rowOff>
    </xdr:from>
    <xdr:to>
      <xdr:col>11</xdr:col>
      <xdr:colOff>571500</xdr:colOff>
      <xdr:row>3832</xdr:row>
      <xdr:rowOff>0</xdr:rowOff>
    </xdr:to>
    <xdr:pic>
      <xdr:nvPicPr>
        <xdr:cNvPr id="15711" name="Рисунок 15710">
          <a:extLst>
            <a:ext uri="{FF2B5EF4-FFF2-40B4-BE49-F238E27FC236}">
              <a16:creationId xmlns:a16="http://schemas.microsoft.com/office/drawing/2014/main" id="{1E7D3E03-56C1-4DDB-89E1-5E58BC728E7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8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186308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3832</xdr:row>
      <xdr:rowOff>25400</xdr:rowOff>
    </xdr:from>
    <xdr:to>
      <xdr:col>11</xdr:col>
      <xdr:colOff>571500</xdr:colOff>
      <xdr:row>3833</xdr:row>
      <xdr:rowOff>0</xdr:rowOff>
    </xdr:to>
    <xdr:pic>
      <xdr:nvPicPr>
        <xdr:cNvPr id="15713" name="Рисунок 15712">
          <a:extLst>
            <a:ext uri="{FF2B5EF4-FFF2-40B4-BE49-F238E27FC236}">
              <a16:creationId xmlns:a16="http://schemas.microsoft.com/office/drawing/2014/main" id="{79D374FD-E3F0-4679-A801-1ADC38DFBA5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9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186879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3833</xdr:row>
      <xdr:rowOff>25400</xdr:rowOff>
    </xdr:from>
    <xdr:to>
      <xdr:col>11</xdr:col>
      <xdr:colOff>571500</xdr:colOff>
      <xdr:row>3834</xdr:row>
      <xdr:rowOff>0</xdr:rowOff>
    </xdr:to>
    <xdr:pic>
      <xdr:nvPicPr>
        <xdr:cNvPr id="15715" name="Рисунок 15714">
          <a:extLst>
            <a:ext uri="{FF2B5EF4-FFF2-40B4-BE49-F238E27FC236}">
              <a16:creationId xmlns:a16="http://schemas.microsoft.com/office/drawing/2014/main" id="{2CC5FB15-361E-499F-A6AD-88CD15BDF0E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9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187451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3834</xdr:row>
      <xdr:rowOff>25400</xdr:rowOff>
    </xdr:from>
    <xdr:to>
      <xdr:col>11</xdr:col>
      <xdr:colOff>571500</xdr:colOff>
      <xdr:row>3835</xdr:row>
      <xdr:rowOff>0</xdr:rowOff>
    </xdr:to>
    <xdr:pic>
      <xdr:nvPicPr>
        <xdr:cNvPr id="15717" name="Рисунок 15716">
          <a:extLst>
            <a:ext uri="{FF2B5EF4-FFF2-40B4-BE49-F238E27FC236}">
              <a16:creationId xmlns:a16="http://schemas.microsoft.com/office/drawing/2014/main" id="{180A9F41-A805-4051-BC27-053B8006A32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9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188022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3835</xdr:row>
      <xdr:rowOff>25400</xdr:rowOff>
    </xdr:from>
    <xdr:to>
      <xdr:col>11</xdr:col>
      <xdr:colOff>571500</xdr:colOff>
      <xdr:row>3836</xdr:row>
      <xdr:rowOff>0</xdr:rowOff>
    </xdr:to>
    <xdr:pic>
      <xdr:nvPicPr>
        <xdr:cNvPr id="15719" name="Рисунок 15718">
          <a:extLst>
            <a:ext uri="{FF2B5EF4-FFF2-40B4-BE49-F238E27FC236}">
              <a16:creationId xmlns:a16="http://schemas.microsoft.com/office/drawing/2014/main" id="{83E44920-B0E0-486F-A54F-F668F384688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9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188594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3836</xdr:row>
      <xdr:rowOff>25400</xdr:rowOff>
    </xdr:from>
    <xdr:to>
      <xdr:col>11</xdr:col>
      <xdr:colOff>571500</xdr:colOff>
      <xdr:row>3837</xdr:row>
      <xdr:rowOff>0</xdr:rowOff>
    </xdr:to>
    <xdr:pic>
      <xdr:nvPicPr>
        <xdr:cNvPr id="15721" name="Рисунок 15720">
          <a:extLst>
            <a:ext uri="{FF2B5EF4-FFF2-40B4-BE49-F238E27FC236}">
              <a16:creationId xmlns:a16="http://schemas.microsoft.com/office/drawing/2014/main" id="{3E8C95F3-AC34-416D-BEBE-C24AE6D3A0B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9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189165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3837</xdr:row>
      <xdr:rowOff>25400</xdr:rowOff>
    </xdr:from>
    <xdr:to>
      <xdr:col>11</xdr:col>
      <xdr:colOff>571500</xdr:colOff>
      <xdr:row>3838</xdr:row>
      <xdr:rowOff>0</xdr:rowOff>
    </xdr:to>
    <xdr:pic>
      <xdr:nvPicPr>
        <xdr:cNvPr id="15723" name="Рисунок 15722">
          <a:extLst>
            <a:ext uri="{FF2B5EF4-FFF2-40B4-BE49-F238E27FC236}">
              <a16:creationId xmlns:a16="http://schemas.microsoft.com/office/drawing/2014/main" id="{F26A8333-61E3-462D-B5FC-E19D2F27A41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9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189737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3838</xdr:row>
      <xdr:rowOff>25400</xdr:rowOff>
    </xdr:from>
    <xdr:to>
      <xdr:col>11</xdr:col>
      <xdr:colOff>571500</xdr:colOff>
      <xdr:row>3839</xdr:row>
      <xdr:rowOff>0</xdr:rowOff>
    </xdr:to>
    <xdr:pic>
      <xdr:nvPicPr>
        <xdr:cNvPr id="15725" name="Рисунок 15724">
          <a:extLst>
            <a:ext uri="{FF2B5EF4-FFF2-40B4-BE49-F238E27FC236}">
              <a16:creationId xmlns:a16="http://schemas.microsoft.com/office/drawing/2014/main" id="{0B1D3B0B-659A-4D09-80A6-E24389CA863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9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190308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3839</xdr:row>
      <xdr:rowOff>25400</xdr:rowOff>
    </xdr:from>
    <xdr:to>
      <xdr:col>11</xdr:col>
      <xdr:colOff>571500</xdr:colOff>
      <xdr:row>3840</xdr:row>
      <xdr:rowOff>0</xdr:rowOff>
    </xdr:to>
    <xdr:pic>
      <xdr:nvPicPr>
        <xdr:cNvPr id="15727" name="Рисунок 15726">
          <a:extLst>
            <a:ext uri="{FF2B5EF4-FFF2-40B4-BE49-F238E27FC236}">
              <a16:creationId xmlns:a16="http://schemas.microsoft.com/office/drawing/2014/main" id="{6DEB3ED4-31A3-48AE-A040-A49AEFBA347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9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190880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3840</xdr:row>
      <xdr:rowOff>25400</xdr:rowOff>
    </xdr:from>
    <xdr:to>
      <xdr:col>11</xdr:col>
      <xdr:colOff>571500</xdr:colOff>
      <xdr:row>3841</xdr:row>
      <xdr:rowOff>0</xdr:rowOff>
    </xdr:to>
    <xdr:pic>
      <xdr:nvPicPr>
        <xdr:cNvPr id="15729" name="Рисунок 15728">
          <a:extLst>
            <a:ext uri="{FF2B5EF4-FFF2-40B4-BE49-F238E27FC236}">
              <a16:creationId xmlns:a16="http://schemas.microsoft.com/office/drawing/2014/main" id="{9FD9FDE7-6969-4F70-BC9D-EA52AE1E3ED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9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191451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3841</xdr:row>
      <xdr:rowOff>25400</xdr:rowOff>
    </xdr:from>
    <xdr:to>
      <xdr:col>11</xdr:col>
      <xdr:colOff>571500</xdr:colOff>
      <xdr:row>3842</xdr:row>
      <xdr:rowOff>0</xdr:rowOff>
    </xdr:to>
    <xdr:pic>
      <xdr:nvPicPr>
        <xdr:cNvPr id="15731" name="Рисунок 15730">
          <a:extLst>
            <a:ext uri="{FF2B5EF4-FFF2-40B4-BE49-F238E27FC236}">
              <a16:creationId xmlns:a16="http://schemas.microsoft.com/office/drawing/2014/main" id="{79B419B9-075B-4ADD-AC3A-F7831991AED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79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192023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3842</xdr:row>
      <xdr:rowOff>25400</xdr:rowOff>
    </xdr:from>
    <xdr:to>
      <xdr:col>11</xdr:col>
      <xdr:colOff>571500</xdr:colOff>
      <xdr:row>3843</xdr:row>
      <xdr:rowOff>0</xdr:rowOff>
    </xdr:to>
    <xdr:pic>
      <xdr:nvPicPr>
        <xdr:cNvPr id="15733" name="Рисунок 15732">
          <a:extLst>
            <a:ext uri="{FF2B5EF4-FFF2-40B4-BE49-F238E27FC236}">
              <a16:creationId xmlns:a16="http://schemas.microsoft.com/office/drawing/2014/main" id="{4B7CE70C-B792-4E88-8F97-FC7B3524C76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0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192594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3843</xdr:row>
      <xdr:rowOff>25400</xdr:rowOff>
    </xdr:from>
    <xdr:to>
      <xdr:col>11</xdr:col>
      <xdr:colOff>571500</xdr:colOff>
      <xdr:row>3844</xdr:row>
      <xdr:rowOff>0</xdr:rowOff>
    </xdr:to>
    <xdr:pic>
      <xdr:nvPicPr>
        <xdr:cNvPr id="15735" name="Рисунок 15734">
          <a:extLst>
            <a:ext uri="{FF2B5EF4-FFF2-40B4-BE49-F238E27FC236}">
              <a16:creationId xmlns:a16="http://schemas.microsoft.com/office/drawing/2014/main" id="{E0B30C9B-1DF0-4E49-AA52-47762B9C80C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0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193166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3844</xdr:row>
      <xdr:rowOff>25400</xdr:rowOff>
    </xdr:from>
    <xdr:to>
      <xdr:col>11</xdr:col>
      <xdr:colOff>571500</xdr:colOff>
      <xdr:row>3845</xdr:row>
      <xdr:rowOff>0</xdr:rowOff>
    </xdr:to>
    <xdr:pic>
      <xdr:nvPicPr>
        <xdr:cNvPr id="15737" name="Рисунок 15736">
          <a:extLst>
            <a:ext uri="{FF2B5EF4-FFF2-40B4-BE49-F238E27FC236}">
              <a16:creationId xmlns:a16="http://schemas.microsoft.com/office/drawing/2014/main" id="{FC4A4DF3-ED9C-456F-9527-7D4B5A1379F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0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193737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3845</xdr:row>
      <xdr:rowOff>25400</xdr:rowOff>
    </xdr:from>
    <xdr:to>
      <xdr:col>11</xdr:col>
      <xdr:colOff>571500</xdr:colOff>
      <xdr:row>3846</xdr:row>
      <xdr:rowOff>0</xdr:rowOff>
    </xdr:to>
    <xdr:pic>
      <xdr:nvPicPr>
        <xdr:cNvPr id="15739" name="Рисунок 15738">
          <a:extLst>
            <a:ext uri="{FF2B5EF4-FFF2-40B4-BE49-F238E27FC236}">
              <a16:creationId xmlns:a16="http://schemas.microsoft.com/office/drawing/2014/main" id="{FEC6FE77-0796-445A-A172-0FD64939DD1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0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194309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3846</xdr:row>
      <xdr:rowOff>25400</xdr:rowOff>
    </xdr:from>
    <xdr:to>
      <xdr:col>11</xdr:col>
      <xdr:colOff>571500</xdr:colOff>
      <xdr:row>3847</xdr:row>
      <xdr:rowOff>0</xdr:rowOff>
    </xdr:to>
    <xdr:pic>
      <xdr:nvPicPr>
        <xdr:cNvPr id="15741" name="Рисунок 15740">
          <a:extLst>
            <a:ext uri="{FF2B5EF4-FFF2-40B4-BE49-F238E27FC236}">
              <a16:creationId xmlns:a16="http://schemas.microsoft.com/office/drawing/2014/main" id="{C8D6BF09-3C74-43CE-A3BB-717E40A082F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0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194880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3847</xdr:row>
      <xdr:rowOff>25400</xdr:rowOff>
    </xdr:from>
    <xdr:to>
      <xdr:col>11</xdr:col>
      <xdr:colOff>571500</xdr:colOff>
      <xdr:row>3848</xdr:row>
      <xdr:rowOff>0</xdr:rowOff>
    </xdr:to>
    <xdr:pic>
      <xdr:nvPicPr>
        <xdr:cNvPr id="15743" name="Рисунок 15742">
          <a:extLst>
            <a:ext uri="{FF2B5EF4-FFF2-40B4-BE49-F238E27FC236}">
              <a16:creationId xmlns:a16="http://schemas.microsoft.com/office/drawing/2014/main" id="{FB443FE8-0C6C-40BC-876D-FE133CA558B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0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195452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3848</xdr:row>
      <xdr:rowOff>25400</xdr:rowOff>
    </xdr:from>
    <xdr:to>
      <xdr:col>11</xdr:col>
      <xdr:colOff>571500</xdr:colOff>
      <xdr:row>3849</xdr:row>
      <xdr:rowOff>0</xdr:rowOff>
    </xdr:to>
    <xdr:pic>
      <xdr:nvPicPr>
        <xdr:cNvPr id="15745" name="Рисунок 15744">
          <a:extLst>
            <a:ext uri="{FF2B5EF4-FFF2-40B4-BE49-F238E27FC236}">
              <a16:creationId xmlns:a16="http://schemas.microsoft.com/office/drawing/2014/main" id="{E1A82293-1B72-43C6-9C25-5DC448E38E7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0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196023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3849</xdr:row>
      <xdr:rowOff>25400</xdr:rowOff>
    </xdr:from>
    <xdr:to>
      <xdr:col>11</xdr:col>
      <xdr:colOff>571500</xdr:colOff>
      <xdr:row>3850</xdr:row>
      <xdr:rowOff>0</xdr:rowOff>
    </xdr:to>
    <xdr:pic>
      <xdr:nvPicPr>
        <xdr:cNvPr id="15747" name="Рисунок 15746">
          <a:extLst>
            <a:ext uri="{FF2B5EF4-FFF2-40B4-BE49-F238E27FC236}">
              <a16:creationId xmlns:a16="http://schemas.microsoft.com/office/drawing/2014/main" id="{CE1B94A4-B0EF-4DF9-9540-82057CD77EB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0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196595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3850</xdr:row>
      <xdr:rowOff>25400</xdr:rowOff>
    </xdr:from>
    <xdr:to>
      <xdr:col>11</xdr:col>
      <xdr:colOff>571500</xdr:colOff>
      <xdr:row>3851</xdr:row>
      <xdr:rowOff>0</xdr:rowOff>
    </xdr:to>
    <xdr:pic>
      <xdr:nvPicPr>
        <xdr:cNvPr id="15749" name="Рисунок 15748">
          <a:extLst>
            <a:ext uri="{FF2B5EF4-FFF2-40B4-BE49-F238E27FC236}">
              <a16:creationId xmlns:a16="http://schemas.microsoft.com/office/drawing/2014/main" id="{BBC6AB05-3B67-4CFA-92D0-4FA477DF699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0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197166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3851</xdr:row>
      <xdr:rowOff>25400</xdr:rowOff>
    </xdr:from>
    <xdr:to>
      <xdr:col>11</xdr:col>
      <xdr:colOff>571500</xdr:colOff>
      <xdr:row>3852</xdr:row>
      <xdr:rowOff>0</xdr:rowOff>
    </xdr:to>
    <xdr:pic>
      <xdr:nvPicPr>
        <xdr:cNvPr id="15751" name="Рисунок 15750">
          <a:extLst>
            <a:ext uri="{FF2B5EF4-FFF2-40B4-BE49-F238E27FC236}">
              <a16:creationId xmlns:a16="http://schemas.microsoft.com/office/drawing/2014/main" id="{87EA72C0-2CFB-4C70-AEFA-993F593B071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0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197738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3852</xdr:row>
      <xdr:rowOff>25400</xdr:rowOff>
    </xdr:from>
    <xdr:to>
      <xdr:col>11</xdr:col>
      <xdr:colOff>571500</xdr:colOff>
      <xdr:row>3853</xdr:row>
      <xdr:rowOff>0</xdr:rowOff>
    </xdr:to>
    <xdr:pic>
      <xdr:nvPicPr>
        <xdr:cNvPr id="15753" name="Рисунок 15752">
          <a:extLst>
            <a:ext uri="{FF2B5EF4-FFF2-40B4-BE49-F238E27FC236}">
              <a16:creationId xmlns:a16="http://schemas.microsoft.com/office/drawing/2014/main" id="{A1233D8D-2E02-4F79-9B52-D84D5620B1A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198309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3853</xdr:row>
      <xdr:rowOff>25400</xdr:rowOff>
    </xdr:from>
    <xdr:to>
      <xdr:col>11</xdr:col>
      <xdr:colOff>571500</xdr:colOff>
      <xdr:row>3854</xdr:row>
      <xdr:rowOff>0</xdr:rowOff>
    </xdr:to>
    <xdr:pic>
      <xdr:nvPicPr>
        <xdr:cNvPr id="15755" name="Рисунок 15754">
          <a:extLst>
            <a:ext uri="{FF2B5EF4-FFF2-40B4-BE49-F238E27FC236}">
              <a16:creationId xmlns:a16="http://schemas.microsoft.com/office/drawing/2014/main" id="{1AA5F94A-9E1A-45EE-819C-1DB5FCB5054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198881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3854</xdr:row>
      <xdr:rowOff>25400</xdr:rowOff>
    </xdr:from>
    <xdr:to>
      <xdr:col>11</xdr:col>
      <xdr:colOff>571500</xdr:colOff>
      <xdr:row>3855</xdr:row>
      <xdr:rowOff>0</xdr:rowOff>
    </xdr:to>
    <xdr:pic>
      <xdr:nvPicPr>
        <xdr:cNvPr id="15757" name="Рисунок 15756">
          <a:extLst>
            <a:ext uri="{FF2B5EF4-FFF2-40B4-BE49-F238E27FC236}">
              <a16:creationId xmlns:a16="http://schemas.microsoft.com/office/drawing/2014/main" id="{5B6FCE50-884F-4F21-91DD-3BB718BA6CF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199452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3855</xdr:row>
      <xdr:rowOff>25400</xdr:rowOff>
    </xdr:from>
    <xdr:to>
      <xdr:col>11</xdr:col>
      <xdr:colOff>571500</xdr:colOff>
      <xdr:row>3856</xdr:row>
      <xdr:rowOff>0</xdr:rowOff>
    </xdr:to>
    <xdr:pic>
      <xdr:nvPicPr>
        <xdr:cNvPr id="15759" name="Рисунок 15758">
          <a:extLst>
            <a:ext uri="{FF2B5EF4-FFF2-40B4-BE49-F238E27FC236}">
              <a16:creationId xmlns:a16="http://schemas.microsoft.com/office/drawing/2014/main" id="{633CFB4F-88B4-4365-8D33-42BC4227D3E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200024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3856</xdr:row>
      <xdr:rowOff>25400</xdr:rowOff>
    </xdr:from>
    <xdr:to>
      <xdr:col>11</xdr:col>
      <xdr:colOff>571500</xdr:colOff>
      <xdr:row>3857</xdr:row>
      <xdr:rowOff>0</xdr:rowOff>
    </xdr:to>
    <xdr:pic>
      <xdr:nvPicPr>
        <xdr:cNvPr id="15761" name="Рисунок 15760">
          <a:extLst>
            <a:ext uri="{FF2B5EF4-FFF2-40B4-BE49-F238E27FC236}">
              <a16:creationId xmlns:a16="http://schemas.microsoft.com/office/drawing/2014/main" id="{EB761802-49AC-47E4-86FE-45AA8E71AFB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200595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3857</xdr:row>
      <xdr:rowOff>25400</xdr:rowOff>
    </xdr:from>
    <xdr:to>
      <xdr:col>11</xdr:col>
      <xdr:colOff>571500</xdr:colOff>
      <xdr:row>3858</xdr:row>
      <xdr:rowOff>0</xdr:rowOff>
    </xdr:to>
    <xdr:pic>
      <xdr:nvPicPr>
        <xdr:cNvPr id="15763" name="Рисунок 15762">
          <a:extLst>
            <a:ext uri="{FF2B5EF4-FFF2-40B4-BE49-F238E27FC236}">
              <a16:creationId xmlns:a16="http://schemas.microsoft.com/office/drawing/2014/main" id="{0D34B13D-B51F-4648-9614-87C1D778CE9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201167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3858</xdr:row>
      <xdr:rowOff>25400</xdr:rowOff>
    </xdr:from>
    <xdr:to>
      <xdr:col>11</xdr:col>
      <xdr:colOff>571500</xdr:colOff>
      <xdr:row>3859</xdr:row>
      <xdr:rowOff>0</xdr:rowOff>
    </xdr:to>
    <xdr:pic>
      <xdr:nvPicPr>
        <xdr:cNvPr id="15765" name="Рисунок 15764">
          <a:extLst>
            <a:ext uri="{FF2B5EF4-FFF2-40B4-BE49-F238E27FC236}">
              <a16:creationId xmlns:a16="http://schemas.microsoft.com/office/drawing/2014/main" id="{330A43F3-33BA-4CD5-94BA-F48299D0CE8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201738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3859</xdr:row>
      <xdr:rowOff>25400</xdr:rowOff>
    </xdr:from>
    <xdr:to>
      <xdr:col>11</xdr:col>
      <xdr:colOff>571500</xdr:colOff>
      <xdr:row>3860</xdr:row>
      <xdr:rowOff>0</xdr:rowOff>
    </xdr:to>
    <xdr:pic>
      <xdr:nvPicPr>
        <xdr:cNvPr id="15767" name="Рисунок 15766">
          <a:extLst>
            <a:ext uri="{FF2B5EF4-FFF2-40B4-BE49-F238E27FC236}">
              <a16:creationId xmlns:a16="http://schemas.microsoft.com/office/drawing/2014/main" id="{9EA8118F-2310-43A4-8526-2DA891814D1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202310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3860</xdr:row>
      <xdr:rowOff>25400</xdr:rowOff>
    </xdr:from>
    <xdr:to>
      <xdr:col>11</xdr:col>
      <xdr:colOff>571500</xdr:colOff>
      <xdr:row>3861</xdr:row>
      <xdr:rowOff>0</xdr:rowOff>
    </xdr:to>
    <xdr:pic>
      <xdr:nvPicPr>
        <xdr:cNvPr id="15769" name="Рисунок 15768">
          <a:extLst>
            <a:ext uri="{FF2B5EF4-FFF2-40B4-BE49-F238E27FC236}">
              <a16:creationId xmlns:a16="http://schemas.microsoft.com/office/drawing/2014/main" id="{6AFDCCB3-B572-4F3E-9898-D9E8B6F96EE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202881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3861</xdr:row>
      <xdr:rowOff>25400</xdr:rowOff>
    </xdr:from>
    <xdr:to>
      <xdr:col>11</xdr:col>
      <xdr:colOff>571500</xdr:colOff>
      <xdr:row>3862</xdr:row>
      <xdr:rowOff>0</xdr:rowOff>
    </xdr:to>
    <xdr:pic>
      <xdr:nvPicPr>
        <xdr:cNvPr id="15771" name="Рисунок 15770">
          <a:extLst>
            <a:ext uri="{FF2B5EF4-FFF2-40B4-BE49-F238E27FC236}">
              <a16:creationId xmlns:a16="http://schemas.microsoft.com/office/drawing/2014/main" id="{07DC6900-E6DC-4A75-BAD7-1882EBA1C55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203453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3862</xdr:row>
      <xdr:rowOff>25400</xdr:rowOff>
    </xdr:from>
    <xdr:to>
      <xdr:col>11</xdr:col>
      <xdr:colOff>571500</xdr:colOff>
      <xdr:row>3863</xdr:row>
      <xdr:rowOff>0</xdr:rowOff>
    </xdr:to>
    <xdr:pic>
      <xdr:nvPicPr>
        <xdr:cNvPr id="15773" name="Рисунок 15772">
          <a:extLst>
            <a:ext uri="{FF2B5EF4-FFF2-40B4-BE49-F238E27FC236}">
              <a16:creationId xmlns:a16="http://schemas.microsoft.com/office/drawing/2014/main" id="{A44E8437-7BD9-4BD3-8362-B02A795B57B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204024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3863</xdr:row>
      <xdr:rowOff>25400</xdr:rowOff>
    </xdr:from>
    <xdr:to>
      <xdr:col>11</xdr:col>
      <xdr:colOff>571500</xdr:colOff>
      <xdr:row>3864</xdr:row>
      <xdr:rowOff>0</xdr:rowOff>
    </xdr:to>
    <xdr:pic>
      <xdr:nvPicPr>
        <xdr:cNvPr id="15775" name="Рисунок 15774">
          <a:extLst>
            <a:ext uri="{FF2B5EF4-FFF2-40B4-BE49-F238E27FC236}">
              <a16:creationId xmlns:a16="http://schemas.microsoft.com/office/drawing/2014/main" id="{87589655-41F7-461A-8051-F301DA63A3E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204596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3864</xdr:row>
      <xdr:rowOff>25400</xdr:rowOff>
    </xdr:from>
    <xdr:to>
      <xdr:col>11</xdr:col>
      <xdr:colOff>571500</xdr:colOff>
      <xdr:row>3865</xdr:row>
      <xdr:rowOff>0</xdr:rowOff>
    </xdr:to>
    <xdr:pic>
      <xdr:nvPicPr>
        <xdr:cNvPr id="15777" name="Рисунок 15776">
          <a:extLst>
            <a:ext uri="{FF2B5EF4-FFF2-40B4-BE49-F238E27FC236}">
              <a16:creationId xmlns:a16="http://schemas.microsoft.com/office/drawing/2014/main" id="{BDA2189D-C45C-47CF-B799-C246F2311B4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205167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3865</xdr:row>
      <xdr:rowOff>25400</xdr:rowOff>
    </xdr:from>
    <xdr:to>
      <xdr:col>11</xdr:col>
      <xdr:colOff>571500</xdr:colOff>
      <xdr:row>3866</xdr:row>
      <xdr:rowOff>0</xdr:rowOff>
    </xdr:to>
    <xdr:pic>
      <xdr:nvPicPr>
        <xdr:cNvPr id="15779" name="Рисунок 15778">
          <a:extLst>
            <a:ext uri="{FF2B5EF4-FFF2-40B4-BE49-F238E27FC236}">
              <a16:creationId xmlns:a16="http://schemas.microsoft.com/office/drawing/2014/main" id="{ED40CA08-09EC-483A-B152-599D21B1141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205739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3866</xdr:row>
      <xdr:rowOff>25400</xdr:rowOff>
    </xdr:from>
    <xdr:to>
      <xdr:col>11</xdr:col>
      <xdr:colOff>571500</xdr:colOff>
      <xdr:row>3867</xdr:row>
      <xdr:rowOff>0</xdr:rowOff>
    </xdr:to>
    <xdr:pic>
      <xdr:nvPicPr>
        <xdr:cNvPr id="15781" name="Рисунок 15780">
          <a:extLst>
            <a:ext uri="{FF2B5EF4-FFF2-40B4-BE49-F238E27FC236}">
              <a16:creationId xmlns:a16="http://schemas.microsoft.com/office/drawing/2014/main" id="{7679116B-2D38-491B-9F6A-4AD0D4D1481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206310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3867</xdr:row>
      <xdr:rowOff>25400</xdr:rowOff>
    </xdr:from>
    <xdr:to>
      <xdr:col>11</xdr:col>
      <xdr:colOff>571500</xdr:colOff>
      <xdr:row>3868</xdr:row>
      <xdr:rowOff>0</xdr:rowOff>
    </xdr:to>
    <xdr:pic>
      <xdr:nvPicPr>
        <xdr:cNvPr id="15783" name="Рисунок 15782">
          <a:extLst>
            <a:ext uri="{FF2B5EF4-FFF2-40B4-BE49-F238E27FC236}">
              <a16:creationId xmlns:a16="http://schemas.microsoft.com/office/drawing/2014/main" id="{456C82CE-BD1F-48C6-8E81-44B53FCA55F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206882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3868</xdr:row>
      <xdr:rowOff>25400</xdr:rowOff>
    </xdr:from>
    <xdr:to>
      <xdr:col>11</xdr:col>
      <xdr:colOff>571500</xdr:colOff>
      <xdr:row>3869</xdr:row>
      <xdr:rowOff>0</xdr:rowOff>
    </xdr:to>
    <xdr:pic>
      <xdr:nvPicPr>
        <xdr:cNvPr id="15785" name="Рисунок 15784">
          <a:extLst>
            <a:ext uri="{FF2B5EF4-FFF2-40B4-BE49-F238E27FC236}">
              <a16:creationId xmlns:a16="http://schemas.microsoft.com/office/drawing/2014/main" id="{84FA53FF-44EA-4FEF-9AFB-61E4B6A3921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207453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3869</xdr:row>
      <xdr:rowOff>25400</xdr:rowOff>
    </xdr:from>
    <xdr:to>
      <xdr:col>11</xdr:col>
      <xdr:colOff>571500</xdr:colOff>
      <xdr:row>3870</xdr:row>
      <xdr:rowOff>0</xdr:rowOff>
    </xdr:to>
    <xdr:pic>
      <xdr:nvPicPr>
        <xdr:cNvPr id="15787" name="Рисунок 15786">
          <a:extLst>
            <a:ext uri="{FF2B5EF4-FFF2-40B4-BE49-F238E27FC236}">
              <a16:creationId xmlns:a16="http://schemas.microsoft.com/office/drawing/2014/main" id="{D669BAA6-8344-495B-8692-2000AE24C1B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208025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3870</xdr:row>
      <xdr:rowOff>25400</xdr:rowOff>
    </xdr:from>
    <xdr:to>
      <xdr:col>11</xdr:col>
      <xdr:colOff>571500</xdr:colOff>
      <xdr:row>3871</xdr:row>
      <xdr:rowOff>0</xdr:rowOff>
    </xdr:to>
    <xdr:pic>
      <xdr:nvPicPr>
        <xdr:cNvPr id="15789" name="Рисунок 15788">
          <a:extLst>
            <a:ext uri="{FF2B5EF4-FFF2-40B4-BE49-F238E27FC236}">
              <a16:creationId xmlns:a16="http://schemas.microsoft.com/office/drawing/2014/main" id="{605F77BB-338F-4731-BED4-DC1ADBA90FC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208596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3871</xdr:row>
      <xdr:rowOff>25400</xdr:rowOff>
    </xdr:from>
    <xdr:to>
      <xdr:col>11</xdr:col>
      <xdr:colOff>571500</xdr:colOff>
      <xdr:row>3872</xdr:row>
      <xdr:rowOff>0</xdr:rowOff>
    </xdr:to>
    <xdr:pic>
      <xdr:nvPicPr>
        <xdr:cNvPr id="15791" name="Рисунок 15790">
          <a:extLst>
            <a:ext uri="{FF2B5EF4-FFF2-40B4-BE49-F238E27FC236}">
              <a16:creationId xmlns:a16="http://schemas.microsoft.com/office/drawing/2014/main" id="{9E6A434C-237C-4047-BDA4-E59C8550A6E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209168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3872</xdr:row>
      <xdr:rowOff>25400</xdr:rowOff>
    </xdr:from>
    <xdr:to>
      <xdr:col>11</xdr:col>
      <xdr:colOff>571500</xdr:colOff>
      <xdr:row>3873</xdr:row>
      <xdr:rowOff>0</xdr:rowOff>
    </xdr:to>
    <xdr:pic>
      <xdr:nvPicPr>
        <xdr:cNvPr id="15793" name="Рисунок 15792">
          <a:extLst>
            <a:ext uri="{FF2B5EF4-FFF2-40B4-BE49-F238E27FC236}">
              <a16:creationId xmlns:a16="http://schemas.microsoft.com/office/drawing/2014/main" id="{B5577B8E-9642-4AE0-8BB0-BCBEFB858E2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209739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3873</xdr:row>
      <xdr:rowOff>25400</xdr:rowOff>
    </xdr:from>
    <xdr:to>
      <xdr:col>11</xdr:col>
      <xdr:colOff>571500</xdr:colOff>
      <xdr:row>3874</xdr:row>
      <xdr:rowOff>0</xdr:rowOff>
    </xdr:to>
    <xdr:pic>
      <xdr:nvPicPr>
        <xdr:cNvPr id="15795" name="Рисунок 15794">
          <a:extLst>
            <a:ext uri="{FF2B5EF4-FFF2-40B4-BE49-F238E27FC236}">
              <a16:creationId xmlns:a16="http://schemas.microsoft.com/office/drawing/2014/main" id="{13AC32B6-951D-4B65-A7DF-4878AA19CCB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3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210311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3874</xdr:row>
      <xdr:rowOff>25400</xdr:rowOff>
    </xdr:from>
    <xdr:to>
      <xdr:col>11</xdr:col>
      <xdr:colOff>571500</xdr:colOff>
      <xdr:row>3875</xdr:row>
      <xdr:rowOff>0</xdr:rowOff>
    </xdr:to>
    <xdr:pic>
      <xdr:nvPicPr>
        <xdr:cNvPr id="15797" name="Рисунок 15796">
          <a:extLst>
            <a:ext uri="{FF2B5EF4-FFF2-40B4-BE49-F238E27FC236}">
              <a16:creationId xmlns:a16="http://schemas.microsoft.com/office/drawing/2014/main" id="{0B62043E-1B32-47DC-B2B8-9F5EF650FF5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3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210882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3875</xdr:row>
      <xdr:rowOff>25400</xdr:rowOff>
    </xdr:from>
    <xdr:to>
      <xdr:col>11</xdr:col>
      <xdr:colOff>571500</xdr:colOff>
      <xdr:row>3876</xdr:row>
      <xdr:rowOff>0</xdr:rowOff>
    </xdr:to>
    <xdr:pic>
      <xdr:nvPicPr>
        <xdr:cNvPr id="15799" name="Рисунок 15798">
          <a:extLst>
            <a:ext uri="{FF2B5EF4-FFF2-40B4-BE49-F238E27FC236}">
              <a16:creationId xmlns:a16="http://schemas.microsoft.com/office/drawing/2014/main" id="{7CC8EED1-599C-435C-9546-96D39B933E7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3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211454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3876</xdr:row>
      <xdr:rowOff>25400</xdr:rowOff>
    </xdr:from>
    <xdr:to>
      <xdr:col>11</xdr:col>
      <xdr:colOff>571500</xdr:colOff>
      <xdr:row>3877</xdr:row>
      <xdr:rowOff>0</xdr:rowOff>
    </xdr:to>
    <xdr:pic>
      <xdr:nvPicPr>
        <xdr:cNvPr id="15801" name="Рисунок 15800">
          <a:extLst>
            <a:ext uri="{FF2B5EF4-FFF2-40B4-BE49-F238E27FC236}">
              <a16:creationId xmlns:a16="http://schemas.microsoft.com/office/drawing/2014/main" id="{C05A291A-25E4-4219-B888-4FDE22D56E8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3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212025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3877</xdr:row>
      <xdr:rowOff>25400</xdr:rowOff>
    </xdr:from>
    <xdr:to>
      <xdr:col>11</xdr:col>
      <xdr:colOff>571500</xdr:colOff>
      <xdr:row>3878</xdr:row>
      <xdr:rowOff>0</xdr:rowOff>
    </xdr:to>
    <xdr:pic>
      <xdr:nvPicPr>
        <xdr:cNvPr id="15803" name="Рисунок 15802">
          <a:extLst>
            <a:ext uri="{FF2B5EF4-FFF2-40B4-BE49-F238E27FC236}">
              <a16:creationId xmlns:a16="http://schemas.microsoft.com/office/drawing/2014/main" id="{4B4BE2DE-0AC8-40F6-865A-189522F22C1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3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212597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3878</xdr:row>
      <xdr:rowOff>25400</xdr:rowOff>
    </xdr:from>
    <xdr:to>
      <xdr:col>11</xdr:col>
      <xdr:colOff>571500</xdr:colOff>
      <xdr:row>3879</xdr:row>
      <xdr:rowOff>0</xdr:rowOff>
    </xdr:to>
    <xdr:pic>
      <xdr:nvPicPr>
        <xdr:cNvPr id="15805" name="Рисунок 15804">
          <a:extLst>
            <a:ext uri="{FF2B5EF4-FFF2-40B4-BE49-F238E27FC236}">
              <a16:creationId xmlns:a16="http://schemas.microsoft.com/office/drawing/2014/main" id="{2C0A93EC-A443-47D6-9FF3-1507E1AB56B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3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213168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3879</xdr:row>
      <xdr:rowOff>25400</xdr:rowOff>
    </xdr:from>
    <xdr:to>
      <xdr:col>11</xdr:col>
      <xdr:colOff>571500</xdr:colOff>
      <xdr:row>3880</xdr:row>
      <xdr:rowOff>0</xdr:rowOff>
    </xdr:to>
    <xdr:pic>
      <xdr:nvPicPr>
        <xdr:cNvPr id="15807" name="Рисунок 15806">
          <a:extLst>
            <a:ext uri="{FF2B5EF4-FFF2-40B4-BE49-F238E27FC236}">
              <a16:creationId xmlns:a16="http://schemas.microsoft.com/office/drawing/2014/main" id="{451D6A4D-3C66-4CDF-BD45-79203EFBBE5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3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213740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3880</xdr:row>
      <xdr:rowOff>25400</xdr:rowOff>
    </xdr:from>
    <xdr:to>
      <xdr:col>11</xdr:col>
      <xdr:colOff>571500</xdr:colOff>
      <xdr:row>3881</xdr:row>
      <xdr:rowOff>0</xdr:rowOff>
    </xdr:to>
    <xdr:pic>
      <xdr:nvPicPr>
        <xdr:cNvPr id="15809" name="Рисунок 15808">
          <a:extLst>
            <a:ext uri="{FF2B5EF4-FFF2-40B4-BE49-F238E27FC236}">
              <a16:creationId xmlns:a16="http://schemas.microsoft.com/office/drawing/2014/main" id="{3F222CD3-C873-4362-A61E-FF06BFC67BD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3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214311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3881</xdr:row>
      <xdr:rowOff>25400</xdr:rowOff>
    </xdr:from>
    <xdr:to>
      <xdr:col>11</xdr:col>
      <xdr:colOff>571500</xdr:colOff>
      <xdr:row>3882</xdr:row>
      <xdr:rowOff>0</xdr:rowOff>
    </xdr:to>
    <xdr:pic>
      <xdr:nvPicPr>
        <xdr:cNvPr id="15811" name="Рисунок 15810">
          <a:extLst>
            <a:ext uri="{FF2B5EF4-FFF2-40B4-BE49-F238E27FC236}">
              <a16:creationId xmlns:a16="http://schemas.microsoft.com/office/drawing/2014/main" id="{685A9737-8D85-4394-978C-1F8CC46711C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3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214883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3882</xdr:row>
      <xdr:rowOff>25400</xdr:rowOff>
    </xdr:from>
    <xdr:to>
      <xdr:col>11</xdr:col>
      <xdr:colOff>571500</xdr:colOff>
      <xdr:row>3883</xdr:row>
      <xdr:rowOff>0</xdr:rowOff>
    </xdr:to>
    <xdr:pic>
      <xdr:nvPicPr>
        <xdr:cNvPr id="15813" name="Рисунок 15812">
          <a:extLst>
            <a:ext uri="{FF2B5EF4-FFF2-40B4-BE49-F238E27FC236}">
              <a16:creationId xmlns:a16="http://schemas.microsoft.com/office/drawing/2014/main" id="{B7D8210C-EE53-46BF-A8B8-B27099530F7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4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215454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3883</xdr:row>
      <xdr:rowOff>25400</xdr:rowOff>
    </xdr:from>
    <xdr:to>
      <xdr:col>11</xdr:col>
      <xdr:colOff>571500</xdr:colOff>
      <xdr:row>3884</xdr:row>
      <xdr:rowOff>0</xdr:rowOff>
    </xdr:to>
    <xdr:pic>
      <xdr:nvPicPr>
        <xdr:cNvPr id="15815" name="Рисунок 15814">
          <a:extLst>
            <a:ext uri="{FF2B5EF4-FFF2-40B4-BE49-F238E27FC236}">
              <a16:creationId xmlns:a16="http://schemas.microsoft.com/office/drawing/2014/main" id="{0E1147E8-0BEE-43EC-BD5D-808EEE08F6F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4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216026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3884</xdr:row>
      <xdr:rowOff>25400</xdr:rowOff>
    </xdr:from>
    <xdr:to>
      <xdr:col>11</xdr:col>
      <xdr:colOff>571500</xdr:colOff>
      <xdr:row>3885</xdr:row>
      <xdr:rowOff>0</xdr:rowOff>
    </xdr:to>
    <xdr:pic>
      <xdr:nvPicPr>
        <xdr:cNvPr id="15817" name="Рисунок 15816">
          <a:extLst>
            <a:ext uri="{FF2B5EF4-FFF2-40B4-BE49-F238E27FC236}">
              <a16:creationId xmlns:a16="http://schemas.microsoft.com/office/drawing/2014/main" id="{6DE28BCF-3C3F-4C68-8101-C2B99B89C38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216597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3885</xdr:row>
      <xdr:rowOff>25400</xdr:rowOff>
    </xdr:from>
    <xdr:to>
      <xdr:col>11</xdr:col>
      <xdr:colOff>571500</xdr:colOff>
      <xdr:row>3886</xdr:row>
      <xdr:rowOff>0</xdr:rowOff>
    </xdr:to>
    <xdr:pic>
      <xdr:nvPicPr>
        <xdr:cNvPr id="15819" name="Рисунок 15818">
          <a:extLst>
            <a:ext uri="{FF2B5EF4-FFF2-40B4-BE49-F238E27FC236}">
              <a16:creationId xmlns:a16="http://schemas.microsoft.com/office/drawing/2014/main" id="{08C63166-E5CD-4B8F-8E97-639A055AA9F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217169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3886</xdr:row>
      <xdr:rowOff>25400</xdr:rowOff>
    </xdr:from>
    <xdr:to>
      <xdr:col>11</xdr:col>
      <xdr:colOff>571500</xdr:colOff>
      <xdr:row>3887</xdr:row>
      <xdr:rowOff>0</xdr:rowOff>
    </xdr:to>
    <xdr:pic>
      <xdr:nvPicPr>
        <xdr:cNvPr id="15821" name="Рисунок 15820">
          <a:extLst>
            <a:ext uri="{FF2B5EF4-FFF2-40B4-BE49-F238E27FC236}">
              <a16:creationId xmlns:a16="http://schemas.microsoft.com/office/drawing/2014/main" id="{2E7CFFB8-8391-42FF-9768-7FD4B97973C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217740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3887</xdr:row>
      <xdr:rowOff>25400</xdr:rowOff>
    </xdr:from>
    <xdr:to>
      <xdr:col>11</xdr:col>
      <xdr:colOff>571500</xdr:colOff>
      <xdr:row>3888</xdr:row>
      <xdr:rowOff>0</xdr:rowOff>
    </xdr:to>
    <xdr:pic>
      <xdr:nvPicPr>
        <xdr:cNvPr id="15823" name="Рисунок 15822">
          <a:extLst>
            <a:ext uri="{FF2B5EF4-FFF2-40B4-BE49-F238E27FC236}">
              <a16:creationId xmlns:a16="http://schemas.microsoft.com/office/drawing/2014/main" id="{1B01DD5B-3799-4C16-B737-4DD45AF8292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4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218312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3888</xdr:row>
      <xdr:rowOff>25400</xdr:rowOff>
    </xdr:from>
    <xdr:to>
      <xdr:col>11</xdr:col>
      <xdr:colOff>571500</xdr:colOff>
      <xdr:row>3889</xdr:row>
      <xdr:rowOff>0</xdr:rowOff>
    </xdr:to>
    <xdr:pic>
      <xdr:nvPicPr>
        <xdr:cNvPr id="15825" name="Рисунок 15824">
          <a:extLst>
            <a:ext uri="{FF2B5EF4-FFF2-40B4-BE49-F238E27FC236}">
              <a16:creationId xmlns:a16="http://schemas.microsoft.com/office/drawing/2014/main" id="{29490A99-103B-45B6-B85E-3F8B82D57CD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4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218883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3889</xdr:row>
      <xdr:rowOff>25400</xdr:rowOff>
    </xdr:from>
    <xdr:to>
      <xdr:col>11</xdr:col>
      <xdr:colOff>571500</xdr:colOff>
      <xdr:row>3890</xdr:row>
      <xdr:rowOff>0</xdr:rowOff>
    </xdr:to>
    <xdr:pic>
      <xdr:nvPicPr>
        <xdr:cNvPr id="15827" name="Рисунок 15826">
          <a:extLst>
            <a:ext uri="{FF2B5EF4-FFF2-40B4-BE49-F238E27FC236}">
              <a16:creationId xmlns:a16="http://schemas.microsoft.com/office/drawing/2014/main" id="{F95018F3-37BC-4922-8AA9-D85D356EE20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4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219455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3890</xdr:row>
      <xdr:rowOff>25400</xdr:rowOff>
    </xdr:from>
    <xdr:to>
      <xdr:col>11</xdr:col>
      <xdr:colOff>571500</xdr:colOff>
      <xdr:row>3891</xdr:row>
      <xdr:rowOff>0</xdr:rowOff>
    </xdr:to>
    <xdr:pic>
      <xdr:nvPicPr>
        <xdr:cNvPr id="15829" name="Рисунок 15828">
          <a:extLst>
            <a:ext uri="{FF2B5EF4-FFF2-40B4-BE49-F238E27FC236}">
              <a16:creationId xmlns:a16="http://schemas.microsoft.com/office/drawing/2014/main" id="{A7D7E9EA-C7C2-42CC-AEC3-8F952878599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4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220026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3891</xdr:row>
      <xdr:rowOff>25400</xdr:rowOff>
    </xdr:from>
    <xdr:to>
      <xdr:col>11</xdr:col>
      <xdr:colOff>571500</xdr:colOff>
      <xdr:row>3892</xdr:row>
      <xdr:rowOff>0</xdr:rowOff>
    </xdr:to>
    <xdr:pic>
      <xdr:nvPicPr>
        <xdr:cNvPr id="15831" name="Рисунок 15830">
          <a:extLst>
            <a:ext uri="{FF2B5EF4-FFF2-40B4-BE49-F238E27FC236}">
              <a16:creationId xmlns:a16="http://schemas.microsoft.com/office/drawing/2014/main" id="{E31A8EDC-4816-43A2-906B-FCD7948290A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4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220598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3892</xdr:row>
      <xdr:rowOff>25400</xdr:rowOff>
    </xdr:from>
    <xdr:to>
      <xdr:col>11</xdr:col>
      <xdr:colOff>571500</xdr:colOff>
      <xdr:row>3893</xdr:row>
      <xdr:rowOff>0</xdr:rowOff>
    </xdr:to>
    <xdr:pic>
      <xdr:nvPicPr>
        <xdr:cNvPr id="15833" name="Рисунок 15832">
          <a:extLst>
            <a:ext uri="{FF2B5EF4-FFF2-40B4-BE49-F238E27FC236}">
              <a16:creationId xmlns:a16="http://schemas.microsoft.com/office/drawing/2014/main" id="{DD2994C0-C850-4555-BA8F-A4C974413BA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5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221169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3893</xdr:row>
      <xdr:rowOff>25400</xdr:rowOff>
    </xdr:from>
    <xdr:to>
      <xdr:col>11</xdr:col>
      <xdr:colOff>571500</xdr:colOff>
      <xdr:row>3894</xdr:row>
      <xdr:rowOff>0</xdr:rowOff>
    </xdr:to>
    <xdr:pic>
      <xdr:nvPicPr>
        <xdr:cNvPr id="15835" name="Рисунок 15834">
          <a:extLst>
            <a:ext uri="{FF2B5EF4-FFF2-40B4-BE49-F238E27FC236}">
              <a16:creationId xmlns:a16="http://schemas.microsoft.com/office/drawing/2014/main" id="{CC4C680C-0D32-4B3E-9E71-4AD3A05A6AE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5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221741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3894</xdr:row>
      <xdr:rowOff>25400</xdr:rowOff>
    </xdr:from>
    <xdr:to>
      <xdr:col>11</xdr:col>
      <xdr:colOff>571500</xdr:colOff>
      <xdr:row>3895</xdr:row>
      <xdr:rowOff>0</xdr:rowOff>
    </xdr:to>
    <xdr:pic>
      <xdr:nvPicPr>
        <xdr:cNvPr id="15837" name="Рисунок 15836">
          <a:extLst>
            <a:ext uri="{FF2B5EF4-FFF2-40B4-BE49-F238E27FC236}">
              <a16:creationId xmlns:a16="http://schemas.microsoft.com/office/drawing/2014/main" id="{0B2F66D2-1EBF-4EE0-81DA-3637E6427AF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222312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3895</xdr:row>
      <xdr:rowOff>25400</xdr:rowOff>
    </xdr:from>
    <xdr:to>
      <xdr:col>11</xdr:col>
      <xdr:colOff>571500</xdr:colOff>
      <xdr:row>3896</xdr:row>
      <xdr:rowOff>0</xdr:rowOff>
    </xdr:to>
    <xdr:pic>
      <xdr:nvPicPr>
        <xdr:cNvPr id="15839" name="Рисунок 15838">
          <a:extLst>
            <a:ext uri="{FF2B5EF4-FFF2-40B4-BE49-F238E27FC236}">
              <a16:creationId xmlns:a16="http://schemas.microsoft.com/office/drawing/2014/main" id="{F0CFBE77-F911-44CB-8624-36F9BCA5403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5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222884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3896</xdr:row>
      <xdr:rowOff>25400</xdr:rowOff>
    </xdr:from>
    <xdr:to>
      <xdr:col>11</xdr:col>
      <xdr:colOff>571500</xdr:colOff>
      <xdr:row>3897</xdr:row>
      <xdr:rowOff>0</xdr:rowOff>
    </xdr:to>
    <xdr:pic>
      <xdr:nvPicPr>
        <xdr:cNvPr id="15841" name="Рисунок 15840">
          <a:extLst>
            <a:ext uri="{FF2B5EF4-FFF2-40B4-BE49-F238E27FC236}">
              <a16:creationId xmlns:a16="http://schemas.microsoft.com/office/drawing/2014/main" id="{C612A5C7-DBE0-4559-A9C6-14C5C6D4614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5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223455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3897</xdr:row>
      <xdr:rowOff>25400</xdr:rowOff>
    </xdr:from>
    <xdr:to>
      <xdr:col>11</xdr:col>
      <xdr:colOff>571500</xdr:colOff>
      <xdr:row>3898</xdr:row>
      <xdr:rowOff>0</xdr:rowOff>
    </xdr:to>
    <xdr:pic>
      <xdr:nvPicPr>
        <xdr:cNvPr id="15843" name="Рисунок 15842">
          <a:extLst>
            <a:ext uri="{FF2B5EF4-FFF2-40B4-BE49-F238E27FC236}">
              <a16:creationId xmlns:a16="http://schemas.microsoft.com/office/drawing/2014/main" id="{A6D49D6B-4442-4AAA-B640-2D74D021DE6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5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224027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3898</xdr:row>
      <xdr:rowOff>25400</xdr:rowOff>
    </xdr:from>
    <xdr:to>
      <xdr:col>11</xdr:col>
      <xdr:colOff>571500</xdr:colOff>
      <xdr:row>3899</xdr:row>
      <xdr:rowOff>0</xdr:rowOff>
    </xdr:to>
    <xdr:pic>
      <xdr:nvPicPr>
        <xdr:cNvPr id="15845" name="Рисунок 15844">
          <a:extLst>
            <a:ext uri="{FF2B5EF4-FFF2-40B4-BE49-F238E27FC236}">
              <a16:creationId xmlns:a16="http://schemas.microsoft.com/office/drawing/2014/main" id="{C7425D0F-E2E1-47E4-AFEC-5AC3629B93B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5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224598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3899</xdr:row>
      <xdr:rowOff>25400</xdr:rowOff>
    </xdr:from>
    <xdr:to>
      <xdr:col>11</xdr:col>
      <xdr:colOff>571500</xdr:colOff>
      <xdr:row>3900</xdr:row>
      <xdr:rowOff>0</xdr:rowOff>
    </xdr:to>
    <xdr:pic>
      <xdr:nvPicPr>
        <xdr:cNvPr id="15847" name="Рисунок 15846">
          <a:extLst>
            <a:ext uri="{FF2B5EF4-FFF2-40B4-BE49-F238E27FC236}">
              <a16:creationId xmlns:a16="http://schemas.microsoft.com/office/drawing/2014/main" id="{CF4ED5BA-AE06-47DD-BFB0-DA3934C054D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5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225170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3900</xdr:row>
      <xdr:rowOff>25400</xdr:rowOff>
    </xdr:from>
    <xdr:to>
      <xdr:col>11</xdr:col>
      <xdr:colOff>571500</xdr:colOff>
      <xdr:row>3901</xdr:row>
      <xdr:rowOff>0</xdr:rowOff>
    </xdr:to>
    <xdr:pic>
      <xdr:nvPicPr>
        <xdr:cNvPr id="15849" name="Рисунок 15848">
          <a:extLst>
            <a:ext uri="{FF2B5EF4-FFF2-40B4-BE49-F238E27FC236}">
              <a16:creationId xmlns:a16="http://schemas.microsoft.com/office/drawing/2014/main" id="{AE940B80-1CC6-4BBF-848D-29AA91E940A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5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225741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3901</xdr:row>
      <xdr:rowOff>25400</xdr:rowOff>
    </xdr:from>
    <xdr:to>
      <xdr:col>11</xdr:col>
      <xdr:colOff>571500</xdr:colOff>
      <xdr:row>3902</xdr:row>
      <xdr:rowOff>0</xdr:rowOff>
    </xdr:to>
    <xdr:pic>
      <xdr:nvPicPr>
        <xdr:cNvPr id="15851" name="Рисунок 15850">
          <a:extLst>
            <a:ext uri="{FF2B5EF4-FFF2-40B4-BE49-F238E27FC236}">
              <a16:creationId xmlns:a16="http://schemas.microsoft.com/office/drawing/2014/main" id="{705EF27B-D8D1-4FBB-B4BE-C9D9E4492AD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5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226313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3902</xdr:row>
      <xdr:rowOff>25400</xdr:rowOff>
    </xdr:from>
    <xdr:to>
      <xdr:col>11</xdr:col>
      <xdr:colOff>571500</xdr:colOff>
      <xdr:row>3903</xdr:row>
      <xdr:rowOff>0</xdr:rowOff>
    </xdr:to>
    <xdr:pic>
      <xdr:nvPicPr>
        <xdr:cNvPr id="15853" name="Рисунок 15852">
          <a:extLst>
            <a:ext uri="{FF2B5EF4-FFF2-40B4-BE49-F238E27FC236}">
              <a16:creationId xmlns:a16="http://schemas.microsoft.com/office/drawing/2014/main" id="{C0FEF2A9-7906-4630-9741-CEF3B4C788D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6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226884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3903</xdr:row>
      <xdr:rowOff>25400</xdr:rowOff>
    </xdr:from>
    <xdr:to>
      <xdr:col>11</xdr:col>
      <xdr:colOff>571500</xdr:colOff>
      <xdr:row>3904</xdr:row>
      <xdr:rowOff>0</xdr:rowOff>
    </xdr:to>
    <xdr:pic>
      <xdr:nvPicPr>
        <xdr:cNvPr id="15855" name="Рисунок 15854">
          <a:extLst>
            <a:ext uri="{FF2B5EF4-FFF2-40B4-BE49-F238E27FC236}">
              <a16:creationId xmlns:a16="http://schemas.microsoft.com/office/drawing/2014/main" id="{AA8910BF-CE54-423F-9975-B7022F0D80C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6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227456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3904</xdr:row>
      <xdr:rowOff>25400</xdr:rowOff>
    </xdr:from>
    <xdr:to>
      <xdr:col>11</xdr:col>
      <xdr:colOff>571500</xdr:colOff>
      <xdr:row>3905</xdr:row>
      <xdr:rowOff>0</xdr:rowOff>
    </xdr:to>
    <xdr:pic>
      <xdr:nvPicPr>
        <xdr:cNvPr id="15857" name="Рисунок 15856">
          <a:extLst>
            <a:ext uri="{FF2B5EF4-FFF2-40B4-BE49-F238E27FC236}">
              <a16:creationId xmlns:a16="http://schemas.microsoft.com/office/drawing/2014/main" id="{9E0FA609-E386-465B-A797-8D419731B06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6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228027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3905</xdr:row>
      <xdr:rowOff>25400</xdr:rowOff>
    </xdr:from>
    <xdr:to>
      <xdr:col>11</xdr:col>
      <xdr:colOff>571500</xdr:colOff>
      <xdr:row>3906</xdr:row>
      <xdr:rowOff>0</xdr:rowOff>
    </xdr:to>
    <xdr:pic>
      <xdr:nvPicPr>
        <xdr:cNvPr id="15859" name="Рисунок 15858">
          <a:extLst>
            <a:ext uri="{FF2B5EF4-FFF2-40B4-BE49-F238E27FC236}">
              <a16:creationId xmlns:a16="http://schemas.microsoft.com/office/drawing/2014/main" id="{87919EEC-63C7-4F62-98B9-683970C0329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6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228599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3906</xdr:row>
      <xdr:rowOff>25400</xdr:rowOff>
    </xdr:from>
    <xdr:to>
      <xdr:col>11</xdr:col>
      <xdr:colOff>571500</xdr:colOff>
      <xdr:row>3907</xdr:row>
      <xdr:rowOff>0</xdr:rowOff>
    </xdr:to>
    <xdr:pic>
      <xdr:nvPicPr>
        <xdr:cNvPr id="15861" name="Рисунок 15860">
          <a:extLst>
            <a:ext uri="{FF2B5EF4-FFF2-40B4-BE49-F238E27FC236}">
              <a16:creationId xmlns:a16="http://schemas.microsoft.com/office/drawing/2014/main" id="{BD3FEE63-A9F2-4009-9D76-61C9A376109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6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229170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3907</xdr:row>
      <xdr:rowOff>25400</xdr:rowOff>
    </xdr:from>
    <xdr:to>
      <xdr:col>11</xdr:col>
      <xdr:colOff>571500</xdr:colOff>
      <xdr:row>3908</xdr:row>
      <xdr:rowOff>0</xdr:rowOff>
    </xdr:to>
    <xdr:pic>
      <xdr:nvPicPr>
        <xdr:cNvPr id="15863" name="Рисунок 15862">
          <a:extLst>
            <a:ext uri="{FF2B5EF4-FFF2-40B4-BE49-F238E27FC236}">
              <a16:creationId xmlns:a16="http://schemas.microsoft.com/office/drawing/2014/main" id="{93D6E58E-3E80-45D6-B242-93916B792C7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6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229742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3908</xdr:row>
      <xdr:rowOff>25400</xdr:rowOff>
    </xdr:from>
    <xdr:to>
      <xdr:col>11</xdr:col>
      <xdr:colOff>571500</xdr:colOff>
      <xdr:row>3909</xdr:row>
      <xdr:rowOff>0</xdr:rowOff>
    </xdr:to>
    <xdr:pic>
      <xdr:nvPicPr>
        <xdr:cNvPr id="15865" name="Рисунок 15864">
          <a:extLst>
            <a:ext uri="{FF2B5EF4-FFF2-40B4-BE49-F238E27FC236}">
              <a16:creationId xmlns:a16="http://schemas.microsoft.com/office/drawing/2014/main" id="{140D061F-B337-4B14-AFFA-67E6B1BF654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6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230313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3909</xdr:row>
      <xdr:rowOff>25400</xdr:rowOff>
    </xdr:from>
    <xdr:to>
      <xdr:col>11</xdr:col>
      <xdr:colOff>571500</xdr:colOff>
      <xdr:row>3910</xdr:row>
      <xdr:rowOff>0</xdr:rowOff>
    </xdr:to>
    <xdr:pic>
      <xdr:nvPicPr>
        <xdr:cNvPr id="15867" name="Рисунок 15866">
          <a:extLst>
            <a:ext uri="{FF2B5EF4-FFF2-40B4-BE49-F238E27FC236}">
              <a16:creationId xmlns:a16="http://schemas.microsoft.com/office/drawing/2014/main" id="{B633396E-02FC-4AAE-B8A9-B07F909085E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6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230885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3910</xdr:row>
      <xdr:rowOff>25400</xdr:rowOff>
    </xdr:from>
    <xdr:to>
      <xdr:col>11</xdr:col>
      <xdr:colOff>571500</xdr:colOff>
      <xdr:row>3911</xdr:row>
      <xdr:rowOff>0</xdr:rowOff>
    </xdr:to>
    <xdr:pic>
      <xdr:nvPicPr>
        <xdr:cNvPr id="15869" name="Рисунок 15868">
          <a:extLst>
            <a:ext uri="{FF2B5EF4-FFF2-40B4-BE49-F238E27FC236}">
              <a16:creationId xmlns:a16="http://schemas.microsoft.com/office/drawing/2014/main" id="{5642D87F-B7DE-41C6-92B2-3F7207D0735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6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231456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3911</xdr:row>
      <xdr:rowOff>25400</xdr:rowOff>
    </xdr:from>
    <xdr:to>
      <xdr:col>11</xdr:col>
      <xdr:colOff>571500</xdr:colOff>
      <xdr:row>3912</xdr:row>
      <xdr:rowOff>0</xdr:rowOff>
    </xdr:to>
    <xdr:pic>
      <xdr:nvPicPr>
        <xdr:cNvPr id="15871" name="Рисунок 15870">
          <a:extLst>
            <a:ext uri="{FF2B5EF4-FFF2-40B4-BE49-F238E27FC236}">
              <a16:creationId xmlns:a16="http://schemas.microsoft.com/office/drawing/2014/main" id="{374C0C80-2626-4958-99BB-98F2342299A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6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232028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3912</xdr:row>
      <xdr:rowOff>25400</xdr:rowOff>
    </xdr:from>
    <xdr:to>
      <xdr:col>11</xdr:col>
      <xdr:colOff>571500</xdr:colOff>
      <xdr:row>3913</xdr:row>
      <xdr:rowOff>0</xdr:rowOff>
    </xdr:to>
    <xdr:pic>
      <xdr:nvPicPr>
        <xdr:cNvPr id="15873" name="Рисунок 15872">
          <a:extLst>
            <a:ext uri="{FF2B5EF4-FFF2-40B4-BE49-F238E27FC236}">
              <a16:creationId xmlns:a16="http://schemas.microsoft.com/office/drawing/2014/main" id="{A899811B-4F49-4D6E-9F73-7F72B464515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7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232599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3913</xdr:row>
      <xdr:rowOff>25400</xdr:rowOff>
    </xdr:from>
    <xdr:to>
      <xdr:col>11</xdr:col>
      <xdr:colOff>571500</xdr:colOff>
      <xdr:row>3914</xdr:row>
      <xdr:rowOff>0</xdr:rowOff>
    </xdr:to>
    <xdr:pic>
      <xdr:nvPicPr>
        <xdr:cNvPr id="15875" name="Рисунок 15874">
          <a:extLst>
            <a:ext uri="{FF2B5EF4-FFF2-40B4-BE49-F238E27FC236}">
              <a16:creationId xmlns:a16="http://schemas.microsoft.com/office/drawing/2014/main" id="{60BF6138-943D-4530-A50A-C75B54FB48D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7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233171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3914</xdr:row>
      <xdr:rowOff>25400</xdr:rowOff>
    </xdr:from>
    <xdr:to>
      <xdr:col>11</xdr:col>
      <xdr:colOff>571500</xdr:colOff>
      <xdr:row>3915</xdr:row>
      <xdr:rowOff>0</xdr:rowOff>
    </xdr:to>
    <xdr:pic>
      <xdr:nvPicPr>
        <xdr:cNvPr id="15877" name="Рисунок 15876">
          <a:extLst>
            <a:ext uri="{FF2B5EF4-FFF2-40B4-BE49-F238E27FC236}">
              <a16:creationId xmlns:a16="http://schemas.microsoft.com/office/drawing/2014/main" id="{C15B816B-F9C4-44B0-9966-D67828541AF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7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233742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3915</xdr:row>
      <xdr:rowOff>25400</xdr:rowOff>
    </xdr:from>
    <xdr:to>
      <xdr:col>11</xdr:col>
      <xdr:colOff>571500</xdr:colOff>
      <xdr:row>3916</xdr:row>
      <xdr:rowOff>0</xdr:rowOff>
    </xdr:to>
    <xdr:pic>
      <xdr:nvPicPr>
        <xdr:cNvPr id="15879" name="Рисунок 15878">
          <a:extLst>
            <a:ext uri="{FF2B5EF4-FFF2-40B4-BE49-F238E27FC236}">
              <a16:creationId xmlns:a16="http://schemas.microsoft.com/office/drawing/2014/main" id="{831E1143-A02B-416F-B543-D0E05CE320A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7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234314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3916</xdr:row>
      <xdr:rowOff>25400</xdr:rowOff>
    </xdr:from>
    <xdr:to>
      <xdr:col>11</xdr:col>
      <xdr:colOff>571500</xdr:colOff>
      <xdr:row>3917</xdr:row>
      <xdr:rowOff>0</xdr:rowOff>
    </xdr:to>
    <xdr:pic>
      <xdr:nvPicPr>
        <xdr:cNvPr id="15881" name="Рисунок 15880">
          <a:extLst>
            <a:ext uri="{FF2B5EF4-FFF2-40B4-BE49-F238E27FC236}">
              <a16:creationId xmlns:a16="http://schemas.microsoft.com/office/drawing/2014/main" id="{4CB9D3FF-D7E6-4A7D-8D46-D50FB43DBEF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7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234885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3917</xdr:row>
      <xdr:rowOff>25400</xdr:rowOff>
    </xdr:from>
    <xdr:to>
      <xdr:col>11</xdr:col>
      <xdr:colOff>571500</xdr:colOff>
      <xdr:row>3918</xdr:row>
      <xdr:rowOff>0</xdr:rowOff>
    </xdr:to>
    <xdr:pic>
      <xdr:nvPicPr>
        <xdr:cNvPr id="15883" name="Рисунок 15882">
          <a:extLst>
            <a:ext uri="{FF2B5EF4-FFF2-40B4-BE49-F238E27FC236}">
              <a16:creationId xmlns:a16="http://schemas.microsoft.com/office/drawing/2014/main" id="{417BEF6C-E146-476E-B2EF-AA89746472D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7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235457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3918</xdr:row>
      <xdr:rowOff>25400</xdr:rowOff>
    </xdr:from>
    <xdr:to>
      <xdr:col>11</xdr:col>
      <xdr:colOff>571500</xdr:colOff>
      <xdr:row>3919</xdr:row>
      <xdr:rowOff>0</xdr:rowOff>
    </xdr:to>
    <xdr:pic>
      <xdr:nvPicPr>
        <xdr:cNvPr id="15885" name="Рисунок 15884">
          <a:extLst>
            <a:ext uri="{FF2B5EF4-FFF2-40B4-BE49-F238E27FC236}">
              <a16:creationId xmlns:a16="http://schemas.microsoft.com/office/drawing/2014/main" id="{0A5C424C-CCD8-4AC1-95CD-AE4BAEAFA9C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7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236028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3919</xdr:row>
      <xdr:rowOff>25400</xdr:rowOff>
    </xdr:from>
    <xdr:to>
      <xdr:col>11</xdr:col>
      <xdr:colOff>571500</xdr:colOff>
      <xdr:row>3920</xdr:row>
      <xdr:rowOff>0</xdr:rowOff>
    </xdr:to>
    <xdr:pic>
      <xdr:nvPicPr>
        <xdr:cNvPr id="15887" name="Рисунок 15886">
          <a:extLst>
            <a:ext uri="{FF2B5EF4-FFF2-40B4-BE49-F238E27FC236}">
              <a16:creationId xmlns:a16="http://schemas.microsoft.com/office/drawing/2014/main" id="{47D5C75B-BD1C-43E2-8AAE-D43B5C14EE6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7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236600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3920</xdr:row>
      <xdr:rowOff>25400</xdr:rowOff>
    </xdr:from>
    <xdr:to>
      <xdr:col>11</xdr:col>
      <xdr:colOff>571500</xdr:colOff>
      <xdr:row>3921</xdr:row>
      <xdr:rowOff>0</xdr:rowOff>
    </xdr:to>
    <xdr:pic>
      <xdr:nvPicPr>
        <xdr:cNvPr id="15889" name="Рисунок 15888">
          <a:extLst>
            <a:ext uri="{FF2B5EF4-FFF2-40B4-BE49-F238E27FC236}">
              <a16:creationId xmlns:a16="http://schemas.microsoft.com/office/drawing/2014/main" id="{791CDF3B-E4A2-46F0-85E7-05217869CE3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7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237171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3921</xdr:row>
      <xdr:rowOff>25400</xdr:rowOff>
    </xdr:from>
    <xdr:to>
      <xdr:col>11</xdr:col>
      <xdr:colOff>571500</xdr:colOff>
      <xdr:row>3922</xdr:row>
      <xdr:rowOff>0</xdr:rowOff>
    </xdr:to>
    <xdr:pic>
      <xdr:nvPicPr>
        <xdr:cNvPr id="15891" name="Рисунок 15890">
          <a:extLst>
            <a:ext uri="{FF2B5EF4-FFF2-40B4-BE49-F238E27FC236}">
              <a16:creationId xmlns:a16="http://schemas.microsoft.com/office/drawing/2014/main" id="{20C665D7-5ACC-4F01-A47D-C82CD4C2776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7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237743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3922</xdr:row>
      <xdr:rowOff>25400</xdr:rowOff>
    </xdr:from>
    <xdr:to>
      <xdr:col>11</xdr:col>
      <xdr:colOff>571500</xdr:colOff>
      <xdr:row>3923</xdr:row>
      <xdr:rowOff>0</xdr:rowOff>
    </xdr:to>
    <xdr:pic>
      <xdr:nvPicPr>
        <xdr:cNvPr id="15893" name="Рисунок 15892">
          <a:extLst>
            <a:ext uri="{FF2B5EF4-FFF2-40B4-BE49-F238E27FC236}">
              <a16:creationId xmlns:a16="http://schemas.microsoft.com/office/drawing/2014/main" id="{4D2F4B36-4FCC-4A3D-9102-02021F2FB13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8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238314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3923</xdr:row>
      <xdr:rowOff>25400</xdr:rowOff>
    </xdr:from>
    <xdr:to>
      <xdr:col>11</xdr:col>
      <xdr:colOff>571500</xdr:colOff>
      <xdr:row>3924</xdr:row>
      <xdr:rowOff>0</xdr:rowOff>
    </xdr:to>
    <xdr:pic>
      <xdr:nvPicPr>
        <xdr:cNvPr id="15895" name="Рисунок 15894">
          <a:extLst>
            <a:ext uri="{FF2B5EF4-FFF2-40B4-BE49-F238E27FC236}">
              <a16:creationId xmlns:a16="http://schemas.microsoft.com/office/drawing/2014/main" id="{486AFED8-FA92-4B99-8CF6-F9F8BB73236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8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238886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3924</xdr:row>
      <xdr:rowOff>25400</xdr:rowOff>
    </xdr:from>
    <xdr:to>
      <xdr:col>11</xdr:col>
      <xdr:colOff>571500</xdr:colOff>
      <xdr:row>3925</xdr:row>
      <xdr:rowOff>0</xdr:rowOff>
    </xdr:to>
    <xdr:pic>
      <xdr:nvPicPr>
        <xdr:cNvPr id="15897" name="Рисунок 15896">
          <a:extLst>
            <a:ext uri="{FF2B5EF4-FFF2-40B4-BE49-F238E27FC236}">
              <a16:creationId xmlns:a16="http://schemas.microsoft.com/office/drawing/2014/main" id="{CADA2E37-4AB9-411B-849A-6ADFEDB5796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8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239457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3925</xdr:row>
      <xdr:rowOff>25400</xdr:rowOff>
    </xdr:from>
    <xdr:to>
      <xdr:col>11</xdr:col>
      <xdr:colOff>571500</xdr:colOff>
      <xdr:row>3926</xdr:row>
      <xdr:rowOff>0</xdr:rowOff>
    </xdr:to>
    <xdr:pic>
      <xdr:nvPicPr>
        <xdr:cNvPr id="15899" name="Рисунок 15898">
          <a:extLst>
            <a:ext uri="{FF2B5EF4-FFF2-40B4-BE49-F238E27FC236}">
              <a16:creationId xmlns:a16="http://schemas.microsoft.com/office/drawing/2014/main" id="{0969DCDA-CB9F-4676-B7EF-37D9282BAE1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8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240029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3926</xdr:row>
      <xdr:rowOff>25400</xdr:rowOff>
    </xdr:from>
    <xdr:to>
      <xdr:col>11</xdr:col>
      <xdr:colOff>571500</xdr:colOff>
      <xdr:row>3927</xdr:row>
      <xdr:rowOff>0</xdr:rowOff>
    </xdr:to>
    <xdr:pic>
      <xdr:nvPicPr>
        <xdr:cNvPr id="15901" name="Рисунок 15900">
          <a:extLst>
            <a:ext uri="{FF2B5EF4-FFF2-40B4-BE49-F238E27FC236}">
              <a16:creationId xmlns:a16="http://schemas.microsoft.com/office/drawing/2014/main" id="{D012628C-4C04-48B6-98CE-D4498D50C39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8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240600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3927</xdr:row>
      <xdr:rowOff>25400</xdr:rowOff>
    </xdr:from>
    <xdr:to>
      <xdr:col>11</xdr:col>
      <xdr:colOff>571500</xdr:colOff>
      <xdr:row>3928</xdr:row>
      <xdr:rowOff>0</xdr:rowOff>
    </xdr:to>
    <xdr:pic>
      <xdr:nvPicPr>
        <xdr:cNvPr id="15903" name="Рисунок 15902">
          <a:extLst>
            <a:ext uri="{FF2B5EF4-FFF2-40B4-BE49-F238E27FC236}">
              <a16:creationId xmlns:a16="http://schemas.microsoft.com/office/drawing/2014/main" id="{C1BD8713-2D3B-4CA5-9D22-A089A0C12E9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8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241172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3928</xdr:row>
      <xdr:rowOff>25400</xdr:rowOff>
    </xdr:from>
    <xdr:to>
      <xdr:col>11</xdr:col>
      <xdr:colOff>571500</xdr:colOff>
      <xdr:row>3929</xdr:row>
      <xdr:rowOff>0</xdr:rowOff>
    </xdr:to>
    <xdr:pic>
      <xdr:nvPicPr>
        <xdr:cNvPr id="15905" name="Рисунок 15904">
          <a:extLst>
            <a:ext uri="{FF2B5EF4-FFF2-40B4-BE49-F238E27FC236}">
              <a16:creationId xmlns:a16="http://schemas.microsoft.com/office/drawing/2014/main" id="{D90977E4-6918-4ACC-A431-4E81D9708E7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8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241743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3929</xdr:row>
      <xdr:rowOff>25400</xdr:rowOff>
    </xdr:from>
    <xdr:to>
      <xdr:col>11</xdr:col>
      <xdr:colOff>571500</xdr:colOff>
      <xdr:row>3930</xdr:row>
      <xdr:rowOff>0</xdr:rowOff>
    </xdr:to>
    <xdr:pic>
      <xdr:nvPicPr>
        <xdr:cNvPr id="15907" name="Рисунок 15906">
          <a:extLst>
            <a:ext uri="{FF2B5EF4-FFF2-40B4-BE49-F238E27FC236}">
              <a16:creationId xmlns:a16="http://schemas.microsoft.com/office/drawing/2014/main" id="{30CCF42D-DE22-4FFC-B17F-C65F6B40913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8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242315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3930</xdr:row>
      <xdr:rowOff>25400</xdr:rowOff>
    </xdr:from>
    <xdr:to>
      <xdr:col>11</xdr:col>
      <xdr:colOff>571500</xdr:colOff>
      <xdr:row>3931</xdr:row>
      <xdr:rowOff>0</xdr:rowOff>
    </xdr:to>
    <xdr:pic>
      <xdr:nvPicPr>
        <xdr:cNvPr id="15909" name="Рисунок 15908">
          <a:extLst>
            <a:ext uri="{FF2B5EF4-FFF2-40B4-BE49-F238E27FC236}">
              <a16:creationId xmlns:a16="http://schemas.microsoft.com/office/drawing/2014/main" id="{C1A91932-E68D-49C5-95EE-B3038270040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8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242886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3931</xdr:row>
      <xdr:rowOff>25400</xdr:rowOff>
    </xdr:from>
    <xdr:to>
      <xdr:col>11</xdr:col>
      <xdr:colOff>571500</xdr:colOff>
      <xdr:row>3932</xdr:row>
      <xdr:rowOff>0</xdr:rowOff>
    </xdr:to>
    <xdr:pic>
      <xdr:nvPicPr>
        <xdr:cNvPr id="15911" name="Рисунок 15910">
          <a:extLst>
            <a:ext uri="{FF2B5EF4-FFF2-40B4-BE49-F238E27FC236}">
              <a16:creationId xmlns:a16="http://schemas.microsoft.com/office/drawing/2014/main" id="{BCEF0A14-5B8E-4295-85D6-835B4B7BDD5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8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243458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3932</xdr:row>
      <xdr:rowOff>25400</xdr:rowOff>
    </xdr:from>
    <xdr:to>
      <xdr:col>11</xdr:col>
      <xdr:colOff>571500</xdr:colOff>
      <xdr:row>3933</xdr:row>
      <xdr:rowOff>0</xdr:rowOff>
    </xdr:to>
    <xdr:pic>
      <xdr:nvPicPr>
        <xdr:cNvPr id="15913" name="Рисунок 15912">
          <a:extLst>
            <a:ext uri="{FF2B5EF4-FFF2-40B4-BE49-F238E27FC236}">
              <a16:creationId xmlns:a16="http://schemas.microsoft.com/office/drawing/2014/main" id="{09FB793B-6F07-4A11-978F-9738108C05E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9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244029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3933</xdr:row>
      <xdr:rowOff>25400</xdr:rowOff>
    </xdr:from>
    <xdr:to>
      <xdr:col>11</xdr:col>
      <xdr:colOff>571500</xdr:colOff>
      <xdr:row>3934</xdr:row>
      <xdr:rowOff>0</xdr:rowOff>
    </xdr:to>
    <xdr:pic>
      <xdr:nvPicPr>
        <xdr:cNvPr id="15915" name="Рисунок 15914">
          <a:extLst>
            <a:ext uri="{FF2B5EF4-FFF2-40B4-BE49-F238E27FC236}">
              <a16:creationId xmlns:a16="http://schemas.microsoft.com/office/drawing/2014/main" id="{FC61A9CD-7817-4C6C-83EA-2DECC420FA5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9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244601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3934</xdr:row>
      <xdr:rowOff>25400</xdr:rowOff>
    </xdr:from>
    <xdr:to>
      <xdr:col>11</xdr:col>
      <xdr:colOff>571500</xdr:colOff>
      <xdr:row>3935</xdr:row>
      <xdr:rowOff>0</xdr:rowOff>
    </xdr:to>
    <xdr:pic>
      <xdr:nvPicPr>
        <xdr:cNvPr id="15917" name="Рисунок 15916">
          <a:extLst>
            <a:ext uri="{FF2B5EF4-FFF2-40B4-BE49-F238E27FC236}">
              <a16:creationId xmlns:a16="http://schemas.microsoft.com/office/drawing/2014/main" id="{C5C11B9E-259D-4A43-8EDF-32B510541D9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9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245172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3935</xdr:row>
      <xdr:rowOff>25400</xdr:rowOff>
    </xdr:from>
    <xdr:to>
      <xdr:col>11</xdr:col>
      <xdr:colOff>571500</xdr:colOff>
      <xdr:row>3936</xdr:row>
      <xdr:rowOff>0</xdr:rowOff>
    </xdr:to>
    <xdr:pic>
      <xdr:nvPicPr>
        <xdr:cNvPr id="15919" name="Рисунок 15918">
          <a:extLst>
            <a:ext uri="{FF2B5EF4-FFF2-40B4-BE49-F238E27FC236}">
              <a16:creationId xmlns:a16="http://schemas.microsoft.com/office/drawing/2014/main" id="{E0A33FB3-714C-4C5D-ADA9-BB517F38D57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9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245744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3936</xdr:row>
      <xdr:rowOff>25400</xdr:rowOff>
    </xdr:from>
    <xdr:to>
      <xdr:col>11</xdr:col>
      <xdr:colOff>571500</xdr:colOff>
      <xdr:row>3937</xdr:row>
      <xdr:rowOff>0</xdr:rowOff>
    </xdr:to>
    <xdr:pic>
      <xdr:nvPicPr>
        <xdr:cNvPr id="15921" name="Рисунок 15920">
          <a:extLst>
            <a:ext uri="{FF2B5EF4-FFF2-40B4-BE49-F238E27FC236}">
              <a16:creationId xmlns:a16="http://schemas.microsoft.com/office/drawing/2014/main" id="{783B0067-7F74-425A-BBB8-111E0EA526B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9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246315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3937</xdr:row>
      <xdr:rowOff>25400</xdr:rowOff>
    </xdr:from>
    <xdr:to>
      <xdr:col>11</xdr:col>
      <xdr:colOff>571500</xdr:colOff>
      <xdr:row>3938</xdr:row>
      <xdr:rowOff>0</xdr:rowOff>
    </xdr:to>
    <xdr:pic>
      <xdr:nvPicPr>
        <xdr:cNvPr id="15923" name="Рисунок 15922">
          <a:extLst>
            <a:ext uri="{FF2B5EF4-FFF2-40B4-BE49-F238E27FC236}">
              <a16:creationId xmlns:a16="http://schemas.microsoft.com/office/drawing/2014/main" id="{0DCEF4C7-1B22-4938-B5A5-C6A076DECDA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9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246887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3938</xdr:row>
      <xdr:rowOff>25400</xdr:rowOff>
    </xdr:from>
    <xdr:to>
      <xdr:col>11</xdr:col>
      <xdr:colOff>571500</xdr:colOff>
      <xdr:row>3939</xdr:row>
      <xdr:rowOff>0</xdr:rowOff>
    </xdr:to>
    <xdr:pic>
      <xdr:nvPicPr>
        <xdr:cNvPr id="15925" name="Рисунок 15924">
          <a:extLst>
            <a:ext uri="{FF2B5EF4-FFF2-40B4-BE49-F238E27FC236}">
              <a16:creationId xmlns:a16="http://schemas.microsoft.com/office/drawing/2014/main" id="{FCD9ED11-8FAB-46BA-B60E-3E0CCF9FBD7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9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247458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3939</xdr:row>
      <xdr:rowOff>25400</xdr:rowOff>
    </xdr:from>
    <xdr:to>
      <xdr:col>11</xdr:col>
      <xdr:colOff>571500</xdr:colOff>
      <xdr:row>3940</xdr:row>
      <xdr:rowOff>0</xdr:rowOff>
    </xdr:to>
    <xdr:pic>
      <xdr:nvPicPr>
        <xdr:cNvPr id="15927" name="Рисунок 15926">
          <a:extLst>
            <a:ext uri="{FF2B5EF4-FFF2-40B4-BE49-F238E27FC236}">
              <a16:creationId xmlns:a16="http://schemas.microsoft.com/office/drawing/2014/main" id="{DBBFC88F-12ED-4A66-B7C6-6CD74F796E3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9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248030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3940</xdr:row>
      <xdr:rowOff>25400</xdr:rowOff>
    </xdr:from>
    <xdr:to>
      <xdr:col>11</xdr:col>
      <xdr:colOff>571500</xdr:colOff>
      <xdr:row>3941</xdr:row>
      <xdr:rowOff>0</xdr:rowOff>
    </xdr:to>
    <xdr:pic>
      <xdr:nvPicPr>
        <xdr:cNvPr id="15929" name="Рисунок 15928">
          <a:extLst>
            <a:ext uri="{FF2B5EF4-FFF2-40B4-BE49-F238E27FC236}">
              <a16:creationId xmlns:a16="http://schemas.microsoft.com/office/drawing/2014/main" id="{F95DA2A6-C259-45C9-84E3-F11A70FB0E5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9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248601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3941</xdr:row>
      <xdr:rowOff>25400</xdr:rowOff>
    </xdr:from>
    <xdr:to>
      <xdr:col>11</xdr:col>
      <xdr:colOff>571500</xdr:colOff>
      <xdr:row>3942</xdr:row>
      <xdr:rowOff>0</xdr:rowOff>
    </xdr:to>
    <xdr:pic>
      <xdr:nvPicPr>
        <xdr:cNvPr id="15931" name="Рисунок 15930">
          <a:extLst>
            <a:ext uri="{FF2B5EF4-FFF2-40B4-BE49-F238E27FC236}">
              <a16:creationId xmlns:a16="http://schemas.microsoft.com/office/drawing/2014/main" id="{071CF066-C38C-40D3-BF10-5D1C1FB560B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89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249173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3942</xdr:row>
      <xdr:rowOff>25400</xdr:rowOff>
    </xdr:from>
    <xdr:to>
      <xdr:col>11</xdr:col>
      <xdr:colOff>571500</xdr:colOff>
      <xdr:row>3943</xdr:row>
      <xdr:rowOff>0</xdr:rowOff>
    </xdr:to>
    <xdr:pic>
      <xdr:nvPicPr>
        <xdr:cNvPr id="15933" name="Рисунок 15932">
          <a:extLst>
            <a:ext uri="{FF2B5EF4-FFF2-40B4-BE49-F238E27FC236}">
              <a16:creationId xmlns:a16="http://schemas.microsoft.com/office/drawing/2014/main" id="{69E78184-AD1C-467B-AB01-0F5744B99AF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0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249744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3943</xdr:row>
      <xdr:rowOff>25400</xdr:rowOff>
    </xdr:from>
    <xdr:to>
      <xdr:col>11</xdr:col>
      <xdr:colOff>571500</xdr:colOff>
      <xdr:row>3944</xdr:row>
      <xdr:rowOff>0</xdr:rowOff>
    </xdr:to>
    <xdr:pic>
      <xdr:nvPicPr>
        <xdr:cNvPr id="15935" name="Рисунок 15934">
          <a:extLst>
            <a:ext uri="{FF2B5EF4-FFF2-40B4-BE49-F238E27FC236}">
              <a16:creationId xmlns:a16="http://schemas.microsoft.com/office/drawing/2014/main" id="{C71BB65E-9B36-430F-9B31-82AFC349FBE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0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250316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3944</xdr:row>
      <xdr:rowOff>25400</xdr:rowOff>
    </xdr:from>
    <xdr:to>
      <xdr:col>11</xdr:col>
      <xdr:colOff>571500</xdr:colOff>
      <xdr:row>3945</xdr:row>
      <xdr:rowOff>0</xdr:rowOff>
    </xdr:to>
    <xdr:pic>
      <xdr:nvPicPr>
        <xdr:cNvPr id="15937" name="Рисунок 15936">
          <a:extLst>
            <a:ext uri="{FF2B5EF4-FFF2-40B4-BE49-F238E27FC236}">
              <a16:creationId xmlns:a16="http://schemas.microsoft.com/office/drawing/2014/main" id="{991F3F12-8C6D-432F-87EC-100803A96EB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0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250887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3945</xdr:row>
      <xdr:rowOff>25400</xdr:rowOff>
    </xdr:from>
    <xdr:to>
      <xdr:col>11</xdr:col>
      <xdr:colOff>571500</xdr:colOff>
      <xdr:row>3946</xdr:row>
      <xdr:rowOff>0</xdr:rowOff>
    </xdr:to>
    <xdr:pic>
      <xdr:nvPicPr>
        <xdr:cNvPr id="15939" name="Рисунок 15938">
          <a:extLst>
            <a:ext uri="{FF2B5EF4-FFF2-40B4-BE49-F238E27FC236}">
              <a16:creationId xmlns:a16="http://schemas.microsoft.com/office/drawing/2014/main" id="{6801D905-9A18-4E2C-8F96-D37F74CE868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0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251459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3946</xdr:row>
      <xdr:rowOff>25400</xdr:rowOff>
    </xdr:from>
    <xdr:to>
      <xdr:col>11</xdr:col>
      <xdr:colOff>571500</xdr:colOff>
      <xdr:row>3947</xdr:row>
      <xdr:rowOff>0</xdr:rowOff>
    </xdr:to>
    <xdr:pic>
      <xdr:nvPicPr>
        <xdr:cNvPr id="15941" name="Рисунок 15940">
          <a:extLst>
            <a:ext uri="{FF2B5EF4-FFF2-40B4-BE49-F238E27FC236}">
              <a16:creationId xmlns:a16="http://schemas.microsoft.com/office/drawing/2014/main" id="{1E31CB58-8DCB-4E5E-B595-DB22C41AC77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0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252030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3947</xdr:row>
      <xdr:rowOff>25400</xdr:rowOff>
    </xdr:from>
    <xdr:to>
      <xdr:col>11</xdr:col>
      <xdr:colOff>571500</xdr:colOff>
      <xdr:row>3948</xdr:row>
      <xdr:rowOff>0</xdr:rowOff>
    </xdr:to>
    <xdr:pic>
      <xdr:nvPicPr>
        <xdr:cNvPr id="15943" name="Рисунок 15942">
          <a:extLst>
            <a:ext uri="{FF2B5EF4-FFF2-40B4-BE49-F238E27FC236}">
              <a16:creationId xmlns:a16="http://schemas.microsoft.com/office/drawing/2014/main" id="{13E6C23E-DCFF-486D-BDD1-08D992C88CF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0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252602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3948</xdr:row>
      <xdr:rowOff>25400</xdr:rowOff>
    </xdr:from>
    <xdr:to>
      <xdr:col>11</xdr:col>
      <xdr:colOff>571500</xdr:colOff>
      <xdr:row>3949</xdr:row>
      <xdr:rowOff>0</xdr:rowOff>
    </xdr:to>
    <xdr:pic>
      <xdr:nvPicPr>
        <xdr:cNvPr id="15945" name="Рисунок 15944">
          <a:extLst>
            <a:ext uri="{FF2B5EF4-FFF2-40B4-BE49-F238E27FC236}">
              <a16:creationId xmlns:a16="http://schemas.microsoft.com/office/drawing/2014/main" id="{892B8FFF-89B7-4E8C-B734-55BD2885280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0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253173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3949</xdr:row>
      <xdr:rowOff>25400</xdr:rowOff>
    </xdr:from>
    <xdr:to>
      <xdr:col>11</xdr:col>
      <xdr:colOff>571500</xdr:colOff>
      <xdr:row>3950</xdr:row>
      <xdr:rowOff>0</xdr:rowOff>
    </xdr:to>
    <xdr:pic>
      <xdr:nvPicPr>
        <xdr:cNvPr id="15947" name="Рисунок 15946">
          <a:extLst>
            <a:ext uri="{FF2B5EF4-FFF2-40B4-BE49-F238E27FC236}">
              <a16:creationId xmlns:a16="http://schemas.microsoft.com/office/drawing/2014/main" id="{6D95D7C1-9549-4D03-A01F-01795C60DB5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0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253745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3950</xdr:row>
      <xdr:rowOff>25400</xdr:rowOff>
    </xdr:from>
    <xdr:to>
      <xdr:col>11</xdr:col>
      <xdr:colOff>571500</xdr:colOff>
      <xdr:row>3951</xdr:row>
      <xdr:rowOff>0</xdr:rowOff>
    </xdr:to>
    <xdr:pic>
      <xdr:nvPicPr>
        <xdr:cNvPr id="15949" name="Рисунок 15948">
          <a:extLst>
            <a:ext uri="{FF2B5EF4-FFF2-40B4-BE49-F238E27FC236}">
              <a16:creationId xmlns:a16="http://schemas.microsoft.com/office/drawing/2014/main" id="{2B7998DB-4F10-4E2B-AE55-6BBFA523987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0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254316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3951</xdr:row>
      <xdr:rowOff>25400</xdr:rowOff>
    </xdr:from>
    <xdr:to>
      <xdr:col>11</xdr:col>
      <xdr:colOff>571500</xdr:colOff>
      <xdr:row>3952</xdr:row>
      <xdr:rowOff>0</xdr:rowOff>
    </xdr:to>
    <xdr:pic>
      <xdr:nvPicPr>
        <xdr:cNvPr id="15951" name="Рисунок 15950">
          <a:extLst>
            <a:ext uri="{FF2B5EF4-FFF2-40B4-BE49-F238E27FC236}">
              <a16:creationId xmlns:a16="http://schemas.microsoft.com/office/drawing/2014/main" id="{416893AD-EAE2-427D-928D-ED53793412B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0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254888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3952</xdr:row>
      <xdr:rowOff>25400</xdr:rowOff>
    </xdr:from>
    <xdr:to>
      <xdr:col>11</xdr:col>
      <xdr:colOff>571500</xdr:colOff>
      <xdr:row>3953</xdr:row>
      <xdr:rowOff>0</xdr:rowOff>
    </xdr:to>
    <xdr:pic>
      <xdr:nvPicPr>
        <xdr:cNvPr id="15953" name="Рисунок 15952">
          <a:extLst>
            <a:ext uri="{FF2B5EF4-FFF2-40B4-BE49-F238E27FC236}">
              <a16:creationId xmlns:a16="http://schemas.microsoft.com/office/drawing/2014/main" id="{FBB325AD-C3E6-4B2E-82BA-15F92705D95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255459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3953</xdr:row>
      <xdr:rowOff>25400</xdr:rowOff>
    </xdr:from>
    <xdr:to>
      <xdr:col>11</xdr:col>
      <xdr:colOff>571500</xdr:colOff>
      <xdr:row>3954</xdr:row>
      <xdr:rowOff>0</xdr:rowOff>
    </xdr:to>
    <xdr:pic>
      <xdr:nvPicPr>
        <xdr:cNvPr id="15955" name="Рисунок 15954">
          <a:extLst>
            <a:ext uri="{FF2B5EF4-FFF2-40B4-BE49-F238E27FC236}">
              <a16:creationId xmlns:a16="http://schemas.microsoft.com/office/drawing/2014/main" id="{B1965F33-D410-4D06-AA6F-0ECA560360A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256031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3954</xdr:row>
      <xdr:rowOff>25400</xdr:rowOff>
    </xdr:from>
    <xdr:to>
      <xdr:col>11</xdr:col>
      <xdr:colOff>571500</xdr:colOff>
      <xdr:row>3955</xdr:row>
      <xdr:rowOff>0</xdr:rowOff>
    </xdr:to>
    <xdr:pic>
      <xdr:nvPicPr>
        <xdr:cNvPr id="15957" name="Рисунок 15956">
          <a:extLst>
            <a:ext uri="{FF2B5EF4-FFF2-40B4-BE49-F238E27FC236}">
              <a16:creationId xmlns:a16="http://schemas.microsoft.com/office/drawing/2014/main" id="{A26EB5D4-2BB5-4AC0-B2A1-5F44326519E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256602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3955</xdr:row>
      <xdr:rowOff>25400</xdr:rowOff>
    </xdr:from>
    <xdr:to>
      <xdr:col>11</xdr:col>
      <xdr:colOff>571500</xdr:colOff>
      <xdr:row>3956</xdr:row>
      <xdr:rowOff>0</xdr:rowOff>
    </xdr:to>
    <xdr:pic>
      <xdr:nvPicPr>
        <xdr:cNvPr id="15959" name="Рисунок 15958">
          <a:extLst>
            <a:ext uri="{FF2B5EF4-FFF2-40B4-BE49-F238E27FC236}">
              <a16:creationId xmlns:a16="http://schemas.microsoft.com/office/drawing/2014/main" id="{3BAC6EEA-6A3A-4401-8046-DD35B7626B3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257174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3956</xdr:row>
      <xdr:rowOff>25400</xdr:rowOff>
    </xdr:from>
    <xdr:to>
      <xdr:col>11</xdr:col>
      <xdr:colOff>571500</xdr:colOff>
      <xdr:row>3957</xdr:row>
      <xdr:rowOff>0</xdr:rowOff>
    </xdr:to>
    <xdr:pic>
      <xdr:nvPicPr>
        <xdr:cNvPr id="15961" name="Рисунок 15960">
          <a:extLst>
            <a:ext uri="{FF2B5EF4-FFF2-40B4-BE49-F238E27FC236}">
              <a16:creationId xmlns:a16="http://schemas.microsoft.com/office/drawing/2014/main" id="{C75F0A56-979E-4D70-AC65-DBDE3D57B53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257745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3957</xdr:row>
      <xdr:rowOff>25400</xdr:rowOff>
    </xdr:from>
    <xdr:to>
      <xdr:col>11</xdr:col>
      <xdr:colOff>571500</xdr:colOff>
      <xdr:row>3958</xdr:row>
      <xdr:rowOff>0</xdr:rowOff>
    </xdr:to>
    <xdr:pic>
      <xdr:nvPicPr>
        <xdr:cNvPr id="15963" name="Рисунок 15962">
          <a:extLst>
            <a:ext uri="{FF2B5EF4-FFF2-40B4-BE49-F238E27FC236}">
              <a16:creationId xmlns:a16="http://schemas.microsoft.com/office/drawing/2014/main" id="{E39DFBE4-2421-4946-A970-FFD0DC66287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258317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3958</xdr:row>
      <xdr:rowOff>25400</xdr:rowOff>
    </xdr:from>
    <xdr:to>
      <xdr:col>11</xdr:col>
      <xdr:colOff>571500</xdr:colOff>
      <xdr:row>3959</xdr:row>
      <xdr:rowOff>0</xdr:rowOff>
    </xdr:to>
    <xdr:pic>
      <xdr:nvPicPr>
        <xdr:cNvPr id="15965" name="Рисунок 15964">
          <a:extLst>
            <a:ext uri="{FF2B5EF4-FFF2-40B4-BE49-F238E27FC236}">
              <a16:creationId xmlns:a16="http://schemas.microsoft.com/office/drawing/2014/main" id="{5741636F-9C57-411F-A4E5-B7F3AB26924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258888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3959</xdr:row>
      <xdr:rowOff>25400</xdr:rowOff>
    </xdr:from>
    <xdr:to>
      <xdr:col>11</xdr:col>
      <xdr:colOff>571500</xdr:colOff>
      <xdr:row>3960</xdr:row>
      <xdr:rowOff>0</xdr:rowOff>
    </xdr:to>
    <xdr:pic>
      <xdr:nvPicPr>
        <xdr:cNvPr id="15967" name="Рисунок 15966">
          <a:extLst>
            <a:ext uri="{FF2B5EF4-FFF2-40B4-BE49-F238E27FC236}">
              <a16:creationId xmlns:a16="http://schemas.microsoft.com/office/drawing/2014/main" id="{C2B0CDC0-FD61-4015-9E55-8AC1169F231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259460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3960</xdr:row>
      <xdr:rowOff>25400</xdr:rowOff>
    </xdr:from>
    <xdr:to>
      <xdr:col>11</xdr:col>
      <xdr:colOff>571500</xdr:colOff>
      <xdr:row>3961</xdr:row>
      <xdr:rowOff>0</xdr:rowOff>
    </xdr:to>
    <xdr:pic>
      <xdr:nvPicPr>
        <xdr:cNvPr id="15969" name="Рисунок 15968">
          <a:extLst>
            <a:ext uri="{FF2B5EF4-FFF2-40B4-BE49-F238E27FC236}">
              <a16:creationId xmlns:a16="http://schemas.microsoft.com/office/drawing/2014/main" id="{AF2F8790-4841-4751-A2D7-B90C12132CC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260031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3961</xdr:row>
      <xdr:rowOff>25400</xdr:rowOff>
    </xdr:from>
    <xdr:to>
      <xdr:col>11</xdr:col>
      <xdr:colOff>571500</xdr:colOff>
      <xdr:row>3962</xdr:row>
      <xdr:rowOff>0</xdr:rowOff>
    </xdr:to>
    <xdr:pic>
      <xdr:nvPicPr>
        <xdr:cNvPr id="15971" name="Рисунок 15970">
          <a:extLst>
            <a:ext uri="{FF2B5EF4-FFF2-40B4-BE49-F238E27FC236}">
              <a16:creationId xmlns:a16="http://schemas.microsoft.com/office/drawing/2014/main" id="{1F15B51A-57E6-4EC9-BE7A-31B5E2B0459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260603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3962</xdr:row>
      <xdr:rowOff>25400</xdr:rowOff>
    </xdr:from>
    <xdr:to>
      <xdr:col>11</xdr:col>
      <xdr:colOff>571500</xdr:colOff>
      <xdr:row>3963</xdr:row>
      <xdr:rowOff>0</xdr:rowOff>
    </xdr:to>
    <xdr:pic>
      <xdr:nvPicPr>
        <xdr:cNvPr id="15973" name="Рисунок 15972">
          <a:extLst>
            <a:ext uri="{FF2B5EF4-FFF2-40B4-BE49-F238E27FC236}">
              <a16:creationId xmlns:a16="http://schemas.microsoft.com/office/drawing/2014/main" id="{1ED5AC07-E880-44FF-A1A4-BF40709DFE9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261174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3963</xdr:row>
      <xdr:rowOff>25400</xdr:rowOff>
    </xdr:from>
    <xdr:to>
      <xdr:col>11</xdr:col>
      <xdr:colOff>571500</xdr:colOff>
      <xdr:row>3964</xdr:row>
      <xdr:rowOff>0</xdr:rowOff>
    </xdr:to>
    <xdr:pic>
      <xdr:nvPicPr>
        <xdr:cNvPr id="15975" name="Рисунок 15974">
          <a:extLst>
            <a:ext uri="{FF2B5EF4-FFF2-40B4-BE49-F238E27FC236}">
              <a16:creationId xmlns:a16="http://schemas.microsoft.com/office/drawing/2014/main" id="{A98479D4-ECAC-42D6-BA95-D7C9F856687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261746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3964</xdr:row>
      <xdr:rowOff>25400</xdr:rowOff>
    </xdr:from>
    <xdr:to>
      <xdr:col>11</xdr:col>
      <xdr:colOff>571500</xdr:colOff>
      <xdr:row>3965</xdr:row>
      <xdr:rowOff>0</xdr:rowOff>
    </xdr:to>
    <xdr:pic>
      <xdr:nvPicPr>
        <xdr:cNvPr id="15977" name="Рисунок 15976">
          <a:extLst>
            <a:ext uri="{FF2B5EF4-FFF2-40B4-BE49-F238E27FC236}">
              <a16:creationId xmlns:a16="http://schemas.microsoft.com/office/drawing/2014/main" id="{887D004B-F3FF-4140-80E6-46BB39963C2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262317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3965</xdr:row>
      <xdr:rowOff>25400</xdr:rowOff>
    </xdr:from>
    <xdr:to>
      <xdr:col>11</xdr:col>
      <xdr:colOff>571500</xdr:colOff>
      <xdr:row>3966</xdr:row>
      <xdr:rowOff>0</xdr:rowOff>
    </xdr:to>
    <xdr:pic>
      <xdr:nvPicPr>
        <xdr:cNvPr id="15979" name="Рисунок 15978">
          <a:extLst>
            <a:ext uri="{FF2B5EF4-FFF2-40B4-BE49-F238E27FC236}">
              <a16:creationId xmlns:a16="http://schemas.microsoft.com/office/drawing/2014/main" id="{E1B8CAB8-6D81-4291-83FE-4E622263F91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262889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3966</xdr:row>
      <xdr:rowOff>25400</xdr:rowOff>
    </xdr:from>
    <xdr:to>
      <xdr:col>11</xdr:col>
      <xdr:colOff>571500</xdr:colOff>
      <xdr:row>3967</xdr:row>
      <xdr:rowOff>0</xdr:rowOff>
    </xdr:to>
    <xdr:pic>
      <xdr:nvPicPr>
        <xdr:cNvPr id="15981" name="Рисунок 15980">
          <a:extLst>
            <a:ext uri="{FF2B5EF4-FFF2-40B4-BE49-F238E27FC236}">
              <a16:creationId xmlns:a16="http://schemas.microsoft.com/office/drawing/2014/main" id="{50FF960D-57BB-4E38-9530-918823C6612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263460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3967</xdr:row>
      <xdr:rowOff>25400</xdr:rowOff>
    </xdr:from>
    <xdr:to>
      <xdr:col>11</xdr:col>
      <xdr:colOff>571500</xdr:colOff>
      <xdr:row>3968</xdr:row>
      <xdr:rowOff>0</xdr:rowOff>
    </xdr:to>
    <xdr:pic>
      <xdr:nvPicPr>
        <xdr:cNvPr id="15983" name="Рисунок 15982">
          <a:extLst>
            <a:ext uri="{FF2B5EF4-FFF2-40B4-BE49-F238E27FC236}">
              <a16:creationId xmlns:a16="http://schemas.microsoft.com/office/drawing/2014/main" id="{1F175129-BE9D-4465-85D6-4A73B51F3F3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264032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3968</xdr:row>
      <xdr:rowOff>25400</xdr:rowOff>
    </xdr:from>
    <xdr:to>
      <xdr:col>11</xdr:col>
      <xdr:colOff>571500</xdr:colOff>
      <xdr:row>3969</xdr:row>
      <xdr:rowOff>0</xdr:rowOff>
    </xdr:to>
    <xdr:pic>
      <xdr:nvPicPr>
        <xdr:cNvPr id="15985" name="Рисунок 15984">
          <a:extLst>
            <a:ext uri="{FF2B5EF4-FFF2-40B4-BE49-F238E27FC236}">
              <a16:creationId xmlns:a16="http://schemas.microsoft.com/office/drawing/2014/main" id="{18BADFC2-2A6D-4DDD-B66F-941E83B6ACF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264603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3969</xdr:row>
      <xdr:rowOff>25400</xdr:rowOff>
    </xdr:from>
    <xdr:to>
      <xdr:col>11</xdr:col>
      <xdr:colOff>571500</xdr:colOff>
      <xdr:row>3970</xdr:row>
      <xdr:rowOff>0</xdr:rowOff>
    </xdr:to>
    <xdr:pic>
      <xdr:nvPicPr>
        <xdr:cNvPr id="15987" name="Рисунок 15986">
          <a:extLst>
            <a:ext uri="{FF2B5EF4-FFF2-40B4-BE49-F238E27FC236}">
              <a16:creationId xmlns:a16="http://schemas.microsoft.com/office/drawing/2014/main" id="{F17E1A2C-2C7E-464E-8EB1-13FF120D5C2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265175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3970</xdr:row>
      <xdr:rowOff>25400</xdr:rowOff>
    </xdr:from>
    <xdr:to>
      <xdr:col>11</xdr:col>
      <xdr:colOff>571500</xdr:colOff>
      <xdr:row>3971</xdr:row>
      <xdr:rowOff>0</xdr:rowOff>
    </xdr:to>
    <xdr:pic>
      <xdr:nvPicPr>
        <xdr:cNvPr id="15989" name="Рисунок 15988">
          <a:extLst>
            <a:ext uri="{FF2B5EF4-FFF2-40B4-BE49-F238E27FC236}">
              <a16:creationId xmlns:a16="http://schemas.microsoft.com/office/drawing/2014/main" id="{7AAB2D5B-A750-4612-B6CF-19416C86E3C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265746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3971</xdr:row>
      <xdr:rowOff>25400</xdr:rowOff>
    </xdr:from>
    <xdr:to>
      <xdr:col>11</xdr:col>
      <xdr:colOff>571500</xdr:colOff>
      <xdr:row>3972</xdr:row>
      <xdr:rowOff>0</xdr:rowOff>
    </xdr:to>
    <xdr:pic>
      <xdr:nvPicPr>
        <xdr:cNvPr id="15991" name="Рисунок 15990">
          <a:extLst>
            <a:ext uri="{FF2B5EF4-FFF2-40B4-BE49-F238E27FC236}">
              <a16:creationId xmlns:a16="http://schemas.microsoft.com/office/drawing/2014/main" id="{AB1A5CF2-B94D-49A8-BB24-EEB74429B03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266318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3972</xdr:row>
      <xdr:rowOff>25400</xdr:rowOff>
    </xdr:from>
    <xdr:to>
      <xdr:col>11</xdr:col>
      <xdr:colOff>571500</xdr:colOff>
      <xdr:row>3973</xdr:row>
      <xdr:rowOff>0</xdr:rowOff>
    </xdr:to>
    <xdr:pic>
      <xdr:nvPicPr>
        <xdr:cNvPr id="15993" name="Рисунок 15992">
          <a:extLst>
            <a:ext uri="{FF2B5EF4-FFF2-40B4-BE49-F238E27FC236}">
              <a16:creationId xmlns:a16="http://schemas.microsoft.com/office/drawing/2014/main" id="{05CF3990-0726-4FFE-962C-6FFEE3558BA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266889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3973</xdr:row>
      <xdr:rowOff>25400</xdr:rowOff>
    </xdr:from>
    <xdr:to>
      <xdr:col>11</xdr:col>
      <xdr:colOff>571500</xdr:colOff>
      <xdr:row>3974</xdr:row>
      <xdr:rowOff>0</xdr:rowOff>
    </xdr:to>
    <xdr:pic>
      <xdr:nvPicPr>
        <xdr:cNvPr id="15995" name="Рисунок 15994">
          <a:extLst>
            <a:ext uri="{FF2B5EF4-FFF2-40B4-BE49-F238E27FC236}">
              <a16:creationId xmlns:a16="http://schemas.microsoft.com/office/drawing/2014/main" id="{F02B6FC8-CA8D-4A26-B323-BA570401738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3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267461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3974</xdr:row>
      <xdr:rowOff>25400</xdr:rowOff>
    </xdr:from>
    <xdr:to>
      <xdr:col>11</xdr:col>
      <xdr:colOff>571500</xdr:colOff>
      <xdr:row>3975</xdr:row>
      <xdr:rowOff>0</xdr:rowOff>
    </xdr:to>
    <xdr:pic>
      <xdr:nvPicPr>
        <xdr:cNvPr id="15997" name="Рисунок 15996">
          <a:extLst>
            <a:ext uri="{FF2B5EF4-FFF2-40B4-BE49-F238E27FC236}">
              <a16:creationId xmlns:a16="http://schemas.microsoft.com/office/drawing/2014/main" id="{D96D5A99-F070-4684-AA80-FA4CEBAACA8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3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268032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3975</xdr:row>
      <xdr:rowOff>25400</xdr:rowOff>
    </xdr:from>
    <xdr:to>
      <xdr:col>11</xdr:col>
      <xdr:colOff>571500</xdr:colOff>
      <xdr:row>3976</xdr:row>
      <xdr:rowOff>0</xdr:rowOff>
    </xdr:to>
    <xdr:pic>
      <xdr:nvPicPr>
        <xdr:cNvPr id="15999" name="Рисунок 15998">
          <a:extLst>
            <a:ext uri="{FF2B5EF4-FFF2-40B4-BE49-F238E27FC236}">
              <a16:creationId xmlns:a16="http://schemas.microsoft.com/office/drawing/2014/main" id="{B459394A-8CC9-4BF1-98A5-CD0EDD46531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3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268604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3976</xdr:row>
      <xdr:rowOff>25400</xdr:rowOff>
    </xdr:from>
    <xdr:to>
      <xdr:col>11</xdr:col>
      <xdr:colOff>571500</xdr:colOff>
      <xdr:row>3977</xdr:row>
      <xdr:rowOff>0</xdr:rowOff>
    </xdr:to>
    <xdr:pic>
      <xdr:nvPicPr>
        <xdr:cNvPr id="16001" name="Рисунок 16000">
          <a:extLst>
            <a:ext uri="{FF2B5EF4-FFF2-40B4-BE49-F238E27FC236}">
              <a16:creationId xmlns:a16="http://schemas.microsoft.com/office/drawing/2014/main" id="{08D9386C-AF04-4FC2-9D01-56DA87F3D77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3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269175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3978</xdr:row>
      <xdr:rowOff>25400</xdr:rowOff>
    </xdr:from>
    <xdr:to>
      <xdr:col>11</xdr:col>
      <xdr:colOff>571500</xdr:colOff>
      <xdr:row>3979</xdr:row>
      <xdr:rowOff>0</xdr:rowOff>
    </xdr:to>
    <xdr:pic>
      <xdr:nvPicPr>
        <xdr:cNvPr id="16003" name="Рисунок 16002">
          <a:extLst>
            <a:ext uri="{FF2B5EF4-FFF2-40B4-BE49-F238E27FC236}">
              <a16:creationId xmlns:a16="http://schemas.microsoft.com/office/drawing/2014/main" id="{B3A85FBA-4C1C-4DEB-8C98-055E932F01B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3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270318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3979</xdr:row>
      <xdr:rowOff>25400</xdr:rowOff>
    </xdr:from>
    <xdr:to>
      <xdr:col>11</xdr:col>
      <xdr:colOff>571500</xdr:colOff>
      <xdr:row>3980</xdr:row>
      <xdr:rowOff>0</xdr:rowOff>
    </xdr:to>
    <xdr:pic>
      <xdr:nvPicPr>
        <xdr:cNvPr id="16005" name="Рисунок 16004">
          <a:extLst>
            <a:ext uri="{FF2B5EF4-FFF2-40B4-BE49-F238E27FC236}">
              <a16:creationId xmlns:a16="http://schemas.microsoft.com/office/drawing/2014/main" id="{F53C42BD-E5FF-4227-8A83-B6A5B6588DE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3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270890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3980</xdr:row>
      <xdr:rowOff>25400</xdr:rowOff>
    </xdr:from>
    <xdr:to>
      <xdr:col>11</xdr:col>
      <xdr:colOff>571500</xdr:colOff>
      <xdr:row>3981</xdr:row>
      <xdr:rowOff>0</xdr:rowOff>
    </xdr:to>
    <xdr:pic>
      <xdr:nvPicPr>
        <xdr:cNvPr id="16007" name="Рисунок 16006">
          <a:extLst>
            <a:ext uri="{FF2B5EF4-FFF2-40B4-BE49-F238E27FC236}">
              <a16:creationId xmlns:a16="http://schemas.microsoft.com/office/drawing/2014/main" id="{A3FAD51C-03DD-448B-A58D-5B97F6B2CF4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3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271461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3981</xdr:row>
      <xdr:rowOff>25400</xdr:rowOff>
    </xdr:from>
    <xdr:to>
      <xdr:col>11</xdr:col>
      <xdr:colOff>571500</xdr:colOff>
      <xdr:row>3982</xdr:row>
      <xdr:rowOff>0</xdr:rowOff>
    </xdr:to>
    <xdr:pic>
      <xdr:nvPicPr>
        <xdr:cNvPr id="16009" name="Рисунок 16008">
          <a:extLst>
            <a:ext uri="{FF2B5EF4-FFF2-40B4-BE49-F238E27FC236}">
              <a16:creationId xmlns:a16="http://schemas.microsoft.com/office/drawing/2014/main" id="{C1793705-F1EA-4246-B80E-28425F6A11C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3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272033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3982</xdr:row>
      <xdr:rowOff>25400</xdr:rowOff>
    </xdr:from>
    <xdr:to>
      <xdr:col>11</xdr:col>
      <xdr:colOff>571500</xdr:colOff>
      <xdr:row>3983</xdr:row>
      <xdr:rowOff>0</xdr:rowOff>
    </xdr:to>
    <xdr:pic>
      <xdr:nvPicPr>
        <xdr:cNvPr id="16011" name="Рисунок 16010">
          <a:extLst>
            <a:ext uri="{FF2B5EF4-FFF2-40B4-BE49-F238E27FC236}">
              <a16:creationId xmlns:a16="http://schemas.microsoft.com/office/drawing/2014/main" id="{AB87C47E-2086-4555-A6B2-3258A7C2022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3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272604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3983</xdr:row>
      <xdr:rowOff>25400</xdr:rowOff>
    </xdr:from>
    <xdr:to>
      <xdr:col>11</xdr:col>
      <xdr:colOff>571500</xdr:colOff>
      <xdr:row>3984</xdr:row>
      <xdr:rowOff>0</xdr:rowOff>
    </xdr:to>
    <xdr:pic>
      <xdr:nvPicPr>
        <xdr:cNvPr id="16013" name="Рисунок 16012">
          <a:extLst>
            <a:ext uri="{FF2B5EF4-FFF2-40B4-BE49-F238E27FC236}">
              <a16:creationId xmlns:a16="http://schemas.microsoft.com/office/drawing/2014/main" id="{82E843DF-AC45-48AD-9D96-3D08D52FA86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4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273176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3984</xdr:row>
      <xdr:rowOff>25400</xdr:rowOff>
    </xdr:from>
    <xdr:to>
      <xdr:col>11</xdr:col>
      <xdr:colOff>571500</xdr:colOff>
      <xdr:row>3985</xdr:row>
      <xdr:rowOff>0</xdr:rowOff>
    </xdr:to>
    <xdr:pic>
      <xdr:nvPicPr>
        <xdr:cNvPr id="16015" name="Рисунок 16014">
          <a:extLst>
            <a:ext uri="{FF2B5EF4-FFF2-40B4-BE49-F238E27FC236}">
              <a16:creationId xmlns:a16="http://schemas.microsoft.com/office/drawing/2014/main" id="{D73A0BF8-85CC-48BC-9D23-3907546C325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4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273747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3985</xdr:row>
      <xdr:rowOff>25400</xdr:rowOff>
    </xdr:from>
    <xdr:to>
      <xdr:col>11</xdr:col>
      <xdr:colOff>571500</xdr:colOff>
      <xdr:row>3986</xdr:row>
      <xdr:rowOff>0</xdr:rowOff>
    </xdr:to>
    <xdr:pic>
      <xdr:nvPicPr>
        <xdr:cNvPr id="16017" name="Рисунок 16016">
          <a:extLst>
            <a:ext uri="{FF2B5EF4-FFF2-40B4-BE49-F238E27FC236}">
              <a16:creationId xmlns:a16="http://schemas.microsoft.com/office/drawing/2014/main" id="{8186277D-0F74-4C5A-B2B7-8B29C9456B7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274319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3986</xdr:row>
      <xdr:rowOff>25400</xdr:rowOff>
    </xdr:from>
    <xdr:to>
      <xdr:col>11</xdr:col>
      <xdr:colOff>571500</xdr:colOff>
      <xdr:row>3987</xdr:row>
      <xdr:rowOff>0</xdr:rowOff>
    </xdr:to>
    <xdr:pic>
      <xdr:nvPicPr>
        <xdr:cNvPr id="16019" name="Рисунок 16018">
          <a:extLst>
            <a:ext uri="{FF2B5EF4-FFF2-40B4-BE49-F238E27FC236}">
              <a16:creationId xmlns:a16="http://schemas.microsoft.com/office/drawing/2014/main" id="{8D040546-8ED0-4B9D-B256-2A715CC8FBF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274890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3987</xdr:row>
      <xdr:rowOff>25400</xdr:rowOff>
    </xdr:from>
    <xdr:to>
      <xdr:col>11</xdr:col>
      <xdr:colOff>571500</xdr:colOff>
      <xdr:row>3988</xdr:row>
      <xdr:rowOff>0</xdr:rowOff>
    </xdr:to>
    <xdr:pic>
      <xdr:nvPicPr>
        <xdr:cNvPr id="16021" name="Рисунок 16020">
          <a:extLst>
            <a:ext uri="{FF2B5EF4-FFF2-40B4-BE49-F238E27FC236}">
              <a16:creationId xmlns:a16="http://schemas.microsoft.com/office/drawing/2014/main" id="{E9B00A2F-33AE-4A40-80E9-BC4D7B5A481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275462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3988</xdr:row>
      <xdr:rowOff>25400</xdr:rowOff>
    </xdr:from>
    <xdr:to>
      <xdr:col>11</xdr:col>
      <xdr:colOff>571500</xdr:colOff>
      <xdr:row>3989</xdr:row>
      <xdr:rowOff>0</xdr:rowOff>
    </xdr:to>
    <xdr:pic>
      <xdr:nvPicPr>
        <xdr:cNvPr id="16023" name="Рисунок 16022">
          <a:extLst>
            <a:ext uri="{FF2B5EF4-FFF2-40B4-BE49-F238E27FC236}">
              <a16:creationId xmlns:a16="http://schemas.microsoft.com/office/drawing/2014/main" id="{F54ABF1F-CCFD-44EF-B34E-A18E0F2F70F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4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276033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3989</xdr:row>
      <xdr:rowOff>25400</xdr:rowOff>
    </xdr:from>
    <xdr:to>
      <xdr:col>11</xdr:col>
      <xdr:colOff>571500</xdr:colOff>
      <xdr:row>3990</xdr:row>
      <xdr:rowOff>0</xdr:rowOff>
    </xdr:to>
    <xdr:pic>
      <xdr:nvPicPr>
        <xdr:cNvPr id="16025" name="Рисунок 16024">
          <a:extLst>
            <a:ext uri="{FF2B5EF4-FFF2-40B4-BE49-F238E27FC236}">
              <a16:creationId xmlns:a16="http://schemas.microsoft.com/office/drawing/2014/main" id="{B53D4DFE-0FE6-4853-8FB8-D3B035DB443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4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276605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3990</xdr:row>
      <xdr:rowOff>25400</xdr:rowOff>
    </xdr:from>
    <xdr:to>
      <xdr:col>11</xdr:col>
      <xdr:colOff>571500</xdr:colOff>
      <xdr:row>3991</xdr:row>
      <xdr:rowOff>0</xdr:rowOff>
    </xdr:to>
    <xdr:pic>
      <xdr:nvPicPr>
        <xdr:cNvPr id="16027" name="Рисунок 16026">
          <a:extLst>
            <a:ext uri="{FF2B5EF4-FFF2-40B4-BE49-F238E27FC236}">
              <a16:creationId xmlns:a16="http://schemas.microsoft.com/office/drawing/2014/main" id="{CF195407-960A-488C-853E-F2B0E8EF84F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4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277176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3991</xdr:row>
      <xdr:rowOff>25400</xdr:rowOff>
    </xdr:from>
    <xdr:to>
      <xdr:col>11</xdr:col>
      <xdr:colOff>571500</xdr:colOff>
      <xdr:row>3992</xdr:row>
      <xdr:rowOff>0</xdr:rowOff>
    </xdr:to>
    <xdr:pic>
      <xdr:nvPicPr>
        <xdr:cNvPr id="16029" name="Рисунок 16028">
          <a:extLst>
            <a:ext uri="{FF2B5EF4-FFF2-40B4-BE49-F238E27FC236}">
              <a16:creationId xmlns:a16="http://schemas.microsoft.com/office/drawing/2014/main" id="{EF54039C-509A-4030-978F-BB25CEE3B52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4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277748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3992</xdr:row>
      <xdr:rowOff>25400</xdr:rowOff>
    </xdr:from>
    <xdr:to>
      <xdr:col>11</xdr:col>
      <xdr:colOff>571500</xdr:colOff>
      <xdr:row>3993</xdr:row>
      <xdr:rowOff>0</xdr:rowOff>
    </xdr:to>
    <xdr:pic>
      <xdr:nvPicPr>
        <xdr:cNvPr id="16031" name="Рисунок 16030">
          <a:extLst>
            <a:ext uri="{FF2B5EF4-FFF2-40B4-BE49-F238E27FC236}">
              <a16:creationId xmlns:a16="http://schemas.microsoft.com/office/drawing/2014/main" id="{3C1E2B0F-8846-4A15-BD17-8C4B06CD23F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4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278319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3993</xdr:row>
      <xdr:rowOff>25400</xdr:rowOff>
    </xdr:from>
    <xdr:to>
      <xdr:col>11</xdr:col>
      <xdr:colOff>571500</xdr:colOff>
      <xdr:row>3994</xdr:row>
      <xdr:rowOff>0</xdr:rowOff>
    </xdr:to>
    <xdr:pic>
      <xdr:nvPicPr>
        <xdr:cNvPr id="16033" name="Рисунок 16032">
          <a:extLst>
            <a:ext uri="{FF2B5EF4-FFF2-40B4-BE49-F238E27FC236}">
              <a16:creationId xmlns:a16="http://schemas.microsoft.com/office/drawing/2014/main" id="{BCDD9288-1ED6-4555-B901-DBD02FD915C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5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278891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3994</xdr:row>
      <xdr:rowOff>25400</xdr:rowOff>
    </xdr:from>
    <xdr:to>
      <xdr:col>11</xdr:col>
      <xdr:colOff>571500</xdr:colOff>
      <xdr:row>3995</xdr:row>
      <xdr:rowOff>0</xdr:rowOff>
    </xdr:to>
    <xdr:pic>
      <xdr:nvPicPr>
        <xdr:cNvPr id="16035" name="Рисунок 16034">
          <a:extLst>
            <a:ext uri="{FF2B5EF4-FFF2-40B4-BE49-F238E27FC236}">
              <a16:creationId xmlns:a16="http://schemas.microsoft.com/office/drawing/2014/main" id="{846B1D2D-DB5A-4340-ADFD-9D593DE2DC9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5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279462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3995</xdr:row>
      <xdr:rowOff>25400</xdr:rowOff>
    </xdr:from>
    <xdr:to>
      <xdr:col>11</xdr:col>
      <xdr:colOff>571500</xdr:colOff>
      <xdr:row>3996</xdr:row>
      <xdr:rowOff>0</xdr:rowOff>
    </xdr:to>
    <xdr:pic>
      <xdr:nvPicPr>
        <xdr:cNvPr id="16037" name="Рисунок 16036">
          <a:extLst>
            <a:ext uri="{FF2B5EF4-FFF2-40B4-BE49-F238E27FC236}">
              <a16:creationId xmlns:a16="http://schemas.microsoft.com/office/drawing/2014/main" id="{7C8F8CE1-3680-46D4-8DD8-7D4F2C08388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280034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3996</xdr:row>
      <xdr:rowOff>25400</xdr:rowOff>
    </xdr:from>
    <xdr:to>
      <xdr:col>11</xdr:col>
      <xdr:colOff>571500</xdr:colOff>
      <xdr:row>3997</xdr:row>
      <xdr:rowOff>0</xdr:rowOff>
    </xdr:to>
    <xdr:pic>
      <xdr:nvPicPr>
        <xdr:cNvPr id="16039" name="Рисунок 16038">
          <a:extLst>
            <a:ext uri="{FF2B5EF4-FFF2-40B4-BE49-F238E27FC236}">
              <a16:creationId xmlns:a16="http://schemas.microsoft.com/office/drawing/2014/main" id="{A46F7639-32DB-4DED-A054-65D646962B0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5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280605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3997</xdr:row>
      <xdr:rowOff>25400</xdr:rowOff>
    </xdr:from>
    <xdr:to>
      <xdr:col>11</xdr:col>
      <xdr:colOff>571500</xdr:colOff>
      <xdr:row>3998</xdr:row>
      <xdr:rowOff>0</xdr:rowOff>
    </xdr:to>
    <xdr:pic>
      <xdr:nvPicPr>
        <xdr:cNvPr id="16041" name="Рисунок 16040">
          <a:extLst>
            <a:ext uri="{FF2B5EF4-FFF2-40B4-BE49-F238E27FC236}">
              <a16:creationId xmlns:a16="http://schemas.microsoft.com/office/drawing/2014/main" id="{CE8E77C5-4D79-4E31-A842-EA2298CC012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5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281177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4000</xdr:row>
      <xdr:rowOff>25400</xdr:rowOff>
    </xdr:from>
    <xdr:to>
      <xdr:col>11</xdr:col>
      <xdr:colOff>571500</xdr:colOff>
      <xdr:row>4001</xdr:row>
      <xdr:rowOff>0</xdr:rowOff>
    </xdr:to>
    <xdr:pic>
      <xdr:nvPicPr>
        <xdr:cNvPr id="16043" name="Рисунок 16042">
          <a:extLst>
            <a:ext uri="{FF2B5EF4-FFF2-40B4-BE49-F238E27FC236}">
              <a16:creationId xmlns:a16="http://schemas.microsoft.com/office/drawing/2014/main" id="{83F3B2BD-17AE-4C69-A6C1-D031714360F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5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282891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4001</xdr:row>
      <xdr:rowOff>25400</xdr:rowOff>
    </xdr:from>
    <xdr:to>
      <xdr:col>11</xdr:col>
      <xdr:colOff>571500</xdr:colOff>
      <xdr:row>4002</xdr:row>
      <xdr:rowOff>0</xdr:rowOff>
    </xdr:to>
    <xdr:pic>
      <xdr:nvPicPr>
        <xdr:cNvPr id="16045" name="Рисунок 16044">
          <a:extLst>
            <a:ext uri="{FF2B5EF4-FFF2-40B4-BE49-F238E27FC236}">
              <a16:creationId xmlns:a16="http://schemas.microsoft.com/office/drawing/2014/main" id="{11E8A110-7077-43C2-8FF0-35F4C31AD27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5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283463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4002</xdr:row>
      <xdr:rowOff>25400</xdr:rowOff>
    </xdr:from>
    <xdr:to>
      <xdr:col>11</xdr:col>
      <xdr:colOff>571500</xdr:colOff>
      <xdr:row>4003</xdr:row>
      <xdr:rowOff>0</xdr:rowOff>
    </xdr:to>
    <xdr:pic>
      <xdr:nvPicPr>
        <xdr:cNvPr id="16047" name="Рисунок 16046">
          <a:extLst>
            <a:ext uri="{FF2B5EF4-FFF2-40B4-BE49-F238E27FC236}">
              <a16:creationId xmlns:a16="http://schemas.microsoft.com/office/drawing/2014/main" id="{50AA54CC-416C-4790-9777-DBDC23B6861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5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284034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4003</xdr:row>
      <xdr:rowOff>25400</xdr:rowOff>
    </xdr:from>
    <xdr:to>
      <xdr:col>11</xdr:col>
      <xdr:colOff>571500</xdr:colOff>
      <xdr:row>4004</xdr:row>
      <xdr:rowOff>0</xdr:rowOff>
    </xdr:to>
    <xdr:pic>
      <xdr:nvPicPr>
        <xdr:cNvPr id="16049" name="Рисунок 16048">
          <a:extLst>
            <a:ext uri="{FF2B5EF4-FFF2-40B4-BE49-F238E27FC236}">
              <a16:creationId xmlns:a16="http://schemas.microsoft.com/office/drawing/2014/main" id="{EEFFE911-5DF5-464C-A762-C769C68260E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5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284606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4004</xdr:row>
      <xdr:rowOff>25400</xdr:rowOff>
    </xdr:from>
    <xdr:to>
      <xdr:col>11</xdr:col>
      <xdr:colOff>571500</xdr:colOff>
      <xdr:row>4005</xdr:row>
      <xdr:rowOff>0</xdr:rowOff>
    </xdr:to>
    <xdr:pic>
      <xdr:nvPicPr>
        <xdr:cNvPr id="16051" name="Рисунок 16050">
          <a:extLst>
            <a:ext uri="{FF2B5EF4-FFF2-40B4-BE49-F238E27FC236}">
              <a16:creationId xmlns:a16="http://schemas.microsoft.com/office/drawing/2014/main" id="{1375E0E1-0781-4814-8243-8D45AA1F8AB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5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285177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4005</xdr:row>
      <xdr:rowOff>25400</xdr:rowOff>
    </xdr:from>
    <xdr:to>
      <xdr:col>11</xdr:col>
      <xdr:colOff>571500</xdr:colOff>
      <xdr:row>4006</xdr:row>
      <xdr:rowOff>0</xdr:rowOff>
    </xdr:to>
    <xdr:pic>
      <xdr:nvPicPr>
        <xdr:cNvPr id="16053" name="Рисунок 16052">
          <a:extLst>
            <a:ext uri="{FF2B5EF4-FFF2-40B4-BE49-F238E27FC236}">
              <a16:creationId xmlns:a16="http://schemas.microsoft.com/office/drawing/2014/main" id="{5C795DE5-D1AE-405D-86B3-180AEDB27B1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6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285749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4006</xdr:row>
      <xdr:rowOff>25400</xdr:rowOff>
    </xdr:from>
    <xdr:to>
      <xdr:col>11</xdr:col>
      <xdr:colOff>571500</xdr:colOff>
      <xdr:row>4007</xdr:row>
      <xdr:rowOff>0</xdr:rowOff>
    </xdr:to>
    <xdr:pic>
      <xdr:nvPicPr>
        <xdr:cNvPr id="16055" name="Рисунок 16054">
          <a:extLst>
            <a:ext uri="{FF2B5EF4-FFF2-40B4-BE49-F238E27FC236}">
              <a16:creationId xmlns:a16="http://schemas.microsoft.com/office/drawing/2014/main" id="{BCA57386-180D-4FFF-8EFC-9AF637117AB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6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286320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4007</xdr:row>
      <xdr:rowOff>25400</xdr:rowOff>
    </xdr:from>
    <xdr:to>
      <xdr:col>11</xdr:col>
      <xdr:colOff>571500</xdr:colOff>
      <xdr:row>4008</xdr:row>
      <xdr:rowOff>0</xdr:rowOff>
    </xdr:to>
    <xdr:pic>
      <xdr:nvPicPr>
        <xdr:cNvPr id="16057" name="Рисунок 16056">
          <a:extLst>
            <a:ext uri="{FF2B5EF4-FFF2-40B4-BE49-F238E27FC236}">
              <a16:creationId xmlns:a16="http://schemas.microsoft.com/office/drawing/2014/main" id="{B8CFE103-2EA2-4455-8F61-F897E2196BD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6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286892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4008</xdr:row>
      <xdr:rowOff>25400</xdr:rowOff>
    </xdr:from>
    <xdr:to>
      <xdr:col>11</xdr:col>
      <xdr:colOff>571500</xdr:colOff>
      <xdr:row>4009</xdr:row>
      <xdr:rowOff>0</xdr:rowOff>
    </xdr:to>
    <xdr:pic>
      <xdr:nvPicPr>
        <xdr:cNvPr id="16059" name="Рисунок 16058">
          <a:extLst>
            <a:ext uri="{FF2B5EF4-FFF2-40B4-BE49-F238E27FC236}">
              <a16:creationId xmlns:a16="http://schemas.microsoft.com/office/drawing/2014/main" id="{ECD9097B-5602-43CB-AAC2-042C8C21B76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6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287463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4009</xdr:row>
      <xdr:rowOff>25400</xdr:rowOff>
    </xdr:from>
    <xdr:to>
      <xdr:col>11</xdr:col>
      <xdr:colOff>571500</xdr:colOff>
      <xdr:row>4010</xdr:row>
      <xdr:rowOff>0</xdr:rowOff>
    </xdr:to>
    <xdr:pic>
      <xdr:nvPicPr>
        <xdr:cNvPr id="16061" name="Рисунок 16060">
          <a:extLst>
            <a:ext uri="{FF2B5EF4-FFF2-40B4-BE49-F238E27FC236}">
              <a16:creationId xmlns:a16="http://schemas.microsoft.com/office/drawing/2014/main" id="{989ED58A-1191-4006-A4AA-1CA19B9AF6F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6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288035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4010</xdr:row>
      <xdr:rowOff>25400</xdr:rowOff>
    </xdr:from>
    <xdr:to>
      <xdr:col>11</xdr:col>
      <xdr:colOff>571500</xdr:colOff>
      <xdr:row>4011</xdr:row>
      <xdr:rowOff>0</xdr:rowOff>
    </xdr:to>
    <xdr:pic>
      <xdr:nvPicPr>
        <xdr:cNvPr id="16063" name="Рисунок 16062">
          <a:extLst>
            <a:ext uri="{FF2B5EF4-FFF2-40B4-BE49-F238E27FC236}">
              <a16:creationId xmlns:a16="http://schemas.microsoft.com/office/drawing/2014/main" id="{8748186D-04C4-4DC3-B9F2-F9E3A644786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6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288606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4011</xdr:row>
      <xdr:rowOff>25400</xdr:rowOff>
    </xdr:from>
    <xdr:to>
      <xdr:col>11</xdr:col>
      <xdr:colOff>571500</xdr:colOff>
      <xdr:row>4012</xdr:row>
      <xdr:rowOff>0</xdr:rowOff>
    </xdr:to>
    <xdr:pic>
      <xdr:nvPicPr>
        <xdr:cNvPr id="16065" name="Рисунок 16064">
          <a:extLst>
            <a:ext uri="{FF2B5EF4-FFF2-40B4-BE49-F238E27FC236}">
              <a16:creationId xmlns:a16="http://schemas.microsoft.com/office/drawing/2014/main" id="{9E6B0B8D-7463-4ECD-9A15-76A715B2174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6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289178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4012</xdr:row>
      <xdr:rowOff>25400</xdr:rowOff>
    </xdr:from>
    <xdr:to>
      <xdr:col>11</xdr:col>
      <xdr:colOff>571500</xdr:colOff>
      <xdr:row>4013</xdr:row>
      <xdr:rowOff>0</xdr:rowOff>
    </xdr:to>
    <xdr:pic>
      <xdr:nvPicPr>
        <xdr:cNvPr id="16067" name="Рисунок 16066">
          <a:extLst>
            <a:ext uri="{FF2B5EF4-FFF2-40B4-BE49-F238E27FC236}">
              <a16:creationId xmlns:a16="http://schemas.microsoft.com/office/drawing/2014/main" id="{F80F76F8-CB64-4525-B0F4-8E61A54BFD4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6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289749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4013</xdr:row>
      <xdr:rowOff>25400</xdr:rowOff>
    </xdr:from>
    <xdr:to>
      <xdr:col>11</xdr:col>
      <xdr:colOff>571500</xdr:colOff>
      <xdr:row>4014</xdr:row>
      <xdr:rowOff>0</xdr:rowOff>
    </xdr:to>
    <xdr:pic>
      <xdr:nvPicPr>
        <xdr:cNvPr id="16069" name="Рисунок 16068">
          <a:extLst>
            <a:ext uri="{FF2B5EF4-FFF2-40B4-BE49-F238E27FC236}">
              <a16:creationId xmlns:a16="http://schemas.microsoft.com/office/drawing/2014/main" id="{D11D1475-F3C0-4855-A5E0-CC2D5BD490B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6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290321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4014</xdr:row>
      <xdr:rowOff>25400</xdr:rowOff>
    </xdr:from>
    <xdr:to>
      <xdr:col>11</xdr:col>
      <xdr:colOff>571500</xdr:colOff>
      <xdr:row>4015</xdr:row>
      <xdr:rowOff>0</xdr:rowOff>
    </xdr:to>
    <xdr:pic>
      <xdr:nvPicPr>
        <xdr:cNvPr id="16071" name="Рисунок 16070">
          <a:extLst>
            <a:ext uri="{FF2B5EF4-FFF2-40B4-BE49-F238E27FC236}">
              <a16:creationId xmlns:a16="http://schemas.microsoft.com/office/drawing/2014/main" id="{47F92D3E-6D1A-463E-8837-67FEA78BB3B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6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290892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4015</xdr:row>
      <xdr:rowOff>25400</xdr:rowOff>
    </xdr:from>
    <xdr:to>
      <xdr:col>11</xdr:col>
      <xdr:colOff>571500</xdr:colOff>
      <xdr:row>4016</xdr:row>
      <xdr:rowOff>0</xdr:rowOff>
    </xdr:to>
    <xdr:pic>
      <xdr:nvPicPr>
        <xdr:cNvPr id="16073" name="Рисунок 16072">
          <a:extLst>
            <a:ext uri="{FF2B5EF4-FFF2-40B4-BE49-F238E27FC236}">
              <a16:creationId xmlns:a16="http://schemas.microsoft.com/office/drawing/2014/main" id="{15C17B10-1DA6-41E1-B2D2-6D880F48504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7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291464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4016</xdr:row>
      <xdr:rowOff>25400</xdr:rowOff>
    </xdr:from>
    <xdr:to>
      <xdr:col>11</xdr:col>
      <xdr:colOff>571500</xdr:colOff>
      <xdr:row>4017</xdr:row>
      <xdr:rowOff>0</xdr:rowOff>
    </xdr:to>
    <xdr:pic>
      <xdr:nvPicPr>
        <xdr:cNvPr id="16075" name="Рисунок 16074">
          <a:extLst>
            <a:ext uri="{FF2B5EF4-FFF2-40B4-BE49-F238E27FC236}">
              <a16:creationId xmlns:a16="http://schemas.microsoft.com/office/drawing/2014/main" id="{F571BBF7-95CA-4253-B1F9-CB095ECD300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7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292035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4017</xdr:row>
      <xdr:rowOff>25400</xdr:rowOff>
    </xdr:from>
    <xdr:to>
      <xdr:col>11</xdr:col>
      <xdr:colOff>571500</xdr:colOff>
      <xdr:row>4018</xdr:row>
      <xdr:rowOff>0</xdr:rowOff>
    </xdr:to>
    <xdr:pic>
      <xdr:nvPicPr>
        <xdr:cNvPr id="16077" name="Рисунок 16076">
          <a:extLst>
            <a:ext uri="{FF2B5EF4-FFF2-40B4-BE49-F238E27FC236}">
              <a16:creationId xmlns:a16="http://schemas.microsoft.com/office/drawing/2014/main" id="{DD9305A1-53BF-47FA-8684-376077E6C89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7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292607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4018</xdr:row>
      <xdr:rowOff>25400</xdr:rowOff>
    </xdr:from>
    <xdr:to>
      <xdr:col>11</xdr:col>
      <xdr:colOff>571500</xdr:colOff>
      <xdr:row>4019</xdr:row>
      <xdr:rowOff>0</xdr:rowOff>
    </xdr:to>
    <xdr:pic>
      <xdr:nvPicPr>
        <xdr:cNvPr id="16079" name="Рисунок 16078">
          <a:extLst>
            <a:ext uri="{FF2B5EF4-FFF2-40B4-BE49-F238E27FC236}">
              <a16:creationId xmlns:a16="http://schemas.microsoft.com/office/drawing/2014/main" id="{701A5712-1F38-438A-9057-86CC32D69BD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7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293178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4019</xdr:row>
      <xdr:rowOff>25400</xdr:rowOff>
    </xdr:from>
    <xdr:to>
      <xdr:col>11</xdr:col>
      <xdr:colOff>571500</xdr:colOff>
      <xdr:row>4020</xdr:row>
      <xdr:rowOff>0</xdr:rowOff>
    </xdr:to>
    <xdr:pic>
      <xdr:nvPicPr>
        <xdr:cNvPr id="16081" name="Рисунок 16080">
          <a:extLst>
            <a:ext uri="{FF2B5EF4-FFF2-40B4-BE49-F238E27FC236}">
              <a16:creationId xmlns:a16="http://schemas.microsoft.com/office/drawing/2014/main" id="{196AEF78-59AB-410E-9F89-6D94477ADCB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7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293750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4020</xdr:row>
      <xdr:rowOff>25400</xdr:rowOff>
    </xdr:from>
    <xdr:to>
      <xdr:col>11</xdr:col>
      <xdr:colOff>571500</xdr:colOff>
      <xdr:row>4021</xdr:row>
      <xdr:rowOff>0</xdr:rowOff>
    </xdr:to>
    <xdr:pic>
      <xdr:nvPicPr>
        <xdr:cNvPr id="16083" name="Рисунок 16082">
          <a:extLst>
            <a:ext uri="{FF2B5EF4-FFF2-40B4-BE49-F238E27FC236}">
              <a16:creationId xmlns:a16="http://schemas.microsoft.com/office/drawing/2014/main" id="{F6EFF7E2-2B49-4E85-A363-8B6464D8AEB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7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294321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4021</xdr:row>
      <xdr:rowOff>25400</xdr:rowOff>
    </xdr:from>
    <xdr:to>
      <xdr:col>11</xdr:col>
      <xdr:colOff>571500</xdr:colOff>
      <xdr:row>4022</xdr:row>
      <xdr:rowOff>0</xdr:rowOff>
    </xdr:to>
    <xdr:pic>
      <xdr:nvPicPr>
        <xdr:cNvPr id="16085" name="Рисунок 16084">
          <a:extLst>
            <a:ext uri="{FF2B5EF4-FFF2-40B4-BE49-F238E27FC236}">
              <a16:creationId xmlns:a16="http://schemas.microsoft.com/office/drawing/2014/main" id="{9E5FF892-88D6-464A-A3AA-A21858B9FBF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7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294893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4022</xdr:row>
      <xdr:rowOff>25400</xdr:rowOff>
    </xdr:from>
    <xdr:to>
      <xdr:col>11</xdr:col>
      <xdr:colOff>571500</xdr:colOff>
      <xdr:row>4023</xdr:row>
      <xdr:rowOff>0</xdr:rowOff>
    </xdr:to>
    <xdr:pic>
      <xdr:nvPicPr>
        <xdr:cNvPr id="16087" name="Рисунок 16086">
          <a:extLst>
            <a:ext uri="{FF2B5EF4-FFF2-40B4-BE49-F238E27FC236}">
              <a16:creationId xmlns:a16="http://schemas.microsoft.com/office/drawing/2014/main" id="{963F01C7-79ED-45F5-A7B4-1F9B1B6CD72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7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295464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4023</xdr:row>
      <xdr:rowOff>25400</xdr:rowOff>
    </xdr:from>
    <xdr:to>
      <xdr:col>11</xdr:col>
      <xdr:colOff>571500</xdr:colOff>
      <xdr:row>4024</xdr:row>
      <xdr:rowOff>0</xdr:rowOff>
    </xdr:to>
    <xdr:pic>
      <xdr:nvPicPr>
        <xdr:cNvPr id="16089" name="Рисунок 16088">
          <a:extLst>
            <a:ext uri="{FF2B5EF4-FFF2-40B4-BE49-F238E27FC236}">
              <a16:creationId xmlns:a16="http://schemas.microsoft.com/office/drawing/2014/main" id="{77F67211-86CE-4324-989A-DF59D783EA1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7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296036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4024</xdr:row>
      <xdr:rowOff>25400</xdr:rowOff>
    </xdr:from>
    <xdr:to>
      <xdr:col>11</xdr:col>
      <xdr:colOff>571500</xdr:colOff>
      <xdr:row>4025</xdr:row>
      <xdr:rowOff>0</xdr:rowOff>
    </xdr:to>
    <xdr:pic>
      <xdr:nvPicPr>
        <xdr:cNvPr id="16091" name="Рисунок 16090">
          <a:extLst>
            <a:ext uri="{FF2B5EF4-FFF2-40B4-BE49-F238E27FC236}">
              <a16:creationId xmlns:a16="http://schemas.microsoft.com/office/drawing/2014/main" id="{88B06FEB-1BDA-4392-8A50-3BFF3EF0798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7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296607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4025</xdr:row>
      <xdr:rowOff>25400</xdr:rowOff>
    </xdr:from>
    <xdr:to>
      <xdr:col>11</xdr:col>
      <xdr:colOff>571500</xdr:colOff>
      <xdr:row>4026</xdr:row>
      <xdr:rowOff>0</xdr:rowOff>
    </xdr:to>
    <xdr:pic>
      <xdr:nvPicPr>
        <xdr:cNvPr id="16093" name="Рисунок 16092">
          <a:extLst>
            <a:ext uri="{FF2B5EF4-FFF2-40B4-BE49-F238E27FC236}">
              <a16:creationId xmlns:a16="http://schemas.microsoft.com/office/drawing/2014/main" id="{1ECEF172-AE46-4B92-B16B-63157459699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8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297179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4026</xdr:row>
      <xdr:rowOff>25400</xdr:rowOff>
    </xdr:from>
    <xdr:to>
      <xdr:col>11</xdr:col>
      <xdr:colOff>571500</xdr:colOff>
      <xdr:row>4027</xdr:row>
      <xdr:rowOff>0</xdr:rowOff>
    </xdr:to>
    <xdr:pic>
      <xdr:nvPicPr>
        <xdr:cNvPr id="16095" name="Рисунок 16094">
          <a:extLst>
            <a:ext uri="{FF2B5EF4-FFF2-40B4-BE49-F238E27FC236}">
              <a16:creationId xmlns:a16="http://schemas.microsoft.com/office/drawing/2014/main" id="{F4FFB225-3184-413F-A12B-7C3B2D42B64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8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297750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4027</xdr:row>
      <xdr:rowOff>25400</xdr:rowOff>
    </xdr:from>
    <xdr:to>
      <xdr:col>11</xdr:col>
      <xdr:colOff>571500</xdr:colOff>
      <xdr:row>4028</xdr:row>
      <xdr:rowOff>0</xdr:rowOff>
    </xdr:to>
    <xdr:pic>
      <xdr:nvPicPr>
        <xdr:cNvPr id="16097" name="Рисунок 16096">
          <a:extLst>
            <a:ext uri="{FF2B5EF4-FFF2-40B4-BE49-F238E27FC236}">
              <a16:creationId xmlns:a16="http://schemas.microsoft.com/office/drawing/2014/main" id="{396EADAE-C95A-4035-9139-197FED0B06E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8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298322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4028</xdr:row>
      <xdr:rowOff>25400</xdr:rowOff>
    </xdr:from>
    <xdr:to>
      <xdr:col>11</xdr:col>
      <xdr:colOff>571500</xdr:colOff>
      <xdr:row>4029</xdr:row>
      <xdr:rowOff>0</xdr:rowOff>
    </xdr:to>
    <xdr:pic>
      <xdr:nvPicPr>
        <xdr:cNvPr id="16099" name="Рисунок 16098">
          <a:extLst>
            <a:ext uri="{FF2B5EF4-FFF2-40B4-BE49-F238E27FC236}">
              <a16:creationId xmlns:a16="http://schemas.microsoft.com/office/drawing/2014/main" id="{AAF8E4ED-C1DC-49D1-8FDE-25474E3FEF5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8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298893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4029</xdr:row>
      <xdr:rowOff>25400</xdr:rowOff>
    </xdr:from>
    <xdr:to>
      <xdr:col>11</xdr:col>
      <xdr:colOff>571500</xdr:colOff>
      <xdr:row>4030</xdr:row>
      <xdr:rowOff>0</xdr:rowOff>
    </xdr:to>
    <xdr:pic>
      <xdr:nvPicPr>
        <xdr:cNvPr id="16101" name="Рисунок 16100">
          <a:extLst>
            <a:ext uri="{FF2B5EF4-FFF2-40B4-BE49-F238E27FC236}">
              <a16:creationId xmlns:a16="http://schemas.microsoft.com/office/drawing/2014/main" id="{E3B053F7-1083-44F6-9D12-AD1C7A71CD1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8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299465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4030</xdr:row>
      <xdr:rowOff>25400</xdr:rowOff>
    </xdr:from>
    <xdr:to>
      <xdr:col>11</xdr:col>
      <xdr:colOff>571500</xdr:colOff>
      <xdr:row>4031</xdr:row>
      <xdr:rowOff>0</xdr:rowOff>
    </xdr:to>
    <xdr:pic>
      <xdr:nvPicPr>
        <xdr:cNvPr id="16103" name="Рисунок 16102">
          <a:extLst>
            <a:ext uri="{FF2B5EF4-FFF2-40B4-BE49-F238E27FC236}">
              <a16:creationId xmlns:a16="http://schemas.microsoft.com/office/drawing/2014/main" id="{658C27AF-B0EC-4649-99EC-822D3CAE017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8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300036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4031</xdr:row>
      <xdr:rowOff>25400</xdr:rowOff>
    </xdr:from>
    <xdr:to>
      <xdr:col>11</xdr:col>
      <xdr:colOff>571500</xdr:colOff>
      <xdr:row>4032</xdr:row>
      <xdr:rowOff>0</xdr:rowOff>
    </xdr:to>
    <xdr:pic>
      <xdr:nvPicPr>
        <xdr:cNvPr id="16105" name="Рисунок 16104">
          <a:extLst>
            <a:ext uri="{FF2B5EF4-FFF2-40B4-BE49-F238E27FC236}">
              <a16:creationId xmlns:a16="http://schemas.microsoft.com/office/drawing/2014/main" id="{82BA6AD4-F647-4ED6-BB42-B2A6B6CCCF3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8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300608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4032</xdr:row>
      <xdr:rowOff>25400</xdr:rowOff>
    </xdr:from>
    <xdr:to>
      <xdr:col>11</xdr:col>
      <xdr:colOff>571500</xdr:colOff>
      <xdr:row>4033</xdr:row>
      <xdr:rowOff>0</xdr:rowOff>
    </xdr:to>
    <xdr:pic>
      <xdr:nvPicPr>
        <xdr:cNvPr id="16107" name="Рисунок 16106">
          <a:extLst>
            <a:ext uri="{FF2B5EF4-FFF2-40B4-BE49-F238E27FC236}">
              <a16:creationId xmlns:a16="http://schemas.microsoft.com/office/drawing/2014/main" id="{466A60C9-7723-4C4F-8E76-2C939EFD179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8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301179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4033</xdr:row>
      <xdr:rowOff>25400</xdr:rowOff>
    </xdr:from>
    <xdr:to>
      <xdr:col>11</xdr:col>
      <xdr:colOff>571500</xdr:colOff>
      <xdr:row>4034</xdr:row>
      <xdr:rowOff>0</xdr:rowOff>
    </xdr:to>
    <xdr:pic>
      <xdr:nvPicPr>
        <xdr:cNvPr id="16109" name="Рисунок 16108">
          <a:extLst>
            <a:ext uri="{FF2B5EF4-FFF2-40B4-BE49-F238E27FC236}">
              <a16:creationId xmlns:a16="http://schemas.microsoft.com/office/drawing/2014/main" id="{6C90C2B2-AC10-497A-B109-073DE6EC506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8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301751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4034</xdr:row>
      <xdr:rowOff>25400</xdr:rowOff>
    </xdr:from>
    <xdr:to>
      <xdr:col>11</xdr:col>
      <xdr:colOff>571500</xdr:colOff>
      <xdr:row>4035</xdr:row>
      <xdr:rowOff>0</xdr:rowOff>
    </xdr:to>
    <xdr:pic>
      <xdr:nvPicPr>
        <xdr:cNvPr id="16111" name="Рисунок 16110">
          <a:extLst>
            <a:ext uri="{FF2B5EF4-FFF2-40B4-BE49-F238E27FC236}">
              <a16:creationId xmlns:a16="http://schemas.microsoft.com/office/drawing/2014/main" id="{325BE72C-78DF-4BEA-B788-5967D2A899E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8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302322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4035</xdr:row>
      <xdr:rowOff>25400</xdr:rowOff>
    </xdr:from>
    <xdr:to>
      <xdr:col>11</xdr:col>
      <xdr:colOff>571500</xdr:colOff>
      <xdr:row>4036</xdr:row>
      <xdr:rowOff>0</xdr:rowOff>
    </xdr:to>
    <xdr:pic>
      <xdr:nvPicPr>
        <xdr:cNvPr id="16113" name="Рисунок 16112">
          <a:extLst>
            <a:ext uri="{FF2B5EF4-FFF2-40B4-BE49-F238E27FC236}">
              <a16:creationId xmlns:a16="http://schemas.microsoft.com/office/drawing/2014/main" id="{1117B1D0-201B-4293-8EEE-6B3632DD052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9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302894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4036</xdr:row>
      <xdr:rowOff>25400</xdr:rowOff>
    </xdr:from>
    <xdr:to>
      <xdr:col>11</xdr:col>
      <xdr:colOff>571500</xdr:colOff>
      <xdr:row>4037</xdr:row>
      <xdr:rowOff>0</xdr:rowOff>
    </xdr:to>
    <xdr:pic>
      <xdr:nvPicPr>
        <xdr:cNvPr id="16115" name="Рисунок 16114">
          <a:extLst>
            <a:ext uri="{FF2B5EF4-FFF2-40B4-BE49-F238E27FC236}">
              <a16:creationId xmlns:a16="http://schemas.microsoft.com/office/drawing/2014/main" id="{9BA61BEE-F633-4FE4-9630-CB0F87F4664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9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303465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4037</xdr:row>
      <xdr:rowOff>25400</xdr:rowOff>
    </xdr:from>
    <xdr:to>
      <xdr:col>11</xdr:col>
      <xdr:colOff>571500</xdr:colOff>
      <xdr:row>4038</xdr:row>
      <xdr:rowOff>0</xdr:rowOff>
    </xdr:to>
    <xdr:pic>
      <xdr:nvPicPr>
        <xdr:cNvPr id="16117" name="Рисунок 16116">
          <a:extLst>
            <a:ext uri="{FF2B5EF4-FFF2-40B4-BE49-F238E27FC236}">
              <a16:creationId xmlns:a16="http://schemas.microsoft.com/office/drawing/2014/main" id="{2F032632-4B38-4EC4-81B0-BFF400ED039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9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304037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4038</xdr:row>
      <xdr:rowOff>25400</xdr:rowOff>
    </xdr:from>
    <xdr:to>
      <xdr:col>11</xdr:col>
      <xdr:colOff>571500</xdr:colOff>
      <xdr:row>4039</xdr:row>
      <xdr:rowOff>0</xdr:rowOff>
    </xdr:to>
    <xdr:pic>
      <xdr:nvPicPr>
        <xdr:cNvPr id="16119" name="Рисунок 16118">
          <a:extLst>
            <a:ext uri="{FF2B5EF4-FFF2-40B4-BE49-F238E27FC236}">
              <a16:creationId xmlns:a16="http://schemas.microsoft.com/office/drawing/2014/main" id="{4355A582-1A2F-44D7-AEB7-5AAB4676001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9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304608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4039</xdr:row>
      <xdr:rowOff>25400</xdr:rowOff>
    </xdr:from>
    <xdr:to>
      <xdr:col>11</xdr:col>
      <xdr:colOff>571500</xdr:colOff>
      <xdr:row>4040</xdr:row>
      <xdr:rowOff>0</xdr:rowOff>
    </xdr:to>
    <xdr:pic>
      <xdr:nvPicPr>
        <xdr:cNvPr id="16121" name="Рисунок 16120">
          <a:extLst>
            <a:ext uri="{FF2B5EF4-FFF2-40B4-BE49-F238E27FC236}">
              <a16:creationId xmlns:a16="http://schemas.microsoft.com/office/drawing/2014/main" id="{9C473234-8F6B-4FF3-879D-A78C5A39E2A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9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305180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4040</xdr:row>
      <xdr:rowOff>25400</xdr:rowOff>
    </xdr:from>
    <xdr:to>
      <xdr:col>11</xdr:col>
      <xdr:colOff>571500</xdr:colOff>
      <xdr:row>4041</xdr:row>
      <xdr:rowOff>0</xdr:rowOff>
    </xdr:to>
    <xdr:pic>
      <xdr:nvPicPr>
        <xdr:cNvPr id="16123" name="Рисунок 16122">
          <a:extLst>
            <a:ext uri="{FF2B5EF4-FFF2-40B4-BE49-F238E27FC236}">
              <a16:creationId xmlns:a16="http://schemas.microsoft.com/office/drawing/2014/main" id="{4219A873-07A4-4E2B-879E-E2D44F57140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9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305751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4041</xdr:row>
      <xdr:rowOff>25400</xdr:rowOff>
    </xdr:from>
    <xdr:to>
      <xdr:col>11</xdr:col>
      <xdr:colOff>571500</xdr:colOff>
      <xdr:row>4042</xdr:row>
      <xdr:rowOff>0</xdr:rowOff>
    </xdr:to>
    <xdr:pic>
      <xdr:nvPicPr>
        <xdr:cNvPr id="16125" name="Рисунок 16124">
          <a:extLst>
            <a:ext uri="{FF2B5EF4-FFF2-40B4-BE49-F238E27FC236}">
              <a16:creationId xmlns:a16="http://schemas.microsoft.com/office/drawing/2014/main" id="{E113EFD5-2C08-4C2C-8D89-FBFF0E079DC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9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306323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4042</xdr:row>
      <xdr:rowOff>25400</xdr:rowOff>
    </xdr:from>
    <xdr:to>
      <xdr:col>11</xdr:col>
      <xdr:colOff>571500</xdr:colOff>
      <xdr:row>4043</xdr:row>
      <xdr:rowOff>0</xdr:rowOff>
    </xdr:to>
    <xdr:pic>
      <xdr:nvPicPr>
        <xdr:cNvPr id="16127" name="Рисунок 16126">
          <a:extLst>
            <a:ext uri="{FF2B5EF4-FFF2-40B4-BE49-F238E27FC236}">
              <a16:creationId xmlns:a16="http://schemas.microsoft.com/office/drawing/2014/main" id="{24CB82A0-5999-4BE6-9076-7ECFEA6CC6A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9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306894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4043</xdr:row>
      <xdr:rowOff>25400</xdr:rowOff>
    </xdr:from>
    <xdr:to>
      <xdr:col>11</xdr:col>
      <xdr:colOff>571500</xdr:colOff>
      <xdr:row>4044</xdr:row>
      <xdr:rowOff>0</xdr:rowOff>
    </xdr:to>
    <xdr:pic>
      <xdr:nvPicPr>
        <xdr:cNvPr id="16129" name="Рисунок 16128">
          <a:extLst>
            <a:ext uri="{FF2B5EF4-FFF2-40B4-BE49-F238E27FC236}">
              <a16:creationId xmlns:a16="http://schemas.microsoft.com/office/drawing/2014/main" id="{9C6099D0-9EEE-4377-9BFA-34E185B07BA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9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307466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4044</xdr:row>
      <xdr:rowOff>25400</xdr:rowOff>
    </xdr:from>
    <xdr:to>
      <xdr:col>11</xdr:col>
      <xdr:colOff>571500</xdr:colOff>
      <xdr:row>4045</xdr:row>
      <xdr:rowOff>0</xdr:rowOff>
    </xdr:to>
    <xdr:pic>
      <xdr:nvPicPr>
        <xdr:cNvPr id="16131" name="Рисунок 16130">
          <a:extLst>
            <a:ext uri="{FF2B5EF4-FFF2-40B4-BE49-F238E27FC236}">
              <a16:creationId xmlns:a16="http://schemas.microsoft.com/office/drawing/2014/main" id="{0263598E-66AC-4DED-87B8-E18355A60E6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399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308037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4045</xdr:row>
      <xdr:rowOff>25400</xdr:rowOff>
    </xdr:from>
    <xdr:to>
      <xdr:col>11</xdr:col>
      <xdr:colOff>571500</xdr:colOff>
      <xdr:row>4046</xdr:row>
      <xdr:rowOff>0</xdr:rowOff>
    </xdr:to>
    <xdr:pic>
      <xdr:nvPicPr>
        <xdr:cNvPr id="16133" name="Рисунок 16132">
          <a:extLst>
            <a:ext uri="{FF2B5EF4-FFF2-40B4-BE49-F238E27FC236}">
              <a16:creationId xmlns:a16="http://schemas.microsoft.com/office/drawing/2014/main" id="{E4868F75-9E6F-42E5-A1C9-F0635BA8E42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0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308609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4046</xdr:row>
      <xdr:rowOff>25400</xdr:rowOff>
    </xdr:from>
    <xdr:to>
      <xdr:col>11</xdr:col>
      <xdr:colOff>571500</xdr:colOff>
      <xdr:row>4047</xdr:row>
      <xdr:rowOff>0</xdr:rowOff>
    </xdr:to>
    <xdr:pic>
      <xdr:nvPicPr>
        <xdr:cNvPr id="16135" name="Рисунок 16134">
          <a:extLst>
            <a:ext uri="{FF2B5EF4-FFF2-40B4-BE49-F238E27FC236}">
              <a16:creationId xmlns:a16="http://schemas.microsoft.com/office/drawing/2014/main" id="{5D302C6B-0C40-4AEC-9654-DEBA46E3BAF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0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309180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4047</xdr:row>
      <xdr:rowOff>25400</xdr:rowOff>
    </xdr:from>
    <xdr:to>
      <xdr:col>11</xdr:col>
      <xdr:colOff>571500</xdr:colOff>
      <xdr:row>4048</xdr:row>
      <xdr:rowOff>0</xdr:rowOff>
    </xdr:to>
    <xdr:pic>
      <xdr:nvPicPr>
        <xdr:cNvPr id="16137" name="Рисунок 16136">
          <a:extLst>
            <a:ext uri="{FF2B5EF4-FFF2-40B4-BE49-F238E27FC236}">
              <a16:creationId xmlns:a16="http://schemas.microsoft.com/office/drawing/2014/main" id="{C9853579-84D5-44E3-8EFD-01A8317E098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0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309752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4048</xdr:row>
      <xdr:rowOff>25400</xdr:rowOff>
    </xdr:from>
    <xdr:to>
      <xdr:col>11</xdr:col>
      <xdr:colOff>571500</xdr:colOff>
      <xdr:row>4049</xdr:row>
      <xdr:rowOff>0</xdr:rowOff>
    </xdr:to>
    <xdr:pic>
      <xdr:nvPicPr>
        <xdr:cNvPr id="16139" name="Рисунок 16138">
          <a:extLst>
            <a:ext uri="{FF2B5EF4-FFF2-40B4-BE49-F238E27FC236}">
              <a16:creationId xmlns:a16="http://schemas.microsoft.com/office/drawing/2014/main" id="{901766F3-D02E-4BAA-B9C6-FBB190B1ACD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0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310323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4049</xdr:row>
      <xdr:rowOff>25400</xdr:rowOff>
    </xdr:from>
    <xdr:to>
      <xdr:col>11</xdr:col>
      <xdr:colOff>571500</xdr:colOff>
      <xdr:row>4050</xdr:row>
      <xdr:rowOff>0</xdr:rowOff>
    </xdr:to>
    <xdr:pic>
      <xdr:nvPicPr>
        <xdr:cNvPr id="16141" name="Рисунок 16140">
          <a:extLst>
            <a:ext uri="{FF2B5EF4-FFF2-40B4-BE49-F238E27FC236}">
              <a16:creationId xmlns:a16="http://schemas.microsoft.com/office/drawing/2014/main" id="{663022ED-1B60-4332-B389-AC490E46FBB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0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310895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4050</xdr:row>
      <xdr:rowOff>25400</xdr:rowOff>
    </xdr:from>
    <xdr:to>
      <xdr:col>11</xdr:col>
      <xdr:colOff>571500</xdr:colOff>
      <xdr:row>4051</xdr:row>
      <xdr:rowOff>0</xdr:rowOff>
    </xdr:to>
    <xdr:pic>
      <xdr:nvPicPr>
        <xdr:cNvPr id="16143" name="Рисунок 16142">
          <a:extLst>
            <a:ext uri="{FF2B5EF4-FFF2-40B4-BE49-F238E27FC236}">
              <a16:creationId xmlns:a16="http://schemas.microsoft.com/office/drawing/2014/main" id="{7233CF65-D609-4493-AEF3-52AF5ABA521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0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311466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4051</xdr:row>
      <xdr:rowOff>25400</xdr:rowOff>
    </xdr:from>
    <xdr:to>
      <xdr:col>11</xdr:col>
      <xdr:colOff>571500</xdr:colOff>
      <xdr:row>4052</xdr:row>
      <xdr:rowOff>0</xdr:rowOff>
    </xdr:to>
    <xdr:pic>
      <xdr:nvPicPr>
        <xdr:cNvPr id="16145" name="Рисунок 16144">
          <a:extLst>
            <a:ext uri="{FF2B5EF4-FFF2-40B4-BE49-F238E27FC236}">
              <a16:creationId xmlns:a16="http://schemas.microsoft.com/office/drawing/2014/main" id="{C5AC50BA-7E14-4004-AF34-0D807DF97DC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0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312038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4052</xdr:row>
      <xdr:rowOff>25400</xdr:rowOff>
    </xdr:from>
    <xdr:to>
      <xdr:col>11</xdr:col>
      <xdr:colOff>571500</xdr:colOff>
      <xdr:row>4053</xdr:row>
      <xdr:rowOff>0</xdr:rowOff>
    </xdr:to>
    <xdr:pic>
      <xdr:nvPicPr>
        <xdr:cNvPr id="16147" name="Рисунок 16146">
          <a:extLst>
            <a:ext uri="{FF2B5EF4-FFF2-40B4-BE49-F238E27FC236}">
              <a16:creationId xmlns:a16="http://schemas.microsoft.com/office/drawing/2014/main" id="{E7834C09-BF8A-47FE-BDBC-A9C5CBDB92A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0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312609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4053</xdr:row>
      <xdr:rowOff>25400</xdr:rowOff>
    </xdr:from>
    <xdr:to>
      <xdr:col>11</xdr:col>
      <xdr:colOff>571500</xdr:colOff>
      <xdr:row>4054</xdr:row>
      <xdr:rowOff>0</xdr:rowOff>
    </xdr:to>
    <xdr:pic>
      <xdr:nvPicPr>
        <xdr:cNvPr id="16149" name="Рисунок 16148">
          <a:extLst>
            <a:ext uri="{FF2B5EF4-FFF2-40B4-BE49-F238E27FC236}">
              <a16:creationId xmlns:a16="http://schemas.microsoft.com/office/drawing/2014/main" id="{25D7113C-E139-462B-8A74-E42CFA77FC5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0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313181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4054</xdr:row>
      <xdr:rowOff>25400</xdr:rowOff>
    </xdr:from>
    <xdr:to>
      <xdr:col>11</xdr:col>
      <xdr:colOff>571500</xdr:colOff>
      <xdr:row>4055</xdr:row>
      <xdr:rowOff>0</xdr:rowOff>
    </xdr:to>
    <xdr:pic>
      <xdr:nvPicPr>
        <xdr:cNvPr id="16151" name="Рисунок 16150">
          <a:extLst>
            <a:ext uri="{FF2B5EF4-FFF2-40B4-BE49-F238E27FC236}">
              <a16:creationId xmlns:a16="http://schemas.microsoft.com/office/drawing/2014/main" id="{6B629082-316A-452E-B565-C47352FDB79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0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313752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4055</xdr:row>
      <xdr:rowOff>25400</xdr:rowOff>
    </xdr:from>
    <xdr:to>
      <xdr:col>11</xdr:col>
      <xdr:colOff>571500</xdr:colOff>
      <xdr:row>4056</xdr:row>
      <xdr:rowOff>0</xdr:rowOff>
    </xdr:to>
    <xdr:pic>
      <xdr:nvPicPr>
        <xdr:cNvPr id="16153" name="Рисунок 16152">
          <a:extLst>
            <a:ext uri="{FF2B5EF4-FFF2-40B4-BE49-F238E27FC236}">
              <a16:creationId xmlns:a16="http://schemas.microsoft.com/office/drawing/2014/main" id="{FC57ABFD-B85E-4A78-8A48-C8F876D9DC7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314324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4056</xdr:row>
      <xdr:rowOff>25400</xdr:rowOff>
    </xdr:from>
    <xdr:to>
      <xdr:col>11</xdr:col>
      <xdr:colOff>571500</xdr:colOff>
      <xdr:row>4057</xdr:row>
      <xdr:rowOff>0</xdr:rowOff>
    </xdr:to>
    <xdr:pic>
      <xdr:nvPicPr>
        <xdr:cNvPr id="16155" name="Рисунок 16154">
          <a:extLst>
            <a:ext uri="{FF2B5EF4-FFF2-40B4-BE49-F238E27FC236}">
              <a16:creationId xmlns:a16="http://schemas.microsoft.com/office/drawing/2014/main" id="{45D0669F-43EB-4511-A582-91E687B2692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314895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4058</xdr:row>
      <xdr:rowOff>25400</xdr:rowOff>
    </xdr:from>
    <xdr:to>
      <xdr:col>11</xdr:col>
      <xdr:colOff>571500</xdr:colOff>
      <xdr:row>4059</xdr:row>
      <xdr:rowOff>0</xdr:rowOff>
    </xdr:to>
    <xdr:pic>
      <xdr:nvPicPr>
        <xdr:cNvPr id="16157" name="Рисунок 16156">
          <a:extLst>
            <a:ext uri="{FF2B5EF4-FFF2-40B4-BE49-F238E27FC236}">
              <a16:creationId xmlns:a16="http://schemas.microsoft.com/office/drawing/2014/main" id="{A5C33F85-031D-49D9-9B22-0253B3C8FF0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316038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4059</xdr:row>
      <xdr:rowOff>25400</xdr:rowOff>
    </xdr:from>
    <xdr:to>
      <xdr:col>11</xdr:col>
      <xdr:colOff>571500</xdr:colOff>
      <xdr:row>4060</xdr:row>
      <xdr:rowOff>0</xdr:rowOff>
    </xdr:to>
    <xdr:pic>
      <xdr:nvPicPr>
        <xdr:cNvPr id="16159" name="Рисунок 16158">
          <a:extLst>
            <a:ext uri="{FF2B5EF4-FFF2-40B4-BE49-F238E27FC236}">
              <a16:creationId xmlns:a16="http://schemas.microsoft.com/office/drawing/2014/main" id="{73A85019-035E-4103-8E67-F9740ABC67E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316610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4060</xdr:row>
      <xdr:rowOff>25400</xdr:rowOff>
    </xdr:from>
    <xdr:to>
      <xdr:col>11</xdr:col>
      <xdr:colOff>571500</xdr:colOff>
      <xdr:row>4061</xdr:row>
      <xdr:rowOff>0</xdr:rowOff>
    </xdr:to>
    <xdr:pic>
      <xdr:nvPicPr>
        <xdr:cNvPr id="16161" name="Рисунок 16160">
          <a:extLst>
            <a:ext uri="{FF2B5EF4-FFF2-40B4-BE49-F238E27FC236}">
              <a16:creationId xmlns:a16="http://schemas.microsoft.com/office/drawing/2014/main" id="{1F757B2C-D1C2-459D-8DED-65FEF87D45B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317181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4061</xdr:row>
      <xdr:rowOff>25400</xdr:rowOff>
    </xdr:from>
    <xdr:to>
      <xdr:col>11</xdr:col>
      <xdr:colOff>571500</xdr:colOff>
      <xdr:row>4062</xdr:row>
      <xdr:rowOff>0</xdr:rowOff>
    </xdr:to>
    <xdr:pic>
      <xdr:nvPicPr>
        <xdr:cNvPr id="16163" name="Рисунок 16162">
          <a:extLst>
            <a:ext uri="{FF2B5EF4-FFF2-40B4-BE49-F238E27FC236}">
              <a16:creationId xmlns:a16="http://schemas.microsoft.com/office/drawing/2014/main" id="{1373DBFC-7CFC-4EBE-82E4-E6FEE2E07EF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317753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4062</xdr:row>
      <xdr:rowOff>25400</xdr:rowOff>
    </xdr:from>
    <xdr:to>
      <xdr:col>11</xdr:col>
      <xdr:colOff>571500</xdr:colOff>
      <xdr:row>4063</xdr:row>
      <xdr:rowOff>0</xdr:rowOff>
    </xdr:to>
    <xdr:pic>
      <xdr:nvPicPr>
        <xdr:cNvPr id="16165" name="Рисунок 16164">
          <a:extLst>
            <a:ext uri="{FF2B5EF4-FFF2-40B4-BE49-F238E27FC236}">
              <a16:creationId xmlns:a16="http://schemas.microsoft.com/office/drawing/2014/main" id="{6E942670-90C7-41F6-A270-A9FFC9BCA06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318324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4063</xdr:row>
      <xdr:rowOff>25400</xdr:rowOff>
    </xdr:from>
    <xdr:to>
      <xdr:col>11</xdr:col>
      <xdr:colOff>571500</xdr:colOff>
      <xdr:row>4064</xdr:row>
      <xdr:rowOff>0</xdr:rowOff>
    </xdr:to>
    <xdr:pic>
      <xdr:nvPicPr>
        <xdr:cNvPr id="16167" name="Рисунок 16166">
          <a:extLst>
            <a:ext uri="{FF2B5EF4-FFF2-40B4-BE49-F238E27FC236}">
              <a16:creationId xmlns:a16="http://schemas.microsoft.com/office/drawing/2014/main" id="{E85C7C4B-6E74-4CB2-8A3F-648C8BB66E9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318896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4064</xdr:row>
      <xdr:rowOff>25400</xdr:rowOff>
    </xdr:from>
    <xdr:to>
      <xdr:col>11</xdr:col>
      <xdr:colOff>571500</xdr:colOff>
      <xdr:row>4065</xdr:row>
      <xdr:rowOff>0</xdr:rowOff>
    </xdr:to>
    <xdr:pic>
      <xdr:nvPicPr>
        <xdr:cNvPr id="16169" name="Рисунок 16168">
          <a:extLst>
            <a:ext uri="{FF2B5EF4-FFF2-40B4-BE49-F238E27FC236}">
              <a16:creationId xmlns:a16="http://schemas.microsoft.com/office/drawing/2014/main" id="{7F7A1FA0-E9C8-495C-978B-D740B129FDA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319467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4065</xdr:row>
      <xdr:rowOff>25400</xdr:rowOff>
    </xdr:from>
    <xdr:to>
      <xdr:col>11</xdr:col>
      <xdr:colOff>571500</xdr:colOff>
      <xdr:row>4066</xdr:row>
      <xdr:rowOff>0</xdr:rowOff>
    </xdr:to>
    <xdr:pic>
      <xdr:nvPicPr>
        <xdr:cNvPr id="16171" name="Рисунок 16170">
          <a:extLst>
            <a:ext uri="{FF2B5EF4-FFF2-40B4-BE49-F238E27FC236}">
              <a16:creationId xmlns:a16="http://schemas.microsoft.com/office/drawing/2014/main" id="{67862CE6-CECA-4857-9E63-F25F69EF4FD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320039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4066</xdr:row>
      <xdr:rowOff>25400</xdr:rowOff>
    </xdr:from>
    <xdr:to>
      <xdr:col>11</xdr:col>
      <xdr:colOff>571500</xdr:colOff>
      <xdr:row>4067</xdr:row>
      <xdr:rowOff>0</xdr:rowOff>
    </xdr:to>
    <xdr:pic>
      <xdr:nvPicPr>
        <xdr:cNvPr id="16173" name="Рисунок 16172">
          <a:extLst>
            <a:ext uri="{FF2B5EF4-FFF2-40B4-BE49-F238E27FC236}">
              <a16:creationId xmlns:a16="http://schemas.microsoft.com/office/drawing/2014/main" id="{9AF2E516-5396-49FA-973D-5A4AFED7208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320610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4067</xdr:row>
      <xdr:rowOff>25400</xdr:rowOff>
    </xdr:from>
    <xdr:to>
      <xdr:col>11</xdr:col>
      <xdr:colOff>571500</xdr:colOff>
      <xdr:row>4068</xdr:row>
      <xdr:rowOff>0</xdr:rowOff>
    </xdr:to>
    <xdr:pic>
      <xdr:nvPicPr>
        <xdr:cNvPr id="16175" name="Рисунок 16174">
          <a:extLst>
            <a:ext uri="{FF2B5EF4-FFF2-40B4-BE49-F238E27FC236}">
              <a16:creationId xmlns:a16="http://schemas.microsoft.com/office/drawing/2014/main" id="{F65C4961-1509-4EA4-B177-4DAB1CAA9CB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321182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4068</xdr:row>
      <xdr:rowOff>25400</xdr:rowOff>
    </xdr:from>
    <xdr:to>
      <xdr:col>11</xdr:col>
      <xdr:colOff>571500</xdr:colOff>
      <xdr:row>4069</xdr:row>
      <xdr:rowOff>0</xdr:rowOff>
    </xdr:to>
    <xdr:pic>
      <xdr:nvPicPr>
        <xdr:cNvPr id="16177" name="Рисунок 16176">
          <a:extLst>
            <a:ext uri="{FF2B5EF4-FFF2-40B4-BE49-F238E27FC236}">
              <a16:creationId xmlns:a16="http://schemas.microsoft.com/office/drawing/2014/main" id="{37469276-D8BA-4430-A9EF-28C84E3EE46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321753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4069</xdr:row>
      <xdr:rowOff>25400</xdr:rowOff>
    </xdr:from>
    <xdr:to>
      <xdr:col>11</xdr:col>
      <xdr:colOff>571500</xdr:colOff>
      <xdr:row>4070</xdr:row>
      <xdr:rowOff>0</xdr:rowOff>
    </xdr:to>
    <xdr:pic>
      <xdr:nvPicPr>
        <xdr:cNvPr id="16179" name="Рисунок 16178">
          <a:extLst>
            <a:ext uri="{FF2B5EF4-FFF2-40B4-BE49-F238E27FC236}">
              <a16:creationId xmlns:a16="http://schemas.microsoft.com/office/drawing/2014/main" id="{6AE73678-30FE-449E-8630-A6086EDE8E6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322325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4070</xdr:row>
      <xdr:rowOff>25400</xdr:rowOff>
    </xdr:from>
    <xdr:to>
      <xdr:col>11</xdr:col>
      <xdr:colOff>571500</xdr:colOff>
      <xdr:row>4071</xdr:row>
      <xdr:rowOff>0</xdr:rowOff>
    </xdr:to>
    <xdr:pic>
      <xdr:nvPicPr>
        <xdr:cNvPr id="16181" name="Рисунок 16180">
          <a:extLst>
            <a:ext uri="{FF2B5EF4-FFF2-40B4-BE49-F238E27FC236}">
              <a16:creationId xmlns:a16="http://schemas.microsoft.com/office/drawing/2014/main" id="{32AED093-505E-4DFC-B7EC-B4F76CC9609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322896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4071</xdr:row>
      <xdr:rowOff>25400</xdr:rowOff>
    </xdr:from>
    <xdr:to>
      <xdr:col>11</xdr:col>
      <xdr:colOff>571500</xdr:colOff>
      <xdr:row>4072</xdr:row>
      <xdr:rowOff>0</xdr:rowOff>
    </xdr:to>
    <xdr:pic>
      <xdr:nvPicPr>
        <xdr:cNvPr id="16183" name="Рисунок 16182">
          <a:extLst>
            <a:ext uri="{FF2B5EF4-FFF2-40B4-BE49-F238E27FC236}">
              <a16:creationId xmlns:a16="http://schemas.microsoft.com/office/drawing/2014/main" id="{FDA7F58A-5EBD-494D-B480-9B9272939A1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323468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4072</xdr:row>
      <xdr:rowOff>25400</xdr:rowOff>
    </xdr:from>
    <xdr:to>
      <xdr:col>11</xdr:col>
      <xdr:colOff>571500</xdr:colOff>
      <xdr:row>4073</xdr:row>
      <xdr:rowOff>0</xdr:rowOff>
    </xdr:to>
    <xdr:pic>
      <xdr:nvPicPr>
        <xdr:cNvPr id="16185" name="Рисунок 16184">
          <a:extLst>
            <a:ext uri="{FF2B5EF4-FFF2-40B4-BE49-F238E27FC236}">
              <a16:creationId xmlns:a16="http://schemas.microsoft.com/office/drawing/2014/main" id="{1793AB41-239D-4FAA-8BFF-954D57FA67A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324039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4073</xdr:row>
      <xdr:rowOff>25400</xdr:rowOff>
    </xdr:from>
    <xdr:to>
      <xdr:col>11</xdr:col>
      <xdr:colOff>571500</xdr:colOff>
      <xdr:row>4074</xdr:row>
      <xdr:rowOff>0</xdr:rowOff>
    </xdr:to>
    <xdr:pic>
      <xdr:nvPicPr>
        <xdr:cNvPr id="16187" name="Рисунок 16186">
          <a:extLst>
            <a:ext uri="{FF2B5EF4-FFF2-40B4-BE49-F238E27FC236}">
              <a16:creationId xmlns:a16="http://schemas.microsoft.com/office/drawing/2014/main" id="{D5E93C61-5DE8-493F-9552-99E0177BD64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324611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4074</xdr:row>
      <xdr:rowOff>25400</xdr:rowOff>
    </xdr:from>
    <xdr:to>
      <xdr:col>11</xdr:col>
      <xdr:colOff>571500</xdr:colOff>
      <xdr:row>4075</xdr:row>
      <xdr:rowOff>0</xdr:rowOff>
    </xdr:to>
    <xdr:pic>
      <xdr:nvPicPr>
        <xdr:cNvPr id="16189" name="Рисунок 16188">
          <a:extLst>
            <a:ext uri="{FF2B5EF4-FFF2-40B4-BE49-F238E27FC236}">
              <a16:creationId xmlns:a16="http://schemas.microsoft.com/office/drawing/2014/main" id="{A6F8F8CC-E781-4C0B-8D8C-72FCEE5A627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325182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4075</xdr:row>
      <xdr:rowOff>25400</xdr:rowOff>
    </xdr:from>
    <xdr:to>
      <xdr:col>11</xdr:col>
      <xdr:colOff>571500</xdr:colOff>
      <xdr:row>4076</xdr:row>
      <xdr:rowOff>0</xdr:rowOff>
    </xdr:to>
    <xdr:pic>
      <xdr:nvPicPr>
        <xdr:cNvPr id="16191" name="Рисунок 16190">
          <a:extLst>
            <a:ext uri="{FF2B5EF4-FFF2-40B4-BE49-F238E27FC236}">
              <a16:creationId xmlns:a16="http://schemas.microsoft.com/office/drawing/2014/main" id="{ED22688F-8299-4ECD-8DC8-B22DD0CF916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325754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4076</xdr:row>
      <xdr:rowOff>25400</xdr:rowOff>
    </xdr:from>
    <xdr:to>
      <xdr:col>11</xdr:col>
      <xdr:colOff>571500</xdr:colOff>
      <xdr:row>4077</xdr:row>
      <xdr:rowOff>0</xdr:rowOff>
    </xdr:to>
    <xdr:pic>
      <xdr:nvPicPr>
        <xdr:cNvPr id="16193" name="Рисунок 16192">
          <a:extLst>
            <a:ext uri="{FF2B5EF4-FFF2-40B4-BE49-F238E27FC236}">
              <a16:creationId xmlns:a16="http://schemas.microsoft.com/office/drawing/2014/main" id="{8BC95C8A-ECD3-402D-88D0-02FB713DF5F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326325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4077</xdr:row>
      <xdr:rowOff>25400</xdr:rowOff>
    </xdr:from>
    <xdr:to>
      <xdr:col>11</xdr:col>
      <xdr:colOff>840475</xdr:colOff>
      <xdr:row>4078</xdr:row>
      <xdr:rowOff>0</xdr:rowOff>
    </xdr:to>
    <xdr:pic>
      <xdr:nvPicPr>
        <xdr:cNvPr id="16195" name="Рисунок 16194">
          <a:extLst>
            <a:ext uri="{FF2B5EF4-FFF2-40B4-BE49-F238E27FC236}">
              <a16:creationId xmlns:a16="http://schemas.microsoft.com/office/drawing/2014/main" id="{6BD8B188-56F9-480E-89B6-C707991E47C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3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326897175"/>
          <a:ext cx="815075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4078</xdr:row>
      <xdr:rowOff>25400</xdr:rowOff>
    </xdr:from>
    <xdr:to>
      <xdr:col>11</xdr:col>
      <xdr:colOff>571500</xdr:colOff>
      <xdr:row>4079</xdr:row>
      <xdr:rowOff>0</xdr:rowOff>
    </xdr:to>
    <xdr:pic>
      <xdr:nvPicPr>
        <xdr:cNvPr id="16197" name="Рисунок 16196">
          <a:extLst>
            <a:ext uri="{FF2B5EF4-FFF2-40B4-BE49-F238E27FC236}">
              <a16:creationId xmlns:a16="http://schemas.microsoft.com/office/drawing/2014/main" id="{5F99288C-EABC-4BA4-8FDC-5B712EDFAB6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3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327468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4079</xdr:row>
      <xdr:rowOff>25400</xdr:rowOff>
    </xdr:from>
    <xdr:to>
      <xdr:col>11</xdr:col>
      <xdr:colOff>571500</xdr:colOff>
      <xdr:row>4080</xdr:row>
      <xdr:rowOff>0</xdr:rowOff>
    </xdr:to>
    <xdr:pic>
      <xdr:nvPicPr>
        <xdr:cNvPr id="16199" name="Рисунок 16198">
          <a:extLst>
            <a:ext uri="{FF2B5EF4-FFF2-40B4-BE49-F238E27FC236}">
              <a16:creationId xmlns:a16="http://schemas.microsoft.com/office/drawing/2014/main" id="{74E83CEA-8290-4668-8A67-DDB9823B8BE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3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328040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4080</xdr:row>
      <xdr:rowOff>25400</xdr:rowOff>
    </xdr:from>
    <xdr:to>
      <xdr:col>11</xdr:col>
      <xdr:colOff>571500</xdr:colOff>
      <xdr:row>4081</xdr:row>
      <xdr:rowOff>0</xdr:rowOff>
    </xdr:to>
    <xdr:pic>
      <xdr:nvPicPr>
        <xdr:cNvPr id="16201" name="Рисунок 16200">
          <a:extLst>
            <a:ext uri="{FF2B5EF4-FFF2-40B4-BE49-F238E27FC236}">
              <a16:creationId xmlns:a16="http://schemas.microsoft.com/office/drawing/2014/main" id="{72796546-C999-4C14-9BC5-C1CFFD3EF2F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3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328611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4081</xdr:row>
      <xdr:rowOff>25400</xdr:rowOff>
    </xdr:from>
    <xdr:to>
      <xdr:col>11</xdr:col>
      <xdr:colOff>571500</xdr:colOff>
      <xdr:row>4082</xdr:row>
      <xdr:rowOff>0</xdr:rowOff>
    </xdr:to>
    <xdr:pic>
      <xdr:nvPicPr>
        <xdr:cNvPr id="16203" name="Рисунок 16202">
          <a:extLst>
            <a:ext uri="{FF2B5EF4-FFF2-40B4-BE49-F238E27FC236}">
              <a16:creationId xmlns:a16="http://schemas.microsoft.com/office/drawing/2014/main" id="{A28D5626-EB10-496B-BE0C-37C19851F4C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3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329183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4082</xdr:row>
      <xdr:rowOff>25400</xdr:rowOff>
    </xdr:from>
    <xdr:to>
      <xdr:col>11</xdr:col>
      <xdr:colOff>571500</xdr:colOff>
      <xdr:row>4083</xdr:row>
      <xdr:rowOff>0</xdr:rowOff>
    </xdr:to>
    <xdr:pic>
      <xdr:nvPicPr>
        <xdr:cNvPr id="16205" name="Рисунок 16204">
          <a:extLst>
            <a:ext uri="{FF2B5EF4-FFF2-40B4-BE49-F238E27FC236}">
              <a16:creationId xmlns:a16="http://schemas.microsoft.com/office/drawing/2014/main" id="{DE442F7F-4CDA-497F-8C6C-070AE7517EC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3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329754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4083</xdr:row>
      <xdr:rowOff>25400</xdr:rowOff>
    </xdr:from>
    <xdr:to>
      <xdr:col>11</xdr:col>
      <xdr:colOff>571500</xdr:colOff>
      <xdr:row>4084</xdr:row>
      <xdr:rowOff>0</xdr:rowOff>
    </xdr:to>
    <xdr:pic>
      <xdr:nvPicPr>
        <xdr:cNvPr id="16207" name="Рисунок 16206">
          <a:extLst>
            <a:ext uri="{FF2B5EF4-FFF2-40B4-BE49-F238E27FC236}">
              <a16:creationId xmlns:a16="http://schemas.microsoft.com/office/drawing/2014/main" id="{D79DAAC7-25DF-4336-9E1C-E3A1ED9455B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3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330326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4084</xdr:row>
      <xdr:rowOff>25400</xdr:rowOff>
    </xdr:from>
    <xdr:to>
      <xdr:col>11</xdr:col>
      <xdr:colOff>571500</xdr:colOff>
      <xdr:row>4085</xdr:row>
      <xdr:rowOff>0</xdr:rowOff>
    </xdr:to>
    <xdr:pic>
      <xdr:nvPicPr>
        <xdr:cNvPr id="16209" name="Рисунок 16208">
          <a:extLst>
            <a:ext uri="{FF2B5EF4-FFF2-40B4-BE49-F238E27FC236}">
              <a16:creationId xmlns:a16="http://schemas.microsoft.com/office/drawing/2014/main" id="{A34A4F16-F5FA-4117-A01E-0B520BAB78E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3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330897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4085</xdr:row>
      <xdr:rowOff>25400</xdr:rowOff>
    </xdr:from>
    <xdr:to>
      <xdr:col>11</xdr:col>
      <xdr:colOff>571500</xdr:colOff>
      <xdr:row>4086</xdr:row>
      <xdr:rowOff>0</xdr:rowOff>
    </xdr:to>
    <xdr:pic>
      <xdr:nvPicPr>
        <xdr:cNvPr id="16211" name="Рисунок 16210">
          <a:extLst>
            <a:ext uri="{FF2B5EF4-FFF2-40B4-BE49-F238E27FC236}">
              <a16:creationId xmlns:a16="http://schemas.microsoft.com/office/drawing/2014/main" id="{E7ADAE05-558D-42F9-96CA-C135D0C2F48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3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331469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4086</xdr:row>
      <xdr:rowOff>25400</xdr:rowOff>
    </xdr:from>
    <xdr:to>
      <xdr:col>11</xdr:col>
      <xdr:colOff>571500</xdr:colOff>
      <xdr:row>4087</xdr:row>
      <xdr:rowOff>0</xdr:rowOff>
    </xdr:to>
    <xdr:pic>
      <xdr:nvPicPr>
        <xdr:cNvPr id="16213" name="Рисунок 16212">
          <a:extLst>
            <a:ext uri="{FF2B5EF4-FFF2-40B4-BE49-F238E27FC236}">
              <a16:creationId xmlns:a16="http://schemas.microsoft.com/office/drawing/2014/main" id="{5121E852-212C-460E-9D51-90EC3808333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4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332040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4087</xdr:row>
      <xdr:rowOff>25400</xdr:rowOff>
    </xdr:from>
    <xdr:to>
      <xdr:col>11</xdr:col>
      <xdr:colOff>571500</xdr:colOff>
      <xdr:row>4088</xdr:row>
      <xdr:rowOff>0</xdr:rowOff>
    </xdr:to>
    <xdr:pic>
      <xdr:nvPicPr>
        <xdr:cNvPr id="16215" name="Рисунок 16214">
          <a:extLst>
            <a:ext uri="{FF2B5EF4-FFF2-40B4-BE49-F238E27FC236}">
              <a16:creationId xmlns:a16="http://schemas.microsoft.com/office/drawing/2014/main" id="{FFD5E8C2-BA6E-42C4-99BA-21B64EC3C8E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4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332612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4088</xdr:row>
      <xdr:rowOff>25400</xdr:rowOff>
    </xdr:from>
    <xdr:to>
      <xdr:col>11</xdr:col>
      <xdr:colOff>571500</xdr:colOff>
      <xdr:row>4089</xdr:row>
      <xdr:rowOff>0</xdr:rowOff>
    </xdr:to>
    <xdr:pic>
      <xdr:nvPicPr>
        <xdr:cNvPr id="16217" name="Рисунок 16216">
          <a:extLst>
            <a:ext uri="{FF2B5EF4-FFF2-40B4-BE49-F238E27FC236}">
              <a16:creationId xmlns:a16="http://schemas.microsoft.com/office/drawing/2014/main" id="{35E3721A-8187-4138-9105-713CFAB720C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333183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4089</xdr:row>
      <xdr:rowOff>25400</xdr:rowOff>
    </xdr:from>
    <xdr:to>
      <xdr:col>11</xdr:col>
      <xdr:colOff>571500</xdr:colOff>
      <xdr:row>4090</xdr:row>
      <xdr:rowOff>0</xdr:rowOff>
    </xdr:to>
    <xdr:pic>
      <xdr:nvPicPr>
        <xdr:cNvPr id="16219" name="Рисунок 16218">
          <a:extLst>
            <a:ext uri="{FF2B5EF4-FFF2-40B4-BE49-F238E27FC236}">
              <a16:creationId xmlns:a16="http://schemas.microsoft.com/office/drawing/2014/main" id="{363D2622-7086-41C2-9CB8-2D34D3F9990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333755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4090</xdr:row>
      <xdr:rowOff>25400</xdr:rowOff>
    </xdr:from>
    <xdr:to>
      <xdr:col>11</xdr:col>
      <xdr:colOff>571500</xdr:colOff>
      <xdr:row>4091</xdr:row>
      <xdr:rowOff>0</xdr:rowOff>
    </xdr:to>
    <xdr:pic>
      <xdr:nvPicPr>
        <xdr:cNvPr id="16221" name="Рисунок 16220">
          <a:extLst>
            <a:ext uri="{FF2B5EF4-FFF2-40B4-BE49-F238E27FC236}">
              <a16:creationId xmlns:a16="http://schemas.microsoft.com/office/drawing/2014/main" id="{899FBD8D-44F4-4645-A496-90BBDB3CD10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334326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4091</xdr:row>
      <xdr:rowOff>25400</xdr:rowOff>
    </xdr:from>
    <xdr:to>
      <xdr:col>11</xdr:col>
      <xdr:colOff>571500</xdr:colOff>
      <xdr:row>4092</xdr:row>
      <xdr:rowOff>0</xdr:rowOff>
    </xdr:to>
    <xdr:pic>
      <xdr:nvPicPr>
        <xdr:cNvPr id="16223" name="Рисунок 16222">
          <a:extLst>
            <a:ext uri="{FF2B5EF4-FFF2-40B4-BE49-F238E27FC236}">
              <a16:creationId xmlns:a16="http://schemas.microsoft.com/office/drawing/2014/main" id="{6AEA948E-A9C8-4778-BF29-2F9759286BD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4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334898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4092</xdr:row>
      <xdr:rowOff>25400</xdr:rowOff>
    </xdr:from>
    <xdr:to>
      <xdr:col>11</xdr:col>
      <xdr:colOff>571500</xdr:colOff>
      <xdr:row>4093</xdr:row>
      <xdr:rowOff>0</xdr:rowOff>
    </xdr:to>
    <xdr:pic>
      <xdr:nvPicPr>
        <xdr:cNvPr id="16225" name="Рисунок 16224">
          <a:extLst>
            <a:ext uri="{FF2B5EF4-FFF2-40B4-BE49-F238E27FC236}">
              <a16:creationId xmlns:a16="http://schemas.microsoft.com/office/drawing/2014/main" id="{2AC82F4E-6B8B-4FE4-BC82-3A17ED08745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4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335469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4093</xdr:row>
      <xdr:rowOff>25400</xdr:rowOff>
    </xdr:from>
    <xdr:to>
      <xdr:col>11</xdr:col>
      <xdr:colOff>571500</xdr:colOff>
      <xdr:row>4094</xdr:row>
      <xdr:rowOff>0</xdr:rowOff>
    </xdr:to>
    <xdr:pic>
      <xdr:nvPicPr>
        <xdr:cNvPr id="16227" name="Рисунок 16226">
          <a:extLst>
            <a:ext uri="{FF2B5EF4-FFF2-40B4-BE49-F238E27FC236}">
              <a16:creationId xmlns:a16="http://schemas.microsoft.com/office/drawing/2014/main" id="{388C7D2B-15F2-4CC7-B6EB-C484DC22357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4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336041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4094</xdr:row>
      <xdr:rowOff>25400</xdr:rowOff>
    </xdr:from>
    <xdr:to>
      <xdr:col>11</xdr:col>
      <xdr:colOff>571500</xdr:colOff>
      <xdr:row>4095</xdr:row>
      <xdr:rowOff>0</xdr:rowOff>
    </xdr:to>
    <xdr:pic>
      <xdr:nvPicPr>
        <xdr:cNvPr id="16229" name="Рисунок 16228">
          <a:extLst>
            <a:ext uri="{FF2B5EF4-FFF2-40B4-BE49-F238E27FC236}">
              <a16:creationId xmlns:a16="http://schemas.microsoft.com/office/drawing/2014/main" id="{439DBAA5-6D73-4D01-9D90-78AD388D4A2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4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336612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4095</xdr:row>
      <xdr:rowOff>25400</xdr:rowOff>
    </xdr:from>
    <xdr:to>
      <xdr:col>11</xdr:col>
      <xdr:colOff>571500</xdr:colOff>
      <xdr:row>4096</xdr:row>
      <xdr:rowOff>0</xdr:rowOff>
    </xdr:to>
    <xdr:pic>
      <xdr:nvPicPr>
        <xdr:cNvPr id="16231" name="Рисунок 16230">
          <a:extLst>
            <a:ext uri="{FF2B5EF4-FFF2-40B4-BE49-F238E27FC236}">
              <a16:creationId xmlns:a16="http://schemas.microsoft.com/office/drawing/2014/main" id="{E8F62DF2-DE75-4A34-8950-0A1076299C1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4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337184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4096</xdr:row>
      <xdr:rowOff>25400</xdr:rowOff>
    </xdr:from>
    <xdr:to>
      <xdr:col>11</xdr:col>
      <xdr:colOff>571500</xdr:colOff>
      <xdr:row>4097</xdr:row>
      <xdr:rowOff>0</xdr:rowOff>
    </xdr:to>
    <xdr:pic>
      <xdr:nvPicPr>
        <xdr:cNvPr id="16233" name="Рисунок 16232">
          <a:extLst>
            <a:ext uri="{FF2B5EF4-FFF2-40B4-BE49-F238E27FC236}">
              <a16:creationId xmlns:a16="http://schemas.microsoft.com/office/drawing/2014/main" id="{BC27D739-2C0E-4AEA-9653-CE7911ED815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5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337755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4097</xdr:row>
      <xdr:rowOff>25400</xdr:rowOff>
    </xdr:from>
    <xdr:to>
      <xdr:col>11</xdr:col>
      <xdr:colOff>571500</xdr:colOff>
      <xdr:row>4098</xdr:row>
      <xdr:rowOff>0</xdr:rowOff>
    </xdr:to>
    <xdr:pic>
      <xdr:nvPicPr>
        <xdr:cNvPr id="16235" name="Рисунок 16234">
          <a:extLst>
            <a:ext uri="{FF2B5EF4-FFF2-40B4-BE49-F238E27FC236}">
              <a16:creationId xmlns:a16="http://schemas.microsoft.com/office/drawing/2014/main" id="{647C073C-B5AB-45DA-9DF1-2D77756B43D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5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338327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4098</xdr:row>
      <xdr:rowOff>25400</xdr:rowOff>
    </xdr:from>
    <xdr:to>
      <xdr:col>11</xdr:col>
      <xdr:colOff>571500</xdr:colOff>
      <xdr:row>4099</xdr:row>
      <xdr:rowOff>0</xdr:rowOff>
    </xdr:to>
    <xdr:pic>
      <xdr:nvPicPr>
        <xdr:cNvPr id="16237" name="Рисунок 16236">
          <a:extLst>
            <a:ext uri="{FF2B5EF4-FFF2-40B4-BE49-F238E27FC236}">
              <a16:creationId xmlns:a16="http://schemas.microsoft.com/office/drawing/2014/main" id="{99D76D82-7BED-4283-B14C-50F3DE67481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338898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4099</xdr:row>
      <xdr:rowOff>25400</xdr:rowOff>
    </xdr:from>
    <xdr:to>
      <xdr:col>11</xdr:col>
      <xdr:colOff>571500</xdr:colOff>
      <xdr:row>4100</xdr:row>
      <xdr:rowOff>0</xdr:rowOff>
    </xdr:to>
    <xdr:pic>
      <xdr:nvPicPr>
        <xdr:cNvPr id="16239" name="Рисунок 16238">
          <a:extLst>
            <a:ext uri="{FF2B5EF4-FFF2-40B4-BE49-F238E27FC236}">
              <a16:creationId xmlns:a16="http://schemas.microsoft.com/office/drawing/2014/main" id="{15927F90-F781-4C2B-9B16-6D3E35D9280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5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339470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4100</xdr:row>
      <xdr:rowOff>25400</xdr:rowOff>
    </xdr:from>
    <xdr:to>
      <xdr:col>11</xdr:col>
      <xdr:colOff>571500</xdr:colOff>
      <xdr:row>4101</xdr:row>
      <xdr:rowOff>0</xdr:rowOff>
    </xdr:to>
    <xdr:pic>
      <xdr:nvPicPr>
        <xdr:cNvPr id="16241" name="Рисунок 16240">
          <a:extLst>
            <a:ext uri="{FF2B5EF4-FFF2-40B4-BE49-F238E27FC236}">
              <a16:creationId xmlns:a16="http://schemas.microsoft.com/office/drawing/2014/main" id="{4504BABE-1A89-4A60-A8FB-DFE9911DEB4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5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340041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4101</xdr:row>
      <xdr:rowOff>25400</xdr:rowOff>
    </xdr:from>
    <xdr:to>
      <xdr:col>11</xdr:col>
      <xdr:colOff>571500</xdr:colOff>
      <xdr:row>4102</xdr:row>
      <xdr:rowOff>0</xdr:rowOff>
    </xdr:to>
    <xdr:pic>
      <xdr:nvPicPr>
        <xdr:cNvPr id="16243" name="Рисунок 16242">
          <a:extLst>
            <a:ext uri="{FF2B5EF4-FFF2-40B4-BE49-F238E27FC236}">
              <a16:creationId xmlns:a16="http://schemas.microsoft.com/office/drawing/2014/main" id="{CCBD8F5A-20CA-4E29-BB72-35C65720C08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5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340613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4102</xdr:row>
      <xdr:rowOff>25400</xdr:rowOff>
    </xdr:from>
    <xdr:to>
      <xdr:col>11</xdr:col>
      <xdr:colOff>571500</xdr:colOff>
      <xdr:row>4103</xdr:row>
      <xdr:rowOff>0</xdr:rowOff>
    </xdr:to>
    <xdr:pic>
      <xdr:nvPicPr>
        <xdr:cNvPr id="16245" name="Рисунок 16244">
          <a:extLst>
            <a:ext uri="{FF2B5EF4-FFF2-40B4-BE49-F238E27FC236}">
              <a16:creationId xmlns:a16="http://schemas.microsoft.com/office/drawing/2014/main" id="{F0D26C52-B7D6-494A-A349-4E1034567B1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5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341184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4103</xdr:row>
      <xdr:rowOff>25400</xdr:rowOff>
    </xdr:from>
    <xdr:to>
      <xdr:col>11</xdr:col>
      <xdr:colOff>571500</xdr:colOff>
      <xdr:row>4104</xdr:row>
      <xdr:rowOff>0</xdr:rowOff>
    </xdr:to>
    <xdr:pic>
      <xdr:nvPicPr>
        <xdr:cNvPr id="16247" name="Рисунок 16246">
          <a:extLst>
            <a:ext uri="{FF2B5EF4-FFF2-40B4-BE49-F238E27FC236}">
              <a16:creationId xmlns:a16="http://schemas.microsoft.com/office/drawing/2014/main" id="{BE927146-0CC8-4FB3-BA25-7D1732E6C22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5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341756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4104</xdr:row>
      <xdr:rowOff>25400</xdr:rowOff>
    </xdr:from>
    <xdr:to>
      <xdr:col>11</xdr:col>
      <xdr:colOff>571500</xdr:colOff>
      <xdr:row>4105</xdr:row>
      <xdr:rowOff>0</xdr:rowOff>
    </xdr:to>
    <xdr:pic>
      <xdr:nvPicPr>
        <xdr:cNvPr id="16249" name="Рисунок 16248">
          <a:extLst>
            <a:ext uri="{FF2B5EF4-FFF2-40B4-BE49-F238E27FC236}">
              <a16:creationId xmlns:a16="http://schemas.microsoft.com/office/drawing/2014/main" id="{32D34FA4-3254-4FFD-AD46-CB037B53E65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5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342327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4105</xdr:row>
      <xdr:rowOff>25400</xdr:rowOff>
    </xdr:from>
    <xdr:to>
      <xdr:col>11</xdr:col>
      <xdr:colOff>571500</xdr:colOff>
      <xdr:row>4106</xdr:row>
      <xdr:rowOff>0</xdr:rowOff>
    </xdr:to>
    <xdr:pic>
      <xdr:nvPicPr>
        <xdr:cNvPr id="16251" name="Рисунок 16250">
          <a:extLst>
            <a:ext uri="{FF2B5EF4-FFF2-40B4-BE49-F238E27FC236}">
              <a16:creationId xmlns:a16="http://schemas.microsoft.com/office/drawing/2014/main" id="{D2F2E587-E71F-4BF3-93ED-EC7BB881FD3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5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342899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4106</xdr:row>
      <xdr:rowOff>25400</xdr:rowOff>
    </xdr:from>
    <xdr:to>
      <xdr:col>11</xdr:col>
      <xdr:colOff>571500</xdr:colOff>
      <xdr:row>4107</xdr:row>
      <xdr:rowOff>0</xdr:rowOff>
    </xdr:to>
    <xdr:pic>
      <xdr:nvPicPr>
        <xdr:cNvPr id="16253" name="Рисунок 16252">
          <a:extLst>
            <a:ext uri="{FF2B5EF4-FFF2-40B4-BE49-F238E27FC236}">
              <a16:creationId xmlns:a16="http://schemas.microsoft.com/office/drawing/2014/main" id="{FEB4D750-87F9-43FC-8270-D34324CC4C6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6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343470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4107</xdr:row>
      <xdr:rowOff>25400</xdr:rowOff>
    </xdr:from>
    <xdr:to>
      <xdr:col>11</xdr:col>
      <xdr:colOff>571500</xdr:colOff>
      <xdr:row>4108</xdr:row>
      <xdr:rowOff>0</xdr:rowOff>
    </xdr:to>
    <xdr:pic>
      <xdr:nvPicPr>
        <xdr:cNvPr id="16255" name="Рисунок 16254">
          <a:extLst>
            <a:ext uri="{FF2B5EF4-FFF2-40B4-BE49-F238E27FC236}">
              <a16:creationId xmlns:a16="http://schemas.microsoft.com/office/drawing/2014/main" id="{0D26851C-FD98-4C56-97A6-53A6A2B7E7A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6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344042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4108</xdr:row>
      <xdr:rowOff>25400</xdr:rowOff>
    </xdr:from>
    <xdr:to>
      <xdr:col>11</xdr:col>
      <xdr:colOff>571500</xdr:colOff>
      <xdr:row>4109</xdr:row>
      <xdr:rowOff>0</xdr:rowOff>
    </xdr:to>
    <xdr:pic>
      <xdr:nvPicPr>
        <xdr:cNvPr id="16257" name="Рисунок 16256">
          <a:extLst>
            <a:ext uri="{FF2B5EF4-FFF2-40B4-BE49-F238E27FC236}">
              <a16:creationId xmlns:a16="http://schemas.microsoft.com/office/drawing/2014/main" id="{2C6CB6EF-A2BB-4629-8867-88DA62728EC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6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344613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4109</xdr:row>
      <xdr:rowOff>25400</xdr:rowOff>
    </xdr:from>
    <xdr:to>
      <xdr:col>11</xdr:col>
      <xdr:colOff>571500</xdr:colOff>
      <xdr:row>4110</xdr:row>
      <xdr:rowOff>0</xdr:rowOff>
    </xdr:to>
    <xdr:pic>
      <xdr:nvPicPr>
        <xdr:cNvPr id="16259" name="Рисунок 16258">
          <a:extLst>
            <a:ext uri="{FF2B5EF4-FFF2-40B4-BE49-F238E27FC236}">
              <a16:creationId xmlns:a16="http://schemas.microsoft.com/office/drawing/2014/main" id="{530A5716-4FF8-4211-9274-D1167BC0C58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6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345185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4110</xdr:row>
      <xdr:rowOff>25400</xdr:rowOff>
    </xdr:from>
    <xdr:to>
      <xdr:col>11</xdr:col>
      <xdr:colOff>571500</xdr:colOff>
      <xdr:row>4111</xdr:row>
      <xdr:rowOff>0</xdr:rowOff>
    </xdr:to>
    <xdr:pic>
      <xdr:nvPicPr>
        <xdr:cNvPr id="16261" name="Рисунок 16260">
          <a:extLst>
            <a:ext uri="{FF2B5EF4-FFF2-40B4-BE49-F238E27FC236}">
              <a16:creationId xmlns:a16="http://schemas.microsoft.com/office/drawing/2014/main" id="{6E16728D-AB68-4771-8B32-9A41E69623B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6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345756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4111</xdr:row>
      <xdr:rowOff>25400</xdr:rowOff>
    </xdr:from>
    <xdr:to>
      <xdr:col>11</xdr:col>
      <xdr:colOff>571500</xdr:colOff>
      <xdr:row>4112</xdr:row>
      <xdr:rowOff>0</xdr:rowOff>
    </xdr:to>
    <xdr:pic>
      <xdr:nvPicPr>
        <xdr:cNvPr id="16263" name="Рисунок 16262">
          <a:extLst>
            <a:ext uri="{FF2B5EF4-FFF2-40B4-BE49-F238E27FC236}">
              <a16:creationId xmlns:a16="http://schemas.microsoft.com/office/drawing/2014/main" id="{A8E6ACF2-52B8-4504-A110-C575D07A932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6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346328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4112</xdr:row>
      <xdr:rowOff>25400</xdr:rowOff>
    </xdr:from>
    <xdr:to>
      <xdr:col>11</xdr:col>
      <xdr:colOff>571500</xdr:colOff>
      <xdr:row>4113</xdr:row>
      <xdr:rowOff>0</xdr:rowOff>
    </xdr:to>
    <xdr:pic>
      <xdr:nvPicPr>
        <xdr:cNvPr id="16265" name="Рисунок 16264">
          <a:extLst>
            <a:ext uri="{FF2B5EF4-FFF2-40B4-BE49-F238E27FC236}">
              <a16:creationId xmlns:a16="http://schemas.microsoft.com/office/drawing/2014/main" id="{2132565E-41A5-4BE6-9B29-CD2EA899644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6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346899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4114</xdr:row>
      <xdr:rowOff>25400</xdr:rowOff>
    </xdr:from>
    <xdr:to>
      <xdr:col>11</xdr:col>
      <xdr:colOff>571500</xdr:colOff>
      <xdr:row>4115</xdr:row>
      <xdr:rowOff>0</xdr:rowOff>
    </xdr:to>
    <xdr:pic>
      <xdr:nvPicPr>
        <xdr:cNvPr id="16267" name="Рисунок 16266">
          <a:extLst>
            <a:ext uri="{FF2B5EF4-FFF2-40B4-BE49-F238E27FC236}">
              <a16:creationId xmlns:a16="http://schemas.microsoft.com/office/drawing/2014/main" id="{8B71D4D7-FAB8-4817-9682-DEEC95BFE67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6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348042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4115</xdr:row>
      <xdr:rowOff>25400</xdr:rowOff>
    </xdr:from>
    <xdr:to>
      <xdr:col>11</xdr:col>
      <xdr:colOff>571500</xdr:colOff>
      <xdr:row>4116</xdr:row>
      <xdr:rowOff>0</xdr:rowOff>
    </xdr:to>
    <xdr:pic>
      <xdr:nvPicPr>
        <xdr:cNvPr id="16269" name="Рисунок 16268">
          <a:extLst>
            <a:ext uri="{FF2B5EF4-FFF2-40B4-BE49-F238E27FC236}">
              <a16:creationId xmlns:a16="http://schemas.microsoft.com/office/drawing/2014/main" id="{DB012F44-F123-47DA-A80F-66EC18B2E96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6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348614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4116</xdr:row>
      <xdr:rowOff>25400</xdr:rowOff>
    </xdr:from>
    <xdr:to>
      <xdr:col>11</xdr:col>
      <xdr:colOff>571500</xdr:colOff>
      <xdr:row>4117</xdr:row>
      <xdr:rowOff>0</xdr:rowOff>
    </xdr:to>
    <xdr:pic>
      <xdr:nvPicPr>
        <xdr:cNvPr id="16271" name="Рисунок 16270">
          <a:extLst>
            <a:ext uri="{FF2B5EF4-FFF2-40B4-BE49-F238E27FC236}">
              <a16:creationId xmlns:a16="http://schemas.microsoft.com/office/drawing/2014/main" id="{1B3E4AF7-805C-4600-B405-3401917EC6A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6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349185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4117</xdr:row>
      <xdr:rowOff>25400</xdr:rowOff>
    </xdr:from>
    <xdr:to>
      <xdr:col>11</xdr:col>
      <xdr:colOff>571500</xdr:colOff>
      <xdr:row>4118</xdr:row>
      <xdr:rowOff>0</xdr:rowOff>
    </xdr:to>
    <xdr:pic>
      <xdr:nvPicPr>
        <xdr:cNvPr id="16273" name="Рисунок 16272">
          <a:extLst>
            <a:ext uri="{FF2B5EF4-FFF2-40B4-BE49-F238E27FC236}">
              <a16:creationId xmlns:a16="http://schemas.microsoft.com/office/drawing/2014/main" id="{320CA624-0017-4B76-BBAC-FEEE1425D0F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7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349757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4118</xdr:row>
      <xdr:rowOff>25400</xdr:rowOff>
    </xdr:from>
    <xdr:to>
      <xdr:col>11</xdr:col>
      <xdr:colOff>571500</xdr:colOff>
      <xdr:row>4119</xdr:row>
      <xdr:rowOff>0</xdr:rowOff>
    </xdr:to>
    <xdr:pic>
      <xdr:nvPicPr>
        <xdr:cNvPr id="16275" name="Рисунок 16274">
          <a:extLst>
            <a:ext uri="{FF2B5EF4-FFF2-40B4-BE49-F238E27FC236}">
              <a16:creationId xmlns:a16="http://schemas.microsoft.com/office/drawing/2014/main" id="{32A78B84-CD71-49AC-8336-578D6DEF928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7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350328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4119</xdr:row>
      <xdr:rowOff>25400</xdr:rowOff>
    </xdr:from>
    <xdr:to>
      <xdr:col>11</xdr:col>
      <xdr:colOff>571500</xdr:colOff>
      <xdr:row>4120</xdr:row>
      <xdr:rowOff>0</xdr:rowOff>
    </xdr:to>
    <xdr:pic>
      <xdr:nvPicPr>
        <xdr:cNvPr id="16277" name="Рисунок 16276">
          <a:extLst>
            <a:ext uri="{FF2B5EF4-FFF2-40B4-BE49-F238E27FC236}">
              <a16:creationId xmlns:a16="http://schemas.microsoft.com/office/drawing/2014/main" id="{9856D5AE-DD3C-4B48-9D6D-8B23D072383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7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350900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4120</xdr:row>
      <xdr:rowOff>25400</xdr:rowOff>
    </xdr:from>
    <xdr:to>
      <xdr:col>11</xdr:col>
      <xdr:colOff>571500</xdr:colOff>
      <xdr:row>4121</xdr:row>
      <xdr:rowOff>0</xdr:rowOff>
    </xdr:to>
    <xdr:pic>
      <xdr:nvPicPr>
        <xdr:cNvPr id="16279" name="Рисунок 16278">
          <a:extLst>
            <a:ext uri="{FF2B5EF4-FFF2-40B4-BE49-F238E27FC236}">
              <a16:creationId xmlns:a16="http://schemas.microsoft.com/office/drawing/2014/main" id="{CCA0CF47-D869-4F00-8227-64DE3503A88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7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351471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4121</xdr:row>
      <xdr:rowOff>25400</xdr:rowOff>
    </xdr:from>
    <xdr:to>
      <xdr:col>11</xdr:col>
      <xdr:colOff>571500</xdr:colOff>
      <xdr:row>4122</xdr:row>
      <xdr:rowOff>0</xdr:rowOff>
    </xdr:to>
    <xdr:pic>
      <xdr:nvPicPr>
        <xdr:cNvPr id="16281" name="Рисунок 16280">
          <a:extLst>
            <a:ext uri="{FF2B5EF4-FFF2-40B4-BE49-F238E27FC236}">
              <a16:creationId xmlns:a16="http://schemas.microsoft.com/office/drawing/2014/main" id="{20CDF209-D566-45A3-BFB5-DCD5F17EB30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7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352043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4122</xdr:row>
      <xdr:rowOff>25400</xdr:rowOff>
    </xdr:from>
    <xdr:to>
      <xdr:col>11</xdr:col>
      <xdr:colOff>571500</xdr:colOff>
      <xdr:row>4123</xdr:row>
      <xdr:rowOff>0</xdr:rowOff>
    </xdr:to>
    <xdr:pic>
      <xdr:nvPicPr>
        <xdr:cNvPr id="16283" name="Рисунок 16282">
          <a:extLst>
            <a:ext uri="{FF2B5EF4-FFF2-40B4-BE49-F238E27FC236}">
              <a16:creationId xmlns:a16="http://schemas.microsoft.com/office/drawing/2014/main" id="{416FF9D4-609A-40FE-A68B-42A09810D24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7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352614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4123</xdr:row>
      <xdr:rowOff>25400</xdr:rowOff>
    </xdr:from>
    <xdr:to>
      <xdr:col>11</xdr:col>
      <xdr:colOff>571500</xdr:colOff>
      <xdr:row>4124</xdr:row>
      <xdr:rowOff>0</xdr:rowOff>
    </xdr:to>
    <xdr:pic>
      <xdr:nvPicPr>
        <xdr:cNvPr id="16285" name="Рисунок 16284">
          <a:extLst>
            <a:ext uri="{FF2B5EF4-FFF2-40B4-BE49-F238E27FC236}">
              <a16:creationId xmlns:a16="http://schemas.microsoft.com/office/drawing/2014/main" id="{2B71A717-761A-4853-83F1-5A9EC478E51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7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353186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4124</xdr:row>
      <xdr:rowOff>25400</xdr:rowOff>
    </xdr:from>
    <xdr:to>
      <xdr:col>11</xdr:col>
      <xdr:colOff>571500</xdr:colOff>
      <xdr:row>4125</xdr:row>
      <xdr:rowOff>0</xdr:rowOff>
    </xdr:to>
    <xdr:pic>
      <xdr:nvPicPr>
        <xdr:cNvPr id="16287" name="Рисунок 16286">
          <a:extLst>
            <a:ext uri="{FF2B5EF4-FFF2-40B4-BE49-F238E27FC236}">
              <a16:creationId xmlns:a16="http://schemas.microsoft.com/office/drawing/2014/main" id="{3F3F5CC3-67D6-42BC-95EE-892D0B5973C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7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353757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4125</xdr:row>
      <xdr:rowOff>25400</xdr:rowOff>
    </xdr:from>
    <xdr:to>
      <xdr:col>11</xdr:col>
      <xdr:colOff>571500</xdr:colOff>
      <xdr:row>4126</xdr:row>
      <xdr:rowOff>0</xdr:rowOff>
    </xdr:to>
    <xdr:pic>
      <xdr:nvPicPr>
        <xdr:cNvPr id="16289" name="Рисунок 16288">
          <a:extLst>
            <a:ext uri="{FF2B5EF4-FFF2-40B4-BE49-F238E27FC236}">
              <a16:creationId xmlns:a16="http://schemas.microsoft.com/office/drawing/2014/main" id="{BE591FBD-0818-4DA5-8C82-CADCFBE4645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7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354329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4126</xdr:row>
      <xdr:rowOff>25400</xdr:rowOff>
    </xdr:from>
    <xdr:to>
      <xdr:col>11</xdr:col>
      <xdr:colOff>571500</xdr:colOff>
      <xdr:row>4127</xdr:row>
      <xdr:rowOff>0</xdr:rowOff>
    </xdr:to>
    <xdr:pic>
      <xdr:nvPicPr>
        <xdr:cNvPr id="16291" name="Рисунок 16290">
          <a:extLst>
            <a:ext uri="{FF2B5EF4-FFF2-40B4-BE49-F238E27FC236}">
              <a16:creationId xmlns:a16="http://schemas.microsoft.com/office/drawing/2014/main" id="{4F28ECD1-88F7-4FFF-B42F-15542EE556F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7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354900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4128</xdr:row>
      <xdr:rowOff>25400</xdr:rowOff>
    </xdr:from>
    <xdr:to>
      <xdr:col>11</xdr:col>
      <xdr:colOff>571500</xdr:colOff>
      <xdr:row>4129</xdr:row>
      <xdr:rowOff>0</xdr:rowOff>
    </xdr:to>
    <xdr:pic>
      <xdr:nvPicPr>
        <xdr:cNvPr id="16293" name="Рисунок 16292">
          <a:extLst>
            <a:ext uri="{FF2B5EF4-FFF2-40B4-BE49-F238E27FC236}">
              <a16:creationId xmlns:a16="http://schemas.microsoft.com/office/drawing/2014/main" id="{8796EAEC-146B-4E8F-9D29-D7B62BE3139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8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356043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4129</xdr:row>
      <xdr:rowOff>25400</xdr:rowOff>
    </xdr:from>
    <xdr:to>
      <xdr:col>11</xdr:col>
      <xdr:colOff>571500</xdr:colOff>
      <xdr:row>4130</xdr:row>
      <xdr:rowOff>0</xdr:rowOff>
    </xdr:to>
    <xdr:pic>
      <xdr:nvPicPr>
        <xdr:cNvPr id="16295" name="Рисунок 16294">
          <a:extLst>
            <a:ext uri="{FF2B5EF4-FFF2-40B4-BE49-F238E27FC236}">
              <a16:creationId xmlns:a16="http://schemas.microsoft.com/office/drawing/2014/main" id="{AB3DC78D-DE64-4115-B589-DCA3259391A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8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356615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4130</xdr:row>
      <xdr:rowOff>25400</xdr:rowOff>
    </xdr:from>
    <xdr:to>
      <xdr:col>11</xdr:col>
      <xdr:colOff>571500</xdr:colOff>
      <xdr:row>4131</xdr:row>
      <xdr:rowOff>0</xdr:rowOff>
    </xdr:to>
    <xdr:pic>
      <xdr:nvPicPr>
        <xdr:cNvPr id="16297" name="Рисунок 16296">
          <a:extLst>
            <a:ext uri="{FF2B5EF4-FFF2-40B4-BE49-F238E27FC236}">
              <a16:creationId xmlns:a16="http://schemas.microsoft.com/office/drawing/2014/main" id="{79390522-E9C5-4991-A1DF-D64B16FD585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8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357186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4131</xdr:row>
      <xdr:rowOff>25400</xdr:rowOff>
    </xdr:from>
    <xdr:to>
      <xdr:col>11</xdr:col>
      <xdr:colOff>571500</xdr:colOff>
      <xdr:row>4132</xdr:row>
      <xdr:rowOff>0</xdr:rowOff>
    </xdr:to>
    <xdr:pic>
      <xdr:nvPicPr>
        <xdr:cNvPr id="16299" name="Рисунок 16298">
          <a:extLst>
            <a:ext uri="{FF2B5EF4-FFF2-40B4-BE49-F238E27FC236}">
              <a16:creationId xmlns:a16="http://schemas.microsoft.com/office/drawing/2014/main" id="{F95A94EE-4C3C-4A49-8E5A-D0F50B0AC4D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8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357758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4132</xdr:row>
      <xdr:rowOff>25400</xdr:rowOff>
    </xdr:from>
    <xdr:to>
      <xdr:col>11</xdr:col>
      <xdr:colOff>571500</xdr:colOff>
      <xdr:row>4133</xdr:row>
      <xdr:rowOff>0</xdr:rowOff>
    </xdr:to>
    <xdr:pic>
      <xdr:nvPicPr>
        <xdr:cNvPr id="16301" name="Рисунок 16300">
          <a:extLst>
            <a:ext uri="{FF2B5EF4-FFF2-40B4-BE49-F238E27FC236}">
              <a16:creationId xmlns:a16="http://schemas.microsoft.com/office/drawing/2014/main" id="{2D268FCF-5FFE-4A5D-8389-31C8F28B181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8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358329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4133</xdr:row>
      <xdr:rowOff>25400</xdr:rowOff>
    </xdr:from>
    <xdr:to>
      <xdr:col>11</xdr:col>
      <xdr:colOff>571500</xdr:colOff>
      <xdr:row>4134</xdr:row>
      <xdr:rowOff>0</xdr:rowOff>
    </xdr:to>
    <xdr:pic>
      <xdr:nvPicPr>
        <xdr:cNvPr id="16303" name="Рисунок 16302">
          <a:extLst>
            <a:ext uri="{FF2B5EF4-FFF2-40B4-BE49-F238E27FC236}">
              <a16:creationId xmlns:a16="http://schemas.microsoft.com/office/drawing/2014/main" id="{8D5A0E42-7228-478A-862E-AB60D9CA6AB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8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358901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4134</xdr:row>
      <xdr:rowOff>25400</xdr:rowOff>
    </xdr:from>
    <xdr:to>
      <xdr:col>11</xdr:col>
      <xdr:colOff>571500</xdr:colOff>
      <xdr:row>4135</xdr:row>
      <xdr:rowOff>0</xdr:rowOff>
    </xdr:to>
    <xdr:pic>
      <xdr:nvPicPr>
        <xdr:cNvPr id="16305" name="Рисунок 16304">
          <a:extLst>
            <a:ext uri="{FF2B5EF4-FFF2-40B4-BE49-F238E27FC236}">
              <a16:creationId xmlns:a16="http://schemas.microsoft.com/office/drawing/2014/main" id="{935D7935-736F-4CE5-8409-347AE135719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8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359472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4135</xdr:row>
      <xdr:rowOff>25400</xdr:rowOff>
    </xdr:from>
    <xdr:to>
      <xdr:col>11</xdr:col>
      <xdr:colOff>571500</xdr:colOff>
      <xdr:row>4136</xdr:row>
      <xdr:rowOff>0</xdr:rowOff>
    </xdr:to>
    <xdr:pic>
      <xdr:nvPicPr>
        <xdr:cNvPr id="16307" name="Рисунок 16306">
          <a:extLst>
            <a:ext uri="{FF2B5EF4-FFF2-40B4-BE49-F238E27FC236}">
              <a16:creationId xmlns:a16="http://schemas.microsoft.com/office/drawing/2014/main" id="{5CF5C7B3-39CA-4932-8B1D-6F37E0549C1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8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360044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4136</xdr:row>
      <xdr:rowOff>25400</xdr:rowOff>
    </xdr:from>
    <xdr:to>
      <xdr:col>11</xdr:col>
      <xdr:colOff>571500</xdr:colOff>
      <xdr:row>4137</xdr:row>
      <xdr:rowOff>0</xdr:rowOff>
    </xdr:to>
    <xdr:pic>
      <xdr:nvPicPr>
        <xdr:cNvPr id="16309" name="Рисунок 16308">
          <a:extLst>
            <a:ext uri="{FF2B5EF4-FFF2-40B4-BE49-F238E27FC236}">
              <a16:creationId xmlns:a16="http://schemas.microsoft.com/office/drawing/2014/main" id="{5B25442A-9B6F-4CC6-A6B8-5FC628BC973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8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360615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4137</xdr:row>
      <xdr:rowOff>25400</xdr:rowOff>
    </xdr:from>
    <xdr:to>
      <xdr:col>11</xdr:col>
      <xdr:colOff>571500</xdr:colOff>
      <xdr:row>4138</xdr:row>
      <xdr:rowOff>0</xdr:rowOff>
    </xdr:to>
    <xdr:pic>
      <xdr:nvPicPr>
        <xdr:cNvPr id="16311" name="Рисунок 16310">
          <a:extLst>
            <a:ext uri="{FF2B5EF4-FFF2-40B4-BE49-F238E27FC236}">
              <a16:creationId xmlns:a16="http://schemas.microsoft.com/office/drawing/2014/main" id="{28E744AA-7B58-450E-8C7A-731684E47C1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8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361187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4138</xdr:row>
      <xdr:rowOff>25400</xdr:rowOff>
    </xdr:from>
    <xdr:to>
      <xdr:col>11</xdr:col>
      <xdr:colOff>571500</xdr:colOff>
      <xdr:row>4139</xdr:row>
      <xdr:rowOff>0</xdr:rowOff>
    </xdr:to>
    <xdr:pic>
      <xdr:nvPicPr>
        <xdr:cNvPr id="16313" name="Рисунок 16312">
          <a:extLst>
            <a:ext uri="{FF2B5EF4-FFF2-40B4-BE49-F238E27FC236}">
              <a16:creationId xmlns:a16="http://schemas.microsoft.com/office/drawing/2014/main" id="{A4510C32-A92E-4E44-8D8B-739C56E09C8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9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361758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4139</xdr:row>
      <xdr:rowOff>25400</xdr:rowOff>
    </xdr:from>
    <xdr:to>
      <xdr:col>11</xdr:col>
      <xdr:colOff>571500</xdr:colOff>
      <xdr:row>4140</xdr:row>
      <xdr:rowOff>0</xdr:rowOff>
    </xdr:to>
    <xdr:pic>
      <xdr:nvPicPr>
        <xdr:cNvPr id="16315" name="Рисунок 16314">
          <a:extLst>
            <a:ext uri="{FF2B5EF4-FFF2-40B4-BE49-F238E27FC236}">
              <a16:creationId xmlns:a16="http://schemas.microsoft.com/office/drawing/2014/main" id="{CF575B7C-F248-410C-A5C2-8C00A7D7963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9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362330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4140</xdr:row>
      <xdr:rowOff>25400</xdr:rowOff>
    </xdr:from>
    <xdr:to>
      <xdr:col>11</xdr:col>
      <xdr:colOff>571500</xdr:colOff>
      <xdr:row>4141</xdr:row>
      <xdr:rowOff>0</xdr:rowOff>
    </xdr:to>
    <xdr:pic>
      <xdr:nvPicPr>
        <xdr:cNvPr id="16317" name="Рисунок 16316">
          <a:extLst>
            <a:ext uri="{FF2B5EF4-FFF2-40B4-BE49-F238E27FC236}">
              <a16:creationId xmlns:a16="http://schemas.microsoft.com/office/drawing/2014/main" id="{3E59CCF8-F354-4230-A903-EA2918307FF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9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362901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4141</xdr:row>
      <xdr:rowOff>25400</xdr:rowOff>
    </xdr:from>
    <xdr:to>
      <xdr:col>11</xdr:col>
      <xdr:colOff>571500</xdr:colOff>
      <xdr:row>4142</xdr:row>
      <xdr:rowOff>0</xdr:rowOff>
    </xdr:to>
    <xdr:pic>
      <xdr:nvPicPr>
        <xdr:cNvPr id="16319" name="Рисунок 16318">
          <a:extLst>
            <a:ext uri="{FF2B5EF4-FFF2-40B4-BE49-F238E27FC236}">
              <a16:creationId xmlns:a16="http://schemas.microsoft.com/office/drawing/2014/main" id="{DD93F1EF-433B-48F4-A752-2D46A245054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9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363473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4142</xdr:row>
      <xdr:rowOff>25400</xdr:rowOff>
    </xdr:from>
    <xdr:to>
      <xdr:col>11</xdr:col>
      <xdr:colOff>571500</xdr:colOff>
      <xdr:row>4143</xdr:row>
      <xdr:rowOff>0</xdr:rowOff>
    </xdr:to>
    <xdr:pic>
      <xdr:nvPicPr>
        <xdr:cNvPr id="16321" name="Рисунок 16320">
          <a:extLst>
            <a:ext uri="{FF2B5EF4-FFF2-40B4-BE49-F238E27FC236}">
              <a16:creationId xmlns:a16="http://schemas.microsoft.com/office/drawing/2014/main" id="{C14DC913-6464-4D69-9058-5DB4E244472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9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364044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4143</xdr:row>
      <xdr:rowOff>25400</xdr:rowOff>
    </xdr:from>
    <xdr:to>
      <xdr:col>11</xdr:col>
      <xdr:colOff>571500</xdr:colOff>
      <xdr:row>4144</xdr:row>
      <xdr:rowOff>0</xdr:rowOff>
    </xdr:to>
    <xdr:pic>
      <xdr:nvPicPr>
        <xdr:cNvPr id="16323" name="Рисунок 16322">
          <a:extLst>
            <a:ext uri="{FF2B5EF4-FFF2-40B4-BE49-F238E27FC236}">
              <a16:creationId xmlns:a16="http://schemas.microsoft.com/office/drawing/2014/main" id="{438B31AA-B4BB-42EB-BEED-E1CBE764F44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9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364616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4144</xdr:row>
      <xdr:rowOff>25400</xdr:rowOff>
    </xdr:from>
    <xdr:to>
      <xdr:col>11</xdr:col>
      <xdr:colOff>571500</xdr:colOff>
      <xdr:row>4145</xdr:row>
      <xdr:rowOff>0</xdr:rowOff>
    </xdr:to>
    <xdr:pic>
      <xdr:nvPicPr>
        <xdr:cNvPr id="16325" name="Рисунок 16324">
          <a:extLst>
            <a:ext uri="{FF2B5EF4-FFF2-40B4-BE49-F238E27FC236}">
              <a16:creationId xmlns:a16="http://schemas.microsoft.com/office/drawing/2014/main" id="{BA46D6AD-FB9C-4C03-88CA-6EB176081E5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9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365187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4145</xdr:row>
      <xdr:rowOff>25400</xdr:rowOff>
    </xdr:from>
    <xdr:to>
      <xdr:col>11</xdr:col>
      <xdr:colOff>571500</xdr:colOff>
      <xdr:row>4146</xdr:row>
      <xdr:rowOff>0</xdr:rowOff>
    </xdr:to>
    <xdr:pic>
      <xdr:nvPicPr>
        <xdr:cNvPr id="16327" name="Рисунок 16326">
          <a:extLst>
            <a:ext uri="{FF2B5EF4-FFF2-40B4-BE49-F238E27FC236}">
              <a16:creationId xmlns:a16="http://schemas.microsoft.com/office/drawing/2014/main" id="{7E3C649C-37EE-4E01-BC5E-8E1D6192DBE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9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365759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4146</xdr:row>
      <xdr:rowOff>25400</xdr:rowOff>
    </xdr:from>
    <xdr:to>
      <xdr:col>11</xdr:col>
      <xdr:colOff>571500</xdr:colOff>
      <xdr:row>4147</xdr:row>
      <xdr:rowOff>0</xdr:rowOff>
    </xdr:to>
    <xdr:pic>
      <xdr:nvPicPr>
        <xdr:cNvPr id="16329" name="Рисунок 16328">
          <a:extLst>
            <a:ext uri="{FF2B5EF4-FFF2-40B4-BE49-F238E27FC236}">
              <a16:creationId xmlns:a16="http://schemas.microsoft.com/office/drawing/2014/main" id="{3506FCAA-E0F8-4851-84DB-61227640C92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9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366330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4147</xdr:row>
      <xdr:rowOff>25400</xdr:rowOff>
    </xdr:from>
    <xdr:to>
      <xdr:col>11</xdr:col>
      <xdr:colOff>571500</xdr:colOff>
      <xdr:row>4148</xdr:row>
      <xdr:rowOff>0</xdr:rowOff>
    </xdr:to>
    <xdr:pic>
      <xdr:nvPicPr>
        <xdr:cNvPr id="16331" name="Рисунок 16330">
          <a:extLst>
            <a:ext uri="{FF2B5EF4-FFF2-40B4-BE49-F238E27FC236}">
              <a16:creationId xmlns:a16="http://schemas.microsoft.com/office/drawing/2014/main" id="{9C71C6D9-1E06-41FB-8A83-02E43AE65A9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09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366902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4148</xdr:row>
      <xdr:rowOff>25400</xdr:rowOff>
    </xdr:from>
    <xdr:to>
      <xdr:col>11</xdr:col>
      <xdr:colOff>571500</xdr:colOff>
      <xdr:row>4149</xdr:row>
      <xdr:rowOff>0</xdr:rowOff>
    </xdr:to>
    <xdr:pic>
      <xdr:nvPicPr>
        <xdr:cNvPr id="16333" name="Рисунок 16332">
          <a:extLst>
            <a:ext uri="{FF2B5EF4-FFF2-40B4-BE49-F238E27FC236}">
              <a16:creationId xmlns:a16="http://schemas.microsoft.com/office/drawing/2014/main" id="{3676E039-8E32-4B3C-BBD7-914821B3804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0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367473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4149</xdr:row>
      <xdr:rowOff>25400</xdr:rowOff>
    </xdr:from>
    <xdr:to>
      <xdr:col>11</xdr:col>
      <xdr:colOff>571500</xdr:colOff>
      <xdr:row>4150</xdr:row>
      <xdr:rowOff>0</xdr:rowOff>
    </xdr:to>
    <xdr:pic>
      <xdr:nvPicPr>
        <xdr:cNvPr id="16335" name="Рисунок 16334">
          <a:extLst>
            <a:ext uri="{FF2B5EF4-FFF2-40B4-BE49-F238E27FC236}">
              <a16:creationId xmlns:a16="http://schemas.microsoft.com/office/drawing/2014/main" id="{4098F14B-6AC2-4B9D-8C03-C9876D269C9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0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368045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4150</xdr:row>
      <xdr:rowOff>25400</xdr:rowOff>
    </xdr:from>
    <xdr:to>
      <xdr:col>11</xdr:col>
      <xdr:colOff>571500</xdr:colOff>
      <xdr:row>4151</xdr:row>
      <xdr:rowOff>0</xdr:rowOff>
    </xdr:to>
    <xdr:pic>
      <xdr:nvPicPr>
        <xdr:cNvPr id="16337" name="Рисунок 16336">
          <a:extLst>
            <a:ext uri="{FF2B5EF4-FFF2-40B4-BE49-F238E27FC236}">
              <a16:creationId xmlns:a16="http://schemas.microsoft.com/office/drawing/2014/main" id="{72E781D6-4B28-40CC-9E3B-BEB95979DC0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0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368616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4151</xdr:row>
      <xdr:rowOff>25400</xdr:rowOff>
    </xdr:from>
    <xdr:to>
      <xdr:col>11</xdr:col>
      <xdr:colOff>571500</xdr:colOff>
      <xdr:row>4152</xdr:row>
      <xdr:rowOff>0</xdr:rowOff>
    </xdr:to>
    <xdr:pic>
      <xdr:nvPicPr>
        <xdr:cNvPr id="16339" name="Рисунок 16338">
          <a:extLst>
            <a:ext uri="{FF2B5EF4-FFF2-40B4-BE49-F238E27FC236}">
              <a16:creationId xmlns:a16="http://schemas.microsoft.com/office/drawing/2014/main" id="{F688ED3A-D911-44E4-8E0F-D0676A1AFD6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0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369188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4152</xdr:row>
      <xdr:rowOff>25400</xdr:rowOff>
    </xdr:from>
    <xdr:to>
      <xdr:col>11</xdr:col>
      <xdr:colOff>571500</xdr:colOff>
      <xdr:row>4153</xdr:row>
      <xdr:rowOff>0</xdr:rowOff>
    </xdr:to>
    <xdr:pic>
      <xdr:nvPicPr>
        <xdr:cNvPr id="16341" name="Рисунок 16340">
          <a:extLst>
            <a:ext uri="{FF2B5EF4-FFF2-40B4-BE49-F238E27FC236}">
              <a16:creationId xmlns:a16="http://schemas.microsoft.com/office/drawing/2014/main" id="{36E518BA-EC63-40FF-B7DF-7DC9FC9496D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0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369759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4153</xdr:row>
      <xdr:rowOff>25400</xdr:rowOff>
    </xdr:from>
    <xdr:to>
      <xdr:col>11</xdr:col>
      <xdr:colOff>571500</xdr:colOff>
      <xdr:row>4154</xdr:row>
      <xdr:rowOff>0</xdr:rowOff>
    </xdr:to>
    <xdr:pic>
      <xdr:nvPicPr>
        <xdr:cNvPr id="16343" name="Рисунок 16342">
          <a:extLst>
            <a:ext uri="{FF2B5EF4-FFF2-40B4-BE49-F238E27FC236}">
              <a16:creationId xmlns:a16="http://schemas.microsoft.com/office/drawing/2014/main" id="{97B3BABC-EA06-4716-B52E-80493C269BC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0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370331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4154</xdr:row>
      <xdr:rowOff>25400</xdr:rowOff>
    </xdr:from>
    <xdr:to>
      <xdr:col>11</xdr:col>
      <xdr:colOff>571500</xdr:colOff>
      <xdr:row>4155</xdr:row>
      <xdr:rowOff>0</xdr:rowOff>
    </xdr:to>
    <xdr:pic>
      <xdr:nvPicPr>
        <xdr:cNvPr id="16345" name="Рисунок 16344">
          <a:extLst>
            <a:ext uri="{FF2B5EF4-FFF2-40B4-BE49-F238E27FC236}">
              <a16:creationId xmlns:a16="http://schemas.microsoft.com/office/drawing/2014/main" id="{7295CEDF-DA2A-4D51-ACAF-47E890DC587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0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370902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4155</xdr:row>
      <xdr:rowOff>25400</xdr:rowOff>
    </xdr:from>
    <xdr:to>
      <xdr:col>11</xdr:col>
      <xdr:colOff>571500</xdr:colOff>
      <xdr:row>4156</xdr:row>
      <xdr:rowOff>0</xdr:rowOff>
    </xdr:to>
    <xdr:pic>
      <xdr:nvPicPr>
        <xdr:cNvPr id="16347" name="Рисунок 16346">
          <a:extLst>
            <a:ext uri="{FF2B5EF4-FFF2-40B4-BE49-F238E27FC236}">
              <a16:creationId xmlns:a16="http://schemas.microsoft.com/office/drawing/2014/main" id="{780C695C-6327-4202-851E-A756DF360EC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0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371474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4156</xdr:row>
      <xdr:rowOff>25400</xdr:rowOff>
    </xdr:from>
    <xdr:to>
      <xdr:col>11</xdr:col>
      <xdr:colOff>571500</xdr:colOff>
      <xdr:row>4157</xdr:row>
      <xdr:rowOff>0</xdr:rowOff>
    </xdr:to>
    <xdr:pic>
      <xdr:nvPicPr>
        <xdr:cNvPr id="16349" name="Рисунок 16348">
          <a:extLst>
            <a:ext uri="{FF2B5EF4-FFF2-40B4-BE49-F238E27FC236}">
              <a16:creationId xmlns:a16="http://schemas.microsoft.com/office/drawing/2014/main" id="{5C1C8C27-3B3D-4BEB-92D9-4EFC5BD0213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0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372045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4157</xdr:row>
      <xdr:rowOff>25400</xdr:rowOff>
    </xdr:from>
    <xdr:to>
      <xdr:col>11</xdr:col>
      <xdr:colOff>571500</xdr:colOff>
      <xdr:row>4158</xdr:row>
      <xdr:rowOff>0</xdr:rowOff>
    </xdr:to>
    <xdr:pic>
      <xdr:nvPicPr>
        <xdr:cNvPr id="16351" name="Рисунок 16350">
          <a:extLst>
            <a:ext uri="{FF2B5EF4-FFF2-40B4-BE49-F238E27FC236}">
              <a16:creationId xmlns:a16="http://schemas.microsoft.com/office/drawing/2014/main" id="{6FCABC18-56BA-4E92-A4F3-19BFC871406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0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372617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4158</xdr:row>
      <xdr:rowOff>25400</xdr:rowOff>
    </xdr:from>
    <xdr:to>
      <xdr:col>11</xdr:col>
      <xdr:colOff>571500</xdr:colOff>
      <xdr:row>4159</xdr:row>
      <xdr:rowOff>0</xdr:rowOff>
    </xdr:to>
    <xdr:pic>
      <xdr:nvPicPr>
        <xdr:cNvPr id="16353" name="Рисунок 16352">
          <a:extLst>
            <a:ext uri="{FF2B5EF4-FFF2-40B4-BE49-F238E27FC236}">
              <a16:creationId xmlns:a16="http://schemas.microsoft.com/office/drawing/2014/main" id="{5968890E-53DE-4CBB-B43F-35403ADA47D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373188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4159</xdr:row>
      <xdr:rowOff>25400</xdr:rowOff>
    </xdr:from>
    <xdr:to>
      <xdr:col>11</xdr:col>
      <xdr:colOff>571500</xdr:colOff>
      <xdr:row>4160</xdr:row>
      <xdr:rowOff>0</xdr:rowOff>
    </xdr:to>
    <xdr:pic>
      <xdr:nvPicPr>
        <xdr:cNvPr id="16355" name="Рисунок 16354">
          <a:extLst>
            <a:ext uri="{FF2B5EF4-FFF2-40B4-BE49-F238E27FC236}">
              <a16:creationId xmlns:a16="http://schemas.microsoft.com/office/drawing/2014/main" id="{893F7054-E682-4AA5-8E63-7E1E91C57F2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373760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4160</xdr:row>
      <xdr:rowOff>25400</xdr:rowOff>
    </xdr:from>
    <xdr:to>
      <xdr:col>11</xdr:col>
      <xdr:colOff>571500</xdr:colOff>
      <xdr:row>4161</xdr:row>
      <xdr:rowOff>0</xdr:rowOff>
    </xdr:to>
    <xdr:pic>
      <xdr:nvPicPr>
        <xdr:cNvPr id="16357" name="Рисунок 16356">
          <a:extLst>
            <a:ext uri="{FF2B5EF4-FFF2-40B4-BE49-F238E27FC236}">
              <a16:creationId xmlns:a16="http://schemas.microsoft.com/office/drawing/2014/main" id="{CE141770-5070-4502-9AE7-9D6D991757D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374331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4161</xdr:row>
      <xdr:rowOff>25400</xdr:rowOff>
    </xdr:from>
    <xdr:to>
      <xdr:col>11</xdr:col>
      <xdr:colOff>571500</xdr:colOff>
      <xdr:row>4162</xdr:row>
      <xdr:rowOff>0</xdr:rowOff>
    </xdr:to>
    <xdr:pic>
      <xdr:nvPicPr>
        <xdr:cNvPr id="16359" name="Рисунок 16358">
          <a:extLst>
            <a:ext uri="{FF2B5EF4-FFF2-40B4-BE49-F238E27FC236}">
              <a16:creationId xmlns:a16="http://schemas.microsoft.com/office/drawing/2014/main" id="{04BBB320-4517-4E4A-83FD-C599CCA1F5B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374903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4162</xdr:row>
      <xdr:rowOff>25400</xdr:rowOff>
    </xdr:from>
    <xdr:to>
      <xdr:col>11</xdr:col>
      <xdr:colOff>571500</xdr:colOff>
      <xdr:row>4163</xdr:row>
      <xdr:rowOff>0</xdr:rowOff>
    </xdr:to>
    <xdr:pic>
      <xdr:nvPicPr>
        <xdr:cNvPr id="16361" name="Рисунок 16360">
          <a:extLst>
            <a:ext uri="{FF2B5EF4-FFF2-40B4-BE49-F238E27FC236}">
              <a16:creationId xmlns:a16="http://schemas.microsoft.com/office/drawing/2014/main" id="{E6802CD6-DD83-44FD-8674-C2BA7611A3E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375474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4163</xdr:row>
      <xdr:rowOff>25400</xdr:rowOff>
    </xdr:from>
    <xdr:to>
      <xdr:col>11</xdr:col>
      <xdr:colOff>571500</xdr:colOff>
      <xdr:row>4164</xdr:row>
      <xdr:rowOff>0</xdr:rowOff>
    </xdr:to>
    <xdr:pic>
      <xdr:nvPicPr>
        <xdr:cNvPr id="16363" name="Рисунок 16362">
          <a:extLst>
            <a:ext uri="{FF2B5EF4-FFF2-40B4-BE49-F238E27FC236}">
              <a16:creationId xmlns:a16="http://schemas.microsoft.com/office/drawing/2014/main" id="{FEF71A34-F23D-4C72-AE98-E070FF495C8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376046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4164</xdr:row>
      <xdr:rowOff>25400</xdr:rowOff>
    </xdr:from>
    <xdr:to>
      <xdr:col>11</xdr:col>
      <xdr:colOff>571500</xdr:colOff>
      <xdr:row>4165</xdr:row>
      <xdr:rowOff>0</xdr:rowOff>
    </xdr:to>
    <xdr:pic>
      <xdr:nvPicPr>
        <xdr:cNvPr id="16365" name="Рисунок 16364">
          <a:extLst>
            <a:ext uri="{FF2B5EF4-FFF2-40B4-BE49-F238E27FC236}">
              <a16:creationId xmlns:a16="http://schemas.microsoft.com/office/drawing/2014/main" id="{C8C86E43-6364-4465-87DA-B3755D7AA5F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376617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4165</xdr:row>
      <xdr:rowOff>25400</xdr:rowOff>
    </xdr:from>
    <xdr:to>
      <xdr:col>11</xdr:col>
      <xdr:colOff>571500</xdr:colOff>
      <xdr:row>4166</xdr:row>
      <xdr:rowOff>0</xdr:rowOff>
    </xdr:to>
    <xdr:pic>
      <xdr:nvPicPr>
        <xdr:cNvPr id="16367" name="Рисунок 16366">
          <a:extLst>
            <a:ext uri="{FF2B5EF4-FFF2-40B4-BE49-F238E27FC236}">
              <a16:creationId xmlns:a16="http://schemas.microsoft.com/office/drawing/2014/main" id="{F4024840-B272-4798-9567-B61CDBDBD3F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377189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4166</xdr:row>
      <xdr:rowOff>25400</xdr:rowOff>
    </xdr:from>
    <xdr:to>
      <xdr:col>11</xdr:col>
      <xdr:colOff>571500</xdr:colOff>
      <xdr:row>4167</xdr:row>
      <xdr:rowOff>0</xdr:rowOff>
    </xdr:to>
    <xdr:pic>
      <xdr:nvPicPr>
        <xdr:cNvPr id="16369" name="Рисунок 16368">
          <a:extLst>
            <a:ext uri="{FF2B5EF4-FFF2-40B4-BE49-F238E27FC236}">
              <a16:creationId xmlns:a16="http://schemas.microsoft.com/office/drawing/2014/main" id="{BB0BE6C2-C49C-4825-9859-06E56A5CC22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377760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4169</xdr:row>
      <xdr:rowOff>25400</xdr:rowOff>
    </xdr:from>
    <xdr:to>
      <xdr:col>11</xdr:col>
      <xdr:colOff>571500</xdr:colOff>
      <xdr:row>4170</xdr:row>
      <xdr:rowOff>0</xdr:rowOff>
    </xdr:to>
    <xdr:pic>
      <xdr:nvPicPr>
        <xdr:cNvPr id="16371" name="Рисунок 16370">
          <a:extLst>
            <a:ext uri="{FF2B5EF4-FFF2-40B4-BE49-F238E27FC236}">
              <a16:creationId xmlns:a16="http://schemas.microsoft.com/office/drawing/2014/main" id="{746B3C40-E4EE-4FA4-91F5-BBDF7CBE654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379475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4170</xdr:row>
      <xdr:rowOff>25400</xdr:rowOff>
    </xdr:from>
    <xdr:to>
      <xdr:col>11</xdr:col>
      <xdr:colOff>571500</xdr:colOff>
      <xdr:row>4171</xdr:row>
      <xdr:rowOff>0</xdr:rowOff>
    </xdr:to>
    <xdr:pic>
      <xdr:nvPicPr>
        <xdr:cNvPr id="16373" name="Рисунок 16372">
          <a:extLst>
            <a:ext uri="{FF2B5EF4-FFF2-40B4-BE49-F238E27FC236}">
              <a16:creationId xmlns:a16="http://schemas.microsoft.com/office/drawing/2014/main" id="{2A037DA0-726C-4FFC-B645-DC72D62278E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380046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4171</xdr:row>
      <xdr:rowOff>25400</xdr:rowOff>
    </xdr:from>
    <xdr:to>
      <xdr:col>11</xdr:col>
      <xdr:colOff>571500</xdr:colOff>
      <xdr:row>4172</xdr:row>
      <xdr:rowOff>0</xdr:rowOff>
    </xdr:to>
    <xdr:pic>
      <xdr:nvPicPr>
        <xdr:cNvPr id="16375" name="Рисунок 16374">
          <a:extLst>
            <a:ext uri="{FF2B5EF4-FFF2-40B4-BE49-F238E27FC236}">
              <a16:creationId xmlns:a16="http://schemas.microsoft.com/office/drawing/2014/main" id="{FB883B83-4C4A-4854-8BFF-5B155916FB2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380618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4172</xdr:row>
      <xdr:rowOff>25400</xdr:rowOff>
    </xdr:from>
    <xdr:to>
      <xdr:col>11</xdr:col>
      <xdr:colOff>571500</xdr:colOff>
      <xdr:row>4173</xdr:row>
      <xdr:rowOff>0</xdr:rowOff>
    </xdr:to>
    <xdr:pic>
      <xdr:nvPicPr>
        <xdr:cNvPr id="16377" name="Рисунок 16376">
          <a:extLst>
            <a:ext uri="{FF2B5EF4-FFF2-40B4-BE49-F238E27FC236}">
              <a16:creationId xmlns:a16="http://schemas.microsoft.com/office/drawing/2014/main" id="{48071017-AA3C-4DDC-91EA-1B949F0356C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381189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4173</xdr:row>
      <xdr:rowOff>25400</xdr:rowOff>
    </xdr:from>
    <xdr:to>
      <xdr:col>11</xdr:col>
      <xdr:colOff>571500</xdr:colOff>
      <xdr:row>4174</xdr:row>
      <xdr:rowOff>0</xdr:rowOff>
    </xdr:to>
    <xdr:pic>
      <xdr:nvPicPr>
        <xdr:cNvPr id="16379" name="Рисунок 16378">
          <a:extLst>
            <a:ext uri="{FF2B5EF4-FFF2-40B4-BE49-F238E27FC236}">
              <a16:creationId xmlns:a16="http://schemas.microsoft.com/office/drawing/2014/main" id="{FE5227E7-0C35-4E70-86F4-CC7013C1C99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381761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4174</xdr:row>
      <xdr:rowOff>25400</xdr:rowOff>
    </xdr:from>
    <xdr:to>
      <xdr:col>11</xdr:col>
      <xdr:colOff>571500</xdr:colOff>
      <xdr:row>4175</xdr:row>
      <xdr:rowOff>0</xdr:rowOff>
    </xdr:to>
    <xdr:pic>
      <xdr:nvPicPr>
        <xdr:cNvPr id="16381" name="Рисунок 16380">
          <a:extLst>
            <a:ext uri="{FF2B5EF4-FFF2-40B4-BE49-F238E27FC236}">
              <a16:creationId xmlns:a16="http://schemas.microsoft.com/office/drawing/2014/main" id="{1677E33B-0959-4770-8294-9BEC24B3A55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382332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4175</xdr:row>
      <xdr:rowOff>25400</xdr:rowOff>
    </xdr:from>
    <xdr:to>
      <xdr:col>11</xdr:col>
      <xdr:colOff>571500</xdr:colOff>
      <xdr:row>4176</xdr:row>
      <xdr:rowOff>0</xdr:rowOff>
    </xdr:to>
    <xdr:pic>
      <xdr:nvPicPr>
        <xdr:cNvPr id="16383" name="Рисунок 16382">
          <a:extLst>
            <a:ext uri="{FF2B5EF4-FFF2-40B4-BE49-F238E27FC236}">
              <a16:creationId xmlns:a16="http://schemas.microsoft.com/office/drawing/2014/main" id="{D97A3058-2350-4B74-85F9-D79026F6C22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382904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4176</xdr:row>
      <xdr:rowOff>25400</xdr:rowOff>
    </xdr:from>
    <xdr:to>
      <xdr:col>11</xdr:col>
      <xdr:colOff>571500</xdr:colOff>
      <xdr:row>4177</xdr:row>
      <xdr:rowOff>0</xdr:rowOff>
    </xdr:to>
    <xdr:pic>
      <xdr:nvPicPr>
        <xdr:cNvPr id="16385" name="Рисунок 16384">
          <a:extLst>
            <a:ext uri="{FF2B5EF4-FFF2-40B4-BE49-F238E27FC236}">
              <a16:creationId xmlns:a16="http://schemas.microsoft.com/office/drawing/2014/main" id="{A1BDF7C1-F165-483E-951F-DA90E4A8431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383475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4177</xdr:row>
      <xdr:rowOff>25400</xdr:rowOff>
    </xdr:from>
    <xdr:to>
      <xdr:col>11</xdr:col>
      <xdr:colOff>571500</xdr:colOff>
      <xdr:row>4178</xdr:row>
      <xdr:rowOff>0</xdr:rowOff>
    </xdr:to>
    <xdr:pic>
      <xdr:nvPicPr>
        <xdr:cNvPr id="16387" name="Рисунок 16386">
          <a:extLst>
            <a:ext uri="{FF2B5EF4-FFF2-40B4-BE49-F238E27FC236}">
              <a16:creationId xmlns:a16="http://schemas.microsoft.com/office/drawing/2014/main" id="{8E83C3A5-A9D5-4CB1-89A7-69976278892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384047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4178</xdr:row>
      <xdr:rowOff>25400</xdr:rowOff>
    </xdr:from>
    <xdr:to>
      <xdr:col>11</xdr:col>
      <xdr:colOff>571500</xdr:colOff>
      <xdr:row>4179</xdr:row>
      <xdr:rowOff>0</xdr:rowOff>
    </xdr:to>
    <xdr:pic>
      <xdr:nvPicPr>
        <xdr:cNvPr id="16389" name="Рисунок 16388">
          <a:extLst>
            <a:ext uri="{FF2B5EF4-FFF2-40B4-BE49-F238E27FC236}">
              <a16:creationId xmlns:a16="http://schemas.microsoft.com/office/drawing/2014/main" id="{735BDF2B-A613-4AE8-976D-57AC7249AC4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384618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4179</xdr:row>
      <xdr:rowOff>25400</xdr:rowOff>
    </xdr:from>
    <xdr:to>
      <xdr:col>11</xdr:col>
      <xdr:colOff>571500</xdr:colOff>
      <xdr:row>4180</xdr:row>
      <xdr:rowOff>0</xdr:rowOff>
    </xdr:to>
    <xdr:pic>
      <xdr:nvPicPr>
        <xdr:cNvPr id="16391" name="Рисунок 16390">
          <a:extLst>
            <a:ext uri="{FF2B5EF4-FFF2-40B4-BE49-F238E27FC236}">
              <a16:creationId xmlns:a16="http://schemas.microsoft.com/office/drawing/2014/main" id="{80F96CF1-E6C2-43D6-AECC-069671DF9BE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385190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4180</xdr:row>
      <xdr:rowOff>25400</xdr:rowOff>
    </xdr:from>
    <xdr:to>
      <xdr:col>11</xdr:col>
      <xdr:colOff>571500</xdr:colOff>
      <xdr:row>4181</xdr:row>
      <xdr:rowOff>0</xdr:rowOff>
    </xdr:to>
    <xdr:pic>
      <xdr:nvPicPr>
        <xdr:cNvPr id="16393" name="Рисунок 16392">
          <a:extLst>
            <a:ext uri="{FF2B5EF4-FFF2-40B4-BE49-F238E27FC236}">
              <a16:creationId xmlns:a16="http://schemas.microsoft.com/office/drawing/2014/main" id="{F24FEB4E-5F22-409B-B52E-D806AD9AB74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385761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4181</xdr:row>
      <xdr:rowOff>25400</xdr:rowOff>
    </xdr:from>
    <xdr:to>
      <xdr:col>11</xdr:col>
      <xdr:colOff>571500</xdr:colOff>
      <xdr:row>4182</xdr:row>
      <xdr:rowOff>0</xdr:rowOff>
    </xdr:to>
    <xdr:pic>
      <xdr:nvPicPr>
        <xdr:cNvPr id="16395" name="Рисунок 16394">
          <a:extLst>
            <a:ext uri="{FF2B5EF4-FFF2-40B4-BE49-F238E27FC236}">
              <a16:creationId xmlns:a16="http://schemas.microsoft.com/office/drawing/2014/main" id="{F8A8CC4E-8BBF-4E2E-A8A7-C471BFC80D3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3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386333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4183</xdr:row>
      <xdr:rowOff>25400</xdr:rowOff>
    </xdr:from>
    <xdr:to>
      <xdr:col>11</xdr:col>
      <xdr:colOff>571500</xdr:colOff>
      <xdr:row>4184</xdr:row>
      <xdr:rowOff>0</xdr:rowOff>
    </xdr:to>
    <xdr:pic>
      <xdr:nvPicPr>
        <xdr:cNvPr id="16397" name="Рисунок 16396">
          <a:extLst>
            <a:ext uri="{FF2B5EF4-FFF2-40B4-BE49-F238E27FC236}">
              <a16:creationId xmlns:a16="http://schemas.microsoft.com/office/drawing/2014/main" id="{140EC317-B51E-4029-B7AA-9509F060F23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3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387476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4184</xdr:row>
      <xdr:rowOff>25400</xdr:rowOff>
    </xdr:from>
    <xdr:to>
      <xdr:col>11</xdr:col>
      <xdr:colOff>571500</xdr:colOff>
      <xdr:row>4185</xdr:row>
      <xdr:rowOff>0</xdr:rowOff>
    </xdr:to>
    <xdr:pic>
      <xdr:nvPicPr>
        <xdr:cNvPr id="16399" name="Рисунок 16398">
          <a:extLst>
            <a:ext uri="{FF2B5EF4-FFF2-40B4-BE49-F238E27FC236}">
              <a16:creationId xmlns:a16="http://schemas.microsoft.com/office/drawing/2014/main" id="{1578D12C-FDE6-4B65-8CD7-DA2CEB3E811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3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388047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4185</xdr:row>
      <xdr:rowOff>25400</xdr:rowOff>
    </xdr:from>
    <xdr:to>
      <xdr:col>11</xdr:col>
      <xdr:colOff>571500</xdr:colOff>
      <xdr:row>4186</xdr:row>
      <xdr:rowOff>0</xdr:rowOff>
    </xdr:to>
    <xdr:pic>
      <xdr:nvPicPr>
        <xdr:cNvPr id="16401" name="Рисунок 16400">
          <a:extLst>
            <a:ext uri="{FF2B5EF4-FFF2-40B4-BE49-F238E27FC236}">
              <a16:creationId xmlns:a16="http://schemas.microsoft.com/office/drawing/2014/main" id="{F217DD7A-7E9A-4F09-8BD8-C154599B9FA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3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388619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4186</xdr:row>
      <xdr:rowOff>25400</xdr:rowOff>
    </xdr:from>
    <xdr:to>
      <xdr:col>11</xdr:col>
      <xdr:colOff>571500</xdr:colOff>
      <xdr:row>4187</xdr:row>
      <xdr:rowOff>0</xdr:rowOff>
    </xdr:to>
    <xdr:pic>
      <xdr:nvPicPr>
        <xdr:cNvPr id="16403" name="Рисунок 16402">
          <a:extLst>
            <a:ext uri="{FF2B5EF4-FFF2-40B4-BE49-F238E27FC236}">
              <a16:creationId xmlns:a16="http://schemas.microsoft.com/office/drawing/2014/main" id="{2407BDFF-BEEF-4319-91FB-066077D171E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3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389190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4188</xdr:row>
      <xdr:rowOff>25400</xdr:rowOff>
    </xdr:from>
    <xdr:to>
      <xdr:col>11</xdr:col>
      <xdr:colOff>571500</xdr:colOff>
      <xdr:row>4189</xdr:row>
      <xdr:rowOff>0</xdr:rowOff>
    </xdr:to>
    <xdr:pic>
      <xdr:nvPicPr>
        <xdr:cNvPr id="16405" name="Рисунок 16404">
          <a:extLst>
            <a:ext uri="{FF2B5EF4-FFF2-40B4-BE49-F238E27FC236}">
              <a16:creationId xmlns:a16="http://schemas.microsoft.com/office/drawing/2014/main" id="{A3FA45DA-3E40-49C2-91D4-79CAD4E50A2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3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390333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4189</xdr:row>
      <xdr:rowOff>25400</xdr:rowOff>
    </xdr:from>
    <xdr:to>
      <xdr:col>11</xdr:col>
      <xdr:colOff>571500</xdr:colOff>
      <xdr:row>4190</xdr:row>
      <xdr:rowOff>0</xdr:rowOff>
    </xdr:to>
    <xdr:pic>
      <xdr:nvPicPr>
        <xdr:cNvPr id="16407" name="Рисунок 16406">
          <a:extLst>
            <a:ext uri="{FF2B5EF4-FFF2-40B4-BE49-F238E27FC236}">
              <a16:creationId xmlns:a16="http://schemas.microsoft.com/office/drawing/2014/main" id="{ED3E267B-5262-4105-AE27-467C1B7BE4D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3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390905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4190</xdr:row>
      <xdr:rowOff>25400</xdr:rowOff>
    </xdr:from>
    <xdr:to>
      <xdr:col>11</xdr:col>
      <xdr:colOff>571500</xdr:colOff>
      <xdr:row>4191</xdr:row>
      <xdr:rowOff>0</xdr:rowOff>
    </xdr:to>
    <xdr:pic>
      <xdr:nvPicPr>
        <xdr:cNvPr id="16409" name="Рисунок 16408">
          <a:extLst>
            <a:ext uri="{FF2B5EF4-FFF2-40B4-BE49-F238E27FC236}">
              <a16:creationId xmlns:a16="http://schemas.microsoft.com/office/drawing/2014/main" id="{70EFECC1-DDBD-481E-89CF-30F9339C97B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3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391476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4191</xdr:row>
      <xdr:rowOff>25400</xdr:rowOff>
    </xdr:from>
    <xdr:to>
      <xdr:col>11</xdr:col>
      <xdr:colOff>571500</xdr:colOff>
      <xdr:row>4192</xdr:row>
      <xdr:rowOff>0</xdr:rowOff>
    </xdr:to>
    <xdr:pic>
      <xdr:nvPicPr>
        <xdr:cNvPr id="16411" name="Рисунок 16410">
          <a:extLst>
            <a:ext uri="{FF2B5EF4-FFF2-40B4-BE49-F238E27FC236}">
              <a16:creationId xmlns:a16="http://schemas.microsoft.com/office/drawing/2014/main" id="{7D49A4B7-B54B-4663-AD72-A7665FDB97A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3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392048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4192</xdr:row>
      <xdr:rowOff>25400</xdr:rowOff>
    </xdr:from>
    <xdr:to>
      <xdr:col>11</xdr:col>
      <xdr:colOff>571500</xdr:colOff>
      <xdr:row>4193</xdr:row>
      <xdr:rowOff>0</xdr:rowOff>
    </xdr:to>
    <xdr:pic>
      <xdr:nvPicPr>
        <xdr:cNvPr id="16413" name="Рисунок 16412">
          <a:extLst>
            <a:ext uri="{FF2B5EF4-FFF2-40B4-BE49-F238E27FC236}">
              <a16:creationId xmlns:a16="http://schemas.microsoft.com/office/drawing/2014/main" id="{E2927E20-B520-4D40-9D56-6C50D1BFB71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4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392619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4193</xdr:row>
      <xdr:rowOff>25400</xdr:rowOff>
    </xdr:from>
    <xdr:to>
      <xdr:col>11</xdr:col>
      <xdr:colOff>571500</xdr:colOff>
      <xdr:row>4194</xdr:row>
      <xdr:rowOff>0</xdr:rowOff>
    </xdr:to>
    <xdr:pic>
      <xdr:nvPicPr>
        <xdr:cNvPr id="16415" name="Рисунок 16414">
          <a:extLst>
            <a:ext uri="{FF2B5EF4-FFF2-40B4-BE49-F238E27FC236}">
              <a16:creationId xmlns:a16="http://schemas.microsoft.com/office/drawing/2014/main" id="{4B22F7EA-4C99-494E-93E7-64206CA39A4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4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393191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4194</xdr:row>
      <xdr:rowOff>25400</xdr:rowOff>
    </xdr:from>
    <xdr:to>
      <xdr:col>11</xdr:col>
      <xdr:colOff>571500</xdr:colOff>
      <xdr:row>4195</xdr:row>
      <xdr:rowOff>0</xdr:rowOff>
    </xdr:to>
    <xdr:pic>
      <xdr:nvPicPr>
        <xdr:cNvPr id="16417" name="Рисунок 16416">
          <a:extLst>
            <a:ext uri="{FF2B5EF4-FFF2-40B4-BE49-F238E27FC236}">
              <a16:creationId xmlns:a16="http://schemas.microsoft.com/office/drawing/2014/main" id="{70321870-F1DF-494C-A5C9-6FA01968240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393762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4195</xdr:row>
      <xdr:rowOff>25400</xdr:rowOff>
    </xdr:from>
    <xdr:to>
      <xdr:col>11</xdr:col>
      <xdr:colOff>571500</xdr:colOff>
      <xdr:row>4196</xdr:row>
      <xdr:rowOff>0</xdr:rowOff>
    </xdr:to>
    <xdr:pic>
      <xdr:nvPicPr>
        <xdr:cNvPr id="16419" name="Рисунок 16418">
          <a:extLst>
            <a:ext uri="{FF2B5EF4-FFF2-40B4-BE49-F238E27FC236}">
              <a16:creationId xmlns:a16="http://schemas.microsoft.com/office/drawing/2014/main" id="{35F38EF9-CFEC-4ADB-925C-8CA20736C8B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394334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4196</xdr:row>
      <xdr:rowOff>25400</xdr:rowOff>
    </xdr:from>
    <xdr:to>
      <xdr:col>11</xdr:col>
      <xdr:colOff>571500</xdr:colOff>
      <xdr:row>4197</xdr:row>
      <xdr:rowOff>0</xdr:rowOff>
    </xdr:to>
    <xdr:pic>
      <xdr:nvPicPr>
        <xdr:cNvPr id="16421" name="Рисунок 16420">
          <a:extLst>
            <a:ext uri="{FF2B5EF4-FFF2-40B4-BE49-F238E27FC236}">
              <a16:creationId xmlns:a16="http://schemas.microsoft.com/office/drawing/2014/main" id="{957D88C0-E0B9-4375-9452-2558ADA494F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394905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4197</xdr:row>
      <xdr:rowOff>25400</xdr:rowOff>
    </xdr:from>
    <xdr:to>
      <xdr:col>11</xdr:col>
      <xdr:colOff>571500</xdr:colOff>
      <xdr:row>4198</xdr:row>
      <xdr:rowOff>0</xdr:rowOff>
    </xdr:to>
    <xdr:pic>
      <xdr:nvPicPr>
        <xdr:cNvPr id="16423" name="Рисунок 16422">
          <a:extLst>
            <a:ext uri="{FF2B5EF4-FFF2-40B4-BE49-F238E27FC236}">
              <a16:creationId xmlns:a16="http://schemas.microsoft.com/office/drawing/2014/main" id="{7FA8548F-959D-4824-82D2-988AE097E28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4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395477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4199</xdr:row>
      <xdr:rowOff>25400</xdr:rowOff>
    </xdr:from>
    <xdr:to>
      <xdr:col>11</xdr:col>
      <xdr:colOff>571500</xdr:colOff>
      <xdr:row>4200</xdr:row>
      <xdr:rowOff>0</xdr:rowOff>
    </xdr:to>
    <xdr:pic>
      <xdr:nvPicPr>
        <xdr:cNvPr id="16425" name="Рисунок 16424">
          <a:extLst>
            <a:ext uri="{FF2B5EF4-FFF2-40B4-BE49-F238E27FC236}">
              <a16:creationId xmlns:a16="http://schemas.microsoft.com/office/drawing/2014/main" id="{FD04E293-253E-4571-8B0C-B243A102F4E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4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396620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4200</xdr:row>
      <xdr:rowOff>25400</xdr:rowOff>
    </xdr:from>
    <xdr:to>
      <xdr:col>11</xdr:col>
      <xdr:colOff>571500</xdr:colOff>
      <xdr:row>4201</xdr:row>
      <xdr:rowOff>0</xdr:rowOff>
    </xdr:to>
    <xdr:pic>
      <xdr:nvPicPr>
        <xdr:cNvPr id="16427" name="Рисунок 16426">
          <a:extLst>
            <a:ext uri="{FF2B5EF4-FFF2-40B4-BE49-F238E27FC236}">
              <a16:creationId xmlns:a16="http://schemas.microsoft.com/office/drawing/2014/main" id="{3E14616A-23AD-4426-908B-1F9B64816F9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4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397191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4201</xdr:row>
      <xdr:rowOff>25400</xdr:rowOff>
    </xdr:from>
    <xdr:to>
      <xdr:col>11</xdr:col>
      <xdr:colOff>571500</xdr:colOff>
      <xdr:row>4202</xdr:row>
      <xdr:rowOff>0</xdr:rowOff>
    </xdr:to>
    <xdr:pic>
      <xdr:nvPicPr>
        <xdr:cNvPr id="16429" name="Рисунок 16428">
          <a:extLst>
            <a:ext uri="{FF2B5EF4-FFF2-40B4-BE49-F238E27FC236}">
              <a16:creationId xmlns:a16="http://schemas.microsoft.com/office/drawing/2014/main" id="{8D0BA540-4755-458E-A983-01EDFF538EB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4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397763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4202</xdr:row>
      <xdr:rowOff>25400</xdr:rowOff>
    </xdr:from>
    <xdr:to>
      <xdr:col>11</xdr:col>
      <xdr:colOff>571500</xdr:colOff>
      <xdr:row>4203</xdr:row>
      <xdr:rowOff>0</xdr:rowOff>
    </xdr:to>
    <xdr:pic>
      <xdr:nvPicPr>
        <xdr:cNvPr id="16431" name="Рисунок 16430">
          <a:extLst>
            <a:ext uri="{FF2B5EF4-FFF2-40B4-BE49-F238E27FC236}">
              <a16:creationId xmlns:a16="http://schemas.microsoft.com/office/drawing/2014/main" id="{BD7A6A3A-6A9F-41D3-A632-4709AA24EDC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4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398334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4203</xdr:row>
      <xdr:rowOff>25400</xdr:rowOff>
    </xdr:from>
    <xdr:to>
      <xdr:col>11</xdr:col>
      <xdr:colOff>571500</xdr:colOff>
      <xdr:row>4204</xdr:row>
      <xdr:rowOff>0</xdr:rowOff>
    </xdr:to>
    <xdr:pic>
      <xdr:nvPicPr>
        <xdr:cNvPr id="16433" name="Рисунок 16432">
          <a:extLst>
            <a:ext uri="{FF2B5EF4-FFF2-40B4-BE49-F238E27FC236}">
              <a16:creationId xmlns:a16="http://schemas.microsoft.com/office/drawing/2014/main" id="{3213B3F8-3679-487F-A66E-F2D08CF546A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5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398906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4204</xdr:row>
      <xdr:rowOff>25400</xdr:rowOff>
    </xdr:from>
    <xdr:to>
      <xdr:col>11</xdr:col>
      <xdr:colOff>571500</xdr:colOff>
      <xdr:row>4205</xdr:row>
      <xdr:rowOff>0</xdr:rowOff>
    </xdr:to>
    <xdr:pic>
      <xdr:nvPicPr>
        <xdr:cNvPr id="16435" name="Рисунок 16434">
          <a:extLst>
            <a:ext uri="{FF2B5EF4-FFF2-40B4-BE49-F238E27FC236}">
              <a16:creationId xmlns:a16="http://schemas.microsoft.com/office/drawing/2014/main" id="{26D9427F-47E3-4590-B2F6-3817322C49B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5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399477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4205</xdr:row>
      <xdr:rowOff>25400</xdr:rowOff>
    </xdr:from>
    <xdr:to>
      <xdr:col>11</xdr:col>
      <xdr:colOff>571500</xdr:colOff>
      <xdr:row>4206</xdr:row>
      <xdr:rowOff>0</xdr:rowOff>
    </xdr:to>
    <xdr:pic>
      <xdr:nvPicPr>
        <xdr:cNvPr id="16437" name="Рисунок 16436">
          <a:extLst>
            <a:ext uri="{FF2B5EF4-FFF2-40B4-BE49-F238E27FC236}">
              <a16:creationId xmlns:a16="http://schemas.microsoft.com/office/drawing/2014/main" id="{A52C0030-D619-4CB0-9650-9974DC7404F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400049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4206</xdr:row>
      <xdr:rowOff>25400</xdr:rowOff>
    </xdr:from>
    <xdr:to>
      <xdr:col>11</xdr:col>
      <xdr:colOff>571500</xdr:colOff>
      <xdr:row>4207</xdr:row>
      <xdr:rowOff>0</xdr:rowOff>
    </xdr:to>
    <xdr:pic>
      <xdr:nvPicPr>
        <xdr:cNvPr id="16439" name="Рисунок 16438">
          <a:extLst>
            <a:ext uri="{FF2B5EF4-FFF2-40B4-BE49-F238E27FC236}">
              <a16:creationId xmlns:a16="http://schemas.microsoft.com/office/drawing/2014/main" id="{A266BB7D-E258-4E9A-9B7C-1A2B10B5DF7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5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400620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4207</xdr:row>
      <xdr:rowOff>25400</xdr:rowOff>
    </xdr:from>
    <xdr:to>
      <xdr:col>11</xdr:col>
      <xdr:colOff>571500</xdr:colOff>
      <xdr:row>4208</xdr:row>
      <xdr:rowOff>0</xdr:rowOff>
    </xdr:to>
    <xdr:pic>
      <xdr:nvPicPr>
        <xdr:cNvPr id="16441" name="Рисунок 16440">
          <a:extLst>
            <a:ext uri="{FF2B5EF4-FFF2-40B4-BE49-F238E27FC236}">
              <a16:creationId xmlns:a16="http://schemas.microsoft.com/office/drawing/2014/main" id="{C47A4DD5-1074-4533-B612-E5620118229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5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401192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4208</xdr:row>
      <xdr:rowOff>25400</xdr:rowOff>
    </xdr:from>
    <xdr:to>
      <xdr:col>11</xdr:col>
      <xdr:colOff>571500</xdr:colOff>
      <xdr:row>4209</xdr:row>
      <xdr:rowOff>0</xdr:rowOff>
    </xdr:to>
    <xdr:pic>
      <xdr:nvPicPr>
        <xdr:cNvPr id="16443" name="Рисунок 16442">
          <a:extLst>
            <a:ext uri="{FF2B5EF4-FFF2-40B4-BE49-F238E27FC236}">
              <a16:creationId xmlns:a16="http://schemas.microsoft.com/office/drawing/2014/main" id="{75DFE3FC-5623-41D3-8683-6F5EA2AA738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5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401763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4209</xdr:row>
      <xdr:rowOff>25400</xdr:rowOff>
    </xdr:from>
    <xdr:to>
      <xdr:col>11</xdr:col>
      <xdr:colOff>571500</xdr:colOff>
      <xdr:row>4210</xdr:row>
      <xdr:rowOff>0</xdr:rowOff>
    </xdr:to>
    <xdr:pic>
      <xdr:nvPicPr>
        <xdr:cNvPr id="16445" name="Рисунок 16444">
          <a:extLst>
            <a:ext uri="{FF2B5EF4-FFF2-40B4-BE49-F238E27FC236}">
              <a16:creationId xmlns:a16="http://schemas.microsoft.com/office/drawing/2014/main" id="{FA0B0082-C1AB-4FDC-AA69-14A513134B2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5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402335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4210</xdr:row>
      <xdr:rowOff>25400</xdr:rowOff>
    </xdr:from>
    <xdr:to>
      <xdr:col>11</xdr:col>
      <xdr:colOff>571500</xdr:colOff>
      <xdr:row>4211</xdr:row>
      <xdr:rowOff>0</xdr:rowOff>
    </xdr:to>
    <xdr:pic>
      <xdr:nvPicPr>
        <xdr:cNvPr id="16447" name="Рисунок 16446">
          <a:extLst>
            <a:ext uri="{FF2B5EF4-FFF2-40B4-BE49-F238E27FC236}">
              <a16:creationId xmlns:a16="http://schemas.microsoft.com/office/drawing/2014/main" id="{522C1571-944C-4E1C-90EA-010C0B2AB10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5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402906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4211</xdr:row>
      <xdr:rowOff>25400</xdr:rowOff>
    </xdr:from>
    <xdr:to>
      <xdr:col>11</xdr:col>
      <xdr:colOff>571500</xdr:colOff>
      <xdr:row>4212</xdr:row>
      <xdr:rowOff>0</xdr:rowOff>
    </xdr:to>
    <xdr:pic>
      <xdr:nvPicPr>
        <xdr:cNvPr id="16449" name="Рисунок 16448">
          <a:extLst>
            <a:ext uri="{FF2B5EF4-FFF2-40B4-BE49-F238E27FC236}">
              <a16:creationId xmlns:a16="http://schemas.microsoft.com/office/drawing/2014/main" id="{AE5538E1-ABE5-497D-8735-7C5089AEF6A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5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403478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4212</xdr:row>
      <xdr:rowOff>25400</xdr:rowOff>
    </xdr:from>
    <xdr:to>
      <xdr:col>11</xdr:col>
      <xdr:colOff>571500</xdr:colOff>
      <xdr:row>4213</xdr:row>
      <xdr:rowOff>0</xdr:rowOff>
    </xdr:to>
    <xdr:pic>
      <xdr:nvPicPr>
        <xdr:cNvPr id="16451" name="Рисунок 16450">
          <a:extLst>
            <a:ext uri="{FF2B5EF4-FFF2-40B4-BE49-F238E27FC236}">
              <a16:creationId xmlns:a16="http://schemas.microsoft.com/office/drawing/2014/main" id="{F0999263-B6B7-4057-946A-406F4638168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5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404049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4213</xdr:row>
      <xdr:rowOff>25400</xdr:rowOff>
    </xdr:from>
    <xdr:to>
      <xdr:col>11</xdr:col>
      <xdr:colOff>571500</xdr:colOff>
      <xdr:row>4214</xdr:row>
      <xdr:rowOff>0</xdr:rowOff>
    </xdr:to>
    <xdr:pic>
      <xdr:nvPicPr>
        <xdr:cNvPr id="16453" name="Рисунок 16452">
          <a:extLst>
            <a:ext uri="{FF2B5EF4-FFF2-40B4-BE49-F238E27FC236}">
              <a16:creationId xmlns:a16="http://schemas.microsoft.com/office/drawing/2014/main" id="{426FAF18-D07F-4B60-B4CB-BCC2FD99FDD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6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404621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4214</xdr:row>
      <xdr:rowOff>25400</xdr:rowOff>
    </xdr:from>
    <xdr:to>
      <xdr:col>11</xdr:col>
      <xdr:colOff>571500</xdr:colOff>
      <xdr:row>4215</xdr:row>
      <xdr:rowOff>0</xdr:rowOff>
    </xdr:to>
    <xdr:pic>
      <xdr:nvPicPr>
        <xdr:cNvPr id="16455" name="Рисунок 16454">
          <a:extLst>
            <a:ext uri="{FF2B5EF4-FFF2-40B4-BE49-F238E27FC236}">
              <a16:creationId xmlns:a16="http://schemas.microsoft.com/office/drawing/2014/main" id="{71C2B6E8-17BB-45E7-8EBD-5200EB176DF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6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405192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4215</xdr:row>
      <xdr:rowOff>25400</xdr:rowOff>
    </xdr:from>
    <xdr:to>
      <xdr:col>11</xdr:col>
      <xdr:colOff>571500</xdr:colOff>
      <xdr:row>4216</xdr:row>
      <xdr:rowOff>0</xdr:rowOff>
    </xdr:to>
    <xdr:pic>
      <xdr:nvPicPr>
        <xdr:cNvPr id="16457" name="Рисунок 16456">
          <a:extLst>
            <a:ext uri="{FF2B5EF4-FFF2-40B4-BE49-F238E27FC236}">
              <a16:creationId xmlns:a16="http://schemas.microsoft.com/office/drawing/2014/main" id="{D052089C-FEA0-41EE-98C4-ECABCE8E72D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6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405764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4216</xdr:row>
      <xdr:rowOff>25400</xdr:rowOff>
    </xdr:from>
    <xdr:to>
      <xdr:col>11</xdr:col>
      <xdr:colOff>571500</xdr:colOff>
      <xdr:row>4217</xdr:row>
      <xdr:rowOff>0</xdr:rowOff>
    </xdr:to>
    <xdr:pic>
      <xdr:nvPicPr>
        <xdr:cNvPr id="16459" name="Рисунок 16458">
          <a:extLst>
            <a:ext uri="{FF2B5EF4-FFF2-40B4-BE49-F238E27FC236}">
              <a16:creationId xmlns:a16="http://schemas.microsoft.com/office/drawing/2014/main" id="{0ED0AD0E-3447-4D3E-9338-FBA79084D3F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6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406335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4217</xdr:row>
      <xdr:rowOff>25400</xdr:rowOff>
    </xdr:from>
    <xdr:to>
      <xdr:col>11</xdr:col>
      <xdr:colOff>571500</xdr:colOff>
      <xdr:row>4218</xdr:row>
      <xdr:rowOff>0</xdr:rowOff>
    </xdr:to>
    <xdr:pic>
      <xdr:nvPicPr>
        <xdr:cNvPr id="16461" name="Рисунок 16460">
          <a:extLst>
            <a:ext uri="{FF2B5EF4-FFF2-40B4-BE49-F238E27FC236}">
              <a16:creationId xmlns:a16="http://schemas.microsoft.com/office/drawing/2014/main" id="{F950897A-AC33-4AE5-A084-F7957D1BBFD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6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406907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4218</xdr:row>
      <xdr:rowOff>25400</xdr:rowOff>
    </xdr:from>
    <xdr:to>
      <xdr:col>11</xdr:col>
      <xdr:colOff>571500</xdr:colOff>
      <xdr:row>4219</xdr:row>
      <xdr:rowOff>0</xdr:rowOff>
    </xdr:to>
    <xdr:pic>
      <xdr:nvPicPr>
        <xdr:cNvPr id="16463" name="Рисунок 16462">
          <a:extLst>
            <a:ext uri="{FF2B5EF4-FFF2-40B4-BE49-F238E27FC236}">
              <a16:creationId xmlns:a16="http://schemas.microsoft.com/office/drawing/2014/main" id="{0A320C12-B923-4FB2-9B2C-298A664FDCB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6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407478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4219</xdr:row>
      <xdr:rowOff>25400</xdr:rowOff>
    </xdr:from>
    <xdr:to>
      <xdr:col>11</xdr:col>
      <xdr:colOff>571500</xdr:colOff>
      <xdr:row>4220</xdr:row>
      <xdr:rowOff>0</xdr:rowOff>
    </xdr:to>
    <xdr:pic>
      <xdr:nvPicPr>
        <xdr:cNvPr id="16465" name="Рисунок 16464">
          <a:extLst>
            <a:ext uri="{FF2B5EF4-FFF2-40B4-BE49-F238E27FC236}">
              <a16:creationId xmlns:a16="http://schemas.microsoft.com/office/drawing/2014/main" id="{F3C17497-9E72-40FC-89D5-38EDC252445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6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408050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4220</xdr:row>
      <xdr:rowOff>25400</xdr:rowOff>
    </xdr:from>
    <xdr:to>
      <xdr:col>11</xdr:col>
      <xdr:colOff>571500</xdr:colOff>
      <xdr:row>4221</xdr:row>
      <xdr:rowOff>0</xdr:rowOff>
    </xdr:to>
    <xdr:pic>
      <xdr:nvPicPr>
        <xdr:cNvPr id="16467" name="Рисунок 16466">
          <a:extLst>
            <a:ext uri="{FF2B5EF4-FFF2-40B4-BE49-F238E27FC236}">
              <a16:creationId xmlns:a16="http://schemas.microsoft.com/office/drawing/2014/main" id="{A1EA01D8-E213-4AA0-91D0-8E11D402507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6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408621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4221</xdr:row>
      <xdr:rowOff>25400</xdr:rowOff>
    </xdr:from>
    <xdr:to>
      <xdr:col>11</xdr:col>
      <xdr:colOff>571500</xdr:colOff>
      <xdr:row>4222</xdr:row>
      <xdr:rowOff>0</xdr:rowOff>
    </xdr:to>
    <xdr:pic>
      <xdr:nvPicPr>
        <xdr:cNvPr id="16469" name="Рисунок 16468">
          <a:extLst>
            <a:ext uri="{FF2B5EF4-FFF2-40B4-BE49-F238E27FC236}">
              <a16:creationId xmlns:a16="http://schemas.microsoft.com/office/drawing/2014/main" id="{7516230C-5EE5-4130-AEF9-E89D2A1CF6D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6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409193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4223</xdr:row>
      <xdr:rowOff>25400</xdr:rowOff>
    </xdr:from>
    <xdr:to>
      <xdr:col>11</xdr:col>
      <xdr:colOff>571500</xdr:colOff>
      <xdr:row>4224</xdr:row>
      <xdr:rowOff>0</xdr:rowOff>
    </xdr:to>
    <xdr:pic>
      <xdr:nvPicPr>
        <xdr:cNvPr id="16471" name="Рисунок 16470">
          <a:extLst>
            <a:ext uri="{FF2B5EF4-FFF2-40B4-BE49-F238E27FC236}">
              <a16:creationId xmlns:a16="http://schemas.microsoft.com/office/drawing/2014/main" id="{CFB7A27B-2E53-4BD4-A153-7C6215AB741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6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410336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4224</xdr:row>
      <xdr:rowOff>25400</xdr:rowOff>
    </xdr:from>
    <xdr:to>
      <xdr:col>11</xdr:col>
      <xdr:colOff>571500</xdr:colOff>
      <xdr:row>4225</xdr:row>
      <xdr:rowOff>0</xdr:rowOff>
    </xdr:to>
    <xdr:pic>
      <xdr:nvPicPr>
        <xdr:cNvPr id="16473" name="Рисунок 16472">
          <a:extLst>
            <a:ext uri="{FF2B5EF4-FFF2-40B4-BE49-F238E27FC236}">
              <a16:creationId xmlns:a16="http://schemas.microsoft.com/office/drawing/2014/main" id="{27A94EF0-DFA6-433A-9D46-FC6E9A327D5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7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410907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4225</xdr:row>
      <xdr:rowOff>25400</xdr:rowOff>
    </xdr:from>
    <xdr:to>
      <xdr:col>11</xdr:col>
      <xdr:colOff>571500</xdr:colOff>
      <xdr:row>4226</xdr:row>
      <xdr:rowOff>0</xdr:rowOff>
    </xdr:to>
    <xdr:pic>
      <xdr:nvPicPr>
        <xdr:cNvPr id="16475" name="Рисунок 16474">
          <a:extLst>
            <a:ext uri="{FF2B5EF4-FFF2-40B4-BE49-F238E27FC236}">
              <a16:creationId xmlns:a16="http://schemas.microsoft.com/office/drawing/2014/main" id="{FE677538-9873-48F5-A253-43A8F1D2F6E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7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411479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4226</xdr:row>
      <xdr:rowOff>25400</xdr:rowOff>
    </xdr:from>
    <xdr:to>
      <xdr:col>11</xdr:col>
      <xdr:colOff>571500</xdr:colOff>
      <xdr:row>4227</xdr:row>
      <xdr:rowOff>0</xdr:rowOff>
    </xdr:to>
    <xdr:pic>
      <xdr:nvPicPr>
        <xdr:cNvPr id="16477" name="Рисунок 16476">
          <a:extLst>
            <a:ext uri="{FF2B5EF4-FFF2-40B4-BE49-F238E27FC236}">
              <a16:creationId xmlns:a16="http://schemas.microsoft.com/office/drawing/2014/main" id="{E1454956-F6D3-4CA6-AE6E-0012F9A1170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7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412050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4227</xdr:row>
      <xdr:rowOff>25400</xdr:rowOff>
    </xdr:from>
    <xdr:to>
      <xdr:col>11</xdr:col>
      <xdr:colOff>571500</xdr:colOff>
      <xdr:row>4228</xdr:row>
      <xdr:rowOff>0</xdr:rowOff>
    </xdr:to>
    <xdr:pic>
      <xdr:nvPicPr>
        <xdr:cNvPr id="16479" name="Рисунок 16478">
          <a:extLst>
            <a:ext uri="{FF2B5EF4-FFF2-40B4-BE49-F238E27FC236}">
              <a16:creationId xmlns:a16="http://schemas.microsoft.com/office/drawing/2014/main" id="{070784CC-2369-4FA1-9313-A836AC542EC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7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412622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4228</xdr:row>
      <xdr:rowOff>25400</xdr:rowOff>
    </xdr:from>
    <xdr:to>
      <xdr:col>11</xdr:col>
      <xdr:colOff>571500</xdr:colOff>
      <xdr:row>4229</xdr:row>
      <xdr:rowOff>0</xdr:rowOff>
    </xdr:to>
    <xdr:pic>
      <xdr:nvPicPr>
        <xdr:cNvPr id="16481" name="Рисунок 16480">
          <a:extLst>
            <a:ext uri="{FF2B5EF4-FFF2-40B4-BE49-F238E27FC236}">
              <a16:creationId xmlns:a16="http://schemas.microsoft.com/office/drawing/2014/main" id="{1DACF61F-F0C3-4F0E-9AD6-4D56AF6308A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7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413193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4229</xdr:row>
      <xdr:rowOff>25400</xdr:rowOff>
    </xdr:from>
    <xdr:to>
      <xdr:col>11</xdr:col>
      <xdr:colOff>571500</xdr:colOff>
      <xdr:row>4230</xdr:row>
      <xdr:rowOff>0</xdr:rowOff>
    </xdr:to>
    <xdr:pic>
      <xdr:nvPicPr>
        <xdr:cNvPr id="16483" name="Рисунок 16482">
          <a:extLst>
            <a:ext uri="{FF2B5EF4-FFF2-40B4-BE49-F238E27FC236}">
              <a16:creationId xmlns:a16="http://schemas.microsoft.com/office/drawing/2014/main" id="{0DB28641-72B1-4E13-B2E7-96841CB24B2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7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413765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4230</xdr:row>
      <xdr:rowOff>25400</xdr:rowOff>
    </xdr:from>
    <xdr:to>
      <xdr:col>11</xdr:col>
      <xdr:colOff>571500</xdr:colOff>
      <xdr:row>4231</xdr:row>
      <xdr:rowOff>0</xdr:rowOff>
    </xdr:to>
    <xdr:pic>
      <xdr:nvPicPr>
        <xdr:cNvPr id="16485" name="Рисунок 16484">
          <a:extLst>
            <a:ext uri="{FF2B5EF4-FFF2-40B4-BE49-F238E27FC236}">
              <a16:creationId xmlns:a16="http://schemas.microsoft.com/office/drawing/2014/main" id="{92DE8515-F81F-4F08-ADC9-26AF3BB866D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7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414336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4231</xdr:row>
      <xdr:rowOff>25400</xdr:rowOff>
    </xdr:from>
    <xdr:to>
      <xdr:col>11</xdr:col>
      <xdr:colOff>571500</xdr:colOff>
      <xdr:row>4232</xdr:row>
      <xdr:rowOff>0</xdr:rowOff>
    </xdr:to>
    <xdr:pic>
      <xdr:nvPicPr>
        <xdr:cNvPr id="16487" name="Рисунок 16486">
          <a:extLst>
            <a:ext uri="{FF2B5EF4-FFF2-40B4-BE49-F238E27FC236}">
              <a16:creationId xmlns:a16="http://schemas.microsoft.com/office/drawing/2014/main" id="{AE72844B-9AB1-4FBC-9264-11C5FF58C1F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7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414908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4232</xdr:row>
      <xdr:rowOff>25400</xdr:rowOff>
    </xdr:from>
    <xdr:to>
      <xdr:col>11</xdr:col>
      <xdr:colOff>571500</xdr:colOff>
      <xdr:row>4233</xdr:row>
      <xdr:rowOff>0</xdr:rowOff>
    </xdr:to>
    <xdr:pic>
      <xdr:nvPicPr>
        <xdr:cNvPr id="16489" name="Рисунок 16488">
          <a:extLst>
            <a:ext uri="{FF2B5EF4-FFF2-40B4-BE49-F238E27FC236}">
              <a16:creationId xmlns:a16="http://schemas.microsoft.com/office/drawing/2014/main" id="{4C78E4EC-B4CA-4FFA-A80F-6A207D03385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7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415479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4233</xdr:row>
      <xdr:rowOff>25400</xdr:rowOff>
    </xdr:from>
    <xdr:to>
      <xdr:col>11</xdr:col>
      <xdr:colOff>805543</xdr:colOff>
      <xdr:row>4234</xdr:row>
      <xdr:rowOff>0</xdr:rowOff>
    </xdr:to>
    <xdr:pic>
      <xdr:nvPicPr>
        <xdr:cNvPr id="16491" name="Рисунок 16490">
          <a:extLst>
            <a:ext uri="{FF2B5EF4-FFF2-40B4-BE49-F238E27FC236}">
              <a16:creationId xmlns:a16="http://schemas.microsoft.com/office/drawing/2014/main" id="{FDEAFA04-A19B-44E0-8FA0-FE168459DDC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7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416051175"/>
          <a:ext cx="780143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4234</xdr:row>
      <xdr:rowOff>25400</xdr:rowOff>
    </xdr:from>
    <xdr:to>
      <xdr:col>11</xdr:col>
      <xdr:colOff>571500</xdr:colOff>
      <xdr:row>4235</xdr:row>
      <xdr:rowOff>0</xdr:rowOff>
    </xdr:to>
    <xdr:pic>
      <xdr:nvPicPr>
        <xdr:cNvPr id="16493" name="Рисунок 16492">
          <a:extLst>
            <a:ext uri="{FF2B5EF4-FFF2-40B4-BE49-F238E27FC236}">
              <a16:creationId xmlns:a16="http://schemas.microsoft.com/office/drawing/2014/main" id="{810FA57D-31A1-40F8-A470-B66AD555BAB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8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416622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4235</xdr:row>
      <xdr:rowOff>25400</xdr:rowOff>
    </xdr:from>
    <xdr:to>
      <xdr:col>11</xdr:col>
      <xdr:colOff>571500</xdr:colOff>
      <xdr:row>4236</xdr:row>
      <xdr:rowOff>0</xdr:rowOff>
    </xdr:to>
    <xdr:pic>
      <xdr:nvPicPr>
        <xdr:cNvPr id="16495" name="Рисунок 16494">
          <a:extLst>
            <a:ext uri="{FF2B5EF4-FFF2-40B4-BE49-F238E27FC236}">
              <a16:creationId xmlns:a16="http://schemas.microsoft.com/office/drawing/2014/main" id="{DF6719A7-B910-4D77-9A65-6961C80363D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8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417194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4236</xdr:row>
      <xdr:rowOff>25400</xdr:rowOff>
    </xdr:from>
    <xdr:to>
      <xdr:col>11</xdr:col>
      <xdr:colOff>571500</xdr:colOff>
      <xdr:row>4237</xdr:row>
      <xdr:rowOff>0</xdr:rowOff>
    </xdr:to>
    <xdr:pic>
      <xdr:nvPicPr>
        <xdr:cNvPr id="16497" name="Рисунок 16496">
          <a:extLst>
            <a:ext uri="{FF2B5EF4-FFF2-40B4-BE49-F238E27FC236}">
              <a16:creationId xmlns:a16="http://schemas.microsoft.com/office/drawing/2014/main" id="{53D1EBEA-A354-4875-A995-E74FBE483A6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8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417765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4237</xdr:row>
      <xdr:rowOff>25400</xdr:rowOff>
    </xdr:from>
    <xdr:to>
      <xdr:col>11</xdr:col>
      <xdr:colOff>571500</xdr:colOff>
      <xdr:row>4238</xdr:row>
      <xdr:rowOff>0</xdr:rowOff>
    </xdr:to>
    <xdr:pic>
      <xdr:nvPicPr>
        <xdr:cNvPr id="16499" name="Рисунок 16498">
          <a:extLst>
            <a:ext uri="{FF2B5EF4-FFF2-40B4-BE49-F238E27FC236}">
              <a16:creationId xmlns:a16="http://schemas.microsoft.com/office/drawing/2014/main" id="{19CD50B9-7541-4A01-AEF3-778DE5A1416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8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418337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4238</xdr:row>
      <xdr:rowOff>25400</xdr:rowOff>
    </xdr:from>
    <xdr:to>
      <xdr:col>11</xdr:col>
      <xdr:colOff>571500</xdr:colOff>
      <xdr:row>4239</xdr:row>
      <xdr:rowOff>0</xdr:rowOff>
    </xdr:to>
    <xdr:pic>
      <xdr:nvPicPr>
        <xdr:cNvPr id="16501" name="Рисунок 16500">
          <a:extLst>
            <a:ext uri="{FF2B5EF4-FFF2-40B4-BE49-F238E27FC236}">
              <a16:creationId xmlns:a16="http://schemas.microsoft.com/office/drawing/2014/main" id="{539800A0-FC07-4132-B990-793ACB022E6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8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418908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4239</xdr:row>
      <xdr:rowOff>25400</xdr:rowOff>
    </xdr:from>
    <xdr:to>
      <xdr:col>11</xdr:col>
      <xdr:colOff>571500</xdr:colOff>
      <xdr:row>4240</xdr:row>
      <xdr:rowOff>0</xdr:rowOff>
    </xdr:to>
    <xdr:pic>
      <xdr:nvPicPr>
        <xdr:cNvPr id="16503" name="Рисунок 16502">
          <a:extLst>
            <a:ext uri="{FF2B5EF4-FFF2-40B4-BE49-F238E27FC236}">
              <a16:creationId xmlns:a16="http://schemas.microsoft.com/office/drawing/2014/main" id="{6BEFB66E-36FB-4D53-B577-DFB05B66B71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8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419480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4240</xdr:row>
      <xdr:rowOff>25400</xdr:rowOff>
    </xdr:from>
    <xdr:to>
      <xdr:col>11</xdr:col>
      <xdr:colOff>571500</xdr:colOff>
      <xdr:row>4241</xdr:row>
      <xdr:rowOff>0</xdr:rowOff>
    </xdr:to>
    <xdr:pic>
      <xdr:nvPicPr>
        <xdr:cNvPr id="16505" name="Рисунок 16504">
          <a:extLst>
            <a:ext uri="{FF2B5EF4-FFF2-40B4-BE49-F238E27FC236}">
              <a16:creationId xmlns:a16="http://schemas.microsoft.com/office/drawing/2014/main" id="{7DE758E8-5F5E-462B-80C0-42B6DEA63B3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8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420051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4241</xdr:row>
      <xdr:rowOff>25400</xdr:rowOff>
    </xdr:from>
    <xdr:to>
      <xdr:col>11</xdr:col>
      <xdr:colOff>571500</xdr:colOff>
      <xdr:row>4242</xdr:row>
      <xdr:rowOff>0</xdr:rowOff>
    </xdr:to>
    <xdr:pic>
      <xdr:nvPicPr>
        <xdr:cNvPr id="16507" name="Рисунок 16506">
          <a:extLst>
            <a:ext uri="{FF2B5EF4-FFF2-40B4-BE49-F238E27FC236}">
              <a16:creationId xmlns:a16="http://schemas.microsoft.com/office/drawing/2014/main" id="{4A92C205-C008-4AE2-BFEC-D6EDBDEE3C3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8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420623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4242</xdr:row>
      <xdr:rowOff>25400</xdr:rowOff>
    </xdr:from>
    <xdr:to>
      <xdr:col>11</xdr:col>
      <xdr:colOff>571500</xdr:colOff>
      <xdr:row>4243</xdr:row>
      <xdr:rowOff>0</xdr:rowOff>
    </xdr:to>
    <xdr:pic>
      <xdr:nvPicPr>
        <xdr:cNvPr id="16509" name="Рисунок 16508">
          <a:extLst>
            <a:ext uri="{FF2B5EF4-FFF2-40B4-BE49-F238E27FC236}">
              <a16:creationId xmlns:a16="http://schemas.microsoft.com/office/drawing/2014/main" id="{1A4CE269-58C4-48AE-A28B-D764B444581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8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421194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4243</xdr:row>
      <xdr:rowOff>25400</xdr:rowOff>
    </xdr:from>
    <xdr:to>
      <xdr:col>11</xdr:col>
      <xdr:colOff>571500</xdr:colOff>
      <xdr:row>4244</xdr:row>
      <xdr:rowOff>0</xdr:rowOff>
    </xdr:to>
    <xdr:pic>
      <xdr:nvPicPr>
        <xdr:cNvPr id="16511" name="Рисунок 16510">
          <a:extLst>
            <a:ext uri="{FF2B5EF4-FFF2-40B4-BE49-F238E27FC236}">
              <a16:creationId xmlns:a16="http://schemas.microsoft.com/office/drawing/2014/main" id="{2CD2D7CE-88E8-4427-920D-F61CB1C7B4D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8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421766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4244</xdr:row>
      <xdr:rowOff>25400</xdr:rowOff>
    </xdr:from>
    <xdr:to>
      <xdr:col>11</xdr:col>
      <xdr:colOff>571500</xdr:colOff>
      <xdr:row>4245</xdr:row>
      <xdr:rowOff>0</xdr:rowOff>
    </xdr:to>
    <xdr:pic>
      <xdr:nvPicPr>
        <xdr:cNvPr id="16513" name="Рисунок 16512">
          <a:extLst>
            <a:ext uri="{FF2B5EF4-FFF2-40B4-BE49-F238E27FC236}">
              <a16:creationId xmlns:a16="http://schemas.microsoft.com/office/drawing/2014/main" id="{DF64665F-9280-4E2C-98C2-786D152D07A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9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422337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4245</xdr:row>
      <xdr:rowOff>25400</xdr:rowOff>
    </xdr:from>
    <xdr:to>
      <xdr:col>11</xdr:col>
      <xdr:colOff>571500</xdr:colOff>
      <xdr:row>4246</xdr:row>
      <xdr:rowOff>0</xdr:rowOff>
    </xdr:to>
    <xdr:pic>
      <xdr:nvPicPr>
        <xdr:cNvPr id="16515" name="Рисунок 16514">
          <a:extLst>
            <a:ext uri="{FF2B5EF4-FFF2-40B4-BE49-F238E27FC236}">
              <a16:creationId xmlns:a16="http://schemas.microsoft.com/office/drawing/2014/main" id="{8A0FD01B-744B-4A16-A4BF-E833A47F1DB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9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422909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4246</xdr:row>
      <xdr:rowOff>25400</xdr:rowOff>
    </xdr:from>
    <xdr:to>
      <xdr:col>11</xdr:col>
      <xdr:colOff>571500</xdr:colOff>
      <xdr:row>4247</xdr:row>
      <xdr:rowOff>0</xdr:rowOff>
    </xdr:to>
    <xdr:pic>
      <xdr:nvPicPr>
        <xdr:cNvPr id="16517" name="Рисунок 16516">
          <a:extLst>
            <a:ext uri="{FF2B5EF4-FFF2-40B4-BE49-F238E27FC236}">
              <a16:creationId xmlns:a16="http://schemas.microsoft.com/office/drawing/2014/main" id="{479D45D8-51F3-43E3-96F3-83B32D26589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9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423480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4247</xdr:row>
      <xdr:rowOff>25400</xdr:rowOff>
    </xdr:from>
    <xdr:to>
      <xdr:col>11</xdr:col>
      <xdr:colOff>571500</xdr:colOff>
      <xdr:row>4248</xdr:row>
      <xdr:rowOff>0</xdr:rowOff>
    </xdr:to>
    <xdr:pic>
      <xdr:nvPicPr>
        <xdr:cNvPr id="16519" name="Рисунок 16518">
          <a:extLst>
            <a:ext uri="{FF2B5EF4-FFF2-40B4-BE49-F238E27FC236}">
              <a16:creationId xmlns:a16="http://schemas.microsoft.com/office/drawing/2014/main" id="{AAF0066B-1864-4F69-8C7B-21064E36159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9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424052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4248</xdr:row>
      <xdr:rowOff>25400</xdr:rowOff>
    </xdr:from>
    <xdr:to>
      <xdr:col>11</xdr:col>
      <xdr:colOff>571500</xdr:colOff>
      <xdr:row>4249</xdr:row>
      <xdr:rowOff>0</xdr:rowOff>
    </xdr:to>
    <xdr:pic>
      <xdr:nvPicPr>
        <xdr:cNvPr id="16521" name="Рисунок 16520">
          <a:extLst>
            <a:ext uri="{FF2B5EF4-FFF2-40B4-BE49-F238E27FC236}">
              <a16:creationId xmlns:a16="http://schemas.microsoft.com/office/drawing/2014/main" id="{BD273C2A-311F-4407-BAC1-0A255B111B4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9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424623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4249</xdr:row>
      <xdr:rowOff>25400</xdr:rowOff>
    </xdr:from>
    <xdr:to>
      <xdr:col>11</xdr:col>
      <xdr:colOff>571500</xdr:colOff>
      <xdr:row>4250</xdr:row>
      <xdr:rowOff>0</xdr:rowOff>
    </xdr:to>
    <xdr:pic>
      <xdr:nvPicPr>
        <xdr:cNvPr id="16523" name="Рисунок 16522">
          <a:extLst>
            <a:ext uri="{FF2B5EF4-FFF2-40B4-BE49-F238E27FC236}">
              <a16:creationId xmlns:a16="http://schemas.microsoft.com/office/drawing/2014/main" id="{97CE6EB8-F3EB-48BB-AAE9-3CB45D5F64F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9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425195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4250</xdr:row>
      <xdr:rowOff>25400</xdr:rowOff>
    </xdr:from>
    <xdr:to>
      <xdr:col>11</xdr:col>
      <xdr:colOff>571500</xdr:colOff>
      <xdr:row>4251</xdr:row>
      <xdr:rowOff>0</xdr:rowOff>
    </xdr:to>
    <xdr:pic>
      <xdr:nvPicPr>
        <xdr:cNvPr id="16525" name="Рисунок 16524">
          <a:extLst>
            <a:ext uri="{FF2B5EF4-FFF2-40B4-BE49-F238E27FC236}">
              <a16:creationId xmlns:a16="http://schemas.microsoft.com/office/drawing/2014/main" id="{10784A06-3380-448C-BD17-0B2FB6C8F82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9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425766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4251</xdr:row>
      <xdr:rowOff>25400</xdr:rowOff>
    </xdr:from>
    <xdr:to>
      <xdr:col>11</xdr:col>
      <xdr:colOff>571500</xdr:colOff>
      <xdr:row>4252</xdr:row>
      <xdr:rowOff>0</xdr:rowOff>
    </xdr:to>
    <xdr:pic>
      <xdr:nvPicPr>
        <xdr:cNvPr id="16527" name="Рисунок 16526">
          <a:extLst>
            <a:ext uri="{FF2B5EF4-FFF2-40B4-BE49-F238E27FC236}">
              <a16:creationId xmlns:a16="http://schemas.microsoft.com/office/drawing/2014/main" id="{ABE69914-69CF-428B-ABDD-2EE5EDE93EA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9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426338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4252</xdr:row>
      <xdr:rowOff>25400</xdr:rowOff>
    </xdr:from>
    <xdr:to>
      <xdr:col>11</xdr:col>
      <xdr:colOff>571500</xdr:colOff>
      <xdr:row>4253</xdr:row>
      <xdr:rowOff>0</xdr:rowOff>
    </xdr:to>
    <xdr:pic>
      <xdr:nvPicPr>
        <xdr:cNvPr id="16529" name="Рисунок 16528">
          <a:extLst>
            <a:ext uri="{FF2B5EF4-FFF2-40B4-BE49-F238E27FC236}">
              <a16:creationId xmlns:a16="http://schemas.microsoft.com/office/drawing/2014/main" id="{FB8B6CAE-49AC-4D1A-8B60-ADC0A7D4093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9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426909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4253</xdr:row>
      <xdr:rowOff>25400</xdr:rowOff>
    </xdr:from>
    <xdr:to>
      <xdr:col>11</xdr:col>
      <xdr:colOff>571500</xdr:colOff>
      <xdr:row>4254</xdr:row>
      <xdr:rowOff>0</xdr:rowOff>
    </xdr:to>
    <xdr:pic>
      <xdr:nvPicPr>
        <xdr:cNvPr id="16531" name="Рисунок 16530">
          <a:extLst>
            <a:ext uri="{FF2B5EF4-FFF2-40B4-BE49-F238E27FC236}">
              <a16:creationId xmlns:a16="http://schemas.microsoft.com/office/drawing/2014/main" id="{4F9B5A83-112C-45D4-AB95-69F377AE3E4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19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427481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4254</xdr:row>
      <xdr:rowOff>25400</xdr:rowOff>
    </xdr:from>
    <xdr:to>
      <xdr:col>11</xdr:col>
      <xdr:colOff>571500</xdr:colOff>
      <xdr:row>4255</xdr:row>
      <xdr:rowOff>0</xdr:rowOff>
    </xdr:to>
    <xdr:pic>
      <xdr:nvPicPr>
        <xdr:cNvPr id="16533" name="Рисунок 16532">
          <a:extLst>
            <a:ext uri="{FF2B5EF4-FFF2-40B4-BE49-F238E27FC236}">
              <a16:creationId xmlns:a16="http://schemas.microsoft.com/office/drawing/2014/main" id="{7FAFE377-794E-4C19-80C6-71981A0070F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0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428052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4255</xdr:row>
      <xdr:rowOff>25400</xdr:rowOff>
    </xdr:from>
    <xdr:to>
      <xdr:col>11</xdr:col>
      <xdr:colOff>571500</xdr:colOff>
      <xdr:row>4256</xdr:row>
      <xdr:rowOff>0</xdr:rowOff>
    </xdr:to>
    <xdr:pic>
      <xdr:nvPicPr>
        <xdr:cNvPr id="16535" name="Рисунок 16534">
          <a:extLst>
            <a:ext uri="{FF2B5EF4-FFF2-40B4-BE49-F238E27FC236}">
              <a16:creationId xmlns:a16="http://schemas.microsoft.com/office/drawing/2014/main" id="{67BB3CBD-3F9D-46F1-ACC5-CC131295791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0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428624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4256</xdr:row>
      <xdr:rowOff>25400</xdr:rowOff>
    </xdr:from>
    <xdr:to>
      <xdr:col>11</xdr:col>
      <xdr:colOff>571500</xdr:colOff>
      <xdr:row>4257</xdr:row>
      <xdr:rowOff>0</xdr:rowOff>
    </xdr:to>
    <xdr:pic>
      <xdr:nvPicPr>
        <xdr:cNvPr id="16537" name="Рисунок 16536">
          <a:extLst>
            <a:ext uri="{FF2B5EF4-FFF2-40B4-BE49-F238E27FC236}">
              <a16:creationId xmlns:a16="http://schemas.microsoft.com/office/drawing/2014/main" id="{A9F674F9-4BEC-47FF-9DD1-66F1E6D22D0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0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429195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4257</xdr:row>
      <xdr:rowOff>25400</xdr:rowOff>
    </xdr:from>
    <xdr:to>
      <xdr:col>11</xdr:col>
      <xdr:colOff>571500</xdr:colOff>
      <xdr:row>4258</xdr:row>
      <xdr:rowOff>0</xdr:rowOff>
    </xdr:to>
    <xdr:pic>
      <xdr:nvPicPr>
        <xdr:cNvPr id="16539" name="Рисунок 16538">
          <a:extLst>
            <a:ext uri="{FF2B5EF4-FFF2-40B4-BE49-F238E27FC236}">
              <a16:creationId xmlns:a16="http://schemas.microsoft.com/office/drawing/2014/main" id="{D4C35700-CF9D-4912-AE6F-6F6FF93A735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0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429767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4258</xdr:row>
      <xdr:rowOff>25400</xdr:rowOff>
    </xdr:from>
    <xdr:to>
      <xdr:col>11</xdr:col>
      <xdr:colOff>571500</xdr:colOff>
      <xdr:row>4259</xdr:row>
      <xdr:rowOff>0</xdr:rowOff>
    </xdr:to>
    <xdr:pic>
      <xdr:nvPicPr>
        <xdr:cNvPr id="16541" name="Рисунок 16540">
          <a:extLst>
            <a:ext uri="{FF2B5EF4-FFF2-40B4-BE49-F238E27FC236}">
              <a16:creationId xmlns:a16="http://schemas.microsoft.com/office/drawing/2014/main" id="{32107AED-E415-4883-8A7B-AE5E75E9269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0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430338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4259</xdr:row>
      <xdr:rowOff>25400</xdr:rowOff>
    </xdr:from>
    <xdr:to>
      <xdr:col>11</xdr:col>
      <xdr:colOff>571500</xdr:colOff>
      <xdr:row>4260</xdr:row>
      <xdr:rowOff>0</xdr:rowOff>
    </xdr:to>
    <xdr:pic>
      <xdr:nvPicPr>
        <xdr:cNvPr id="16543" name="Рисунок 16542">
          <a:extLst>
            <a:ext uri="{FF2B5EF4-FFF2-40B4-BE49-F238E27FC236}">
              <a16:creationId xmlns:a16="http://schemas.microsoft.com/office/drawing/2014/main" id="{4700AE77-68C1-4EF8-B003-2B9EF5CF2D4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0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430910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4260</xdr:row>
      <xdr:rowOff>25400</xdr:rowOff>
    </xdr:from>
    <xdr:to>
      <xdr:col>11</xdr:col>
      <xdr:colOff>571500</xdr:colOff>
      <xdr:row>4261</xdr:row>
      <xdr:rowOff>0</xdr:rowOff>
    </xdr:to>
    <xdr:pic>
      <xdr:nvPicPr>
        <xdr:cNvPr id="16545" name="Рисунок 16544">
          <a:extLst>
            <a:ext uri="{FF2B5EF4-FFF2-40B4-BE49-F238E27FC236}">
              <a16:creationId xmlns:a16="http://schemas.microsoft.com/office/drawing/2014/main" id="{0DD15F78-F3F4-4502-9A01-D66F2561BC7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0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431481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4261</xdr:row>
      <xdr:rowOff>25400</xdr:rowOff>
    </xdr:from>
    <xdr:to>
      <xdr:col>11</xdr:col>
      <xdr:colOff>571500</xdr:colOff>
      <xdr:row>4262</xdr:row>
      <xdr:rowOff>0</xdr:rowOff>
    </xdr:to>
    <xdr:pic>
      <xdr:nvPicPr>
        <xdr:cNvPr id="16547" name="Рисунок 16546">
          <a:extLst>
            <a:ext uri="{FF2B5EF4-FFF2-40B4-BE49-F238E27FC236}">
              <a16:creationId xmlns:a16="http://schemas.microsoft.com/office/drawing/2014/main" id="{908FB6EA-037D-4604-9B6E-35009C513B9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0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432053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4262</xdr:row>
      <xdr:rowOff>25400</xdr:rowOff>
    </xdr:from>
    <xdr:to>
      <xdr:col>11</xdr:col>
      <xdr:colOff>571500</xdr:colOff>
      <xdr:row>4263</xdr:row>
      <xdr:rowOff>0</xdr:rowOff>
    </xdr:to>
    <xdr:pic>
      <xdr:nvPicPr>
        <xdr:cNvPr id="16549" name="Рисунок 16548">
          <a:extLst>
            <a:ext uri="{FF2B5EF4-FFF2-40B4-BE49-F238E27FC236}">
              <a16:creationId xmlns:a16="http://schemas.microsoft.com/office/drawing/2014/main" id="{BEEFF603-876E-48A7-8612-0516B561491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0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432624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4263</xdr:row>
      <xdr:rowOff>25400</xdr:rowOff>
    </xdr:from>
    <xdr:to>
      <xdr:col>11</xdr:col>
      <xdr:colOff>571500</xdr:colOff>
      <xdr:row>4264</xdr:row>
      <xdr:rowOff>0</xdr:rowOff>
    </xdr:to>
    <xdr:pic>
      <xdr:nvPicPr>
        <xdr:cNvPr id="16551" name="Рисунок 16550">
          <a:extLst>
            <a:ext uri="{FF2B5EF4-FFF2-40B4-BE49-F238E27FC236}">
              <a16:creationId xmlns:a16="http://schemas.microsoft.com/office/drawing/2014/main" id="{60312727-ACCC-456C-8E68-F1E8CAADE36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0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433196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4264</xdr:row>
      <xdr:rowOff>25400</xdr:rowOff>
    </xdr:from>
    <xdr:to>
      <xdr:col>11</xdr:col>
      <xdr:colOff>571500</xdr:colOff>
      <xdr:row>4265</xdr:row>
      <xdr:rowOff>0</xdr:rowOff>
    </xdr:to>
    <xdr:pic>
      <xdr:nvPicPr>
        <xdr:cNvPr id="16553" name="Рисунок 16552">
          <a:extLst>
            <a:ext uri="{FF2B5EF4-FFF2-40B4-BE49-F238E27FC236}">
              <a16:creationId xmlns:a16="http://schemas.microsoft.com/office/drawing/2014/main" id="{6B3D6318-B61B-4B43-9CE8-C864BBFE76F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433767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4265</xdr:row>
      <xdr:rowOff>25400</xdr:rowOff>
    </xdr:from>
    <xdr:to>
      <xdr:col>11</xdr:col>
      <xdr:colOff>571500</xdr:colOff>
      <xdr:row>4266</xdr:row>
      <xdr:rowOff>0</xdr:rowOff>
    </xdr:to>
    <xdr:pic>
      <xdr:nvPicPr>
        <xdr:cNvPr id="16555" name="Рисунок 16554">
          <a:extLst>
            <a:ext uri="{FF2B5EF4-FFF2-40B4-BE49-F238E27FC236}">
              <a16:creationId xmlns:a16="http://schemas.microsoft.com/office/drawing/2014/main" id="{7DCE2322-6505-4016-906E-F7232F662C8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434339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4266</xdr:row>
      <xdr:rowOff>25400</xdr:rowOff>
    </xdr:from>
    <xdr:to>
      <xdr:col>11</xdr:col>
      <xdr:colOff>571500</xdr:colOff>
      <xdr:row>4267</xdr:row>
      <xdr:rowOff>0</xdr:rowOff>
    </xdr:to>
    <xdr:pic>
      <xdr:nvPicPr>
        <xdr:cNvPr id="16557" name="Рисунок 16556">
          <a:extLst>
            <a:ext uri="{FF2B5EF4-FFF2-40B4-BE49-F238E27FC236}">
              <a16:creationId xmlns:a16="http://schemas.microsoft.com/office/drawing/2014/main" id="{B3784085-1269-40E7-A296-D881FF16ECE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434910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4267</xdr:row>
      <xdr:rowOff>25400</xdr:rowOff>
    </xdr:from>
    <xdr:to>
      <xdr:col>11</xdr:col>
      <xdr:colOff>571500</xdr:colOff>
      <xdr:row>4268</xdr:row>
      <xdr:rowOff>0</xdr:rowOff>
    </xdr:to>
    <xdr:pic>
      <xdr:nvPicPr>
        <xdr:cNvPr id="16559" name="Рисунок 16558">
          <a:extLst>
            <a:ext uri="{FF2B5EF4-FFF2-40B4-BE49-F238E27FC236}">
              <a16:creationId xmlns:a16="http://schemas.microsoft.com/office/drawing/2014/main" id="{2F7261FB-D053-41FB-8C45-9BA921D7093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435482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4268</xdr:row>
      <xdr:rowOff>25400</xdr:rowOff>
    </xdr:from>
    <xdr:to>
      <xdr:col>11</xdr:col>
      <xdr:colOff>571500</xdr:colOff>
      <xdr:row>4269</xdr:row>
      <xdr:rowOff>0</xdr:rowOff>
    </xdr:to>
    <xdr:pic>
      <xdr:nvPicPr>
        <xdr:cNvPr id="16561" name="Рисунок 16560">
          <a:extLst>
            <a:ext uri="{FF2B5EF4-FFF2-40B4-BE49-F238E27FC236}">
              <a16:creationId xmlns:a16="http://schemas.microsoft.com/office/drawing/2014/main" id="{F52B6748-C04B-4093-9EA0-3038D4C4F02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436053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4269</xdr:row>
      <xdr:rowOff>25400</xdr:rowOff>
    </xdr:from>
    <xdr:to>
      <xdr:col>11</xdr:col>
      <xdr:colOff>571500</xdr:colOff>
      <xdr:row>4270</xdr:row>
      <xdr:rowOff>0</xdr:rowOff>
    </xdr:to>
    <xdr:pic>
      <xdr:nvPicPr>
        <xdr:cNvPr id="16563" name="Рисунок 16562">
          <a:extLst>
            <a:ext uri="{FF2B5EF4-FFF2-40B4-BE49-F238E27FC236}">
              <a16:creationId xmlns:a16="http://schemas.microsoft.com/office/drawing/2014/main" id="{000CFF28-89A2-4A02-A154-AD9B01A691B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436625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4270</xdr:row>
      <xdr:rowOff>25400</xdr:rowOff>
    </xdr:from>
    <xdr:to>
      <xdr:col>11</xdr:col>
      <xdr:colOff>571500</xdr:colOff>
      <xdr:row>4271</xdr:row>
      <xdr:rowOff>0</xdr:rowOff>
    </xdr:to>
    <xdr:pic>
      <xdr:nvPicPr>
        <xdr:cNvPr id="16565" name="Рисунок 16564">
          <a:extLst>
            <a:ext uri="{FF2B5EF4-FFF2-40B4-BE49-F238E27FC236}">
              <a16:creationId xmlns:a16="http://schemas.microsoft.com/office/drawing/2014/main" id="{8BFC34D3-A3F3-4A7D-BD35-A0C6AAD7D76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437196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4271</xdr:row>
      <xdr:rowOff>25400</xdr:rowOff>
    </xdr:from>
    <xdr:to>
      <xdr:col>11</xdr:col>
      <xdr:colOff>571500</xdr:colOff>
      <xdr:row>4272</xdr:row>
      <xdr:rowOff>0</xdr:rowOff>
    </xdr:to>
    <xdr:pic>
      <xdr:nvPicPr>
        <xdr:cNvPr id="16567" name="Рисунок 16566">
          <a:extLst>
            <a:ext uri="{FF2B5EF4-FFF2-40B4-BE49-F238E27FC236}">
              <a16:creationId xmlns:a16="http://schemas.microsoft.com/office/drawing/2014/main" id="{09B8DA0C-3704-49BB-897E-9A00B728E10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437768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4272</xdr:row>
      <xdr:rowOff>25400</xdr:rowOff>
    </xdr:from>
    <xdr:to>
      <xdr:col>11</xdr:col>
      <xdr:colOff>571500</xdr:colOff>
      <xdr:row>4273</xdr:row>
      <xdr:rowOff>0</xdr:rowOff>
    </xdr:to>
    <xdr:pic>
      <xdr:nvPicPr>
        <xdr:cNvPr id="16569" name="Рисунок 16568">
          <a:extLst>
            <a:ext uri="{FF2B5EF4-FFF2-40B4-BE49-F238E27FC236}">
              <a16:creationId xmlns:a16="http://schemas.microsoft.com/office/drawing/2014/main" id="{AF1D1833-0C41-4938-9F1E-A2437C62945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438339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4273</xdr:row>
      <xdr:rowOff>25400</xdr:rowOff>
    </xdr:from>
    <xdr:to>
      <xdr:col>11</xdr:col>
      <xdr:colOff>571500</xdr:colOff>
      <xdr:row>4274</xdr:row>
      <xdr:rowOff>0</xdr:rowOff>
    </xdr:to>
    <xdr:pic>
      <xdr:nvPicPr>
        <xdr:cNvPr id="16571" name="Рисунок 16570">
          <a:extLst>
            <a:ext uri="{FF2B5EF4-FFF2-40B4-BE49-F238E27FC236}">
              <a16:creationId xmlns:a16="http://schemas.microsoft.com/office/drawing/2014/main" id="{D3B5CEC0-2ADA-454D-B803-6804422E81D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438911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4274</xdr:row>
      <xdr:rowOff>25400</xdr:rowOff>
    </xdr:from>
    <xdr:to>
      <xdr:col>11</xdr:col>
      <xdr:colOff>571500</xdr:colOff>
      <xdr:row>4275</xdr:row>
      <xdr:rowOff>0</xdr:rowOff>
    </xdr:to>
    <xdr:pic>
      <xdr:nvPicPr>
        <xdr:cNvPr id="16573" name="Рисунок 16572">
          <a:extLst>
            <a:ext uri="{FF2B5EF4-FFF2-40B4-BE49-F238E27FC236}">
              <a16:creationId xmlns:a16="http://schemas.microsoft.com/office/drawing/2014/main" id="{5CEB2A6A-EC48-495E-88D4-986FC9B0BCC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439482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4275</xdr:row>
      <xdr:rowOff>25400</xdr:rowOff>
    </xdr:from>
    <xdr:to>
      <xdr:col>11</xdr:col>
      <xdr:colOff>571500</xdr:colOff>
      <xdr:row>4276</xdr:row>
      <xdr:rowOff>0</xdr:rowOff>
    </xdr:to>
    <xdr:pic>
      <xdr:nvPicPr>
        <xdr:cNvPr id="16575" name="Рисунок 16574">
          <a:extLst>
            <a:ext uri="{FF2B5EF4-FFF2-40B4-BE49-F238E27FC236}">
              <a16:creationId xmlns:a16="http://schemas.microsoft.com/office/drawing/2014/main" id="{914C26FD-772B-492D-B730-E008F40230D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440054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4276</xdr:row>
      <xdr:rowOff>25400</xdr:rowOff>
    </xdr:from>
    <xdr:to>
      <xdr:col>11</xdr:col>
      <xdr:colOff>571500</xdr:colOff>
      <xdr:row>4277</xdr:row>
      <xdr:rowOff>0</xdr:rowOff>
    </xdr:to>
    <xdr:pic>
      <xdr:nvPicPr>
        <xdr:cNvPr id="16577" name="Рисунок 16576">
          <a:extLst>
            <a:ext uri="{FF2B5EF4-FFF2-40B4-BE49-F238E27FC236}">
              <a16:creationId xmlns:a16="http://schemas.microsoft.com/office/drawing/2014/main" id="{9E0F4A7F-F73D-4FEF-ACC6-5EF5B36652F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440625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4277</xdr:row>
      <xdr:rowOff>25400</xdr:rowOff>
    </xdr:from>
    <xdr:to>
      <xdr:col>11</xdr:col>
      <xdr:colOff>571500</xdr:colOff>
      <xdr:row>4278</xdr:row>
      <xdr:rowOff>0</xdr:rowOff>
    </xdr:to>
    <xdr:pic>
      <xdr:nvPicPr>
        <xdr:cNvPr id="16579" name="Рисунок 16578">
          <a:extLst>
            <a:ext uri="{FF2B5EF4-FFF2-40B4-BE49-F238E27FC236}">
              <a16:creationId xmlns:a16="http://schemas.microsoft.com/office/drawing/2014/main" id="{5EBEABB8-E5B4-40D9-ADF9-B164F619D4F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441197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4278</xdr:row>
      <xdr:rowOff>25400</xdr:rowOff>
    </xdr:from>
    <xdr:to>
      <xdr:col>11</xdr:col>
      <xdr:colOff>571500</xdr:colOff>
      <xdr:row>4279</xdr:row>
      <xdr:rowOff>0</xdr:rowOff>
    </xdr:to>
    <xdr:pic>
      <xdr:nvPicPr>
        <xdr:cNvPr id="16581" name="Рисунок 16580">
          <a:extLst>
            <a:ext uri="{FF2B5EF4-FFF2-40B4-BE49-F238E27FC236}">
              <a16:creationId xmlns:a16="http://schemas.microsoft.com/office/drawing/2014/main" id="{09DD4B0E-51BF-4BE2-AE74-E592D7333A1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441768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4279</xdr:row>
      <xdr:rowOff>25400</xdr:rowOff>
    </xdr:from>
    <xdr:to>
      <xdr:col>11</xdr:col>
      <xdr:colOff>571500</xdr:colOff>
      <xdr:row>4280</xdr:row>
      <xdr:rowOff>0</xdr:rowOff>
    </xdr:to>
    <xdr:pic>
      <xdr:nvPicPr>
        <xdr:cNvPr id="16583" name="Рисунок 16582">
          <a:extLst>
            <a:ext uri="{FF2B5EF4-FFF2-40B4-BE49-F238E27FC236}">
              <a16:creationId xmlns:a16="http://schemas.microsoft.com/office/drawing/2014/main" id="{157A6304-424E-48D7-A2EA-ABDF09407B2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442340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4280</xdr:row>
      <xdr:rowOff>25400</xdr:rowOff>
    </xdr:from>
    <xdr:to>
      <xdr:col>11</xdr:col>
      <xdr:colOff>571500</xdr:colOff>
      <xdr:row>4281</xdr:row>
      <xdr:rowOff>0</xdr:rowOff>
    </xdr:to>
    <xdr:pic>
      <xdr:nvPicPr>
        <xdr:cNvPr id="16585" name="Рисунок 16584">
          <a:extLst>
            <a:ext uri="{FF2B5EF4-FFF2-40B4-BE49-F238E27FC236}">
              <a16:creationId xmlns:a16="http://schemas.microsoft.com/office/drawing/2014/main" id="{9547D95B-7B0C-4475-9D25-4338E4FFF89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442911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4281</xdr:row>
      <xdr:rowOff>25400</xdr:rowOff>
    </xdr:from>
    <xdr:to>
      <xdr:col>11</xdr:col>
      <xdr:colOff>571500</xdr:colOff>
      <xdr:row>4282</xdr:row>
      <xdr:rowOff>0</xdr:rowOff>
    </xdr:to>
    <xdr:pic>
      <xdr:nvPicPr>
        <xdr:cNvPr id="16587" name="Рисунок 16586">
          <a:extLst>
            <a:ext uri="{FF2B5EF4-FFF2-40B4-BE49-F238E27FC236}">
              <a16:creationId xmlns:a16="http://schemas.microsoft.com/office/drawing/2014/main" id="{841D8AC5-C3E6-4BA1-ADF3-F8EE1AA5197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443483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4283</xdr:row>
      <xdr:rowOff>25400</xdr:rowOff>
    </xdr:from>
    <xdr:to>
      <xdr:col>11</xdr:col>
      <xdr:colOff>407670</xdr:colOff>
      <xdr:row>4284</xdr:row>
      <xdr:rowOff>0</xdr:rowOff>
    </xdr:to>
    <xdr:pic>
      <xdr:nvPicPr>
        <xdr:cNvPr id="16589" name="Рисунок 16588">
          <a:extLst>
            <a:ext uri="{FF2B5EF4-FFF2-40B4-BE49-F238E27FC236}">
              <a16:creationId xmlns:a16="http://schemas.microsoft.com/office/drawing/2014/main" id="{21A5D747-50D3-436A-A170-BC443C6E2A9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444626175"/>
          <a:ext cx="38227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4284</xdr:row>
      <xdr:rowOff>25400</xdr:rowOff>
    </xdr:from>
    <xdr:to>
      <xdr:col>11</xdr:col>
      <xdr:colOff>571500</xdr:colOff>
      <xdr:row>4285</xdr:row>
      <xdr:rowOff>0</xdr:rowOff>
    </xdr:to>
    <xdr:pic>
      <xdr:nvPicPr>
        <xdr:cNvPr id="16591" name="Рисунок 16590">
          <a:extLst>
            <a:ext uri="{FF2B5EF4-FFF2-40B4-BE49-F238E27FC236}">
              <a16:creationId xmlns:a16="http://schemas.microsoft.com/office/drawing/2014/main" id="{93252DFD-A966-479B-BFFD-945A607D1D7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445197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4285</xdr:row>
      <xdr:rowOff>25400</xdr:rowOff>
    </xdr:from>
    <xdr:to>
      <xdr:col>11</xdr:col>
      <xdr:colOff>571500</xdr:colOff>
      <xdr:row>4286</xdr:row>
      <xdr:rowOff>0</xdr:rowOff>
    </xdr:to>
    <xdr:pic>
      <xdr:nvPicPr>
        <xdr:cNvPr id="16593" name="Рисунок 16592">
          <a:extLst>
            <a:ext uri="{FF2B5EF4-FFF2-40B4-BE49-F238E27FC236}">
              <a16:creationId xmlns:a16="http://schemas.microsoft.com/office/drawing/2014/main" id="{35ED6E13-7333-4318-9A12-1881895CBF7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445769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4286</xdr:row>
      <xdr:rowOff>25400</xdr:rowOff>
    </xdr:from>
    <xdr:to>
      <xdr:col>11</xdr:col>
      <xdr:colOff>571500</xdr:colOff>
      <xdr:row>4287</xdr:row>
      <xdr:rowOff>0</xdr:rowOff>
    </xdr:to>
    <xdr:pic>
      <xdr:nvPicPr>
        <xdr:cNvPr id="16595" name="Рисунок 16594">
          <a:extLst>
            <a:ext uri="{FF2B5EF4-FFF2-40B4-BE49-F238E27FC236}">
              <a16:creationId xmlns:a16="http://schemas.microsoft.com/office/drawing/2014/main" id="{81DA763B-A06C-482F-AE09-C39F58C1907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3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446340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4287</xdr:row>
      <xdr:rowOff>25400</xdr:rowOff>
    </xdr:from>
    <xdr:to>
      <xdr:col>11</xdr:col>
      <xdr:colOff>571500</xdr:colOff>
      <xdr:row>4288</xdr:row>
      <xdr:rowOff>0</xdr:rowOff>
    </xdr:to>
    <xdr:pic>
      <xdr:nvPicPr>
        <xdr:cNvPr id="16597" name="Рисунок 16596">
          <a:extLst>
            <a:ext uri="{FF2B5EF4-FFF2-40B4-BE49-F238E27FC236}">
              <a16:creationId xmlns:a16="http://schemas.microsoft.com/office/drawing/2014/main" id="{2CC64F4F-AA5A-49EF-80BE-72ABFABE326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3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446912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4288</xdr:row>
      <xdr:rowOff>25400</xdr:rowOff>
    </xdr:from>
    <xdr:to>
      <xdr:col>11</xdr:col>
      <xdr:colOff>571500</xdr:colOff>
      <xdr:row>4289</xdr:row>
      <xdr:rowOff>0</xdr:rowOff>
    </xdr:to>
    <xdr:pic>
      <xdr:nvPicPr>
        <xdr:cNvPr id="16599" name="Рисунок 16598">
          <a:extLst>
            <a:ext uri="{FF2B5EF4-FFF2-40B4-BE49-F238E27FC236}">
              <a16:creationId xmlns:a16="http://schemas.microsoft.com/office/drawing/2014/main" id="{4402F419-DC29-4B5D-AB2C-35029F96AAE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3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447483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4289</xdr:row>
      <xdr:rowOff>25400</xdr:rowOff>
    </xdr:from>
    <xdr:to>
      <xdr:col>11</xdr:col>
      <xdr:colOff>571500</xdr:colOff>
      <xdr:row>4290</xdr:row>
      <xdr:rowOff>0</xdr:rowOff>
    </xdr:to>
    <xdr:pic>
      <xdr:nvPicPr>
        <xdr:cNvPr id="16601" name="Рисунок 16600">
          <a:extLst>
            <a:ext uri="{FF2B5EF4-FFF2-40B4-BE49-F238E27FC236}">
              <a16:creationId xmlns:a16="http://schemas.microsoft.com/office/drawing/2014/main" id="{0A13BE09-C3C3-4267-A141-C061BE5BDDD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3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448055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4290</xdr:row>
      <xdr:rowOff>25400</xdr:rowOff>
    </xdr:from>
    <xdr:to>
      <xdr:col>11</xdr:col>
      <xdr:colOff>571500</xdr:colOff>
      <xdr:row>4291</xdr:row>
      <xdr:rowOff>0</xdr:rowOff>
    </xdr:to>
    <xdr:pic>
      <xdr:nvPicPr>
        <xdr:cNvPr id="16603" name="Рисунок 16602">
          <a:extLst>
            <a:ext uri="{FF2B5EF4-FFF2-40B4-BE49-F238E27FC236}">
              <a16:creationId xmlns:a16="http://schemas.microsoft.com/office/drawing/2014/main" id="{15DD656F-DF9D-41B5-8853-46D2C9BC247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3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448626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4291</xdr:row>
      <xdr:rowOff>25400</xdr:rowOff>
    </xdr:from>
    <xdr:to>
      <xdr:col>11</xdr:col>
      <xdr:colOff>462280</xdr:colOff>
      <xdr:row>4292</xdr:row>
      <xdr:rowOff>0</xdr:rowOff>
    </xdr:to>
    <xdr:pic>
      <xdr:nvPicPr>
        <xdr:cNvPr id="16605" name="Рисунок 16604">
          <a:extLst>
            <a:ext uri="{FF2B5EF4-FFF2-40B4-BE49-F238E27FC236}">
              <a16:creationId xmlns:a16="http://schemas.microsoft.com/office/drawing/2014/main" id="{CBF1CC36-D5D3-48F8-92BB-52AC442411A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3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449198175"/>
          <a:ext cx="43688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4292</xdr:row>
      <xdr:rowOff>25400</xdr:rowOff>
    </xdr:from>
    <xdr:to>
      <xdr:col>11</xdr:col>
      <xdr:colOff>571500</xdr:colOff>
      <xdr:row>4293</xdr:row>
      <xdr:rowOff>0</xdr:rowOff>
    </xdr:to>
    <xdr:pic>
      <xdr:nvPicPr>
        <xdr:cNvPr id="16607" name="Рисунок 16606">
          <a:extLst>
            <a:ext uri="{FF2B5EF4-FFF2-40B4-BE49-F238E27FC236}">
              <a16:creationId xmlns:a16="http://schemas.microsoft.com/office/drawing/2014/main" id="{71949FF8-7E41-4A03-85A4-03D4E29BC14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3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449769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4293</xdr:row>
      <xdr:rowOff>25400</xdr:rowOff>
    </xdr:from>
    <xdr:to>
      <xdr:col>11</xdr:col>
      <xdr:colOff>462280</xdr:colOff>
      <xdr:row>4294</xdr:row>
      <xdr:rowOff>0</xdr:rowOff>
    </xdr:to>
    <xdr:pic>
      <xdr:nvPicPr>
        <xdr:cNvPr id="16609" name="Рисунок 16608">
          <a:extLst>
            <a:ext uri="{FF2B5EF4-FFF2-40B4-BE49-F238E27FC236}">
              <a16:creationId xmlns:a16="http://schemas.microsoft.com/office/drawing/2014/main" id="{734FDBE4-B430-439F-A63C-F6FDBF58196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3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450341175"/>
          <a:ext cx="43688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4294</xdr:row>
      <xdr:rowOff>25400</xdr:rowOff>
    </xdr:from>
    <xdr:to>
      <xdr:col>11</xdr:col>
      <xdr:colOff>571500</xdr:colOff>
      <xdr:row>4295</xdr:row>
      <xdr:rowOff>0</xdr:rowOff>
    </xdr:to>
    <xdr:pic>
      <xdr:nvPicPr>
        <xdr:cNvPr id="16611" name="Рисунок 16610">
          <a:extLst>
            <a:ext uri="{FF2B5EF4-FFF2-40B4-BE49-F238E27FC236}">
              <a16:creationId xmlns:a16="http://schemas.microsoft.com/office/drawing/2014/main" id="{C8D0F26E-41B3-4D04-A5D9-B8519397D74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3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450912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4295</xdr:row>
      <xdr:rowOff>25400</xdr:rowOff>
    </xdr:from>
    <xdr:to>
      <xdr:col>11</xdr:col>
      <xdr:colOff>462280</xdr:colOff>
      <xdr:row>4296</xdr:row>
      <xdr:rowOff>0</xdr:rowOff>
    </xdr:to>
    <xdr:pic>
      <xdr:nvPicPr>
        <xdr:cNvPr id="16613" name="Рисунок 16612">
          <a:extLst>
            <a:ext uri="{FF2B5EF4-FFF2-40B4-BE49-F238E27FC236}">
              <a16:creationId xmlns:a16="http://schemas.microsoft.com/office/drawing/2014/main" id="{887C9AF7-0939-4666-B1B4-8E57D4E8A75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4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451484175"/>
          <a:ext cx="43688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4296</xdr:row>
      <xdr:rowOff>25400</xdr:rowOff>
    </xdr:from>
    <xdr:to>
      <xdr:col>11</xdr:col>
      <xdr:colOff>571500</xdr:colOff>
      <xdr:row>4297</xdr:row>
      <xdr:rowOff>0</xdr:rowOff>
    </xdr:to>
    <xdr:pic>
      <xdr:nvPicPr>
        <xdr:cNvPr id="16615" name="Рисунок 16614">
          <a:extLst>
            <a:ext uri="{FF2B5EF4-FFF2-40B4-BE49-F238E27FC236}">
              <a16:creationId xmlns:a16="http://schemas.microsoft.com/office/drawing/2014/main" id="{D3AA20AA-8215-4E7B-B161-DA88788072B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4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452055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4297</xdr:row>
      <xdr:rowOff>25400</xdr:rowOff>
    </xdr:from>
    <xdr:to>
      <xdr:col>11</xdr:col>
      <xdr:colOff>571500</xdr:colOff>
      <xdr:row>4298</xdr:row>
      <xdr:rowOff>0</xdr:rowOff>
    </xdr:to>
    <xdr:pic>
      <xdr:nvPicPr>
        <xdr:cNvPr id="16617" name="Рисунок 16616">
          <a:extLst>
            <a:ext uri="{FF2B5EF4-FFF2-40B4-BE49-F238E27FC236}">
              <a16:creationId xmlns:a16="http://schemas.microsoft.com/office/drawing/2014/main" id="{1B2273D4-9DBF-4EDA-AC15-70AD9F19F4A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452627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4298</xdr:row>
      <xdr:rowOff>25400</xdr:rowOff>
    </xdr:from>
    <xdr:to>
      <xdr:col>11</xdr:col>
      <xdr:colOff>462280</xdr:colOff>
      <xdr:row>4299</xdr:row>
      <xdr:rowOff>0</xdr:rowOff>
    </xdr:to>
    <xdr:pic>
      <xdr:nvPicPr>
        <xdr:cNvPr id="16619" name="Рисунок 16618">
          <a:extLst>
            <a:ext uri="{FF2B5EF4-FFF2-40B4-BE49-F238E27FC236}">
              <a16:creationId xmlns:a16="http://schemas.microsoft.com/office/drawing/2014/main" id="{D1FE74DF-6926-4245-A62D-879B0B1A219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453198675"/>
          <a:ext cx="43688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4299</xdr:row>
      <xdr:rowOff>25400</xdr:rowOff>
    </xdr:from>
    <xdr:to>
      <xdr:col>11</xdr:col>
      <xdr:colOff>571500</xdr:colOff>
      <xdr:row>4300</xdr:row>
      <xdr:rowOff>0</xdr:rowOff>
    </xdr:to>
    <xdr:pic>
      <xdr:nvPicPr>
        <xdr:cNvPr id="16621" name="Рисунок 16620">
          <a:extLst>
            <a:ext uri="{FF2B5EF4-FFF2-40B4-BE49-F238E27FC236}">
              <a16:creationId xmlns:a16="http://schemas.microsoft.com/office/drawing/2014/main" id="{760BE376-51F8-46BB-BD01-1B125EA9258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453770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4300</xdr:row>
      <xdr:rowOff>25400</xdr:rowOff>
    </xdr:from>
    <xdr:to>
      <xdr:col>11</xdr:col>
      <xdr:colOff>462280</xdr:colOff>
      <xdr:row>4301</xdr:row>
      <xdr:rowOff>0</xdr:rowOff>
    </xdr:to>
    <xdr:pic>
      <xdr:nvPicPr>
        <xdr:cNvPr id="16623" name="Рисунок 16622">
          <a:extLst>
            <a:ext uri="{FF2B5EF4-FFF2-40B4-BE49-F238E27FC236}">
              <a16:creationId xmlns:a16="http://schemas.microsoft.com/office/drawing/2014/main" id="{259B1BBB-8693-4913-8151-7835ABB1395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4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454341675"/>
          <a:ext cx="43688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4301</xdr:row>
      <xdr:rowOff>25400</xdr:rowOff>
    </xdr:from>
    <xdr:to>
      <xdr:col>11</xdr:col>
      <xdr:colOff>571500</xdr:colOff>
      <xdr:row>4302</xdr:row>
      <xdr:rowOff>0</xdr:rowOff>
    </xdr:to>
    <xdr:pic>
      <xdr:nvPicPr>
        <xdr:cNvPr id="16625" name="Рисунок 16624">
          <a:extLst>
            <a:ext uri="{FF2B5EF4-FFF2-40B4-BE49-F238E27FC236}">
              <a16:creationId xmlns:a16="http://schemas.microsoft.com/office/drawing/2014/main" id="{6C43F245-C427-41AC-9AF8-F33DD3A2620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4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454913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4302</xdr:row>
      <xdr:rowOff>25400</xdr:rowOff>
    </xdr:from>
    <xdr:to>
      <xdr:col>11</xdr:col>
      <xdr:colOff>571500</xdr:colOff>
      <xdr:row>4303</xdr:row>
      <xdr:rowOff>0</xdr:rowOff>
    </xdr:to>
    <xdr:pic>
      <xdr:nvPicPr>
        <xdr:cNvPr id="16627" name="Рисунок 16626">
          <a:extLst>
            <a:ext uri="{FF2B5EF4-FFF2-40B4-BE49-F238E27FC236}">
              <a16:creationId xmlns:a16="http://schemas.microsoft.com/office/drawing/2014/main" id="{CE442A88-BAC4-4638-8A63-A029F86CA14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4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455484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4303</xdr:row>
      <xdr:rowOff>25400</xdr:rowOff>
    </xdr:from>
    <xdr:to>
      <xdr:col>11</xdr:col>
      <xdr:colOff>571500</xdr:colOff>
      <xdr:row>4304</xdr:row>
      <xdr:rowOff>0</xdr:rowOff>
    </xdr:to>
    <xdr:pic>
      <xdr:nvPicPr>
        <xdr:cNvPr id="16629" name="Рисунок 16628">
          <a:extLst>
            <a:ext uri="{FF2B5EF4-FFF2-40B4-BE49-F238E27FC236}">
              <a16:creationId xmlns:a16="http://schemas.microsoft.com/office/drawing/2014/main" id="{CB8C44AD-B103-4EB6-9CA2-F3CF1481D10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4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456056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4304</xdr:row>
      <xdr:rowOff>25400</xdr:rowOff>
    </xdr:from>
    <xdr:to>
      <xdr:col>11</xdr:col>
      <xdr:colOff>571500</xdr:colOff>
      <xdr:row>4305</xdr:row>
      <xdr:rowOff>0</xdr:rowOff>
    </xdr:to>
    <xdr:pic>
      <xdr:nvPicPr>
        <xdr:cNvPr id="16631" name="Рисунок 16630">
          <a:extLst>
            <a:ext uri="{FF2B5EF4-FFF2-40B4-BE49-F238E27FC236}">
              <a16:creationId xmlns:a16="http://schemas.microsoft.com/office/drawing/2014/main" id="{C50E0F76-B45D-4FC3-A016-9DB9FF22D2B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4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456627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4305</xdr:row>
      <xdr:rowOff>25400</xdr:rowOff>
    </xdr:from>
    <xdr:to>
      <xdr:col>11</xdr:col>
      <xdr:colOff>571500</xdr:colOff>
      <xdr:row>4306</xdr:row>
      <xdr:rowOff>0</xdr:rowOff>
    </xdr:to>
    <xdr:pic>
      <xdr:nvPicPr>
        <xdr:cNvPr id="16633" name="Рисунок 16632">
          <a:extLst>
            <a:ext uri="{FF2B5EF4-FFF2-40B4-BE49-F238E27FC236}">
              <a16:creationId xmlns:a16="http://schemas.microsoft.com/office/drawing/2014/main" id="{AB8DA173-DE9A-479B-B396-05E367E841F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5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457199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4306</xdr:row>
      <xdr:rowOff>25400</xdr:rowOff>
    </xdr:from>
    <xdr:to>
      <xdr:col>11</xdr:col>
      <xdr:colOff>571500</xdr:colOff>
      <xdr:row>4307</xdr:row>
      <xdr:rowOff>0</xdr:rowOff>
    </xdr:to>
    <xdr:pic>
      <xdr:nvPicPr>
        <xdr:cNvPr id="16635" name="Рисунок 16634">
          <a:extLst>
            <a:ext uri="{FF2B5EF4-FFF2-40B4-BE49-F238E27FC236}">
              <a16:creationId xmlns:a16="http://schemas.microsoft.com/office/drawing/2014/main" id="{6D0DD0F0-B6AB-4117-8A0F-064BC548093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5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457770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4307</xdr:row>
      <xdr:rowOff>25400</xdr:rowOff>
    </xdr:from>
    <xdr:to>
      <xdr:col>11</xdr:col>
      <xdr:colOff>571500</xdr:colOff>
      <xdr:row>4308</xdr:row>
      <xdr:rowOff>0</xdr:rowOff>
    </xdr:to>
    <xdr:pic>
      <xdr:nvPicPr>
        <xdr:cNvPr id="16637" name="Рисунок 16636">
          <a:extLst>
            <a:ext uri="{FF2B5EF4-FFF2-40B4-BE49-F238E27FC236}">
              <a16:creationId xmlns:a16="http://schemas.microsoft.com/office/drawing/2014/main" id="{ADAF236A-83C8-4601-B2AF-A924E8784E2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458342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4308</xdr:row>
      <xdr:rowOff>25400</xdr:rowOff>
    </xdr:from>
    <xdr:to>
      <xdr:col>11</xdr:col>
      <xdr:colOff>571500</xdr:colOff>
      <xdr:row>4309</xdr:row>
      <xdr:rowOff>0</xdr:rowOff>
    </xdr:to>
    <xdr:pic>
      <xdr:nvPicPr>
        <xdr:cNvPr id="16639" name="Рисунок 16638">
          <a:extLst>
            <a:ext uri="{FF2B5EF4-FFF2-40B4-BE49-F238E27FC236}">
              <a16:creationId xmlns:a16="http://schemas.microsoft.com/office/drawing/2014/main" id="{CA1FCF8A-079B-45EC-9BE3-77038D4B1A3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5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458913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4309</xdr:row>
      <xdr:rowOff>25400</xdr:rowOff>
    </xdr:from>
    <xdr:to>
      <xdr:col>11</xdr:col>
      <xdr:colOff>571500</xdr:colOff>
      <xdr:row>4310</xdr:row>
      <xdr:rowOff>0</xdr:rowOff>
    </xdr:to>
    <xdr:pic>
      <xdr:nvPicPr>
        <xdr:cNvPr id="16641" name="Рисунок 16640">
          <a:extLst>
            <a:ext uri="{FF2B5EF4-FFF2-40B4-BE49-F238E27FC236}">
              <a16:creationId xmlns:a16="http://schemas.microsoft.com/office/drawing/2014/main" id="{843F8DE2-B68C-41CB-B222-C3BEF9E28DB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5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459485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4310</xdr:row>
      <xdr:rowOff>25400</xdr:rowOff>
    </xdr:from>
    <xdr:to>
      <xdr:col>11</xdr:col>
      <xdr:colOff>571500</xdr:colOff>
      <xdr:row>4311</xdr:row>
      <xdr:rowOff>0</xdr:rowOff>
    </xdr:to>
    <xdr:pic>
      <xdr:nvPicPr>
        <xdr:cNvPr id="16643" name="Рисунок 16642">
          <a:extLst>
            <a:ext uri="{FF2B5EF4-FFF2-40B4-BE49-F238E27FC236}">
              <a16:creationId xmlns:a16="http://schemas.microsoft.com/office/drawing/2014/main" id="{F478028F-C81B-4FA3-938E-656B853FBE5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5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460056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4311</xdr:row>
      <xdr:rowOff>25400</xdr:rowOff>
    </xdr:from>
    <xdr:to>
      <xdr:col>11</xdr:col>
      <xdr:colOff>571500</xdr:colOff>
      <xdr:row>4312</xdr:row>
      <xdr:rowOff>0</xdr:rowOff>
    </xdr:to>
    <xdr:pic>
      <xdr:nvPicPr>
        <xdr:cNvPr id="16645" name="Рисунок 16644">
          <a:extLst>
            <a:ext uri="{FF2B5EF4-FFF2-40B4-BE49-F238E27FC236}">
              <a16:creationId xmlns:a16="http://schemas.microsoft.com/office/drawing/2014/main" id="{4C6DDF82-EAED-45F9-AF9D-6649DF6812E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5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460628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4312</xdr:row>
      <xdr:rowOff>25400</xdr:rowOff>
    </xdr:from>
    <xdr:to>
      <xdr:col>11</xdr:col>
      <xdr:colOff>571500</xdr:colOff>
      <xdr:row>4313</xdr:row>
      <xdr:rowOff>0</xdr:rowOff>
    </xdr:to>
    <xdr:pic>
      <xdr:nvPicPr>
        <xdr:cNvPr id="16647" name="Рисунок 16646">
          <a:extLst>
            <a:ext uri="{FF2B5EF4-FFF2-40B4-BE49-F238E27FC236}">
              <a16:creationId xmlns:a16="http://schemas.microsoft.com/office/drawing/2014/main" id="{A7AAEB47-0112-45A2-A8F2-BA78ECD95B6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5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461199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4313</xdr:row>
      <xdr:rowOff>25400</xdr:rowOff>
    </xdr:from>
    <xdr:to>
      <xdr:col>11</xdr:col>
      <xdr:colOff>571500</xdr:colOff>
      <xdr:row>4314</xdr:row>
      <xdr:rowOff>0</xdr:rowOff>
    </xdr:to>
    <xdr:pic>
      <xdr:nvPicPr>
        <xdr:cNvPr id="16649" name="Рисунок 16648">
          <a:extLst>
            <a:ext uri="{FF2B5EF4-FFF2-40B4-BE49-F238E27FC236}">
              <a16:creationId xmlns:a16="http://schemas.microsoft.com/office/drawing/2014/main" id="{D01B6072-4A6E-49BE-BE67-2A620DD140B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5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461771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4314</xdr:row>
      <xdr:rowOff>25400</xdr:rowOff>
    </xdr:from>
    <xdr:to>
      <xdr:col>11</xdr:col>
      <xdr:colOff>571500</xdr:colOff>
      <xdr:row>4315</xdr:row>
      <xdr:rowOff>0</xdr:rowOff>
    </xdr:to>
    <xdr:pic>
      <xdr:nvPicPr>
        <xdr:cNvPr id="16651" name="Рисунок 16650">
          <a:extLst>
            <a:ext uri="{FF2B5EF4-FFF2-40B4-BE49-F238E27FC236}">
              <a16:creationId xmlns:a16="http://schemas.microsoft.com/office/drawing/2014/main" id="{4A677B6B-29C8-45FA-80F3-DAC4FB7BC5F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5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462342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4315</xdr:row>
      <xdr:rowOff>25400</xdr:rowOff>
    </xdr:from>
    <xdr:to>
      <xdr:col>11</xdr:col>
      <xdr:colOff>571500</xdr:colOff>
      <xdr:row>4316</xdr:row>
      <xdr:rowOff>0</xdr:rowOff>
    </xdr:to>
    <xdr:pic>
      <xdr:nvPicPr>
        <xdr:cNvPr id="16653" name="Рисунок 16652">
          <a:extLst>
            <a:ext uri="{FF2B5EF4-FFF2-40B4-BE49-F238E27FC236}">
              <a16:creationId xmlns:a16="http://schemas.microsoft.com/office/drawing/2014/main" id="{CB55D493-2A0F-4B8F-B824-0A111C0C420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6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462914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4316</xdr:row>
      <xdr:rowOff>25400</xdr:rowOff>
    </xdr:from>
    <xdr:to>
      <xdr:col>11</xdr:col>
      <xdr:colOff>571500</xdr:colOff>
      <xdr:row>4317</xdr:row>
      <xdr:rowOff>0</xdr:rowOff>
    </xdr:to>
    <xdr:pic>
      <xdr:nvPicPr>
        <xdr:cNvPr id="16655" name="Рисунок 16654">
          <a:extLst>
            <a:ext uri="{FF2B5EF4-FFF2-40B4-BE49-F238E27FC236}">
              <a16:creationId xmlns:a16="http://schemas.microsoft.com/office/drawing/2014/main" id="{F617B3C8-7CBA-4CBF-B7EB-455C78AEFBE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6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463485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4317</xdr:row>
      <xdr:rowOff>25400</xdr:rowOff>
    </xdr:from>
    <xdr:to>
      <xdr:col>11</xdr:col>
      <xdr:colOff>571500</xdr:colOff>
      <xdr:row>4318</xdr:row>
      <xdr:rowOff>0</xdr:rowOff>
    </xdr:to>
    <xdr:pic>
      <xdr:nvPicPr>
        <xdr:cNvPr id="16657" name="Рисунок 16656">
          <a:extLst>
            <a:ext uri="{FF2B5EF4-FFF2-40B4-BE49-F238E27FC236}">
              <a16:creationId xmlns:a16="http://schemas.microsoft.com/office/drawing/2014/main" id="{563EAA90-70EC-4CA6-BE0A-6DD7E796E7C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6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464057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4318</xdr:row>
      <xdr:rowOff>25400</xdr:rowOff>
    </xdr:from>
    <xdr:to>
      <xdr:col>11</xdr:col>
      <xdr:colOff>571500</xdr:colOff>
      <xdr:row>4319</xdr:row>
      <xdr:rowOff>0</xdr:rowOff>
    </xdr:to>
    <xdr:pic>
      <xdr:nvPicPr>
        <xdr:cNvPr id="16659" name="Рисунок 16658">
          <a:extLst>
            <a:ext uri="{FF2B5EF4-FFF2-40B4-BE49-F238E27FC236}">
              <a16:creationId xmlns:a16="http://schemas.microsoft.com/office/drawing/2014/main" id="{A9B6207F-A649-45ED-B642-6870FFE0CD6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6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464628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4319</xdr:row>
      <xdr:rowOff>25400</xdr:rowOff>
    </xdr:from>
    <xdr:to>
      <xdr:col>11</xdr:col>
      <xdr:colOff>571500</xdr:colOff>
      <xdr:row>4320</xdr:row>
      <xdr:rowOff>0</xdr:rowOff>
    </xdr:to>
    <xdr:pic>
      <xdr:nvPicPr>
        <xdr:cNvPr id="16661" name="Рисунок 16660">
          <a:extLst>
            <a:ext uri="{FF2B5EF4-FFF2-40B4-BE49-F238E27FC236}">
              <a16:creationId xmlns:a16="http://schemas.microsoft.com/office/drawing/2014/main" id="{B8AF1A99-6E30-43DD-B464-98EEE95F71F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6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465200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4320</xdr:row>
      <xdr:rowOff>25400</xdr:rowOff>
    </xdr:from>
    <xdr:to>
      <xdr:col>11</xdr:col>
      <xdr:colOff>571500</xdr:colOff>
      <xdr:row>4321</xdr:row>
      <xdr:rowOff>0</xdr:rowOff>
    </xdr:to>
    <xdr:pic>
      <xdr:nvPicPr>
        <xdr:cNvPr id="16663" name="Рисунок 16662">
          <a:extLst>
            <a:ext uri="{FF2B5EF4-FFF2-40B4-BE49-F238E27FC236}">
              <a16:creationId xmlns:a16="http://schemas.microsoft.com/office/drawing/2014/main" id="{FA099086-E344-424F-8A97-0D28081DC1B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6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465771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4321</xdr:row>
      <xdr:rowOff>25400</xdr:rowOff>
    </xdr:from>
    <xdr:to>
      <xdr:col>11</xdr:col>
      <xdr:colOff>571500</xdr:colOff>
      <xdr:row>4322</xdr:row>
      <xdr:rowOff>0</xdr:rowOff>
    </xdr:to>
    <xdr:pic>
      <xdr:nvPicPr>
        <xdr:cNvPr id="16665" name="Рисунок 16664">
          <a:extLst>
            <a:ext uri="{FF2B5EF4-FFF2-40B4-BE49-F238E27FC236}">
              <a16:creationId xmlns:a16="http://schemas.microsoft.com/office/drawing/2014/main" id="{7C79E478-E4D7-40D4-BB16-BAF766B11B8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6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466343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4322</xdr:row>
      <xdr:rowOff>25400</xdr:rowOff>
    </xdr:from>
    <xdr:to>
      <xdr:col>11</xdr:col>
      <xdr:colOff>571500</xdr:colOff>
      <xdr:row>4323</xdr:row>
      <xdr:rowOff>0</xdr:rowOff>
    </xdr:to>
    <xdr:pic>
      <xdr:nvPicPr>
        <xdr:cNvPr id="16667" name="Рисунок 16666">
          <a:extLst>
            <a:ext uri="{FF2B5EF4-FFF2-40B4-BE49-F238E27FC236}">
              <a16:creationId xmlns:a16="http://schemas.microsoft.com/office/drawing/2014/main" id="{CAF16B32-2FE9-4BCF-896B-EAF46070123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6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466914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4323</xdr:row>
      <xdr:rowOff>25400</xdr:rowOff>
    </xdr:from>
    <xdr:to>
      <xdr:col>11</xdr:col>
      <xdr:colOff>571500</xdr:colOff>
      <xdr:row>4324</xdr:row>
      <xdr:rowOff>0</xdr:rowOff>
    </xdr:to>
    <xdr:pic>
      <xdr:nvPicPr>
        <xdr:cNvPr id="16669" name="Рисунок 16668">
          <a:extLst>
            <a:ext uri="{FF2B5EF4-FFF2-40B4-BE49-F238E27FC236}">
              <a16:creationId xmlns:a16="http://schemas.microsoft.com/office/drawing/2014/main" id="{F61C8792-D81E-4F4D-9B84-D3593523D27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6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467486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4324</xdr:row>
      <xdr:rowOff>25400</xdr:rowOff>
    </xdr:from>
    <xdr:to>
      <xdr:col>11</xdr:col>
      <xdr:colOff>571500</xdr:colOff>
      <xdr:row>4325</xdr:row>
      <xdr:rowOff>0</xdr:rowOff>
    </xdr:to>
    <xdr:pic>
      <xdr:nvPicPr>
        <xdr:cNvPr id="16671" name="Рисунок 16670">
          <a:extLst>
            <a:ext uri="{FF2B5EF4-FFF2-40B4-BE49-F238E27FC236}">
              <a16:creationId xmlns:a16="http://schemas.microsoft.com/office/drawing/2014/main" id="{A73DD9A7-E1A8-4562-ABC5-0FAFB417E8C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6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468057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4325</xdr:row>
      <xdr:rowOff>25400</xdr:rowOff>
    </xdr:from>
    <xdr:to>
      <xdr:col>11</xdr:col>
      <xdr:colOff>571500</xdr:colOff>
      <xdr:row>4326</xdr:row>
      <xdr:rowOff>0</xdr:rowOff>
    </xdr:to>
    <xdr:pic>
      <xdr:nvPicPr>
        <xdr:cNvPr id="16673" name="Рисунок 16672">
          <a:extLst>
            <a:ext uri="{FF2B5EF4-FFF2-40B4-BE49-F238E27FC236}">
              <a16:creationId xmlns:a16="http://schemas.microsoft.com/office/drawing/2014/main" id="{A0ED99BA-66CB-4098-8A02-8EAC4612C8B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7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468629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4326</xdr:row>
      <xdr:rowOff>25400</xdr:rowOff>
    </xdr:from>
    <xdr:to>
      <xdr:col>11</xdr:col>
      <xdr:colOff>571500</xdr:colOff>
      <xdr:row>4327</xdr:row>
      <xdr:rowOff>0</xdr:rowOff>
    </xdr:to>
    <xdr:pic>
      <xdr:nvPicPr>
        <xdr:cNvPr id="16675" name="Рисунок 16674">
          <a:extLst>
            <a:ext uri="{FF2B5EF4-FFF2-40B4-BE49-F238E27FC236}">
              <a16:creationId xmlns:a16="http://schemas.microsoft.com/office/drawing/2014/main" id="{E524C40D-2D31-46DB-BBBB-27745577E54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7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469200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4327</xdr:row>
      <xdr:rowOff>25400</xdr:rowOff>
    </xdr:from>
    <xdr:to>
      <xdr:col>11</xdr:col>
      <xdr:colOff>571500</xdr:colOff>
      <xdr:row>4328</xdr:row>
      <xdr:rowOff>0</xdr:rowOff>
    </xdr:to>
    <xdr:pic>
      <xdr:nvPicPr>
        <xdr:cNvPr id="16677" name="Рисунок 16676">
          <a:extLst>
            <a:ext uri="{FF2B5EF4-FFF2-40B4-BE49-F238E27FC236}">
              <a16:creationId xmlns:a16="http://schemas.microsoft.com/office/drawing/2014/main" id="{9F46DD3A-833D-47D8-8F25-4D0A44EE255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7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469772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4328</xdr:row>
      <xdr:rowOff>25400</xdr:rowOff>
    </xdr:from>
    <xdr:to>
      <xdr:col>11</xdr:col>
      <xdr:colOff>571500</xdr:colOff>
      <xdr:row>4329</xdr:row>
      <xdr:rowOff>0</xdr:rowOff>
    </xdr:to>
    <xdr:pic>
      <xdr:nvPicPr>
        <xdr:cNvPr id="16679" name="Рисунок 16678">
          <a:extLst>
            <a:ext uri="{FF2B5EF4-FFF2-40B4-BE49-F238E27FC236}">
              <a16:creationId xmlns:a16="http://schemas.microsoft.com/office/drawing/2014/main" id="{2722F967-54F1-40BF-BDD7-EAC89662059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7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470343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4329</xdr:row>
      <xdr:rowOff>25400</xdr:rowOff>
    </xdr:from>
    <xdr:to>
      <xdr:col>11</xdr:col>
      <xdr:colOff>571500</xdr:colOff>
      <xdr:row>4330</xdr:row>
      <xdr:rowOff>0</xdr:rowOff>
    </xdr:to>
    <xdr:pic>
      <xdr:nvPicPr>
        <xdr:cNvPr id="16681" name="Рисунок 16680">
          <a:extLst>
            <a:ext uri="{FF2B5EF4-FFF2-40B4-BE49-F238E27FC236}">
              <a16:creationId xmlns:a16="http://schemas.microsoft.com/office/drawing/2014/main" id="{0322E821-C713-4BC0-ADE2-C48C1FE9A0F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7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470915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4330</xdr:row>
      <xdr:rowOff>25400</xdr:rowOff>
    </xdr:from>
    <xdr:to>
      <xdr:col>11</xdr:col>
      <xdr:colOff>527812</xdr:colOff>
      <xdr:row>4331</xdr:row>
      <xdr:rowOff>0</xdr:rowOff>
    </xdr:to>
    <xdr:pic>
      <xdr:nvPicPr>
        <xdr:cNvPr id="16683" name="Рисунок 16682">
          <a:extLst>
            <a:ext uri="{FF2B5EF4-FFF2-40B4-BE49-F238E27FC236}">
              <a16:creationId xmlns:a16="http://schemas.microsoft.com/office/drawing/2014/main" id="{986F1BEC-5117-48B7-9268-D783201C9D2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7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471486675"/>
          <a:ext cx="502412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4331</xdr:row>
      <xdr:rowOff>25400</xdr:rowOff>
    </xdr:from>
    <xdr:to>
      <xdr:col>11</xdr:col>
      <xdr:colOff>571500</xdr:colOff>
      <xdr:row>4332</xdr:row>
      <xdr:rowOff>0</xdr:rowOff>
    </xdr:to>
    <xdr:pic>
      <xdr:nvPicPr>
        <xdr:cNvPr id="16685" name="Рисунок 16684">
          <a:extLst>
            <a:ext uri="{FF2B5EF4-FFF2-40B4-BE49-F238E27FC236}">
              <a16:creationId xmlns:a16="http://schemas.microsoft.com/office/drawing/2014/main" id="{C0F444A6-F101-4010-8257-052703DDAED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7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472058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4332</xdr:row>
      <xdr:rowOff>25400</xdr:rowOff>
    </xdr:from>
    <xdr:to>
      <xdr:col>11</xdr:col>
      <xdr:colOff>571500</xdr:colOff>
      <xdr:row>4333</xdr:row>
      <xdr:rowOff>0</xdr:rowOff>
    </xdr:to>
    <xdr:pic>
      <xdr:nvPicPr>
        <xdr:cNvPr id="16687" name="Рисунок 16686">
          <a:extLst>
            <a:ext uri="{FF2B5EF4-FFF2-40B4-BE49-F238E27FC236}">
              <a16:creationId xmlns:a16="http://schemas.microsoft.com/office/drawing/2014/main" id="{7E9AE9ED-E0C9-4785-8E66-13D09D054D7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7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472629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4333</xdr:row>
      <xdr:rowOff>25400</xdr:rowOff>
    </xdr:from>
    <xdr:to>
      <xdr:col>11</xdr:col>
      <xdr:colOff>571500</xdr:colOff>
      <xdr:row>4334</xdr:row>
      <xdr:rowOff>0</xdr:rowOff>
    </xdr:to>
    <xdr:pic>
      <xdr:nvPicPr>
        <xdr:cNvPr id="16689" name="Рисунок 16688">
          <a:extLst>
            <a:ext uri="{FF2B5EF4-FFF2-40B4-BE49-F238E27FC236}">
              <a16:creationId xmlns:a16="http://schemas.microsoft.com/office/drawing/2014/main" id="{5BA9B0A2-06D7-4E9A-8E46-06F5F3D1608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7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473201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4334</xdr:row>
      <xdr:rowOff>25400</xdr:rowOff>
    </xdr:from>
    <xdr:to>
      <xdr:col>11</xdr:col>
      <xdr:colOff>462280</xdr:colOff>
      <xdr:row>4335</xdr:row>
      <xdr:rowOff>0</xdr:rowOff>
    </xdr:to>
    <xdr:pic>
      <xdr:nvPicPr>
        <xdr:cNvPr id="16691" name="Рисунок 16690">
          <a:extLst>
            <a:ext uri="{FF2B5EF4-FFF2-40B4-BE49-F238E27FC236}">
              <a16:creationId xmlns:a16="http://schemas.microsoft.com/office/drawing/2014/main" id="{A09F3849-B795-4659-A332-E068186F7BB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7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473772675"/>
          <a:ext cx="43688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4335</xdr:row>
      <xdr:rowOff>25400</xdr:rowOff>
    </xdr:from>
    <xdr:to>
      <xdr:col>11</xdr:col>
      <xdr:colOff>571500</xdr:colOff>
      <xdr:row>4336</xdr:row>
      <xdr:rowOff>0</xdr:rowOff>
    </xdr:to>
    <xdr:pic>
      <xdr:nvPicPr>
        <xdr:cNvPr id="16693" name="Рисунок 16692">
          <a:extLst>
            <a:ext uri="{FF2B5EF4-FFF2-40B4-BE49-F238E27FC236}">
              <a16:creationId xmlns:a16="http://schemas.microsoft.com/office/drawing/2014/main" id="{F08FF664-3841-411B-9A53-D9A658EAC15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8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474344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4336</xdr:row>
      <xdr:rowOff>25400</xdr:rowOff>
    </xdr:from>
    <xdr:to>
      <xdr:col>11</xdr:col>
      <xdr:colOff>571500</xdr:colOff>
      <xdr:row>4337</xdr:row>
      <xdr:rowOff>0</xdr:rowOff>
    </xdr:to>
    <xdr:pic>
      <xdr:nvPicPr>
        <xdr:cNvPr id="16695" name="Рисунок 16694">
          <a:extLst>
            <a:ext uri="{FF2B5EF4-FFF2-40B4-BE49-F238E27FC236}">
              <a16:creationId xmlns:a16="http://schemas.microsoft.com/office/drawing/2014/main" id="{71FEC2B2-4657-48B5-B8FD-6E92DF551CE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8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474915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4337</xdr:row>
      <xdr:rowOff>25400</xdr:rowOff>
    </xdr:from>
    <xdr:to>
      <xdr:col>11</xdr:col>
      <xdr:colOff>571500</xdr:colOff>
      <xdr:row>4338</xdr:row>
      <xdr:rowOff>0</xdr:rowOff>
    </xdr:to>
    <xdr:pic>
      <xdr:nvPicPr>
        <xdr:cNvPr id="16697" name="Рисунок 16696">
          <a:extLst>
            <a:ext uri="{FF2B5EF4-FFF2-40B4-BE49-F238E27FC236}">
              <a16:creationId xmlns:a16="http://schemas.microsoft.com/office/drawing/2014/main" id="{9E6173D3-D716-49EC-B7DA-D2DF9DC3D79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8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475487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4338</xdr:row>
      <xdr:rowOff>25400</xdr:rowOff>
    </xdr:from>
    <xdr:to>
      <xdr:col>11</xdr:col>
      <xdr:colOff>571500</xdr:colOff>
      <xdr:row>4339</xdr:row>
      <xdr:rowOff>0</xdr:rowOff>
    </xdr:to>
    <xdr:pic>
      <xdr:nvPicPr>
        <xdr:cNvPr id="16699" name="Рисунок 16698">
          <a:extLst>
            <a:ext uri="{FF2B5EF4-FFF2-40B4-BE49-F238E27FC236}">
              <a16:creationId xmlns:a16="http://schemas.microsoft.com/office/drawing/2014/main" id="{B42BE180-2766-488B-9106-3BE5659A12F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8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476058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4339</xdr:row>
      <xdr:rowOff>25400</xdr:rowOff>
    </xdr:from>
    <xdr:to>
      <xdr:col>11</xdr:col>
      <xdr:colOff>571500</xdr:colOff>
      <xdr:row>4340</xdr:row>
      <xdr:rowOff>0</xdr:rowOff>
    </xdr:to>
    <xdr:pic>
      <xdr:nvPicPr>
        <xdr:cNvPr id="16701" name="Рисунок 16700">
          <a:extLst>
            <a:ext uri="{FF2B5EF4-FFF2-40B4-BE49-F238E27FC236}">
              <a16:creationId xmlns:a16="http://schemas.microsoft.com/office/drawing/2014/main" id="{D157BE0A-CD9B-42F7-8D30-6E6A3977A89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8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476630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4340</xdr:row>
      <xdr:rowOff>25400</xdr:rowOff>
    </xdr:from>
    <xdr:to>
      <xdr:col>11</xdr:col>
      <xdr:colOff>571500</xdr:colOff>
      <xdr:row>4341</xdr:row>
      <xdr:rowOff>0</xdr:rowOff>
    </xdr:to>
    <xdr:pic>
      <xdr:nvPicPr>
        <xdr:cNvPr id="16703" name="Рисунок 16702">
          <a:extLst>
            <a:ext uri="{FF2B5EF4-FFF2-40B4-BE49-F238E27FC236}">
              <a16:creationId xmlns:a16="http://schemas.microsoft.com/office/drawing/2014/main" id="{BFBAC903-095F-4A83-B81E-F6D2793178F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8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477201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4341</xdr:row>
      <xdr:rowOff>25400</xdr:rowOff>
    </xdr:from>
    <xdr:to>
      <xdr:col>11</xdr:col>
      <xdr:colOff>571500</xdr:colOff>
      <xdr:row>4342</xdr:row>
      <xdr:rowOff>0</xdr:rowOff>
    </xdr:to>
    <xdr:pic>
      <xdr:nvPicPr>
        <xdr:cNvPr id="16705" name="Рисунок 16704">
          <a:extLst>
            <a:ext uri="{FF2B5EF4-FFF2-40B4-BE49-F238E27FC236}">
              <a16:creationId xmlns:a16="http://schemas.microsoft.com/office/drawing/2014/main" id="{7B5B891D-37AB-4610-B59A-E77F8BC10B0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8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477773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4342</xdr:row>
      <xdr:rowOff>25400</xdr:rowOff>
    </xdr:from>
    <xdr:to>
      <xdr:col>11</xdr:col>
      <xdr:colOff>571500</xdr:colOff>
      <xdr:row>4343</xdr:row>
      <xdr:rowOff>0</xdr:rowOff>
    </xdr:to>
    <xdr:pic>
      <xdr:nvPicPr>
        <xdr:cNvPr id="16707" name="Рисунок 16706">
          <a:extLst>
            <a:ext uri="{FF2B5EF4-FFF2-40B4-BE49-F238E27FC236}">
              <a16:creationId xmlns:a16="http://schemas.microsoft.com/office/drawing/2014/main" id="{0C2394E7-64B1-4ABC-9834-FF98A1FDA2C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8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478344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4343</xdr:row>
      <xdr:rowOff>25400</xdr:rowOff>
    </xdr:from>
    <xdr:to>
      <xdr:col>11</xdr:col>
      <xdr:colOff>571500</xdr:colOff>
      <xdr:row>4344</xdr:row>
      <xdr:rowOff>0</xdr:rowOff>
    </xdr:to>
    <xdr:pic>
      <xdr:nvPicPr>
        <xdr:cNvPr id="16709" name="Рисунок 16708">
          <a:extLst>
            <a:ext uri="{FF2B5EF4-FFF2-40B4-BE49-F238E27FC236}">
              <a16:creationId xmlns:a16="http://schemas.microsoft.com/office/drawing/2014/main" id="{440401A7-9C76-4C7E-9B44-09E5609BA81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8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478916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4344</xdr:row>
      <xdr:rowOff>25400</xdr:rowOff>
    </xdr:from>
    <xdr:to>
      <xdr:col>11</xdr:col>
      <xdr:colOff>571500</xdr:colOff>
      <xdr:row>4345</xdr:row>
      <xdr:rowOff>0</xdr:rowOff>
    </xdr:to>
    <xdr:pic>
      <xdr:nvPicPr>
        <xdr:cNvPr id="16711" name="Рисунок 16710">
          <a:extLst>
            <a:ext uri="{FF2B5EF4-FFF2-40B4-BE49-F238E27FC236}">
              <a16:creationId xmlns:a16="http://schemas.microsoft.com/office/drawing/2014/main" id="{8DAE3CE6-8C46-431E-94A9-7222367A5F6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8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479487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4345</xdr:row>
      <xdr:rowOff>25400</xdr:rowOff>
    </xdr:from>
    <xdr:to>
      <xdr:col>11</xdr:col>
      <xdr:colOff>571500</xdr:colOff>
      <xdr:row>4346</xdr:row>
      <xdr:rowOff>0</xdr:rowOff>
    </xdr:to>
    <xdr:pic>
      <xdr:nvPicPr>
        <xdr:cNvPr id="16713" name="Рисунок 16712">
          <a:extLst>
            <a:ext uri="{FF2B5EF4-FFF2-40B4-BE49-F238E27FC236}">
              <a16:creationId xmlns:a16="http://schemas.microsoft.com/office/drawing/2014/main" id="{701722A3-66DC-4939-8817-146E266E9AC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9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480059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4346</xdr:row>
      <xdr:rowOff>25400</xdr:rowOff>
    </xdr:from>
    <xdr:to>
      <xdr:col>11</xdr:col>
      <xdr:colOff>571500</xdr:colOff>
      <xdr:row>4347</xdr:row>
      <xdr:rowOff>0</xdr:rowOff>
    </xdr:to>
    <xdr:pic>
      <xdr:nvPicPr>
        <xdr:cNvPr id="16715" name="Рисунок 16714">
          <a:extLst>
            <a:ext uri="{FF2B5EF4-FFF2-40B4-BE49-F238E27FC236}">
              <a16:creationId xmlns:a16="http://schemas.microsoft.com/office/drawing/2014/main" id="{F4A0F586-875D-48D6-9E99-3BD99C27FC1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9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480630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4347</xdr:row>
      <xdr:rowOff>25400</xdr:rowOff>
    </xdr:from>
    <xdr:to>
      <xdr:col>11</xdr:col>
      <xdr:colOff>571500</xdr:colOff>
      <xdr:row>4348</xdr:row>
      <xdr:rowOff>0</xdr:rowOff>
    </xdr:to>
    <xdr:pic>
      <xdr:nvPicPr>
        <xdr:cNvPr id="16717" name="Рисунок 16716">
          <a:extLst>
            <a:ext uri="{FF2B5EF4-FFF2-40B4-BE49-F238E27FC236}">
              <a16:creationId xmlns:a16="http://schemas.microsoft.com/office/drawing/2014/main" id="{3DDD8291-C755-49E2-94EF-6C437D4FA21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9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481202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4348</xdr:row>
      <xdr:rowOff>25400</xdr:rowOff>
    </xdr:from>
    <xdr:to>
      <xdr:col>11</xdr:col>
      <xdr:colOff>571500</xdr:colOff>
      <xdr:row>4349</xdr:row>
      <xdr:rowOff>0</xdr:rowOff>
    </xdr:to>
    <xdr:pic>
      <xdr:nvPicPr>
        <xdr:cNvPr id="16719" name="Рисунок 16718">
          <a:extLst>
            <a:ext uri="{FF2B5EF4-FFF2-40B4-BE49-F238E27FC236}">
              <a16:creationId xmlns:a16="http://schemas.microsoft.com/office/drawing/2014/main" id="{830E7D43-D5A8-4476-AFA5-F327A087B1C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9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481773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4349</xdr:row>
      <xdr:rowOff>25400</xdr:rowOff>
    </xdr:from>
    <xdr:to>
      <xdr:col>11</xdr:col>
      <xdr:colOff>571500</xdr:colOff>
      <xdr:row>4350</xdr:row>
      <xdr:rowOff>0</xdr:rowOff>
    </xdr:to>
    <xdr:pic>
      <xdr:nvPicPr>
        <xdr:cNvPr id="16721" name="Рисунок 16720">
          <a:extLst>
            <a:ext uri="{FF2B5EF4-FFF2-40B4-BE49-F238E27FC236}">
              <a16:creationId xmlns:a16="http://schemas.microsoft.com/office/drawing/2014/main" id="{4273B18E-2E96-446A-AFCB-4D74E915DCE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9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482345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4350</xdr:row>
      <xdr:rowOff>25400</xdr:rowOff>
    </xdr:from>
    <xdr:to>
      <xdr:col>11</xdr:col>
      <xdr:colOff>571500</xdr:colOff>
      <xdr:row>4351</xdr:row>
      <xdr:rowOff>0</xdr:rowOff>
    </xdr:to>
    <xdr:pic>
      <xdr:nvPicPr>
        <xdr:cNvPr id="16723" name="Рисунок 16722">
          <a:extLst>
            <a:ext uri="{FF2B5EF4-FFF2-40B4-BE49-F238E27FC236}">
              <a16:creationId xmlns:a16="http://schemas.microsoft.com/office/drawing/2014/main" id="{F45E2F71-3EA4-4189-88DF-A5FFA67EB9B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9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482916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4351</xdr:row>
      <xdr:rowOff>25400</xdr:rowOff>
    </xdr:from>
    <xdr:to>
      <xdr:col>11</xdr:col>
      <xdr:colOff>571500</xdr:colOff>
      <xdr:row>4352</xdr:row>
      <xdr:rowOff>0</xdr:rowOff>
    </xdr:to>
    <xdr:pic>
      <xdr:nvPicPr>
        <xdr:cNvPr id="16725" name="Рисунок 16724">
          <a:extLst>
            <a:ext uri="{FF2B5EF4-FFF2-40B4-BE49-F238E27FC236}">
              <a16:creationId xmlns:a16="http://schemas.microsoft.com/office/drawing/2014/main" id="{F8C3D8F8-4341-4238-AD61-D3DF783D980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9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483488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4352</xdr:row>
      <xdr:rowOff>25400</xdr:rowOff>
    </xdr:from>
    <xdr:to>
      <xdr:col>11</xdr:col>
      <xdr:colOff>571500</xdr:colOff>
      <xdr:row>4353</xdr:row>
      <xdr:rowOff>0</xdr:rowOff>
    </xdr:to>
    <xdr:pic>
      <xdr:nvPicPr>
        <xdr:cNvPr id="16727" name="Рисунок 16726">
          <a:extLst>
            <a:ext uri="{FF2B5EF4-FFF2-40B4-BE49-F238E27FC236}">
              <a16:creationId xmlns:a16="http://schemas.microsoft.com/office/drawing/2014/main" id="{E9DC6374-F415-44EB-9947-6A9E275808F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9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484059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4353</xdr:row>
      <xdr:rowOff>25400</xdr:rowOff>
    </xdr:from>
    <xdr:to>
      <xdr:col>11</xdr:col>
      <xdr:colOff>571500</xdr:colOff>
      <xdr:row>4354</xdr:row>
      <xdr:rowOff>0</xdr:rowOff>
    </xdr:to>
    <xdr:pic>
      <xdr:nvPicPr>
        <xdr:cNvPr id="16729" name="Рисунок 16728">
          <a:extLst>
            <a:ext uri="{FF2B5EF4-FFF2-40B4-BE49-F238E27FC236}">
              <a16:creationId xmlns:a16="http://schemas.microsoft.com/office/drawing/2014/main" id="{6DA3D4CC-0DCC-4253-B82C-0335EAC8AB4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9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484631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4354</xdr:row>
      <xdr:rowOff>25400</xdr:rowOff>
    </xdr:from>
    <xdr:to>
      <xdr:col>11</xdr:col>
      <xdr:colOff>571500</xdr:colOff>
      <xdr:row>4355</xdr:row>
      <xdr:rowOff>0</xdr:rowOff>
    </xdr:to>
    <xdr:pic>
      <xdr:nvPicPr>
        <xdr:cNvPr id="16731" name="Рисунок 16730">
          <a:extLst>
            <a:ext uri="{FF2B5EF4-FFF2-40B4-BE49-F238E27FC236}">
              <a16:creationId xmlns:a16="http://schemas.microsoft.com/office/drawing/2014/main" id="{33F72503-331E-4A65-AA0C-21CEDF105FD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29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485202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4355</xdr:row>
      <xdr:rowOff>25400</xdr:rowOff>
    </xdr:from>
    <xdr:to>
      <xdr:col>11</xdr:col>
      <xdr:colOff>571500</xdr:colOff>
      <xdr:row>4356</xdr:row>
      <xdr:rowOff>0</xdr:rowOff>
    </xdr:to>
    <xdr:pic>
      <xdr:nvPicPr>
        <xdr:cNvPr id="16733" name="Рисунок 16732">
          <a:extLst>
            <a:ext uri="{FF2B5EF4-FFF2-40B4-BE49-F238E27FC236}">
              <a16:creationId xmlns:a16="http://schemas.microsoft.com/office/drawing/2014/main" id="{EE504C5D-8A2A-4CF4-A054-E9DB160B67E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0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485774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4356</xdr:row>
      <xdr:rowOff>25400</xdr:rowOff>
    </xdr:from>
    <xdr:to>
      <xdr:col>11</xdr:col>
      <xdr:colOff>571500</xdr:colOff>
      <xdr:row>4357</xdr:row>
      <xdr:rowOff>0</xdr:rowOff>
    </xdr:to>
    <xdr:pic>
      <xdr:nvPicPr>
        <xdr:cNvPr id="16735" name="Рисунок 16734">
          <a:extLst>
            <a:ext uri="{FF2B5EF4-FFF2-40B4-BE49-F238E27FC236}">
              <a16:creationId xmlns:a16="http://schemas.microsoft.com/office/drawing/2014/main" id="{6ADE7AE8-1692-40F0-9154-11180F0B877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0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486345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4357</xdr:row>
      <xdr:rowOff>25400</xdr:rowOff>
    </xdr:from>
    <xdr:to>
      <xdr:col>11</xdr:col>
      <xdr:colOff>571500</xdr:colOff>
      <xdr:row>4358</xdr:row>
      <xdr:rowOff>0</xdr:rowOff>
    </xdr:to>
    <xdr:pic>
      <xdr:nvPicPr>
        <xdr:cNvPr id="16737" name="Рисунок 16736">
          <a:extLst>
            <a:ext uri="{FF2B5EF4-FFF2-40B4-BE49-F238E27FC236}">
              <a16:creationId xmlns:a16="http://schemas.microsoft.com/office/drawing/2014/main" id="{2DA9CF9F-5AA5-47B9-87D8-915BE5CDCB6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0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486917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4358</xdr:row>
      <xdr:rowOff>25400</xdr:rowOff>
    </xdr:from>
    <xdr:to>
      <xdr:col>11</xdr:col>
      <xdr:colOff>571500</xdr:colOff>
      <xdr:row>4359</xdr:row>
      <xdr:rowOff>0</xdr:rowOff>
    </xdr:to>
    <xdr:pic>
      <xdr:nvPicPr>
        <xdr:cNvPr id="16739" name="Рисунок 16738">
          <a:extLst>
            <a:ext uri="{FF2B5EF4-FFF2-40B4-BE49-F238E27FC236}">
              <a16:creationId xmlns:a16="http://schemas.microsoft.com/office/drawing/2014/main" id="{2A4D4A0B-F694-448B-8252-FE18535D1C6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0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487488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4359</xdr:row>
      <xdr:rowOff>25400</xdr:rowOff>
    </xdr:from>
    <xdr:to>
      <xdr:col>11</xdr:col>
      <xdr:colOff>571500</xdr:colOff>
      <xdr:row>4360</xdr:row>
      <xdr:rowOff>0</xdr:rowOff>
    </xdr:to>
    <xdr:pic>
      <xdr:nvPicPr>
        <xdr:cNvPr id="16741" name="Рисунок 16740">
          <a:extLst>
            <a:ext uri="{FF2B5EF4-FFF2-40B4-BE49-F238E27FC236}">
              <a16:creationId xmlns:a16="http://schemas.microsoft.com/office/drawing/2014/main" id="{4098B42D-D716-4319-A909-34691F7608D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0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488060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4360</xdr:row>
      <xdr:rowOff>25400</xdr:rowOff>
    </xdr:from>
    <xdr:to>
      <xdr:col>11</xdr:col>
      <xdr:colOff>571500</xdr:colOff>
      <xdr:row>4361</xdr:row>
      <xdr:rowOff>0</xdr:rowOff>
    </xdr:to>
    <xdr:pic>
      <xdr:nvPicPr>
        <xdr:cNvPr id="16743" name="Рисунок 16742">
          <a:extLst>
            <a:ext uri="{FF2B5EF4-FFF2-40B4-BE49-F238E27FC236}">
              <a16:creationId xmlns:a16="http://schemas.microsoft.com/office/drawing/2014/main" id="{0A15C5D6-8E87-45AF-B1C9-3A3F63C1362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0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488631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4361</xdr:row>
      <xdr:rowOff>25400</xdr:rowOff>
    </xdr:from>
    <xdr:to>
      <xdr:col>11</xdr:col>
      <xdr:colOff>571500</xdr:colOff>
      <xdr:row>4362</xdr:row>
      <xdr:rowOff>0</xdr:rowOff>
    </xdr:to>
    <xdr:pic>
      <xdr:nvPicPr>
        <xdr:cNvPr id="16745" name="Рисунок 16744">
          <a:extLst>
            <a:ext uri="{FF2B5EF4-FFF2-40B4-BE49-F238E27FC236}">
              <a16:creationId xmlns:a16="http://schemas.microsoft.com/office/drawing/2014/main" id="{DD09704C-C159-4555-BAAC-357F70441E2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0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489203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4362</xdr:row>
      <xdr:rowOff>25400</xdr:rowOff>
    </xdr:from>
    <xdr:to>
      <xdr:col>11</xdr:col>
      <xdr:colOff>571500</xdr:colOff>
      <xdr:row>4363</xdr:row>
      <xdr:rowOff>0</xdr:rowOff>
    </xdr:to>
    <xdr:pic>
      <xdr:nvPicPr>
        <xdr:cNvPr id="16747" name="Рисунок 16746">
          <a:extLst>
            <a:ext uri="{FF2B5EF4-FFF2-40B4-BE49-F238E27FC236}">
              <a16:creationId xmlns:a16="http://schemas.microsoft.com/office/drawing/2014/main" id="{6575617A-5FC8-437E-B474-E3B477777A8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0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489774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4363</xdr:row>
      <xdr:rowOff>25400</xdr:rowOff>
    </xdr:from>
    <xdr:to>
      <xdr:col>11</xdr:col>
      <xdr:colOff>571500</xdr:colOff>
      <xdr:row>4364</xdr:row>
      <xdr:rowOff>0</xdr:rowOff>
    </xdr:to>
    <xdr:pic>
      <xdr:nvPicPr>
        <xdr:cNvPr id="16749" name="Рисунок 16748">
          <a:extLst>
            <a:ext uri="{FF2B5EF4-FFF2-40B4-BE49-F238E27FC236}">
              <a16:creationId xmlns:a16="http://schemas.microsoft.com/office/drawing/2014/main" id="{479F7808-7AEF-4739-8B1F-9374AB740C0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0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490346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4364</xdr:row>
      <xdr:rowOff>25400</xdr:rowOff>
    </xdr:from>
    <xdr:to>
      <xdr:col>11</xdr:col>
      <xdr:colOff>571500</xdr:colOff>
      <xdr:row>4365</xdr:row>
      <xdr:rowOff>0</xdr:rowOff>
    </xdr:to>
    <xdr:pic>
      <xdr:nvPicPr>
        <xdr:cNvPr id="16751" name="Рисунок 16750">
          <a:extLst>
            <a:ext uri="{FF2B5EF4-FFF2-40B4-BE49-F238E27FC236}">
              <a16:creationId xmlns:a16="http://schemas.microsoft.com/office/drawing/2014/main" id="{563A3727-FE71-4213-AF22-85270D34F56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0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490917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4365</xdr:row>
      <xdr:rowOff>25400</xdr:rowOff>
    </xdr:from>
    <xdr:to>
      <xdr:col>11</xdr:col>
      <xdr:colOff>571500</xdr:colOff>
      <xdr:row>4366</xdr:row>
      <xdr:rowOff>0</xdr:rowOff>
    </xdr:to>
    <xdr:pic>
      <xdr:nvPicPr>
        <xdr:cNvPr id="16753" name="Рисунок 16752">
          <a:extLst>
            <a:ext uri="{FF2B5EF4-FFF2-40B4-BE49-F238E27FC236}">
              <a16:creationId xmlns:a16="http://schemas.microsoft.com/office/drawing/2014/main" id="{35D36AB0-7292-4532-B4E7-D3D657E3EE1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491489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4366</xdr:row>
      <xdr:rowOff>25400</xdr:rowOff>
    </xdr:from>
    <xdr:to>
      <xdr:col>11</xdr:col>
      <xdr:colOff>571500</xdr:colOff>
      <xdr:row>4367</xdr:row>
      <xdr:rowOff>0</xdr:rowOff>
    </xdr:to>
    <xdr:pic>
      <xdr:nvPicPr>
        <xdr:cNvPr id="16755" name="Рисунок 16754">
          <a:extLst>
            <a:ext uri="{FF2B5EF4-FFF2-40B4-BE49-F238E27FC236}">
              <a16:creationId xmlns:a16="http://schemas.microsoft.com/office/drawing/2014/main" id="{BD972AAC-6E00-4987-BC0E-7F561365DC7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492060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4367</xdr:row>
      <xdr:rowOff>25400</xdr:rowOff>
    </xdr:from>
    <xdr:to>
      <xdr:col>11</xdr:col>
      <xdr:colOff>571500</xdr:colOff>
      <xdr:row>4368</xdr:row>
      <xdr:rowOff>0</xdr:rowOff>
    </xdr:to>
    <xdr:pic>
      <xdr:nvPicPr>
        <xdr:cNvPr id="16757" name="Рисунок 16756">
          <a:extLst>
            <a:ext uri="{FF2B5EF4-FFF2-40B4-BE49-F238E27FC236}">
              <a16:creationId xmlns:a16="http://schemas.microsoft.com/office/drawing/2014/main" id="{D43FE01A-2021-41F1-90E9-3D6313EEC29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492632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4368</xdr:row>
      <xdr:rowOff>25400</xdr:rowOff>
    </xdr:from>
    <xdr:to>
      <xdr:col>11</xdr:col>
      <xdr:colOff>571500</xdr:colOff>
      <xdr:row>4369</xdr:row>
      <xdr:rowOff>0</xdr:rowOff>
    </xdr:to>
    <xdr:pic>
      <xdr:nvPicPr>
        <xdr:cNvPr id="16759" name="Рисунок 16758">
          <a:extLst>
            <a:ext uri="{FF2B5EF4-FFF2-40B4-BE49-F238E27FC236}">
              <a16:creationId xmlns:a16="http://schemas.microsoft.com/office/drawing/2014/main" id="{81F30058-A00B-447B-AEC1-6F9685BD8DF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493203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4369</xdr:row>
      <xdr:rowOff>25400</xdr:rowOff>
    </xdr:from>
    <xdr:to>
      <xdr:col>11</xdr:col>
      <xdr:colOff>571500</xdr:colOff>
      <xdr:row>4370</xdr:row>
      <xdr:rowOff>0</xdr:rowOff>
    </xdr:to>
    <xdr:pic>
      <xdr:nvPicPr>
        <xdr:cNvPr id="16761" name="Рисунок 16760">
          <a:extLst>
            <a:ext uri="{FF2B5EF4-FFF2-40B4-BE49-F238E27FC236}">
              <a16:creationId xmlns:a16="http://schemas.microsoft.com/office/drawing/2014/main" id="{4B725718-FEE6-4F29-9961-9CA5B9FCC6F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493775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4370</xdr:row>
      <xdr:rowOff>25400</xdr:rowOff>
    </xdr:from>
    <xdr:to>
      <xdr:col>11</xdr:col>
      <xdr:colOff>571500</xdr:colOff>
      <xdr:row>4371</xdr:row>
      <xdr:rowOff>0</xdr:rowOff>
    </xdr:to>
    <xdr:pic>
      <xdr:nvPicPr>
        <xdr:cNvPr id="16763" name="Рисунок 16762">
          <a:extLst>
            <a:ext uri="{FF2B5EF4-FFF2-40B4-BE49-F238E27FC236}">
              <a16:creationId xmlns:a16="http://schemas.microsoft.com/office/drawing/2014/main" id="{10D89083-3E14-478A-84CA-31D1D6AE720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494346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4371</xdr:row>
      <xdr:rowOff>25400</xdr:rowOff>
    </xdr:from>
    <xdr:to>
      <xdr:col>11</xdr:col>
      <xdr:colOff>571500</xdr:colOff>
      <xdr:row>4372</xdr:row>
      <xdr:rowOff>0</xdr:rowOff>
    </xdr:to>
    <xdr:pic>
      <xdr:nvPicPr>
        <xdr:cNvPr id="16765" name="Рисунок 16764">
          <a:extLst>
            <a:ext uri="{FF2B5EF4-FFF2-40B4-BE49-F238E27FC236}">
              <a16:creationId xmlns:a16="http://schemas.microsoft.com/office/drawing/2014/main" id="{05620983-1C08-4542-BDEA-55F1A413314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494918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4372</xdr:row>
      <xdr:rowOff>25400</xdr:rowOff>
    </xdr:from>
    <xdr:to>
      <xdr:col>11</xdr:col>
      <xdr:colOff>571500</xdr:colOff>
      <xdr:row>4373</xdr:row>
      <xdr:rowOff>0</xdr:rowOff>
    </xdr:to>
    <xdr:pic>
      <xdr:nvPicPr>
        <xdr:cNvPr id="16767" name="Рисунок 16766">
          <a:extLst>
            <a:ext uri="{FF2B5EF4-FFF2-40B4-BE49-F238E27FC236}">
              <a16:creationId xmlns:a16="http://schemas.microsoft.com/office/drawing/2014/main" id="{88B39974-04E1-47A7-9521-22295E1E582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495489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4373</xdr:row>
      <xdr:rowOff>25400</xdr:rowOff>
    </xdr:from>
    <xdr:to>
      <xdr:col>11</xdr:col>
      <xdr:colOff>571500</xdr:colOff>
      <xdr:row>4374</xdr:row>
      <xdr:rowOff>0</xdr:rowOff>
    </xdr:to>
    <xdr:pic>
      <xdr:nvPicPr>
        <xdr:cNvPr id="16769" name="Рисунок 16768">
          <a:extLst>
            <a:ext uri="{FF2B5EF4-FFF2-40B4-BE49-F238E27FC236}">
              <a16:creationId xmlns:a16="http://schemas.microsoft.com/office/drawing/2014/main" id="{065F0631-F149-48B5-860D-B70F1DC9E69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496061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4374</xdr:row>
      <xdr:rowOff>25400</xdr:rowOff>
    </xdr:from>
    <xdr:to>
      <xdr:col>11</xdr:col>
      <xdr:colOff>571500</xdr:colOff>
      <xdr:row>4375</xdr:row>
      <xdr:rowOff>0</xdr:rowOff>
    </xdr:to>
    <xdr:pic>
      <xdr:nvPicPr>
        <xdr:cNvPr id="16771" name="Рисунок 16770">
          <a:extLst>
            <a:ext uri="{FF2B5EF4-FFF2-40B4-BE49-F238E27FC236}">
              <a16:creationId xmlns:a16="http://schemas.microsoft.com/office/drawing/2014/main" id="{B22687E2-2797-462E-B5E2-6A24706AC30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496632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4375</xdr:row>
      <xdr:rowOff>25400</xdr:rowOff>
    </xdr:from>
    <xdr:to>
      <xdr:col>11</xdr:col>
      <xdr:colOff>571500</xdr:colOff>
      <xdr:row>4376</xdr:row>
      <xdr:rowOff>0</xdr:rowOff>
    </xdr:to>
    <xdr:pic>
      <xdr:nvPicPr>
        <xdr:cNvPr id="16773" name="Рисунок 16772">
          <a:extLst>
            <a:ext uri="{FF2B5EF4-FFF2-40B4-BE49-F238E27FC236}">
              <a16:creationId xmlns:a16="http://schemas.microsoft.com/office/drawing/2014/main" id="{EA69BD1A-3D0B-43E3-B4BD-C28D89E329E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497204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4376</xdr:row>
      <xdr:rowOff>25400</xdr:rowOff>
    </xdr:from>
    <xdr:to>
      <xdr:col>11</xdr:col>
      <xdr:colOff>571500</xdr:colOff>
      <xdr:row>4377</xdr:row>
      <xdr:rowOff>0</xdr:rowOff>
    </xdr:to>
    <xdr:pic>
      <xdr:nvPicPr>
        <xdr:cNvPr id="16775" name="Рисунок 16774">
          <a:extLst>
            <a:ext uri="{FF2B5EF4-FFF2-40B4-BE49-F238E27FC236}">
              <a16:creationId xmlns:a16="http://schemas.microsoft.com/office/drawing/2014/main" id="{7CFD5473-BB34-4D36-9A09-58CE658557B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497775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4377</xdr:row>
      <xdr:rowOff>25400</xdr:rowOff>
    </xdr:from>
    <xdr:to>
      <xdr:col>11</xdr:col>
      <xdr:colOff>571500</xdr:colOff>
      <xdr:row>4378</xdr:row>
      <xdr:rowOff>0</xdr:rowOff>
    </xdr:to>
    <xdr:pic>
      <xdr:nvPicPr>
        <xdr:cNvPr id="16777" name="Рисунок 16776">
          <a:extLst>
            <a:ext uri="{FF2B5EF4-FFF2-40B4-BE49-F238E27FC236}">
              <a16:creationId xmlns:a16="http://schemas.microsoft.com/office/drawing/2014/main" id="{A0310679-5B60-40A7-AE2C-C8018584217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498347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4378</xdr:row>
      <xdr:rowOff>25400</xdr:rowOff>
    </xdr:from>
    <xdr:to>
      <xdr:col>11</xdr:col>
      <xdr:colOff>571500</xdr:colOff>
      <xdr:row>4379</xdr:row>
      <xdr:rowOff>0</xdr:rowOff>
    </xdr:to>
    <xdr:pic>
      <xdr:nvPicPr>
        <xdr:cNvPr id="16779" name="Рисунок 16778">
          <a:extLst>
            <a:ext uri="{FF2B5EF4-FFF2-40B4-BE49-F238E27FC236}">
              <a16:creationId xmlns:a16="http://schemas.microsoft.com/office/drawing/2014/main" id="{F3A22F82-9B9E-4D2E-9F3C-BB2DC3E025F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498918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4379</xdr:row>
      <xdr:rowOff>25400</xdr:rowOff>
    </xdr:from>
    <xdr:to>
      <xdr:col>11</xdr:col>
      <xdr:colOff>571500</xdr:colOff>
      <xdr:row>4380</xdr:row>
      <xdr:rowOff>0</xdr:rowOff>
    </xdr:to>
    <xdr:pic>
      <xdr:nvPicPr>
        <xdr:cNvPr id="16781" name="Рисунок 16780">
          <a:extLst>
            <a:ext uri="{FF2B5EF4-FFF2-40B4-BE49-F238E27FC236}">
              <a16:creationId xmlns:a16="http://schemas.microsoft.com/office/drawing/2014/main" id="{AF9C2CF8-B4C6-4D2A-8531-3C3869DC86A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499490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4380</xdr:row>
      <xdr:rowOff>25400</xdr:rowOff>
    </xdr:from>
    <xdr:to>
      <xdr:col>11</xdr:col>
      <xdr:colOff>571500</xdr:colOff>
      <xdr:row>4381</xdr:row>
      <xdr:rowOff>0</xdr:rowOff>
    </xdr:to>
    <xdr:pic>
      <xdr:nvPicPr>
        <xdr:cNvPr id="16783" name="Рисунок 16782">
          <a:extLst>
            <a:ext uri="{FF2B5EF4-FFF2-40B4-BE49-F238E27FC236}">
              <a16:creationId xmlns:a16="http://schemas.microsoft.com/office/drawing/2014/main" id="{01A4E7E7-3D19-472C-AAFD-3D7020007B0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500061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4381</xdr:row>
      <xdr:rowOff>25400</xdr:rowOff>
    </xdr:from>
    <xdr:to>
      <xdr:col>11</xdr:col>
      <xdr:colOff>571500</xdr:colOff>
      <xdr:row>4382</xdr:row>
      <xdr:rowOff>0</xdr:rowOff>
    </xdr:to>
    <xdr:pic>
      <xdr:nvPicPr>
        <xdr:cNvPr id="16785" name="Рисунок 16784">
          <a:extLst>
            <a:ext uri="{FF2B5EF4-FFF2-40B4-BE49-F238E27FC236}">
              <a16:creationId xmlns:a16="http://schemas.microsoft.com/office/drawing/2014/main" id="{7379B3C1-98FE-4D98-B802-F00533D3A58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500633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4382</xdr:row>
      <xdr:rowOff>25400</xdr:rowOff>
    </xdr:from>
    <xdr:to>
      <xdr:col>11</xdr:col>
      <xdr:colOff>571500</xdr:colOff>
      <xdr:row>4383</xdr:row>
      <xdr:rowOff>0</xdr:rowOff>
    </xdr:to>
    <xdr:pic>
      <xdr:nvPicPr>
        <xdr:cNvPr id="16787" name="Рисунок 16786">
          <a:extLst>
            <a:ext uri="{FF2B5EF4-FFF2-40B4-BE49-F238E27FC236}">
              <a16:creationId xmlns:a16="http://schemas.microsoft.com/office/drawing/2014/main" id="{F4B2AAFB-547A-4D73-81B2-A290A054B08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501204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4383</xdr:row>
      <xdr:rowOff>25400</xdr:rowOff>
    </xdr:from>
    <xdr:to>
      <xdr:col>11</xdr:col>
      <xdr:colOff>571500</xdr:colOff>
      <xdr:row>4384</xdr:row>
      <xdr:rowOff>0</xdr:rowOff>
    </xdr:to>
    <xdr:pic>
      <xdr:nvPicPr>
        <xdr:cNvPr id="16789" name="Рисунок 16788">
          <a:extLst>
            <a:ext uri="{FF2B5EF4-FFF2-40B4-BE49-F238E27FC236}">
              <a16:creationId xmlns:a16="http://schemas.microsoft.com/office/drawing/2014/main" id="{8217AAC3-77AC-4392-B590-F91613D8691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501776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4384</xdr:row>
      <xdr:rowOff>25400</xdr:rowOff>
    </xdr:from>
    <xdr:to>
      <xdr:col>11</xdr:col>
      <xdr:colOff>571500</xdr:colOff>
      <xdr:row>4385</xdr:row>
      <xdr:rowOff>0</xdr:rowOff>
    </xdr:to>
    <xdr:pic>
      <xdr:nvPicPr>
        <xdr:cNvPr id="16791" name="Рисунок 16790">
          <a:extLst>
            <a:ext uri="{FF2B5EF4-FFF2-40B4-BE49-F238E27FC236}">
              <a16:creationId xmlns:a16="http://schemas.microsoft.com/office/drawing/2014/main" id="{73A4F8B7-9BD8-4C4D-8926-AC4152A787A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502347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4385</xdr:row>
      <xdr:rowOff>25400</xdr:rowOff>
    </xdr:from>
    <xdr:to>
      <xdr:col>11</xdr:col>
      <xdr:colOff>571500</xdr:colOff>
      <xdr:row>4386</xdr:row>
      <xdr:rowOff>0</xdr:rowOff>
    </xdr:to>
    <xdr:pic>
      <xdr:nvPicPr>
        <xdr:cNvPr id="16793" name="Рисунок 16792">
          <a:extLst>
            <a:ext uri="{FF2B5EF4-FFF2-40B4-BE49-F238E27FC236}">
              <a16:creationId xmlns:a16="http://schemas.microsoft.com/office/drawing/2014/main" id="{62633D45-D611-4F41-9651-1DC8CCC91D1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502919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4386</xdr:row>
      <xdr:rowOff>25400</xdr:rowOff>
    </xdr:from>
    <xdr:to>
      <xdr:col>11</xdr:col>
      <xdr:colOff>571500</xdr:colOff>
      <xdr:row>4387</xdr:row>
      <xdr:rowOff>0</xdr:rowOff>
    </xdr:to>
    <xdr:pic>
      <xdr:nvPicPr>
        <xdr:cNvPr id="16795" name="Рисунок 16794">
          <a:extLst>
            <a:ext uri="{FF2B5EF4-FFF2-40B4-BE49-F238E27FC236}">
              <a16:creationId xmlns:a16="http://schemas.microsoft.com/office/drawing/2014/main" id="{4108E66A-A19D-4280-BE68-2EDAA8E81AB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3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503490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4387</xdr:row>
      <xdr:rowOff>25400</xdr:rowOff>
    </xdr:from>
    <xdr:to>
      <xdr:col>11</xdr:col>
      <xdr:colOff>571500</xdr:colOff>
      <xdr:row>4388</xdr:row>
      <xdr:rowOff>0</xdr:rowOff>
    </xdr:to>
    <xdr:pic>
      <xdr:nvPicPr>
        <xdr:cNvPr id="16797" name="Рисунок 16796">
          <a:extLst>
            <a:ext uri="{FF2B5EF4-FFF2-40B4-BE49-F238E27FC236}">
              <a16:creationId xmlns:a16="http://schemas.microsoft.com/office/drawing/2014/main" id="{89632472-5BC9-4640-AF9E-9EDA1807461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3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504062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4388</xdr:row>
      <xdr:rowOff>25400</xdr:rowOff>
    </xdr:from>
    <xdr:to>
      <xdr:col>11</xdr:col>
      <xdr:colOff>571500</xdr:colOff>
      <xdr:row>4389</xdr:row>
      <xdr:rowOff>0</xdr:rowOff>
    </xdr:to>
    <xdr:pic>
      <xdr:nvPicPr>
        <xdr:cNvPr id="16799" name="Рисунок 16798">
          <a:extLst>
            <a:ext uri="{FF2B5EF4-FFF2-40B4-BE49-F238E27FC236}">
              <a16:creationId xmlns:a16="http://schemas.microsoft.com/office/drawing/2014/main" id="{7C0A2820-CE3E-4D2E-934E-952FE2394E3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3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504633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4389</xdr:row>
      <xdr:rowOff>25400</xdr:rowOff>
    </xdr:from>
    <xdr:to>
      <xdr:col>11</xdr:col>
      <xdr:colOff>571500</xdr:colOff>
      <xdr:row>4390</xdr:row>
      <xdr:rowOff>0</xdr:rowOff>
    </xdr:to>
    <xdr:pic>
      <xdr:nvPicPr>
        <xdr:cNvPr id="16801" name="Рисунок 16800">
          <a:extLst>
            <a:ext uri="{FF2B5EF4-FFF2-40B4-BE49-F238E27FC236}">
              <a16:creationId xmlns:a16="http://schemas.microsoft.com/office/drawing/2014/main" id="{1CA1BCD5-026C-4A28-811B-992BEDDE597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3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505205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4390</xdr:row>
      <xdr:rowOff>25400</xdr:rowOff>
    </xdr:from>
    <xdr:to>
      <xdr:col>11</xdr:col>
      <xdr:colOff>571500</xdr:colOff>
      <xdr:row>4391</xdr:row>
      <xdr:rowOff>0</xdr:rowOff>
    </xdr:to>
    <xdr:pic>
      <xdr:nvPicPr>
        <xdr:cNvPr id="16803" name="Рисунок 16802">
          <a:extLst>
            <a:ext uri="{FF2B5EF4-FFF2-40B4-BE49-F238E27FC236}">
              <a16:creationId xmlns:a16="http://schemas.microsoft.com/office/drawing/2014/main" id="{18B3B5C7-1254-40CC-9BCE-687F6106678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3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505776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4391</xdr:row>
      <xdr:rowOff>25400</xdr:rowOff>
    </xdr:from>
    <xdr:to>
      <xdr:col>11</xdr:col>
      <xdr:colOff>571500</xdr:colOff>
      <xdr:row>4392</xdr:row>
      <xdr:rowOff>0</xdr:rowOff>
    </xdr:to>
    <xdr:pic>
      <xdr:nvPicPr>
        <xdr:cNvPr id="16805" name="Рисунок 16804">
          <a:extLst>
            <a:ext uri="{FF2B5EF4-FFF2-40B4-BE49-F238E27FC236}">
              <a16:creationId xmlns:a16="http://schemas.microsoft.com/office/drawing/2014/main" id="{96C256B7-C125-40E8-8FAB-1FB18290FD8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3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506348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4392</xdr:row>
      <xdr:rowOff>25400</xdr:rowOff>
    </xdr:from>
    <xdr:to>
      <xdr:col>11</xdr:col>
      <xdr:colOff>571500</xdr:colOff>
      <xdr:row>4393</xdr:row>
      <xdr:rowOff>0</xdr:rowOff>
    </xdr:to>
    <xdr:pic>
      <xdr:nvPicPr>
        <xdr:cNvPr id="16807" name="Рисунок 16806">
          <a:extLst>
            <a:ext uri="{FF2B5EF4-FFF2-40B4-BE49-F238E27FC236}">
              <a16:creationId xmlns:a16="http://schemas.microsoft.com/office/drawing/2014/main" id="{20A38081-0688-4233-A9D1-F14CE4F268E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3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506919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4393</xdr:row>
      <xdr:rowOff>25400</xdr:rowOff>
    </xdr:from>
    <xdr:to>
      <xdr:col>11</xdr:col>
      <xdr:colOff>571500</xdr:colOff>
      <xdr:row>4394</xdr:row>
      <xdr:rowOff>0</xdr:rowOff>
    </xdr:to>
    <xdr:pic>
      <xdr:nvPicPr>
        <xdr:cNvPr id="16809" name="Рисунок 16808">
          <a:extLst>
            <a:ext uri="{FF2B5EF4-FFF2-40B4-BE49-F238E27FC236}">
              <a16:creationId xmlns:a16="http://schemas.microsoft.com/office/drawing/2014/main" id="{B940129C-D7F9-4426-9B00-A00139E33A7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3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507491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4394</xdr:row>
      <xdr:rowOff>25400</xdr:rowOff>
    </xdr:from>
    <xdr:to>
      <xdr:col>11</xdr:col>
      <xdr:colOff>571500</xdr:colOff>
      <xdr:row>4395</xdr:row>
      <xdr:rowOff>0</xdr:rowOff>
    </xdr:to>
    <xdr:pic>
      <xdr:nvPicPr>
        <xdr:cNvPr id="16811" name="Рисунок 16810">
          <a:extLst>
            <a:ext uri="{FF2B5EF4-FFF2-40B4-BE49-F238E27FC236}">
              <a16:creationId xmlns:a16="http://schemas.microsoft.com/office/drawing/2014/main" id="{2B576609-77E9-4C11-A8B2-8371DCDF6C0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3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508062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4395</xdr:row>
      <xdr:rowOff>25400</xdr:rowOff>
    </xdr:from>
    <xdr:to>
      <xdr:col>11</xdr:col>
      <xdr:colOff>571500</xdr:colOff>
      <xdr:row>4396</xdr:row>
      <xdr:rowOff>0</xdr:rowOff>
    </xdr:to>
    <xdr:pic>
      <xdr:nvPicPr>
        <xdr:cNvPr id="16813" name="Рисунок 16812">
          <a:extLst>
            <a:ext uri="{FF2B5EF4-FFF2-40B4-BE49-F238E27FC236}">
              <a16:creationId xmlns:a16="http://schemas.microsoft.com/office/drawing/2014/main" id="{02F6D619-DC0F-4C79-B87B-5BD9E933FA8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4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508634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4396</xdr:row>
      <xdr:rowOff>25400</xdr:rowOff>
    </xdr:from>
    <xdr:to>
      <xdr:col>11</xdr:col>
      <xdr:colOff>571500</xdr:colOff>
      <xdr:row>4397</xdr:row>
      <xdr:rowOff>0</xdr:rowOff>
    </xdr:to>
    <xdr:pic>
      <xdr:nvPicPr>
        <xdr:cNvPr id="16815" name="Рисунок 16814">
          <a:extLst>
            <a:ext uri="{FF2B5EF4-FFF2-40B4-BE49-F238E27FC236}">
              <a16:creationId xmlns:a16="http://schemas.microsoft.com/office/drawing/2014/main" id="{BC8C142B-0821-412E-B0F3-B5D5BE2ABD0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4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509205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4397</xdr:row>
      <xdr:rowOff>25400</xdr:rowOff>
    </xdr:from>
    <xdr:to>
      <xdr:col>11</xdr:col>
      <xdr:colOff>571500</xdr:colOff>
      <xdr:row>4398</xdr:row>
      <xdr:rowOff>0</xdr:rowOff>
    </xdr:to>
    <xdr:pic>
      <xdr:nvPicPr>
        <xdr:cNvPr id="16817" name="Рисунок 16816">
          <a:extLst>
            <a:ext uri="{FF2B5EF4-FFF2-40B4-BE49-F238E27FC236}">
              <a16:creationId xmlns:a16="http://schemas.microsoft.com/office/drawing/2014/main" id="{00304548-7445-4065-9C26-E32321CFE8C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509777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4398</xdr:row>
      <xdr:rowOff>25400</xdr:rowOff>
    </xdr:from>
    <xdr:to>
      <xdr:col>11</xdr:col>
      <xdr:colOff>571500</xdr:colOff>
      <xdr:row>4399</xdr:row>
      <xdr:rowOff>0</xdr:rowOff>
    </xdr:to>
    <xdr:pic>
      <xdr:nvPicPr>
        <xdr:cNvPr id="16819" name="Рисунок 16818">
          <a:extLst>
            <a:ext uri="{FF2B5EF4-FFF2-40B4-BE49-F238E27FC236}">
              <a16:creationId xmlns:a16="http://schemas.microsoft.com/office/drawing/2014/main" id="{3D58D2AE-A857-4A76-8A34-E27D818D7E3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510348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4399</xdr:row>
      <xdr:rowOff>25400</xdr:rowOff>
    </xdr:from>
    <xdr:to>
      <xdr:col>11</xdr:col>
      <xdr:colOff>571500</xdr:colOff>
      <xdr:row>4400</xdr:row>
      <xdr:rowOff>0</xdr:rowOff>
    </xdr:to>
    <xdr:pic>
      <xdr:nvPicPr>
        <xdr:cNvPr id="16821" name="Рисунок 16820">
          <a:extLst>
            <a:ext uri="{FF2B5EF4-FFF2-40B4-BE49-F238E27FC236}">
              <a16:creationId xmlns:a16="http://schemas.microsoft.com/office/drawing/2014/main" id="{92EB9FD3-10C8-4984-BC13-21709D3682F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510920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4400</xdr:row>
      <xdr:rowOff>25400</xdr:rowOff>
    </xdr:from>
    <xdr:to>
      <xdr:col>11</xdr:col>
      <xdr:colOff>571500</xdr:colOff>
      <xdr:row>4401</xdr:row>
      <xdr:rowOff>0</xdr:rowOff>
    </xdr:to>
    <xdr:pic>
      <xdr:nvPicPr>
        <xdr:cNvPr id="16823" name="Рисунок 16822">
          <a:extLst>
            <a:ext uri="{FF2B5EF4-FFF2-40B4-BE49-F238E27FC236}">
              <a16:creationId xmlns:a16="http://schemas.microsoft.com/office/drawing/2014/main" id="{78A47B82-6724-4AD4-B456-8BB16AB5789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4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511491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4401</xdr:row>
      <xdr:rowOff>25400</xdr:rowOff>
    </xdr:from>
    <xdr:to>
      <xdr:col>11</xdr:col>
      <xdr:colOff>571500</xdr:colOff>
      <xdr:row>4402</xdr:row>
      <xdr:rowOff>0</xdr:rowOff>
    </xdr:to>
    <xdr:pic>
      <xdr:nvPicPr>
        <xdr:cNvPr id="16825" name="Рисунок 16824">
          <a:extLst>
            <a:ext uri="{FF2B5EF4-FFF2-40B4-BE49-F238E27FC236}">
              <a16:creationId xmlns:a16="http://schemas.microsoft.com/office/drawing/2014/main" id="{35E92869-CDDC-49D9-A8DF-8C9518FD507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4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512063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4402</xdr:row>
      <xdr:rowOff>25400</xdr:rowOff>
    </xdr:from>
    <xdr:to>
      <xdr:col>11</xdr:col>
      <xdr:colOff>571500</xdr:colOff>
      <xdr:row>4403</xdr:row>
      <xdr:rowOff>0</xdr:rowOff>
    </xdr:to>
    <xdr:pic>
      <xdr:nvPicPr>
        <xdr:cNvPr id="16827" name="Рисунок 16826">
          <a:extLst>
            <a:ext uri="{FF2B5EF4-FFF2-40B4-BE49-F238E27FC236}">
              <a16:creationId xmlns:a16="http://schemas.microsoft.com/office/drawing/2014/main" id="{F7E5BEC2-FF6E-49F0-9BE2-490C32FB388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4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512634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4403</xdr:row>
      <xdr:rowOff>25400</xdr:rowOff>
    </xdr:from>
    <xdr:to>
      <xdr:col>11</xdr:col>
      <xdr:colOff>571500</xdr:colOff>
      <xdr:row>4404</xdr:row>
      <xdr:rowOff>0</xdr:rowOff>
    </xdr:to>
    <xdr:pic>
      <xdr:nvPicPr>
        <xdr:cNvPr id="16829" name="Рисунок 16828">
          <a:extLst>
            <a:ext uri="{FF2B5EF4-FFF2-40B4-BE49-F238E27FC236}">
              <a16:creationId xmlns:a16="http://schemas.microsoft.com/office/drawing/2014/main" id="{393841CA-E415-450B-B386-F89AEFAB53B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4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513206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4404</xdr:row>
      <xdr:rowOff>25400</xdr:rowOff>
    </xdr:from>
    <xdr:to>
      <xdr:col>11</xdr:col>
      <xdr:colOff>571500</xdr:colOff>
      <xdr:row>4405</xdr:row>
      <xdr:rowOff>0</xdr:rowOff>
    </xdr:to>
    <xdr:pic>
      <xdr:nvPicPr>
        <xdr:cNvPr id="16831" name="Рисунок 16830">
          <a:extLst>
            <a:ext uri="{FF2B5EF4-FFF2-40B4-BE49-F238E27FC236}">
              <a16:creationId xmlns:a16="http://schemas.microsoft.com/office/drawing/2014/main" id="{FF9B1EE0-D61B-4AED-AF2F-47C0D12E9B8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4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513777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4405</xdr:row>
      <xdr:rowOff>25400</xdr:rowOff>
    </xdr:from>
    <xdr:to>
      <xdr:col>11</xdr:col>
      <xdr:colOff>571500</xdr:colOff>
      <xdr:row>4406</xdr:row>
      <xdr:rowOff>0</xdr:rowOff>
    </xdr:to>
    <xdr:pic>
      <xdr:nvPicPr>
        <xdr:cNvPr id="16833" name="Рисунок 16832">
          <a:extLst>
            <a:ext uri="{FF2B5EF4-FFF2-40B4-BE49-F238E27FC236}">
              <a16:creationId xmlns:a16="http://schemas.microsoft.com/office/drawing/2014/main" id="{317FE768-7DF8-4E42-B342-CA46E0D6B9F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5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514349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4406</xdr:row>
      <xdr:rowOff>25400</xdr:rowOff>
    </xdr:from>
    <xdr:to>
      <xdr:col>11</xdr:col>
      <xdr:colOff>571500</xdr:colOff>
      <xdr:row>4407</xdr:row>
      <xdr:rowOff>0</xdr:rowOff>
    </xdr:to>
    <xdr:pic>
      <xdr:nvPicPr>
        <xdr:cNvPr id="16835" name="Рисунок 16834">
          <a:extLst>
            <a:ext uri="{FF2B5EF4-FFF2-40B4-BE49-F238E27FC236}">
              <a16:creationId xmlns:a16="http://schemas.microsoft.com/office/drawing/2014/main" id="{75627990-749F-43DD-99E5-0D165034865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5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514920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4407</xdr:row>
      <xdr:rowOff>25400</xdr:rowOff>
    </xdr:from>
    <xdr:to>
      <xdr:col>11</xdr:col>
      <xdr:colOff>571500</xdr:colOff>
      <xdr:row>4408</xdr:row>
      <xdr:rowOff>0</xdr:rowOff>
    </xdr:to>
    <xdr:pic>
      <xdr:nvPicPr>
        <xdr:cNvPr id="16837" name="Рисунок 16836">
          <a:extLst>
            <a:ext uri="{FF2B5EF4-FFF2-40B4-BE49-F238E27FC236}">
              <a16:creationId xmlns:a16="http://schemas.microsoft.com/office/drawing/2014/main" id="{0709C0BA-17D4-4725-BD39-4E9BF720AE7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515492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4408</xdr:row>
      <xdr:rowOff>25400</xdr:rowOff>
    </xdr:from>
    <xdr:to>
      <xdr:col>11</xdr:col>
      <xdr:colOff>571500</xdr:colOff>
      <xdr:row>4409</xdr:row>
      <xdr:rowOff>0</xdr:rowOff>
    </xdr:to>
    <xdr:pic>
      <xdr:nvPicPr>
        <xdr:cNvPr id="16839" name="Рисунок 16838">
          <a:extLst>
            <a:ext uri="{FF2B5EF4-FFF2-40B4-BE49-F238E27FC236}">
              <a16:creationId xmlns:a16="http://schemas.microsoft.com/office/drawing/2014/main" id="{4E1E5AFE-A3DB-41C1-8065-58ADE75EE9F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5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516063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4409</xdr:row>
      <xdr:rowOff>25400</xdr:rowOff>
    </xdr:from>
    <xdr:to>
      <xdr:col>11</xdr:col>
      <xdr:colOff>571500</xdr:colOff>
      <xdr:row>4410</xdr:row>
      <xdr:rowOff>0</xdr:rowOff>
    </xdr:to>
    <xdr:pic>
      <xdr:nvPicPr>
        <xdr:cNvPr id="16841" name="Рисунок 16840">
          <a:extLst>
            <a:ext uri="{FF2B5EF4-FFF2-40B4-BE49-F238E27FC236}">
              <a16:creationId xmlns:a16="http://schemas.microsoft.com/office/drawing/2014/main" id="{7111C63F-B7BE-467F-9F2E-E50028215DB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5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516635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4410</xdr:row>
      <xdr:rowOff>25400</xdr:rowOff>
    </xdr:from>
    <xdr:to>
      <xdr:col>11</xdr:col>
      <xdr:colOff>571500</xdr:colOff>
      <xdr:row>4411</xdr:row>
      <xdr:rowOff>0</xdr:rowOff>
    </xdr:to>
    <xdr:pic>
      <xdr:nvPicPr>
        <xdr:cNvPr id="16843" name="Рисунок 16842">
          <a:extLst>
            <a:ext uri="{FF2B5EF4-FFF2-40B4-BE49-F238E27FC236}">
              <a16:creationId xmlns:a16="http://schemas.microsoft.com/office/drawing/2014/main" id="{39766561-DD52-4949-B392-A4209DF5949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5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517206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4411</xdr:row>
      <xdr:rowOff>25400</xdr:rowOff>
    </xdr:from>
    <xdr:to>
      <xdr:col>11</xdr:col>
      <xdr:colOff>571500</xdr:colOff>
      <xdr:row>4412</xdr:row>
      <xdr:rowOff>0</xdr:rowOff>
    </xdr:to>
    <xdr:pic>
      <xdr:nvPicPr>
        <xdr:cNvPr id="16845" name="Рисунок 16844">
          <a:extLst>
            <a:ext uri="{FF2B5EF4-FFF2-40B4-BE49-F238E27FC236}">
              <a16:creationId xmlns:a16="http://schemas.microsoft.com/office/drawing/2014/main" id="{E6269335-8A51-4D88-B324-D2F7459C380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5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517778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4412</xdr:row>
      <xdr:rowOff>25400</xdr:rowOff>
    </xdr:from>
    <xdr:to>
      <xdr:col>11</xdr:col>
      <xdr:colOff>571500</xdr:colOff>
      <xdr:row>4413</xdr:row>
      <xdr:rowOff>0</xdr:rowOff>
    </xdr:to>
    <xdr:pic>
      <xdr:nvPicPr>
        <xdr:cNvPr id="16847" name="Рисунок 16846">
          <a:extLst>
            <a:ext uri="{FF2B5EF4-FFF2-40B4-BE49-F238E27FC236}">
              <a16:creationId xmlns:a16="http://schemas.microsoft.com/office/drawing/2014/main" id="{A21DD631-D80A-4302-A952-311734899F9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5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518349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4413</xdr:row>
      <xdr:rowOff>25400</xdr:rowOff>
    </xdr:from>
    <xdr:to>
      <xdr:col>11</xdr:col>
      <xdr:colOff>571500</xdr:colOff>
      <xdr:row>4414</xdr:row>
      <xdr:rowOff>0</xdr:rowOff>
    </xdr:to>
    <xdr:pic>
      <xdr:nvPicPr>
        <xdr:cNvPr id="16849" name="Рисунок 16848">
          <a:extLst>
            <a:ext uri="{FF2B5EF4-FFF2-40B4-BE49-F238E27FC236}">
              <a16:creationId xmlns:a16="http://schemas.microsoft.com/office/drawing/2014/main" id="{A68E0C35-720C-450F-88D9-232A73A10C3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5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518921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4414</xdr:row>
      <xdr:rowOff>25400</xdr:rowOff>
    </xdr:from>
    <xdr:to>
      <xdr:col>11</xdr:col>
      <xdr:colOff>571500</xdr:colOff>
      <xdr:row>4415</xdr:row>
      <xdr:rowOff>0</xdr:rowOff>
    </xdr:to>
    <xdr:pic>
      <xdr:nvPicPr>
        <xdr:cNvPr id="16851" name="Рисунок 16850">
          <a:extLst>
            <a:ext uri="{FF2B5EF4-FFF2-40B4-BE49-F238E27FC236}">
              <a16:creationId xmlns:a16="http://schemas.microsoft.com/office/drawing/2014/main" id="{85E4D2C9-2C7C-411F-8311-6926DB0C687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5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519492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4415</xdr:row>
      <xdr:rowOff>25400</xdr:rowOff>
    </xdr:from>
    <xdr:to>
      <xdr:col>11</xdr:col>
      <xdr:colOff>571500</xdr:colOff>
      <xdr:row>4416</xdr:row>
      <xdr:rowOff>0</xdr:rowOff>
    </xdr:to>
    <xdr:pic>
      <xdr:nvPicPr>
        <xdr:cNvPr id="16853" name="Рисунок 16852">
          <a:extLst>
            <a:ext uri="{FF2B5EF4-FFF2-40B4-BE49-F238E27FC236}">
              <a16:creationId xmlns:a16="http://schemas.microsoft.com/office/drawing/2014/main" id="{546DFB2B-6F7B-40D3-8DE7-088FB58A4B6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6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520064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4416</xdr:row>
      <xdr:rowOff>25400</xdr:rowOff>
    </xdr:from>
    <xdr:to>
      <xdr:col>11</xdr:col>
      <xdr:colOff>571500</xdr:colOff>
      <xdr:row>4417</xdr:row>
      <xdr:rowOff>0</xdr:rowOff>
    </xdr:to>
    <xdr:pic>
      <xdr:nvPicPr>
        <xdr:cNvPr id="16855" name="Рисунок 16854">
          <a:extLst>
            <a:ext uri="{FF2B5EF4-FFF2-40B4-BE49-F238E27FC236}">
              <a16:creationId xmlns:a16="http://schemas.microsoft.com/office/drawing/2014/main" id="{9B41BDB5-1CB6-4DA6-B77E-AD7A8125259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6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520635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4417</xdr:row>
      <xdr:rowOff>25400</xdr:rowOff>
    </xdr:from>
    <xdr:to>
      <xdr:col>11</xdr:col>
      <xdr:colOff>571500</xdr:colOff>
      <xdr:row>4418</xdr:row>
      <xdr:rowOff>0</xdr:rowOff>
    </xdr:to>
    <xdr:pic>
      <xdr:nvPicPr>
        <xdr:cNvPr id="16857" name="Рисунок 16856">
          <a:extLst>
            <a:ext uri="{FF2B5EF4-FFF2-40B4-BE49-F238E27FC236}">
              <a16:creationId xmlns:a16="http://schemas.microsoft.com/office/drawing/2014/main" id="{CEFBF0D7-041A-40C5-8B26-E51F51335B7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6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521207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4418</xdr:row>
      <xdr:rowOff>25400</xdr:rowOff>
    </xdr:from>
    <xdr:to>
      <xdr:col>11</xdr:col>
      <xdr:colOff>571500</xdr:colOff>
      <xdr:row>4419</xdr:row>
      <xdr:rowOff>0</xdr:rowOff>
    </xdr:to>
    <xdr:pic>
      <xdr:nvPicPr>
        <xdr:cNvPr id="16859" name="Рисунок 16858">
          <a:extLst>
            <a:ext uri="{FF2B5EF4-FFF2-40B4-BE49-F238E27FC236}">
              <a16:creationId xmlns:a16="http://schemas.microsoft.com/office/drawing/2014/main" id="{9EDE342F-86D8-4DFF-ADB6-C111BCE8909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6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521778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4419</xdr:row>
      <xdr:rowOff>25400</xdr:rowOff>
    </xdr:from>
    <xdr:to>
      <xdr:col>11</xdr:col>
      <xdr:colOff>571500</xdr:colOff>
      <xdr:row>4420</xdr:row>
      <xdr:rowOff>0</xdr:rowOff>
    </xdr:to>
    <xdr:pic>
      <xdr:nvPicPr>
        <xdr:cNvPr id="16861" name="Рисунок 16860">
          <a:extLst>
            <a:ext uri="{FF2B5EF4-FFF2-40B4-BE49-F238E27FC236}">
              <a16:creationId xmlns:a16="http://schemas.microsoft.com/office/drawing/2014/main" id="{D7EF8482-DCB4-40AF-839D-4109E91B2C1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6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522350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4421</xdr:row>
      <xdr:rowOff>25400</xdr:rowOff>
    </xdr:from>
    <xdr:to>
      <xdr:col>11</xdr:col>
      <xdr:colOff>571500</xdr:colOff>
      <xdr:row>4422</xdr:row>
      <xdr:rowOff>0</xdr:rowOff>
    </xdr:to>
    <xdr:pic>
      <xdr:nvPicPr>
        <xdr:cNvPr id="16863" name="Рисунок 16862">
          <a:extLst>
            <a:ext uri="{FF2B5EF4-FFF2-40B4-BE49-F238E27FC236}">
              <a16:creationId xmlns:a16="http://schemas.microsoft.com/office/drawing/2014/main" id="{5B5FC185-7958-4499-93C3-51803836B02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6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523493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4422</xdr:row>
      <xdr:rowOff>25400</xdr:rowOff>
    </xdr:from>
    <xdr:to>
      <xdr:col>11</xdr:col>
      <xdr:colOff>571500</xdr:colOff>
      <xdr:row>4423</xdr:row>
      <xdr:rowOff>0</xdr:rowOff>
    </xdr:to>
    <xdr:pic>
      <xdr:nvPicPr>
        <xdr:cNvPr id="16865" name="Рисунок 16864">
          <a:extLst>
            <a:ext uri="{FF2B5EF4-FFF2-40B4-BE49-F238E27FC236}">
              <a16:creationId xmlns:a16="http://schemas.microsoft.com/office/drawing/2014/main" id="{50DB1EA1-D78A-492F-B7A6-04A00D82F2A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6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524064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4423</xdr:row>
      <xdr:rowOff>25400</xdr:rowOff>
    </xdr:from>
    <xdr:to>
      <xdr:col>11</xdr:col>
      <xdr:colOff>571500</xdr:colOff>
      <xdr:row>4424</xdr:row>
      <xdr:rowOff>0</xdr:rowOff>
    </xdr:to>
    <xdr:pic>
      <xdr:nvPicPr>
        <xdr:cNvPr id="16867" name="Рисунок 16866">
          <a:extLst>
            <a:ext uri="{FF2B5EF4-FFF2-40B4-BE49-F238E27FC236}">
              <a16:creationId xmlns:a16="http://schemas.microsoft.com/office/drawing/2014/main" id="{C3F02A8F-25C4-45AF-8C0A-3B392A02E72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6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524636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4424</xdr:row>
      <xdr:rowOff>25400</xdr:rowOff>
    </xdr:from>
    <xdr:to>
      <xdr:col>11</xdr:col>
      <xdr:colOff>571500</xdr:colOff>
      <xdr:row>4425</xdr:row>
      <xdr:rowOff>0</xdr:rowOff>
    </xdr:to>
    <xdr:pic>
      <xdr:nvPicPr>
        <xdr:cNvPr id="16869" name="Рисунок 16868">
          <a:extLst>
            <a:ext uri="{FF2B5EF4-FFF2-40B4-BE49-F238E27FC236}">
              <a16:creationId xmlns:a16="http://schemas.microsoft.com/office/drawing/2014/main" id="{1F1179BC-1416-40A3-AED0-F1409957DE4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6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525207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4425</xdr:row>
      <xdr:rowOff>25400</xdr:rowOff>
    </xdr:from>
    <xdr:to>
      <xdr:col>11</xdr:col>
      <xdr:colOff>571500</xdr:colOff>
      <xdr:row>4426</xdr:row>
      <xdr:rowOff>0</xdr:rowOff>
    </xdr:to>
    <xdr:pic>
      <xdr:nvPicPr>
        <xdr:cNvPr id="16871" name="Рисунок 16870">
          <a:extLst>
            <a:ext uri="{FF2B5EF4-FFF2-40B4-BE49-F238E27FC236}">
              <a16:creationId xmlns:a16="http://schemas.microsoft.com/office/drawing/2014/main" id="{AAACE49C-2A04-42B9-B863-FA4B1337915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6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525779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4426</xdr:row>
      <xdr:rowOff>25400</xdr:rowOff>
    </xdr:from>
    <xdr:to>
      <xdr:col>11</xdr:col>
      <xdr:colOff>571500</xdr:colOff>
      <xdr:row>4427</xdr:row>
      <xdr:rowOff>0</xdr:rowOff>
    </xdr:to>
    <xdr:pic>
      <xdr:nvPicPr>
        <xdr:cNvPr id="16873" name="Рисунок 16872">
          <a:extLst>
            <a:ext uri="{FF2B5EF4-FFF2-40B4-BE49-F238E27FC236}">
              <a16:creationId xmlns:a16="http://schemas.microsoft.com/office/drawing/2014/main" id="{EC605108-5795-4F8D-82A8-943E99A34EB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7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526350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4427</xdr:row>
      <xdr:rowOff>25400</xdr:rowOff>
    </xdr:from>
    <xdr:to>
      <xdr:col>11</xdr:col>
      <xdr:colOff>571500</xdr:colOff>
      <xdr:row>4428</xdr:row>
      <xdr:rowOff>0</xdr:rowOff>
    </xdr:to>
    <xdr:pic>
      <xdr:nvPicPr>
        <xdr:cNvPr id="16875" name="Рисунок 16874">
          <a:extLst>
            <a:ext uri="{FF2B5EF4-FFF2-40B4-BE49-F238E27FC236}">
              <a16:creationId xmlns:a16="http://schemas.microsoft.com/office/drawing/2014/main" id="{D9599B71-D9D4-4AF8-82A2-6031725D3CE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7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526922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4428</xdr:row>
      <xdr:rowOff>25400</xdr:rowOff>
    </xdr:from>
    <xdr:to>
      <xdr:col>11</xdr:col>
      <xdr:colOff>571500</xdr:colOff>
      <xdr:row>4429</xdr:row>
      <xdr:rowOff>0</xdr:rowOff>
    </xdr:to>
    <xdr:pic>
      <xdr:nvPicPr>
        <xdr:cNvPr id="16877" name="Рисунок 16876">
          <a:extLst>
            <a:ext uri="{FF2B5EF4-FFF2-40B4-BE49-F238E27FC236}">
              <a16:creationId xmlns:a16="http://schemas.microsoft.com/office/drawing/2014/main" id="{8D94B2FE-96D1-4B08-9DFC-136724D652F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7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527493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4429</xdr:row>
      <xdr:rowOff>25400</xdr:rowOff>
    </xdr:from>
    <xdr:to>
      <xdr:col>11</xdr:col>
      <xdr:colOff>571500</xdr:colOff>
      <xdr:row>4430</xdr:row>
      <xdr:rowOff>0</xdr:rowOff>
    </xdr:to>
    <xdr:pic>
      <xdr:nvPicPr>
        <xdr:cNvPr id="16879" name="Рисунок 16878">
          <a:extLst>
            <a:ext uri="{FF2B5EF4-FFF2-40B4-BE49-F238E27FC236}">
              <a16:creationId xmlns:a16="http://schemas.microsoft.com/office/drawing/2014/main" id="{DA0D316B-7887-400A-8088-7258C7EA864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7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528065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4430</xdr:row>
      <xdr:rowOff>25400</xdr:rowOff>
    </xdr:from>
    <xdr:to>
      <xdr:col>11</xdr:col>
      <xdr:colOff>571500</xdr:colOff>
      <xdr:row>4431</xdr:row>
      <xdr:rowOff>0</xdr:rowOff>
    </xdr:to>
    <xdr:pic>
      <xdr:nvPicPr>
        <xdr:cNvPr id="16881" name="Рисунок 16880">
          <a:extLst>
            <a:ext uri="{FF2B5EF4-FFF2-40B4-BE49-F238E27FC236}">
              <a16:creationId xmlns:a16="http://schemas.microsoft.com/office/drawing/2014/main" id="{8774ADE1-A2A2-4592-A79F-BF8A7391657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7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528636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4431</xdr:row>
      <xdr:rowOff>25400</xdr:rowOff>
    </xdr:from>
    <xdr:to>
      <xdr:col>11</xdr:col>
      <xdr:colOff>571500</xdr:colOff>
      <xdr:row>4432</xdr:row>
      <xdr:rowOff>0</xdr:rowOff>
    </xdr:to>
    <xdr:pic>
      <xdr:nvPicPr>
        <xdr:cNvPr id="16883" name="Рисунок 16882">
          <a:extLst>
            <a:ext uri="{FF2B5EF4-FFF2-40B4-BE49-F238E27FC236}">
              <a16:creationId xmlns:a16="http://schemas.microsoft.com/office/drawing/2014/main" id="{481CBA3D-CE6F-4249-AFC6-AAE6D42257F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7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529208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4432</xdr:row>
      <xdr:rowOff>25400</xdr:rowOff>
    </xdr:from>
    <xdr:to>
      <xdr:col>11</xdr:col>
      <xdr:colOff>571500</xdr:colOff>
      <xdr:row>4433</xdr:row>
      <xdr:rowOff>0</xdr:rowOff>
    </xdr:to>
    <xdr:pic>
      <xdr:nvPicPr>
        <xdr:cNvPr id="16885" name="Рисунок 16884">
          <a:extLst>
            <a:ext uri="{FF2B5EF4-FFF2-40B4-BE49-F238E27FC236}">
              <a16:creationId xmlns:a16="http://schemas.microsoft.com/office/drawing/2014/main" id="{06AA2F1A-6637-4A27-8541-DB1AD4EB880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7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529779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4433</xdr:row>
      <xdr:rowOff>25400</xdr:rowOff>
    </xdr:from>
    <xdr:to>
      <xdr:col>11</xdr:col>
      <xdr:colOff>571500</xdr:colOff>
      <xdr:row>4434</xdr:row>
      <xdr:rowOff>0</xdr:rowOff>
    </xdr:to>
    <xdr:pic>
      <xdr:nvPicPr>
        <xdr:cNvPr id="16887" name="Рисунок 16886">
          <a:extLst>
            <a:ext uri="{FF2B5EF4-FFF2-40B4-BE49-F238E27FC236}">
              <a16:creationId xmlns:a16="http://schemas.microsoft.com/office/drawing/2014/main" id="{BAF65532-6FDA-41B3-945E-79C653A75CA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7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530351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4434</xdr:row>
      <xdr:rowOff>25400</xdr:rowOff>
    </xdr:from>
    <xdr:to>
      <xdr:col>11</xdr:col>
      <xdr:colOff>571500</xdr:colOff>
      <xdr:row>4435</xdr:row>
      <xdr:rowOff>0</xdr:rowOff>
    </xdr:to>
    <xdr:pic>
      <xdr:nvPicPr>
        <xdr:cNvPr id="16889" name="Рисунок 16888">
          <a:extLst>
            <a:ext uri="{FF2B5EF4-FFF2-40B4-BE49-F238E27FC236}">
              <a16:creationId xmlns:a16="http://schemas.microsoft.com/office/drawing/2014/main" id="{FAD85454-4224-4614-9D1F-4A0EFA80AA9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7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530922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4435</xdr:row>
      <xdr:rowOff>25400</xdr:rowOff>
    </xdr:from>
    <xdr:to>
      <xdr:col>11</xdr:col>
      <xdr:colOff>571500</xdr:colOff>
      <xdr:row>4436</xdr:row>
      <xdr:rowOff>0</xdr:rowOff>
    </xdr:to>
    <xdr:pic>
      <xdr:nvPicPr>
        <xdr:cNvPr id="16891" name="Рисунок 16890">
          <a:extLst>
            <a:ext uri="{FF2B5EF4-FFF2-40B4-BE49-F238E27FC236}">
              <a16:creationId xmlns:a16="http://schemas.microsoft.com/office/drawing/2014/main" id="{0327E59E-A362-4A97-AD4E-0780B66AAAC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7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531494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4436</xdr:row>
      <xdr:rowOff>25400</xdr:rowOff>
    </xdr:from>
    <xdr:to>
      <xdr:col>11</xdr:col>
      <xdr:colOff>571500</xdr:colOff>
      <xdr:row>4437</xdr:row>
      <xdr:rowOff>0</xdr:rowOff>
    </xdr:to>
    <xdr:pic>
      <xdr:nvPicPr>
        <xdr:cNvPr id="16893" name="Рисунок 16892">
          <a:extLst>
            <a:ext uri="{FF2B5EF4-FFF2-40B4-BE49-F238E27FC236}">
              <a16:creationId xmlns:a16="http://schemas.microsoft.com/office/drawing/2014/main" id="{544AE598-506D-4060-A9C8-E78A23E066B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8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532065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4437</xdr:row>
      <xdr:rowOff>25400</xdr:rowOff>
    </xdr:from>
    <xdr:to>
      <xdr:col>11</xdr:col>
      <xdr:colOff>571500</xdr:colOff>
      <xdr:row>4438</xdr:row>
      <xdr:rowOff>0</xdr:rowOff>
    </xdr:to>
    <xdr:pic>
      <xdr:nvPicPr>
        <xdr:cNvPr id="16895" name="Рисунок 16894">
          <a:extLst>
            <a:ext uri="{FF2B5EF4-FFF2-40B4-BE49-F238E27FC236}">
              <a16:creationId xmlns:a16="http://schemas.microsoft.com/office/drawing/2014/main" id="{3008270C-BDA1-40E0-9885-3F86EBB9645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8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532637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4438</xdr:row>
      <xdr:rowOff>25400</xdr:rowOff>
    </xdr:from>
    <xdr:to>
      <xdr:col>11</xdr:col>
      <xdr:colOff>571500</xdr:colOff>
      <xdr:row>4439</xdr:row>
      <xdr:rowOff>0</xdr:rowOff>
    </xdr:to>
    <xdr:pic>
      <xdr:nvPicPr>
        <xdr:cNvPr id="16897" name="Рисунок 16896">
          <a:extLst>
            <a:ext uri="{FF2B5EF4-FFF2-40B4-BE49-F238E27FC236}">
              <a16:creationId xmlns:a16="http://schemas.microsoft.com/office/drawing/2014/main" id="{04059FC9-878E-4564-8AF3-5DCE5897D94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8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533208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4439</xdr:row>
      <xdr:rowOff>25400</xdr:rowOff>
    </xdr:from>
    <xdr:to>
      <xdr:col>11</xdr:col>
      <xdr:colOff>571500</xdr:colOff>
      <xdr:row>4440</xdr:row>
      <xdr:rowOff>0</xdr:rowOff>
    </xdr:to>
    <xdr:pic>
      <xdr:nvPicPr>
        <xdr:cNvPr id="16899" name="Рисунок 16898">
          <a:extLst>
            <a:ext uri="{FF2B5EF4-FFF2-40B4-BE49-F238E27FC236}">
              <a16:creationId xmlns:a16="http://schemas.microsoft.com/office/drawing/2014/main" id="{BFD99869-B799-4A55-91CD-808CA53D76E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8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533780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4440</xdr:row>
      <xdr:rowOff>25400</xdr:rowOff>
    </xdr:from>
    <xdr:to>
      <xdr:col>11</xdr:col>
      <xdr:colOff>571500</xdr:colOff>
      <xdr:row>4441</xdr:row>
      <xdr:rowOff>0</xdr:rowOff>
    </xdr:to>
    <xdr:pic>
      <xdr:nvPicPr>
        <xdr:cNvPr id="16901" name="Рисунок 16900">
          <a:extLst>
            <a:ext uri="{FF2B5EF4-FFF2-40B4-BE49-F238E27FC236}">
              <a16:creationId xmlns:a16="http://schemas.microsoft.com/office/drawing/2014/main" id="{9708F307-CC9B-444F-AE43-1C183131E92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8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534351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4441</xdr:row>
      <xdr:rowOff>25400</xdr:rowOff>
    </xdr:from>
    <xdr:to>
      <xdr:col>11</xdr:col>
      <xdr:colOff>571500</xdr:colOff>
      <xdr:row>4442</xdr:row>
      <xdr:rowOff>0</xdr:rowOff>
    </xdr:to>
    <xdr:pic>
      <xdr:nvPicPr>
        <xdr:cNvPr id="16903" name="Рисунок 16902">
          <a:extLst>
            <a:ext uri="{FF2B5EF4-FFF2-40B4-BE49-F238E27FC236}">
              <a16:creationId xmlns:a16="http://schemas.microsoft.com/office/drawing/2014/main" id="{80255C09-E117-4E82-ADBB-DBEFF2C73D0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8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534923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4442</xdr:row>
      <xdr:rowOff>25400</xdr:rowOff>
    </xdr:from>
    <xdr:to>
      <xdr:col>11</xdr:col>
      <xdr:colOff>571500</xdr:colOff>
      <xdr:row>4443</xdr:row>
      <xdr:rowOff>0</xdr:rowOff>
    </xdr:to>
    <xdr:pic>
      <xdr:nvPicPr>
        <xdr:cNvPr id="16905" name="Рисунок 16904">
          <a:extLst>
            <a:ext uri="{FF2B5EF4-FFF2-40B4-BE49-F238E27FC236}">
              <a16:creationId xmlns:a16="http://schemas.microsoft.com/office/drawing/2014/main" id="{33AD4203-4F44-4FB2-9F73-8CD0EF5C8D4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8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535494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4443</xdr:row>
      <xdr:rowOff>25400</xdr:rowOff>
    </xdr:from>
    <xdr:to>
      <xdr:col>11</xdr:col>
      <xdr:colOff>571500</xdr:colOff>
      <xdr:row>4444</xdr:row>
      <xdr:rowOff>0</xdr:rowOff>
    </xdr:to>
    <xdr:pic>
      <xdr:nvPicPr>
        <xdr:cNvPr id="16907" name="Рисунок 16906">
          <a:extLst>
            <a:ext uri="{FF2B5EF4-FFF2-40B4-BE49-F238E27FC236}">
              <a16:creationId xmlns:a16="http://schemas.microsoft.com/office/drawing/2014/main" id="{2FF8BB91-2D4A-4678-B492-56F2F310494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8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536066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4444</xdr:row>
      <xdr:rowOff>25400</xdr:rowOff>
    </xdr:from>
    <xdr:to>
      <xdr:col>11</xdr:col>
      <xdr:colOff>571500</xdr:colOff>
      <xdr:row>4445</xdr:row>
      <xdr:rowOff>0</xdr:rowOff>
    </xdr:to>
    <xdr:pic>
      <xdr:nvPicPr>
        <xdr:cNvPr id="16909" name="Рисунок 16908">
          <a:extLst>
            <a:ext uri="{FF2B5EF4-FFF2-40B4-BE49-F238E27FC236}">
              <a16:creationId xmlns:a16="http://schemas.microsoft.com/office/drawing/2014/main" id="{07FBFE47-29DC-4966-9028-E9FDC55DFA3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8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536637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4445</xdr:row>
      <xdr:rowOff>25400</xdr:rowOff>
    </xdr:from>
    <xdr:to>
      <xdr:col>11</xdr:col>
      <xdr:colOff>571500</xdr:colOff>
      <xdr:row>4446</xdr:row>
      <xdr:rowOff>0</xdr:rowOff>
    </xdr:to>
    <xdr:pic>
      <xdr:nvPicPr>
        <xdr:cNvPr id="16911" name="Рисунок 16910">
          <a:extLst>
            <a:ext uri="{FF2B5EF4-FFF2-40B4-BE49-F238E27FC236}">
              <a16:creationId xmlns:a16="http://schemas.microsoft.com/office/drawing/2014/main" id="{D2A1602F-BDB9-4E82-AF77-2AA4D592C45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8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537209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4446</xdr:row>
      <xdr:rowOff>25400</xdr:rowOff>
    </xdr:from>
    <xdr:to>
      <xdr:col>11</xdr:col>
      <xdr:colOff>571500</xdr:colOff>
      <xdr:row>4447</xdr:row>
      <xdr:rowOff>0</xdr:rowOff>
    </xdr:to>
    <xdr:pic>
      <xdr:nvPicPr>
        <xdr:cNvPr id="16913" name="Рисунок 16912">
          <a:extLst>
            <a:ext uri="{FF2B5EF4-FFF2-40B4-BE49-F238E27FC236}">
              <a16:creationId xmlns:a16="http://schemas.microsoft.com/office/drawing/2014/main" id="{C0B5E892-079B-460A-835A-0AB60343D42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9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537780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4447</xdr:row>
      <xdr:rowOff>25400</xdr:rowOff>
    </xdr:from>
    <xdr:to>
      <xdr:col>11</xdr:col>
      <xdr:colOff>571500</xdr:colOff>
      <xdr:row>4448</xdr:row>
      <xdr:rowOff>0</xdr:rowOff>
    </xdr:to>
    <xdr:pic>
      <xdr:nvPicPr>
        <xdr:cNvPr id="16915" name="Рисунок 16914">
          <a:extLst>
            <a:ext uri="{FF2B5EF4-FFF2-40B4-BE49-F238E27FC236}">
              <a16:creationId xmlns:a16="http://schemas.microsoft.com/office/drawing/2014/main" id="{9E0DC3A0-C2D8-4D42-975E-90DC9657A58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9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538352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4448</xdr:row>
      <xdr:rowOff>25400</xdr:rowOff>
    </xdr:from>
    <xdr:to>
      <xdr:col>11</xdr:col>
      <xdr:colOff>571500</xdr:colOff>
      <xdr:row>4449</xdr:row>
      <xdr:rowOff>0</xdr:rowOff>
    </xdr:to>
    <xdr:pic>
      <xdr:nvPicPr>
        <xdr:cNvPr id="16917" name="Рисунок 16916">
          <a:extLst>
            <a:ext uri="{FF2B5EF4-FFF2-40B4-BE49-F238E27FC236}">
              <a16:creationId xmlns:a16="http://schemas.microsoft.com/office/drawing/2014/main" id="{B99593F5-359F-4CF7-B9D2-FDD879A7611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9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538923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4449</xdr:row>
      <xdr:rowOff>25400</xdr:rowOff>
    </xdr:from>
    <xdr:to>
      <xdr:col>11</xdr:col>
      <xdr:colOff>571500</xdr:colOff>
      <xdr:row>4450</xdr:row>
      <xdr:rowOff>0</xdr:rowOff>
    </xdr:to>
    <xdr:pic>
      <xdr:nvPicPr>
        <xdr:cNvPr id="16919" name="Рисунок 16918">
          <a:extLst>
            <a:ext uri="{FF2B5EF4-FFF2-40B4-BE49-F238E27FC236}">
              <a16:creationId xmlns:a16="http://schemas.microsoft.com/office/drawing/2014/main" id="{60B3DE8D-ABB0-4F36-BC54-760F202CBCA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9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539495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4450</xdr:row>
      <xdr:rowOff>25400</xdr:rowOff>
    </xdr:from>
    <xdr:to>
      <xdr:col>11</xdr:col>
      <xdr:colOff>571500</xdr:colOff>
      <xdr:row>4451</xdr:row>
      <xdr:rowOff>0</xdr:rowOff>
    </xdr:to>
    <xdr:pic>
      <xdr:nvPicPr>
        <xdr:cNvPr id="16921" name="Рисунок 16920">
          <a:extLst>
            <a:ext uri="{FF2B5EF4-FFF2-40B4-BE49-F238E27FC236}">
              <a16:creationId xmlns:a16="http://schemas.microsoft.com/office/drawing/2014/main" id="{7F7B87BA-8658-4356-B5D7-339A8486234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9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540066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4451</xdr:row>
      <xdr:rowOff>25400</xdr:rowOff>
    </xdr:from>
    <xdr:to>
      <xdr:col>11</xdr:col>
      <xdr:colOff>571500</xdr:colOff>
      <xdr:row>4452</xdr:row>
      <xdr:rowOff>0</xdr:rowOff>
    </xdr:to>
    <xdr:pic>
      <xdr:nvPicPr>
        <xdr:cNvPr id="16923" name="Рисунок 16922">
          <a:extLst>
            <a:ext uri="{FF2B5EF4-FFF2-40B4-BE49-F238E27FC236}">
              <a16:creationId xmlns:a16="http://schemas.microsoft.com/office/drawing/2014/main" id="{CB135A64-3636-40F2-8686-D4C5EF63ECE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9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540638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4452</xdr:row>
      <xdr:rowOff>25400</xdr:rowOff>
    </xdr:from>
    <xdr:to>
      <xdr:col>11</xdr:col>
      <xdr:colOff>571500</xdr:colOff>
      <xdr:row>4453</xdr:row>
      <xdr:rowOff>0</xdr:rowOff>
    </xdr:to>
    <xdr:pic>
      <xdr:nvPicPr>
        <xdr:cNvPr id="16925" name="Рисунок 16924">
          <a:extLst>
            <a:ext uri="{FF2B5EF4-FFF2-40B4-BE49-F238E27FC236}">
              <a16:creationId xmlns:a16="http://schemas.microsoft.com/office/drawing/2014/main" id="{7FF408AD-968D-415D-8512-92D048148F6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9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541209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4453</xdr:row>
      <xdr:rowOff>25400</xdr:rowOff>
    </xdr:from>
    <xdr:to>
      <xdr:col>11</xdr:col>
      <xdr:colOff>571500</xdr:colOff>
      <xdr:row>4454</xdr:row>
      <xdr:rowOff>0</xdr:rowOff>
    </xdr:to>
    <xdr:pic>
      <xdr:nvPicPr>
        <xdr:cNvPr id="16927" name="Рисунок 16926">
          <a:extLst>
            <a:ext uri="{FF2B5EF4-FFF2-40B4-BE49-F238E27FC236}">
              <a16:creationId xmlns:a16="http://schemas.microsoft.com/office/drawing/2014/main" id="{95D7A59B-59B7-47EF-AB01-6E042470FAC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9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541781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4454</xdr:row>
      <xdr:rowOff>25400</xdr:rowOff>
    </xdr:from>
    <xdr:to>
      <xdr:col>11</xdr:col>
      <xdr:colOff>571500</xdr:colOff>
      <xdr:row>4455</xdr:row>
      <xdr:rowOff>0</xdr:rowOff>
    </xdr:to>
    <xdr:pic>
      <xdr:nvPicPr>
        <xdr:cNvPr id="16929" name="Рисунок 16928">
          <a:extLst>
            <a:ext uri="{FF2B5EF4-FFF2-40B4-BE49-F238E27FC236}">
              <a16:creationId xmlns:a16="http://schemas.microsoft.com/office/drawing/2014/main" id="{CD34B006-3C83-43EB-B59E-F9E61C284C3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9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542352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4455</xdr:row>
      <xdr:rowOff>25400</xdr:rowOff>
    </xdr:from>
    <xdr:to>
      <xdr:col>11</xdr:col>
      <xdr:colOff>571500</xdr:colOff>
      <xdr:row>4456</xdr:row>
      <xdr:rowOff>0</xdr:rowOff>
    </xdr:to>
    <xdr:pic>
      <xdr:nvPicPr>
        <xdr:cNvPr id="16931" name="Рисунок 16930">
          <a:extLst>
            <a:ext uri="{FF2B5EF4-FFF2-40B4-BE49-F238E27FC236}">
              <a16:creationId xmlns:a16="http://schemas.microsoft.com/office/drawing/2014/main" id="{D052B09B-C57E-41FC-95AD-6921FA3E17F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39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542924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4456</xdr:row>
      <xdr:rowOff>25400</xdr:rowOff>
    </xdr:from>
    <xdr:to>
      <xdr:col>11</xdr:col>
      <xdr:colOff>571500</xdr:colOff>
      <xdr:row>4457</xdr:row>
      <xdr:rowOff>0</xdr:rowOff>
    </xdr:to>
    <xdr:pic>
      <xdr:nvPicPr>
        <xdr:cNvPr id="16933" name="Рисунок 16932">
          <a:extLst>
            <a:ext uri="{FF2B5EF4-FFF2-40B4-BE49-F238E27FC236}">
              <a16:creationId xmlns:a16="http://schemas.microsoft.com/office/drawing/2014/main" id="{167B9E7E-ED5B-4D95-8E05-970D846FE8E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0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543495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4457</xdr:row>
      <xdr:rowOff>25400</xdr:rowOff>
    </xdr:from>
    <xdr:to>
      <xdr:col>11</xdr:col>
      <xdr:colOff>571500</xdr:colOff>
      <xdr:row>4458</xdr:row>
      <xdr:rowOff>0</xdr:rowOff>
    </xdr:to>
    <xdr:pic>
      <xdr:nvPicPr>
        <xdr:cNvPr id="16935" name="Рисунок 16934">
          <a:extLst>
            <a:ext uri="{FF2B5EF4-FFF2-40B4-BE49-F238E27FC236}">
              <a16:creationId xmlns:a16="http://schemas.microsoft.com/office/drawing/2014/main" id="{F4480520-9387-4D08-9B45-93DA9A63C97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0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544067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4458</xdr:row>
      <xdr:rowOff>25400</xdr:rowOff>
    </xdr:from>
    <xdr:to>
      <xdr:col>11</xdr:col>
      <xdr:colOff>571500</xdr:colOff>
      <xdr:row>4459</xdr:row>
      <xdr:rowOff>0</xdr:rowOff>
    </xdr:to>
    <xdr:pic>
      <xdr:nvPicPr>
        <xdr:cNvPr id="16937" name="Рисунок 16936">
          <a:extLst>
            <a:ext uri="{FF2B5EF4-FFF2-40B4-BE49-F238E27FC236}">
              <a16:creationId xmlns:a16="http://schemas.microsoft.com/office/drawing/2014/main" id="{E3CE4AF7-4FB0-427C-8602-3938CA41FA0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0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544638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4459</xdr:row>
      <xdr:rowOff>25400</xdr:rowOff>
    </xdr:from>
    <xdr:to>
      <xdr:col>11</xdr:col>
      <xdr:colOff>571500</xdr:colOff>
      <xdr:row>4460</xdr:row>
      <xdr:rowOff>0</xdr:rowOff>
    </xdr:to>
    <xdr:pic>
      <xdr:nvPicPr>
        <xdr:cNvPr id="16939" name="Рисунок 16938">
          <a:extLst>
            <a:ext uri="{FF2B5EF4-FFF2-40B4-BE49-F238E27FC236}">
              <a16:creationId xmlns:a16="http://schemas.microsoft.com/office/drawing/2014/main" id="{44A8C097-CDF9-49E6-AE4A-B4989A11B77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0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545210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4460</xdr:row>
      <xdr:rowOff>25400</xdr:rowOff>
    </xdr:from>
    <xdr:to>
      <xdr:col>11</xdr:col>
      <xdr:colOff>571500</xdr:colOff>
      <xdr:row>4461</xdr:row>
      <xdr:rowOff>0</xdr:rowOff>
    </xdr:to>
    <xdr:pic>
      <xdr:nvPicPr>
        <xdr:cNvPr id="16941" name="Рисунок 16940">
          <a:extLst>
            <a:ext uri="{FF2B5EF4-FFF2-40B4-BE49-F238E27FC236}">
              <a16:creationId xmlns:a16="http://schemas.microsoft.com/office/drawing/2014/main" id="{BD5982A6-D400-44A3-A7B6-A4C67B7EABB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0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545781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4461</xdr:row>
      <xdr:rowOff>25400</xdr:rowOff>
    </xdr:from>
    <xdr:to>
      <xdr:col>11</xdr:col>
      <xdr:colOff>571500</xdr:colOff>
      <xdr:row>4462</xdr:row>
      <xdr:rowOff>0</xdr:rowOff>
    </xdr:to>
    <xdr:pic>
      <xdr:nvPicPr>
        <xdr:cNvPr id="16943" name="Рисунок 16942">
          <a:extLst>
            <a:ext uri="{FF2B5EF4-FFF2-40B4-BE49-F238E27FC236}">
              <a16:creationId xmlns:a16="http://schemas.microsoft.com/office/drawing/2014/main" id="{61E8E509-2C64-4602-99D4-1B24298BF27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0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546353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4462</xdr:row>
      <xdr:rowOff>25400</xdr:rowOff>
    </xdr:from>
    <xdr:to>
      <xdr:col>11</xdr:col>
      <xdr:colOff>571500</xdr:colOff>
      <xdr:row>4463</xdr:row>
      <xdr:rowOff>0</xdr:rowOff>
    </xdr:to>
    <xdr:pic>
      <xdr:nvPicPr>
        <xdr:cNvPr id="16945" name="Рисунок 16944">
          <a:extLst>
            <a:ext uri="{FF2B5EF4-FFF2-40B4-BE49-F238E27FC236}">
              <a16:creationId xmlns:a16="http://schemas.microsoft.com/office/drawing/2014/main" id="{9030053C-ABF1-46F2-A708-97836917995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0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546924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4463</xdr:row>
      <xdr:rowOff>25400</xdr:rowOff>
    </xdr:from>
    <xdr:to>
      <xdr:col>11</xdr:col>
      <xdr:colOff>571500</xdr:colOff>
      <xdr:row>4464</xdr:row>
      <xdr:rowOff>0</xdr:rowOff>
    </xdr:to>
    <xdr:pic>
      <xdr:nvPicPr>
        <xdr:cNvPr id="16947" name="Рисунок 16946">
          <a:extLst>
            <a:ext uri="{FF2B5EF4-FFF2-40B4-BE49-F238E27FC236}">
              <a16:creationId xmlns:a16="http://schemas.microsoft.com/office/drawing/2014/main" id="{3413AFBC-0617-4941-ACF1-17997967A09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0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547496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4464</xdr:row>
      <xdr:rowOff>25400</xdr:rowOff>
    </xdr:from>
    <xdr:to>
      <xdr:col>11</xdr:col>
      <xdr:colOff>571500</xdr:colOff>
      <xdr:row>4465</xdr:row>
      <xdr:rowOff>0</xdr:rowOff>
    </xdr:to>
    <xdr:pic>
      <xdr:nvPicPr>
        <xdr:cNvPr id="16949" name="Рисунок 16948">
          <a:extLst>
            <a:ext uri="{FF2B5EF4-FFF2-40B4-BE49-F238E27FC236}">
              <a16:creationId xmlns:a16="http://schemas.microsoft.com/office/drawing/2014/main" id="{B7001F0B-EA71-4087-8AA7-0041E9D66DE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0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548067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4465</xdr:row>
      <xdr:rowOff>25400</xdr:rowOff>
    </xdr:from>
    <xdr:to>
      <xdr:col>11</xdr:col>
      <xdr:colOff>571500</xdr:colOff>
      <xdr:row>4466</xdr:row>
      <xdr:rowOff>0</xdr:rowOff>
    </xdr:to>
    <xdr:pic>
      <xdr:nvPicPr>
        <xdr:cNvPr id="16951" name="Рисунок 16950">
          <a:extLst>
            <a:ext uri="{FF2B5EF4-FFF2-40B4-BE49-F238E27FC236}">
              <a16:creationId xmlns:a16="http://schemas.microsoft.com/office/drawing/2014/main" id="{BD46855F-4895-4112-B436-62649A9ACE9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0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548639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4466</xdr:row>
      <xdr:rowOff>25400</xdr:rowOff>
    </xdr:from>
    <xdr:to>
      <xdr:col>11</xdr:col>
      <xdr:colOff>571500</xdr:colOff>
      <xdr:row>4467</xdr:row>
      <xdr:rowOff>0</xdr:rowOff>
    </xdr:to>
    <xdr:pic>
      <xdr:nvPicPr>
        <xdr:cNvPr id="16953" name="Рисунок 16952">
          <a:extLst>
            <a:ext uri="{FF2B5EF4-FFF2-40B4-BE49-F238E27FC236}">
              <a16:creationId xmlns:a16="http://schemas.microsoft.com/office/drawing/2014/main" id="{550A5766-FCFD-49C8-8480-E6F3ACC20D4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1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549210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4467</xdr:row>
      <xdr:rowOff>25400</xdr:rowOff>
    </xdr:from>
    <xdr:to>
      <xdr:col>11</xdr:col>
      <xdr:colOff>571500</xdr:colOff>
      <xdr:row>4468</xdr:row>
      <xdr:rowOff>0</xdr:rowOff>
    </xdr:to>
    <xdr:pic>
      <xdr:nvPicPr>
        <xdr:cNvPr id="16955" name="Рисунок 16954">
          <a:extLst>
            <a:ext uri="{FF2B5EF4-FFF2-40B4-BE49-F238E27FC236}">
              <a16:creationId xmlns:a16="http://schemas.microsoft.com/office/drawing/2014/main" id="{C2F5A9E9-3941-4933-B418-61DC2DEE947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1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549782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4468</xdr:row>
      <xdr:rowOff>25400</xdr:rowOff>
    </xdr:from>
    <xdr:to>
      <xdr:col>11</xdr:col>
      <xdr:colOff>571500</xdr:colOff>
      <xdr:row>4469</xdr:row>
      <xdr:rowOff>0</xdr:rowOff>
    </xdr:to>
    <xdr:pic>
      <xdr:nvPicPr>
        <xdr:cNvPr id="16957" name="Рисунок 16956">
          <a:extLst>
            <a:ext uri="{FF2B5EF4-FFF2-40B4-BE49-F238E27FC236}">
              <a16:creationId xmlns:a16="http://schemas.microsoft.com/office/drawing/2014/main" id="{986F74D1-45A6-469B-A238-CAC0D68A554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1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550353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4469</xdr:row>
      <xdr:rowOff>25400</xdr:rowOff>
    </xdr:from>
    <xdr:to>
      <xdr:col>11</xdr:col>
      <xdr:colOff>571500</xdr:colOff>
      <xdr:row>4470</xdr:row>
      <xdr:rowOff>0</xdr:rowOff>
    </xdr:to>
    <xdr:pic>
      <xdr:nvPicPr>
        <xdr:cNvPr id="16959" name="Рисунок 16958">
          <a:extLst>
            <a:ext uri="{FF2B5EF4-FFF2-40B4-BE49-F238E27FC236}">
              <a16:creationId xmlns:a16="http://schemas.microsoft.com/office/drawing/2014/main" id="{7E01B503-0EE0-45D3-AD92-F1E708FAD1A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1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550925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4470</xdr:row>
      <xdr:rowOff>25400</xdr:rowOff>
    </xdr:from>
    <xdr:to>
      <xdr:col>11</xdr:col>
      <xdr:colOff>571500</xdr:colOff>
      <xdr:row>4471</xdr:row>
      <xdr:rowOff>0</xdr:rowOff>
    </xdr:to>
    <xdr:pic>
      <xdr:nvPicPr>
        <xdr:cNvPr id="16961" name="Рисунок 16960">
          <a:extLst>
            <a:ext uri="{FF2B5EF4-FFF2-40B4-BE49-F238E27FC236}">
              <a16:creationId xmlns:a16="http://schemas.microsoft.com/office/drawing/2014/main" id="{884D87A5-33E6-4D30-B747-820B21149EB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551496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4471</xdr:row>
      <xdr:rowOff>25400</xdr:rowOff>
    </xdr:from>
    <xdr:to>
      <xdr:col>11</xdr:col>
      <xdr:colOff>571500</xdr:colOff>
      <xdr:row>4472</xdr:row>
      <xdr:rowOff>0</xdr:rowOff>
    </xdr:to>
    <xdr:pic>
      <xdr:nvPicPr>
        <xdr:cNvPr id="16963" name="Рисунок 16962">
          <a:extLst>
            <a:ext uri="{FF2B5EF4-FFF2-40B4-BE49-F238E27FC236}">
              <a16:creationId xmlns:a16="http://schemas.microsoft.com/office/drawing/2014/main" id="{8D8D39C9-8E32-401F-B494-D6A39A728FF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1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552068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4472</xdr:row>
      <xdr:rowOff>25400</xdr:rowOff>
    </xdr:from>
    <xdr:to>
      <xdr:col>11</xdr:col>
      <xdr:colOff>571500</xdr:colOff>
      <xdr:row>4473</xdr:row>
      <xdr:rowOff>0</xdr:rowOff>
    </xdr:to>
    <xdr:pic>
      <xdr:nvPicPr>
        <xdr:cNvPr id="16965" name="Рисунок 16964">
          <a:extLst>
            <a:ext uri="{FF2B5EF4-FFF2-40B4-BE49-F238E27FC236}">
              <a16:creationId xmlns:a16="http://schemas.microsoft.com/office/drawing/2014/main" id="{166C9BA3-C559-4F32-91AC-6A184EB270F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1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552639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4473</xdr:row>
      <xdr:rowOff>25400</xdr:rowOff>
    </xdr:from>
    <xdr:to>
      <xdr:col>11</xdr:col>
      <xdr:colOff>571500</xdr:colOff>
      <xdr:row>4474</xdr:row>
      <xdr:rowOff>0</xdr:rowOff>
    </xdr:to>
    <xdr:pic>
      <xdr:nvPicPr>
        <xdr:cNvPr id="16967" name="Рисунок 16966">
          <a:extLst>
            <a:ext uri="{FF2B5EF4-FFF2-40B4-BE49-F238E27FC236}">
              <a16:creationId xmlns:a16="http://schemas.microsoft.com/office/drawing/2014/main" id="{322E9DEC-2BE0-4452-BEE0-9D43F87F717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1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553211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4474</xdr:row>
      <xdr:rowOff>25400</xdr:rowOff>
    </xdr:from>
    <xdr:to>
      <xdr:col>11</xdr:col>
      <xdr:colOff>571500</xdr:colOff>
      <xdr:row>4475</xdr:row>
      <xdr:rowOff>0</xdr:rowOff>
    </xdr:to>
    <xdr:pic>
      <xdr:nvPicPr>
        <xdr:cNvPr id="16969" name="Рисунок 16968">
          <a:extLst>
            <a:ext uri="{FF2B5EF4-FFF2-40B4-BE49-F238E27FC236}">
              <a16:creationId xmlns:a16="http://schemas.microsoft.com/office/drawing/2014/main" id="{FD770C9D-1CA1-4569-A66D-1FBD0CA8DC0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1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553782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4475</xdr:row>
      <xdr:rowOff>25400</xdr:rowOff>
    </xdr:from>
    <xdr:to>
      <xdr:col>11</xdr:col>
      <xdr:colOff>571500</xdr:colOff>
      <xdr:row>4476</xdr:row>
      <xdr:rowOff>0</xdr:rowOff>
    </xdr:to>
    <xdr:pic>
      <xdr:nvPicPr>
        <xdr:cNvPr id="16971" name="Рисунок 16970">
          <a:extLst>
            <a:ext uri="{FF2B5EF4-FFF2-40B4-BE49-F238E27FC236}">
              <a16:creationId xmlns:a16="http://schemas.microsoft.com/office/drawing/2014/main" id="{3223DBF7-8599-48B8-AA3E-DB82703A7EC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1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554354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4476</xdr:row>
      <xdr:rowOff>25400</xdr:rowOff>
    </xdr:from>
    <xdr:to>
      <xdr:col>11</xdr:col>
      <xdr:colOff>571500</xdr:colOff>
      <xdr:row>4477</xdr:row>
      <xdr:rowOff>0</xdr:rowOff>
    </xdr:to>
    <xdr:pic>
      <xdr:nvPicPr>
        <xdr:cNvPr id="16973" name="Рисунок 16972">
          <a:extLst>
            <a:ext uri="{FF2B5EF4-FFF2-40B4-BE49-F238E27FC236}">
              <a16:creationId xmlns:a16="http://schemas.microsoft.com/office/drawing/2014/main" id="{860C32E4-7E71-44C0-AF92-EE9AB7E6D25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2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554925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4477</xdr:row>
      <xdr:rowOff>25400</xdr:rowOff>
    </xdr:from>
    <xdr:to>
      <xdr:col>11</xdr:col>
      <xdr:colOff>571500</xdr:colOff>
      <xdr:row>4478</xdr:row>
      <xdr:rowOff>0</xdr:rowOff>
    </xdr:to>
    <xdr:pic>
      <xdr:nvPicPr>
        <xdr:cNvPr id="16975" name="Рисунок 16974">
          <a:extLst>
            <a:ext uri="{FF2B5EF4-FFF2-40B4-BE49-F238E27FC236}">
              <a16:creationId xmlns:a16="http://schemas.microsoft.com/office/drawing/2014/main" id="{94D2D4EC-FA5E-4B33-B043-9ED8B081B0F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2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555497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4478</xdr:row>
      <xdr:rowOff>25400</xdr:rowOff>
    </xdr:from>
    <xdr:to>
      <xdr:col>11</xdr:col>
      <xdr:colOff>571500</xdr:colOff>
      <xdr:row>4479</xdr:row>
      <xdr:rowOff>0</xdr:rowOff>
    </xdr:to>
    <xdr:pic>
      <xdr:nvPicPr>
        <xdr:cNvPr id="16977" name="Рисунок 16976">
          <a:extLst>
            <a:ext uri="{FF2B5EF4-FFF2-40B4-BE49-F238E27FC236}">
              <a16:creationId xmlns:a16="http://schemas.microsoft.com/office/drawing/2014/main" id="{FB49EFBC-D5E0-4615-9BF0-8CBB3FE1068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2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556068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4479</xdr:row>
      <xdr:rowOff>25400</xdr:rowOff>
    </xdr:from>
    <xdr:to>
      <xdr:col>11</xdr:col>
      <xdr:colOff>571500</xdr:colOff>
      <xdr:row>4480</xdr:row>
      <xdr:rowOff>0</xdr:rowOff>
    </xdr:to>
    <xdr:pic>
      <xdr:nvPicPr>
        <xdr:cNvPr id="16979" name="Рисунок 16978">
          <a:extLst>
            <a:ext uri="{FF2B5EF4-FFF2-40B4-BE49-F238E27FC236}">
              <a16:creationId xmlns:a16="http://schemas.microsoft.com/office/drawing/2014/main" id="{EE71D82A-C512-4C73-89AE-734FEFBD118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2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556640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4480</xdr:row>
      <xdr:rowOff>25400</xdr:rowOff>
    </xdr:from>
    <xdr:to>
      <xdr:col>11</xdr:col>
      <xdr:colOff>571500</xdr:colOff>
      <xdr:row>4481</xdr:row>
      <xdr:rowOff>0</xdr:rowOff>
    </xdr:to>
    <xdr:pic>
      <xdr:nvPicPr>
        <xdr:cNvPr id="16981" name="Рисунок 16980">
          <a:extLst>
            <a:ext uri="{FF2B5EF4-FFF2-40B4-BE49-F238E27FC236}">
              <a16:creationId xmlns:a16="http://schemas.microsoft.com/office/drawing/2014/main" id="{E07100F4-EFFC-4948-A9B8-082DE34162D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2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557211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4481</xdr:row>
      <xdr:rowOff>25400</xdr:rowOff>
    </xdr:from>
    <xdr:to>
      <xdr:col>11</xdr:col>
      <xdr:colOff>571500</xdr:colOff>
      <xdr:row>4482</xdr:row>
      <xdr:rowOff>0</xdr:rowOff>
    </xdr:to>
    <xdr:pic>
      <xdr:nvPicPr>
        <xdr:cNvPr id="16983" name="Рисунок 16982">
          <a:extLst>
            <a:ext uri="{FF2B5EF4-FFF2-40B4-BE49-F238E27FC236}">
              <a16:creationId xmlns:a16="http://schemas.microsoft.com/office/drawing/2014/main" id="{3713B559-5568-4BBB-B45D-5A34B7DDF47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2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557783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4482</xdr:row>
      <xdr:rowOff>25400</xdr:rowOff>
    </xdr:from>
    <xdr:to>
      <xdr:col>11</xdr:col>
      <xdr:colOff>571500</xdr:colOff>
      <xdr:row>4483</xdr:row>
      <xdr:rowOff>0</xdr:rowOff>
    </xdr:to>
    <xdr:pic>
      <xdr:nvPicPr>
        <xdr:cNvPr id="16985" name="Рисунок 16984">
          <a:extLst>
            <a:ext uri="{FF2B5EF4-FFF2-40B4-BE49-F238E27FC236}">
              <a16:creationId xmlns:a16="http://schemas.microsoft.com/office/drawing/2014/main" id="{1DF9EFC8-3CDF-4E8E-8BAB-C98220DCDF1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2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558354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4483</xdr:row>
      <xdr:rowOff>25400</xdr:rowOff>
    </xdr:from>
    <xdr:to>
      <xdr:col>11</xdr:col>
      <xdr:colOff>571500</xdr:colOff>
      <xdr:row>4484</xdr:row>
      <xdr:rowOff>0</xdr:rowOff>
    </xdr:to>
    <xdr:pic>
      <xdr:nvPicPr>
        <xdr:cNvPr id="16987" name="Рисунок 16986">
          <a:extLst>
            <a:ext uri="{FF2B5EF4-FFF2-40B4-BE49-F238E27FC236}">
              <a16:creationId xmlns:a16="http://schemas.microsoft.com/office/drawing/2014/main" id="{0FB09942-2D7D-4041-B801-7EBF7658C8A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2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558926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4484</xdr:row>
      <xdr:rowOff>25400</xdr:rowOff>
    </xdr:from>
    <xdr:to>
      <xdr:col>11</xdr:col>
      <xdr:colOff>571500</xdr:colOff>
      <xdr:row>4485</xdr:row>
      <xdr:rowOff>0</xdr:rowOff>
    </xdr:to>
    <xdr:pic>
      <xdr:nvPicPr>
        <xdr:cNvPr id="16989" name="Рисунок 16988">
          <a:extLst>
            <a:ext uri="{FF2B5EF4-FFF2-40B4-BE49-F238E27FC236}">
              <a16:creationId xmlns:a16="http://schemas.microsoft.com/office/drawing/2014/main" id="{529CBDC4-B5EA-4A7B-9020-D670B6AEDFA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559497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4485</xdr:row>
      <xdr:rowOff>25400</xdr:rowOff>
    </xdr:from>
    <xdr:to>
      <xdr:col>11</xdr:col>
      <xdr:colOff>571500</xdr:colOff>
      <xdr:row>4486</xdr:row>
      <xdr:rowOff>0</xdr:rowOff>
    </xdr:to>
    <xdr:pic>
      <xdr:nvPicPr>
        <xdr:cNvPr id="16991" name="Рисунок 16990">
          <a:extLst>
            <a:ext uri="{FF2B5EF4-FFF2-40B4-BE49-F238E27FC236}">
              <a16:creationId xmlns:a16="http://schemas.microsoft.com/office/drawing/2014/main" id="{C6FCE308-957F-439D-99AE-F12CC4F8D3A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560069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4486</xdr:row>
      <xdr:rowOff>25400</xdr:rowOff>
    </xdr:from>
    <xdr:to>
      <xdr:col>11</xdr:col>
      <xdr:colOff>571500</xdr:colOff>
      <xdr:row>4487</xdr:row>
      <xdr:rowOff>0</xdr:rowOff>
    </xdr:to>
    <xdr:pic>
      <xdr:nvPicPr>
        <xdr:cNvPr id="16993" name="Рисунок 16992">
          <a:extLst>
            <a:ext uri="{FF2B5EF4-FFF2-40B4-BE49-F238E27FC236}">
              <a16:creationId xmlns:a16="http://schemas.microsoft.com/office/drawing/2014/main" id="{81931EDE-BB66-45BB-8C58-0ABD2DA3E66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560640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4487</xdr:row>
      <xdr:rowOff>25400</xdr:rowOff>
    </xdr:from>
    <xdr:to>
      <xdr:col>11</xdr:col>
      <xdr:colOff>571500</xdr:colOff>
      <xdr:row>4488</xdr:row>
      <xdr:rowOff>0</xdr:rowOff>
    </xdr:to>
    <xdr:pic>
      <xdr:nvPicPr>
        <xdr:cNvPr id="16995" name="Рисунок 16994">
          <a:extLst>
            <a:ext uri="{FF2B5EF4-FFF2-40B4-BE49-F238E27FC236}">
              <a16:creationId xmlns:a16="http://schemas.microsoft.com/office/drawing/2014/main" id="{AE9356AE-2242-475E-B0D1-57C3D9BCD90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3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561212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4488</xdr:row>
      <xdr:rowOff>25400</xdr:rowOff>
    </xdr:from>
    <xdr:to>
      <xdr:col>11</xdr:col>
      <xdr:colOff>571500</xdr:colOff>
      <xdr:row>4489</xdr:row>
      <xdr:rowOff>0</xdr:rowOff>
    </xdr:to>
    <xdr:pic>
      <xdr:nvPicPr>
        <xdr:cNvPr id="16997" name="Рисунок 16996">
          <a:extLst>
            <a:ext uri="{FF2B5EF4-FFF2-40B4-BE49-F238E27FC236}">
              <a16:creationId xmlns:a16="http://schemas.microsoft.com/office/drawing/2014/main" id="{99FC05E8-29D6-4F4C-A0E7-C60F07F3D36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3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561783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4489</xdr:row>
      <xdr:rowOff>25400</xdr:rowOff>
    </xdr:from>
    <xdr:to>
      <xdr:col>11</xdr:col>
      <xdr:colOff>571500</xdr:colOff>
      <xdr:row>4490</xdr:row>
      <xdr:rowOff>0</xdr:rowOff>
    </xdr:to>
    <xdr:pic>
      <xdr:nvPicPr>
        <xdr:cNvPr id="16999" name="Рисунок 16998">
          <a:extLst>
            <a:ext uri="{FF2B5EF4-FFF2-40B4-BE49-F238E27FC236}">
              <a16:creationId xmlns:a16="http://schemas.microsoft.com/office/drawing/2014/main" id="{0D74D88F-BCFD-48A1-B9FB-550A9A0C6BE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3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562355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4490</xdr:row>
      <xdr:rowOff>25400</xdr:rowOff>
    </xdr:from>
    <xdr:to>
      <xdr:col>11</xdr:col>
      <xdr:colOff>571500</xdr:colOff>
      <xdr:row>4491</xdr:row>
      <xdr:rowOff>0</xdr:rowOff>
    </xdr:to>
    <xdr:pic>
      <xdr:nvPicPr>
        <xdr:cNvPr id="17001" name="Рисунок 17000">
          <a:extLst>
            <a:ext uri="{FF2B5EF4-FFF2-40B4-BE49-F238E27FC236}">
              <a16:creationId xmlns:a16="http://schemas.microsoft.com/office/drawing/2014/main" id="{7784BA3C-487E-408A-99BB-41F0D109633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3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562926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4491</xdr:row>
      <xdr:rowOff>25400</xdr:rowOff>
    </xdr:from>
    <xdr:to>
      <xdr:col>11</xdr:col>
      <xdr:colOff>571500</xdr:colOff>
      <xdr:row>4492</xdr:row>
      <xdr:rowOff>0</xdr:rowOff>
    </xdr:to>
    <xdr:pic>
      <xdr:nvPicPr>
        <xdr:cNvPr id="17003" name="Рисунок 17002">
          <a:extLst>
            <a:ext uri="{FF2B5EF4-FFF2-40B4-BE49-F238E27FC236}">
              <a16:creationId xmlns:a16="http://schemas.microsoft.com/office/drawing/2014/main" id="{99F0CD3E-18F7-4D8D-A493-AE05851AE7D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3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563498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4492</xdr:row>
      <xdr:rowOff>25400</xdr:rowOff>
    </xdr:from>
    <xdr:to>
      <xdr:col>11</xdr:col>
      <xdr:colOff>571500</xdr:colOff>
      <xdr:row>4493</xdr:row>
      <xdr:rowOff>0</xdr:rowOff>
    </xdr:to>
    <xdr:pic>
      <xdr:nvPicPr>
        <xdr:cNvPr id="17005" name="Рисунок 17004">
          <a:extLst>
            <a:ext uri="{FF2B5EF4-FFF2-40B4-BE49-F238E27FC236}">
              <a16:creationId xmlns:a16="http://schemas.microsoft.com/office/drawing/2014/main" id="{5A09F3BB-C35F-4B69-B2C5-23C07EE6FF8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3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564069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4493</xdr:row>
      <xdr:rowOff>25400</xdr:rowOff>
    </xdr:from>
    <xdr:to>
      <xdr:col>11</xdr:col>
      <xdr:colOff>571500</xdr:colOff>
      <xdr:row>4494</xdr:row>
      <xdr:rowOff>0</xdr:rowOff>
    </xdr:to>
    <xdr:pic>
      <xdr:nvPicPr>
        <xdr:cNvPr id="17007" name="Рисунок 17006">
          <a:extLst>
            <a:ext uri="{FF2B5EF4-FFF2-40B4-BE49-F238E27FC236}">
              <a16:creationId xmlns:a16="http://schemas.microsoft.com/office/drawing/2014/main" id="{BF516008-622E-49E4-A489-FAF616052D4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3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564641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4494</xdr:row>
      <xdr:rowOff>25400</xdr:rowOff>
    </xdr:from>
    <xdr:to>
      <xdr:col>11</xdr:col>
      <xdr:colOff>571500</xdr:colOff>
      <xdr:row>4495</xdr:row>
      <xdr:rowOff>0</xdr:rowOff>
    </xdr:to>
    <xdr:pic>
      <xdr:nvPicPr>
        <xdr:cNvPr id="17009" name="Рисунок 17008">
          <a:extLst>
            <a:ext uri="{FF2B5EF4-FFF2-40B4-BE49-F238E27FC236}">
              <a16:creationId xmlns:a16="http://schemas.microsoft.com/office/drawing/2014/main" id="{FEBF8DFE-44DF-4DFC-B431-47F7805B05C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3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565212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4495</xdr:row>
      <xdr:rowOff>25400</xdr:rowOff>
    </xdr:from>
    <xdr:to>
      <xdr:col>11</xdr:col>
      <xdr:colOff>571500</xdr:colOff>
      <xdr:row>4496</xdr:row>
      <xdr:rowOff>0</xdr:rowOff>
    </xdr:to>
    <xdr:pic>
      <xdr:nvPicPr>
        <xdr:cNvPr id="17011" name="Рисунок 17010">
          <a:extLst>
            <a:ext uri="{FF2B5EF4-FFF2-40B4-BE49-F238E27FC236}">
              <a16:creationId xmlns:a16="http://schemas.microsoft.com/office/drawing/2014/main" id="{94D557F8-0790-47A5-9ACF-617DBF4A2D2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3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565784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4496</xdr:row>
      <xdr:rowOff>25400</xdr:rowOff>
    </xdr:from>
    <xdr:to>
      <xdr:col>11</xdr:col>
      <xdr:colOff>571500</xdr:colOff>
      <xdr:row>4497</xdr:row>
      <xdr:rowOff>0</xdr:rowOff>
    </xdr:to>
    <xdr:pic>
      <xdr:nvPicPr>
        <xdr:cNvPr id="17013" name="Рисунок 17012">
          <a:extLst>
            <a:ext uri="{FF2B5EF4-FFF2-40B4-BE49-F238E27FC236}">
              <a16:creationId xmlns:a16="http://schemas.microsoft.com/office/drawing/2014/main" id="{1910EC50-0C33-4D4F-A4D4-DEBAD7CCEE0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4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566355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4497</xdr:row>
      <xdr:rowOff>25400</xdr:rowOff>
    </xdr:from>
    <xdr:to>
      <xdr:col>11</xdr:col>
      <xdr:colOff>571500</xdr:colOff>
      <xdr:row>4498</xdr:row>
      <xdr:rowOff>0</xdr:rowOff>
    </xdr:to>
    <xdr:pic>
      <xdr:nvPicPr>
        <xdr:cNvPr id="17015" name="Рисунок 17014">
          <a:extLst>
            <a:ext uri="{FF2B5EF4-FFF2-40B4-BE49-F238E27FC236}">
              <a16:creationId xmlns:a16="http://schemas.microsoft.com/office/drawing/2014/main" id="{E7563196-009F-4103-91A8-96222B31818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4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566927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4498</xdr:row>
      <xdr:rowOff>25400</xdr:rowOff>
    </xdr:from>
    <xdr:to>
      <xdr:col>11</xdr:col>
      <xdr:colOff>571500</xdr:colOff>
      <xdr:row>4499</xdr:row>
      <xdr:rowOff>0</xdr:rowOff>
    </xdr:to>
    <xdr:pic>
      <xdr:nvPicPr>
        <xdr:cNvPr id="17017" name="Рисунок 17016">
          <a:extLst>
            <a:ext uri="{FF2B5EF4-FFF2-40B4-BE49-F238E27FC236}">
              <a16:creationId xmlns:a16="http://schemas.microsoft.com/office/drawing/2014/main" id="{FDAFBF4F-3263-4CE2-B43A-A8C2A360DB2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567498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4499</xdr:row>
      <xdr:rowOff>25400</xdr:rowOff>
    </xdr:from>
    <xdr:to>
      <xdr:col>11</xdr:col>
      <xdr:colOff>571500</xdr:colOff>
      <xdr:row>4500</xdr:row>
      <xdr:rowOff>0</xdr:rowOff>
    </xdr:to>
    <xdr:pic>
      <xdr:nvPicPr>
        <xdr:cNvPr id="17019" name="Рисунок 17018">
          <a:extLst>
            <a:ext uri="{FF2B5EF4-FFF2-40B4-BE49-F238E27FC236}">
              <a16:creationId xmlns:a16="http://schemas.microsoft.com/office/drawing/2014/main" id="{FCDA640C-65F6-451E-AE9F-0C7EA138264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568070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4500</xdr:row>
      <xdr:rowOff>25400</xdr:rowOff>
    </xdr:from>
    <xdr:to>
      <xdr:col>11</xdr:col>
      <xdr:colOff>571500</xdr:colOff>
      <xdr:row>4501</xdr:row>
      <xdr:rowOff>0</xdr:rowOff>
    </xdr:to>
    <xdr:pic>
      <xdr:nvPicPr>
        <xdr:cNvPr id="17021" name="Рисунок 17020">
          <a:extLst>
            <a:ext uri="{FF2B5EF4-FFF2-40B4-BE49-F238E27FC236}">
              <a16:creationId xmlns:a16="http://schemas.microsoft.com/office/drawing/2014/main" id="{F10904EE-3FCB-4235-AEE4-DCFDD8F5472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568641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4501</xdr:row>
      <xdr:rowOff>25400</xdr:rowOff>
    </xdr:from>
    <xdr:to>
      <xdr:col>11</xdr:col>
      <xdr:colOff>571500</xdr:colOff>
      <xdr:row>4502</xdr:row>
      <xdr:rowOff>0</xdr:rowOff>
    </xdr:to>
    <xdr:pic>
      <xdr:nvPicPr>
        <xdr:cNvPr id="17023" name="Рисунок 17022">
          <a:extLst>
            <a:ext uri="{FF2B5EF4-FFF2-40B4-BE49-F238E27FC236}">
              <a16:creationId xmlns:a16="http://schemas.microsoft.com/office/drawing/2014/main" id="{0D691133-F144-4FAD-9C29-FBD03E5502C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4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569213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4502</xdr:row>
      <xdr:rowOff>25400</xdr:rowOff>
    </xdr:from>
    <xdr:to>
      <xdr:col>11</xdr:col>
      <xdr:colOff>571500</xdr:colOff>
      <xdr:row>4503</xdr:row>
      <xdr:rowOff>0</xdr:rowOff>
    </xdr:to>
    <xdr:pic>
      <xdr:nvPicPr>
        <xdr:cNvPr id="17025" name="Рисунок 17024">
          <a:extLst>
            <a:ext uri="{FF2B5EF4-FFF2-40B4-BE49-F238E27FC236}">
              <a16:creationId xmlns:a16="http://schemas.microsoft.com/office/drawing/2014/main" id="{EF483EFA-84F1-4C0E-BA37-45527569428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4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569784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4503</xdr:row>
      <xdr:rowOff>25400</xdr:rowOff>
    </xdr:from>
    <xdr:to>
      <xdr:col>11</xdr:col>
      <xdr:colOff>571500</xdr:colOff>
      <xdr:row>4504</xdr:row>
      <xdr:rowOff>0</xdr:rowOff>
    </xdr:to>
    <xdr:pic>
      <xdr:nvPicPr>
        <xdr:cNvPr id="17027" name="Рисунок 17026">
          <a:extLst>
            <a:ext uri="{FF2B5EF4-FFF2-40B4-BE49-F238E27FC236}">
              <a16:creationId xmlns:a16="http://schemas.microsoft.com/office/drawing/2014/main" id="{52EE75A8-9D2E-47EB-A600-A78065BB7C24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4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570356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4504</xdr:row>
      <xdr:rowOff>25400</xdr:rowOff>
    </xdr:from>
    <xdr:to>
      <xdr:col>11</xdr:col>
      <xdr:colOff>571500</xdr:colOff>
      <xdr:row>4505</xdr:row>
      <xdr:rowOff>0</xdr:rowOff>
    </xdr:to>
    <xdr:pic>
      <xdr:nvPicPr>
        <xdr:cNvPr id="17029" name="Рисунок 17028">
          <a:extLst>
            <a:ext uri="{FF2B5EF4-FFF2-40B4-BE49-F238E27FC236}">
              <a16:creationId xmlns:a16="http://schemas.microsoft.com/office/drawing/2014/main" id="{B21E94BC-8878-4B66-A72E-B690A76B6BD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4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570927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4505</xdr:row>
      <xdr:rowOff>25400</xdr:rowOff>
    </xdr:from>
    <xdr:to>
      <xdr:col>11</xdr:col>
      <xdr:colOff>571500</xdr:colOff>
      <xdr:row>4506</xdr:row>
      <xdr:rowOff>0</xdr:rowOff>
    </xdr:to>
    <xdr:pic>
      <xdr:nvPicPr>
        <xdr:cNvPr id="17031" name="Рисунок 17030">
          <a:extLst>
            <a:ext uri="{FF2B5EF4-FFF2-40B4-BE49-F238E27FC236}">
              <a16:creationId xmlns:a16="http://schemas.microsoft.com/office/drawing/2014/main" id="{DA1F3FF2-2A3A-48A5-A18B-E40323CBC3B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4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571499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4506</xdr:row>
      <xdr:rowOff>25400</xdr:rowOff>
    </xdr:from>
    <xdr:to>
      <xdr:col>11</xdr:col>
      <xdr:colOff>571500</xdr:colOff>
      <xdr:row>4507</xdr:row>
      <xdr:rowOff>0</xdr:rowOff>
    </xdr:to>
    <xdr:pic>
      <xdr:nvPicPr>
        <xdr:cNvPr id="17033" name="Рисунок 17032">
          <a:extLst>
            <a:ext uri="{FF2B5EF4-FFF2-40B4-BE49-F238E27FC236}">
              <a16:creationId xmlns:a16="http://schemas.microsoft.com/office/drawing/2014/main" id="{FC6F68A7-03BC-416A-A593-CBFE9C7745A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5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572070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4507</xdr:row>
      <xdr:rowOff>25400</xdr:rowOff>
    </xdr:from>
    <xdr:to>
      <xdr:col>11</xdr:col>
      <xdr:colOff>571500</xdr:colOff>
      <xdr:row>4508</xdr:row>
      <xdr:rowOff>0</xdr:rowOff>
    </xdr:to>
    <xdr:pic>
      <xdr:nvPicPr>
        <xdr:cNvPr id="17035" name="Рисунок 17034">
          <a:extLst>
            <a:ext uri="{FF2B5EF4-FFF2-40B4-BE49-F238E27FC236}">
              <a16:creationId xmlns:a16="http://schemas.microsoft.com/office/drawing/2014/main" id="{C5AAA91D-D386-46C3-8A8F-D16E21FF93E7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5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572642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4508</xdr:row>
      <xdr:rowOff>25400</xdr:rowOff>
    </xdr:from>
    <xdr:to>
      <xdr:col>11</xdr:col>
      <xdr:colOff>571500</xdr:colOff>
      <xdr:row>4509</xdr:row>
      <xdr:rowOff>0</xdr:rowOff>
    </xdr:to>
    <xdr:pic>
      <xdr:nvPicPr>
        <xdr:cNvPr id="17037" name="Рисунок 17036">
          <a:extLst>
            <a:ext uri="{FF2B5EF4-FFF2-40B4-BE49-F238E27FC236}">
              <a16:creationId xmlns:a16="http://schemas.microsoft.com/office/drawing/2014/main" id="{C1640C5D-A6FB-4CC1-9B2E-3D255ACC62B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573213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4509</xdr:row>
      <xdr:rowOff>25400</xdr:rowOff>
    </xdr:from>
    <xdr:to>
      <xdr:col>11</xdr:col>
      <xdr:colOff>571500</xdr:colOff>
      <xdr:row>4510</xdr:row>
      <xdr:rowOff>0</xdr:rowOff>
    </xdr:to>
    <xdr:pic>
      <xdr:nvPicPr>
        <xdr:cNvPr id="17039" name="Рисунок 17038">
          <a:extLst>
            <a:ext uri="{FF2B5EF4-FFF2-40B4-BE49-F238E27FC236}">
              <a16:creationId xmlns:a16="http://schemas.microsoft.com/office/drawing/2014/main" id="{92D6D930-274C-4B73-BDBE-5ADE5135F75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5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573785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4510</xdr:row>
      <xdr:rowOff>25400</xdr:rowOff>
    </xdr:from>
    <xdr:to>
      <xdr:col>11</xdr:col>
      <xdr:colOff>571500</xdr:colOff>
      <xdr:row>4511</xdr:row>
      <xdr:rowOff>0</xdr:rowOff>
    </xdr:to>
    <xdr:pic>
      <xdr:nvPicPr>
        <xdr:cNvPr id="17041" name="Рисунок 17040">
          <a:extLst>
            <a:ext uri="{FF2B5EF4-FFF2-40B4-BE49-F238E27FC236}">
              <a16:creationId xmlns:a16="http://schemas.microsoft.com/office/drawing/2014/main" id="{B400163D-E353-4A2C-BA72-5E273E7E001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5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574356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4511</xdr:row>
      <xdr:rowOff>25400</xdr:rowOff>
    </xdr:from>
    <xdr:to>
      <xdr:col>11</xdr:col>
      <xdr:colOff>571500</xdr:colOff>
      <xdr:row>4512</xdr:row>
      <xdr:rowOff>0</xdr:rowOff>
    </xdr:to>
    <xdr:pic>
      <xdr:nvPicPr>
        <xdr:cNvPr id="17043" name="Рисунок 17042">
          <a:extLst>
            <a:ext uri="{FF2B5EF4-FFF2-40B4-BE49-F238E27FC236}">
              <a16:creationId xmlns:a16="http://schemas.microsoft.com/office/drawing/2014/main" id="{CB44E6FE-A7F2-43A1-B832-6C0C41B3043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5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574928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4512</xdr:row>
      <xdr:rowOff>25400</xdr:rowOff>
    </xdr:from>
    <xdr:to>
      <xdr:col>11</xdr:col>
      <xdr:colOff>571500</xdr:colOff>
      <xdr:row>4513</xdr:row>
      <xdr:rowOff>0</xdr:rowOff>
    </xdr:to>
    <xdr:pic>
      <xdr:nvPicPr>
        <xdr:cNvPr id="17045" name="Рисунок 17044">
          <a:extLst>
            <a:ext uri="{FF2B5EF4-FFF2-40B4-BE49-F238E27FC236}">
              <a16:creationId xmlns:a16="http://schemas.microsoft.com/office/drawing/2014/main" id="{B5E7CEB9-B947-4529-9068-3713CB78D16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5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575499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4513</xdr:row>
      <xdr:rowOff>25400</xdr:rowOff>
    </xdr:from>
    <xdr:to>
      <xdr:col>11</xdr:col>
      <xdr:colOff>571500</xdr:colOff>
      <xdr:row>4514</xdr:row>
      <xdr:rowOff>0</xdr:rowOff>
    </xdr:to>
    <xdr:pic>
      <xdr:nvPicPr>
        <xdr:cNvPr id="17047" name="Рисунок 17046">
          <a:extLst>
            <a:ext uri="{FF2B5EF4-FFF2-40B4-BE49-F238E27FC236}">
              <a16:creationId xmlns:a16="http://schemas.microsoft.com/office/drawing/2014/main" id="{7211E428-F6B7-4F0F-929C-FB1342A19041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5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576071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4514</xdr:row>
      <xdr:rowOff>25400</xdr:rowOff>
    </xdr:from>
    <xdr:to>
      <xdr:col>11</xdr:col>
      <xdr:colOff>571500</xdr:colOff>
      <xdr:row>4515</xdr:row>
      <xdr:rowOff>0</xdr:rowOff>
    </xdr:to>
    <xdr:pic>
      <xdr:nvPicPr>
        <xdr:cNvPr id="17049" name="Рисунок 17048">
          <a:extLst>
            <a:ext uri="{FF2B5EF4-FFF2-40B4-BE49-F238E27FC236}">
              <a16:creationId xmlns:a16="http://schemas.microsoft.com/office/drawing/2014/main" id="{53E13A12-BC16-499D-BADF-BC278A46F72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5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576642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4515</xdr:row>
      <xdr:rowOff>25400</xdr:rowOff>
    </xdr:from>
    <xdr:to>
      <xdr:col>11</xdr:col>
      <xdr:colOff>571500</xdr:colOff>
      <xdr:row>4516</xdr:row>
      <xdr:rowOff>0</xdr:rowOff>
    </xdr:to>
    <xdr:pic>
      <xdr:nvPicPr>
        <xdr:cNvPr id="17051" name="Рисунок 17050">
          <a:extLst>
            <a:ext uri="{FF2B5EF4-FFF2-40B4-BE49-F238E27FC236}">
              <a16:creationId xmlns:a16="http://schemas.microsoft.com/office/drawing/2014/main" id="{9ED35DB2-4F94-4063-8F8E-6A9F2D1E7A1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5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577214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4516</xdr:row>
      <xdr:rowOff>25400</xdr:rowOff>
    </xdr:from>
    <xdr:to>
      <xdr:col>11</xdr:col>
      <xdr:colOff>571500</xdr:colOff>
      <xdr:row>4517</xdr:row>
      <xdr:rowOff>0</xdr:rowOff>
    </xdr:to>
    <xdr:pic>
      <xdr:nvPicPr>
        <xdr:cNvPr id="17053" name="Рисунок 17052">
          <a:extLst>
            <a:ext uri="{FF2B5EF4-FFF2-40B4-BE49-F238E27FC236}">
              <a16:creationId xmlns:a16="http://schemas.microsoft.com/office/drawing/2014/main" id="{AFFEDDAE-BB2D-45BA-A052-577579CEFFE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6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577785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4517</xdr:row>
      <xdr:rowOff>25400</xdr:rowOff>
    </xdr:from>
    <xdr:to>
      <xdr:col>11</xdr:col>
      <xdr:colOff>571500</xdr:colOff>
      <xdr:row>4518</xdr:row>
      <xdr:rowOff>0</xdr:rowOff>
    </xdr:to>
    <xdr:pic>
      <xdr:nvPicPr>
        <xdr:cNvPr id="17055" name="Рисунок 17054">
          <a:extLst>
            <a:ext uri="{FF2B5EF4-FFF2-40B4-BE49-F238E27FC236}">
              <a16:creationId xmlns:a16="http://schemas.microsoft.com/office/drawing/2014/main" id="{B9B242CD-3ED4-4D1B-91E7-F5116859AEA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6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578357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4518</xdr:row>
      <xdr:rowOff>25400</xdr:rowOff>
    </xdr:from>
    <xdr:to>
      <xdr:col>11</xdr:col>
      <xdr:colOff>571500</xdr:colOff>
      <xdr:row>4519</xdr:row>
      <xdr:rowOff>0</xdr:rowOff>
    </xdr:to>
    <xdr:pic>
      <xdr:nvPicPr>
        <xdr:cNvPr id="17057" name="Рисунок 17056">
          <a:extLst>
            <a:ext uri="{FF2B5EF4-FFF2-40B4-BE49-F238E27FC236}">
              <a16:creationId xmlns:a16="http://schemas.microsoft.com/office/drawing/2014/main" id="{8C282037-556F-4116-AD84-A42665375BB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6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578928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4519</xdr:row>
      <xdr:rowOff>25400</xdr:rowOff>
    </xdr:from>
    <xdr:to>
      <xdr:col>11</xdr:col>
      <xdr:colOff>571500</xdr:colOff>
      <xdr:row>4520</xdr:row>
      <xdr:rowOff>0</xdr:rowOff>
    </xdr:to>
    <xdr:pic>
      <xdr:nvPicPr>
        <xdr:cNvPr id="17059" name="Рисунок 17058">
          <a:extLst>
            <a:ext uri="{FF2B5EF4-FFF2-40B4-BE49-F238E27FC236}">
              <a16:creationId xmlns:a16="http://schemas.microsoft.com/office/drawing/2014/main" id="{89439737-1BE7-47E6-A0EF-AAAF1F723BE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6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579500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4520</xdr:row>
      <xdr:rowOff>25400</xdr:rowOff>
    </xdr:from>
    <xdr:to>
      <xdr:col>11</xdr:col>
      <xdr:colOff>571500</xdr:colOff>
      <xdr:row>4521</xdr:row>
      <xdr:rowOff>0</xdr:rowOff>
    </xdr:to>
    <xdr:pic>
      <xdr:nvPicPr>
        <xdr:cNvPr id="17061" name="Рисунок 17060">
          <a:extLst>
            <a:ext uri="{FF2B5EF4-FFF2-40B4-BE49-F238E27FC236}">
              <a16:creationId xmlns:a16="http://schemas.microsoft.com/office/drawing/2014/main" id="{E6BA534A-32D4-468A-A437-D1492F0A9C3D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6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580071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4521</xdr:row>
      <xdr:rowOff>25400</xdr:rowOff>
    </xdr:from>
    <xdr:to>
      <xdr:col>11</xdr:col>
      <xdr:colOff>571500</xdr:colOff>
      <xdr:row>4522</xdr:row>
      <xdr:rowOff>0</xdr:rowOff>
    </xdr:to>
    <xdr:pic>
      <xdr:nvPicPr>
        <xdr:cNvPr id="17063" name="Рисунок 17062">
          <a:extLst>
            <a:ext uri="{FF2B5EF4-FFF2-40B4-BE49-F238E27FC236}">
              <a16:creationId xmlns:a16="http://schemas.microsoft.com/office/drawing/2014/main" id="{8E5E6154-4A7A-4F61-93FF-2BCC7DBCD8D9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6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580643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4522</xdr:row>
      <xdr:rowOff>25400</xdr:rowOff>
    </xdr:from>
    <xdr:to>
      <xdr:col>11</xdr:col>
      <xdr:colOff>571500</xdr:colOff>
      <xdr:row>4523</xdr:row>
      <xdr:rowOff>0</xdr:rowOff>
    </xdr:to>
    <xdr:pic>
      <xdr:nvPicPr>
        <xdr:cNvPr id="17065" name="Рисунок 17064">
          <a:extLst>
            <a:ext uri="{FF2B5EF4-FFF2-40B4-BE49-F238E27FC236}">
              <a16:creationId xmlns:a16="http://schemas.microsoft.com/office/drawing/2014/main" id="{B5CE39B7-A918-46DE-A210-33BA17F076C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6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581214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4523</xdr:row>
      <xdr:rowOff>25400</xdr:rowOff>
    </xdr:from>
    <xdr:to>
      <xdr:col>11</xdr:col>
      <xdr:colOff>571500</xdr:colOff>
      <xdr:row>4524</xdr:row>
      <xdr:rowOff>0</xdr:rowOff>
    </xdr:to>
    <xdr:pic>
      <xdr:nvPicPr>
        <xdr:cNvPr id="17067" name="Рисунок 17066">
          <a:extLst>
            <a:ext uri="{FF2B5EF4-FFF2-40B4-BE49-F238E27FC236}">
              <a16:creationId xmlns:a16="http://schemas.microsoft.com/office/drawing/2014/main" id="{34CE5D2D-C612-4248-8E3F-66B44D6EC008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6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581786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4524</xdr:row>
      <xdr:rowOff>25400</xdr:rowOff>
    </xdr:from>
    <xdr:to>
      <xdr:col>11</xdr:col>
      <xdr:colOff>571500</xdr:colOff>
      <xdr:row>4525</xdr:row>
      <xdr:rowOff>0</xdr:rowOff>
    </xdr:to>
    <xdr:pic>
      <xdr:nvPicPr>
        <xdr:cNvPr id="17069" name="Рисунок 17068">
          <a:extLst>
            <a:ext uri="{FF2B5EF4-FFF2-40B4-BE49-F238E27FC236}">
              <a16:creationId xmlns:a16="http://schemas.microsoft.com/office/drawing/2014/main" id="{1288F6B7-D73F-4A53-99DD-CD932B85FDC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6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582357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4525</xdr:row>
      <xdr:rowOff>25400</xdr:rowOff>
    </xdr:from>
    <xdr:to>
      <xdr:col>11</xdr:col>
      <xdr:colOff>571500</xdr:colOff>
      <xdr:row>4526</xdr:row>
      <xdr:rowOff>0</xdr:rowOff>
    </xdr:to>
    <xdr:pic>
      <xdr:nvPicPr>
        <xdr:cNvPr id="17071" name="Рисунок 17070">
          <a:extLst>
            <a:ext uri="{FF2B5EF4-FFF2-40B4-BE49-F238E27FC236}">
              <a16:creationId xmlns:a16="http://schemas.microsoft.com/office/drawing/2014/main" id="{CAC49D82-D6C7-481C-BD4D-69FC8A993053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6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582929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4526</xdr:row>
      <xdr:rowOff>25400</xdr:rowOff>
    </xdr:from>
    <xdr:to>
      <xdr:col>11</xdr:col>
      <xdr:colOff>571500</xdr:colOff>
      <xdr:row>4527</xdr:row>
      <xdr:rowOff>0</xdr:rowOff>
    </xdr:to>
    <xdr:pic>
      <xdr:nvPicPr>
        <xdr:cNvPr id="17073" name="Рисунок 17072">
          <a:extLst>
            <a:ext uri="{FF2B5EF4-FFF2-40B4-BE49-F238E27FC236}">
              <a16:creationId xmlns:a16="http://schemas.microsoft.com/office/drawing/2014/main" id="{A817F066-288E-4244-BE1A-197FE9CBA2DC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7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583500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4527</xdr:row>
      <xdr:rowOff>25400</xdr:rowOff>
    </xdr:from>
    <xdr:to>
      <xdr:col>11</xdr:col>
      <xdr:colOff>571500</xdr:colOff>
      <xdr:row>4528</xdr:row>
      <xdr:rowOff>0</xdr:rowOff>
    </xdr:to>
    <xdr:pic>
      <xdr:nvPicPr>
        <xdr:cNvPr id="17075" name="Рисунок 17074">
          <a:extLst>
            <a:ext uri="{FF2B5EF4-FFF2-40B4-BE49-F238E27FC236}">
              <a16:creationId xmlns:a16="http://schemas.microsoft.com/office/drawing/2014/main" id="{5CF7CE6C-41E3-4923-AEC2-F52A343FB82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7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584072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4528</xdr:row>
      <xdr:rowOff>25400</xdr:rowOff>
    </xdr:from>
    <xdr:to>
      <xdr:col>11</xdr:col>
      <xdr:colOff>571500</xdr:colOff>
      <xdr:row>4529</xdr:row>
      <xdr:rowOff>0</xdr:rowOff>
    </xdr:to>
    <xdr:pic>
      <xdr:nvPicPr>
        <xdr:cNvPr id="17077" name="Рисунок 17076">
          <a:extLst>
            <a:ext uri="{FF2B5EF4-FFF2-40B4-BE49-F238E27FC236}">
              <a16:creationId xmlns:a16="http://schemas.microsoft.com/office/drawing/2014/main" id="{FC5C2557-B1C3-4AEF-82DF-DB2E3AD1CF22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7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584643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4529</xdr:row>
      <xdr:rowOff>25400</xdr:rowOff>
    </xdr:from>
    <xdr:to>
      <xdr:col>11</xdr:col>
      <xdr:colOff>571500</xdr:colOff>
      <xdr:row>4530</xdr:row>
      <xdr:rowOff>0</xdr:rowOff>
    </xdr:to>
    <xdr:pic>
      <xdr:nvPicPr>
        <xdr:cNvPr id="17079" name="Рисунок 17078">
          <a:extLst>
            <a:ext uri="{FF2B5EF4-FFF2-40B4-BE49-F238E27FC236}">
              <a16:creationId xmlns:a16="http://schemas.microsoft.com/office/drawing/2014/main" id="{90CD9443-D90E-4AC6-BADF-F24509AAB15B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7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585215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4530</xdr:row>
      <xdr:rowOff>25400</xdr:rowOff>
    </xdr:from>
    <xdr:to>
      <xdr:col>11</xdr:col>
      <xdr:colOff>571500</xdr:colOff>
      <xdr:row>4531</xdr:row>
      <xdr:rowOff>0</xdr:rowOff>
    </xdr:to>
    <xdr:pic>
      <xdr:nvPicPr>
        <xdr:cNvPr id="17081" name="Рисунок 17080">
          <a:extLst>
            <a:ext uri="{FF2B5EF4-FFF2-40B4-BE49-F238E27FC236}">
              <a16:creationId xmlns:a16="http://schemas.microsoft.com/office/drawing/2014/main" id="{9DE8C849-7714-492D-898C-F66562876CDF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7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585786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4531</xdr:row>
      <xdr:rowOff>25400</xdr:rowOff>
    </xdr:from>
    <xdr:to>
      <xdr:col>11</xdr:col>
      <xdr:colOff>571500</xdr:colOff>
      <xdr:row>4532</xdr:row>
      <xdr:rowOff>0</xdr:rowOff>
    </xdr:to>
    <xdr:pic>
      <xdr:nvPicPr>
        <xdr:cNvPr id="17083" name="Рисунок 17082">
          <a:extLst>
            <a:ext uri="{FF2B5EF4-FFF2-40B4-BE49-F238E27FC236}">
              <a16:creationId xmlns:a16="http://schemas.microsoft.com/office/drawing/2014/main" id="{A1FDDB0F-4518-4BDB-BCDA-B098C744510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7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586358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4532</xdr:row>
      <xdr:rowOff>25400</xdr:rowOff>
    </xdr:from>
    <xdr:to>
      <xdr:col>11</xdr:col>
      <xdr:colOff>571500</xdr:colOff>
      <xdr:row>4533</xdr:row>
      <xdr:rowOff>0</xdr:rowOff>
    </xdr:to>
    <xdr:pic>
      <xdr:nvPicPr>
        <xdr:cNvPr id="17085" name="Рисунок 17084">
          <a:extLst>
            <a:ext uri="{FF2B5EF4-FFF2-40B4-BE49-F238E27FC236}">
              <a16:creationId xmlns:a16="http://schemas.microsoft.com/office/drawing/2014/main" id="{9DD5DC93-B5E2-43CF-9670-5DECBA3CBAC5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7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586929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4533</xdr:row>
      <xdr:rowOff>25400</xdr:rowOff>
    </xdr:from>
    <xdr:to>
      <xdr:col>11</xdr:col>
      <xdr:colOff>571500</xdr:colOff>
      <xdr:row>4534</xdr:row>
      <xdr:rowOff>0</xdr:rowOff>
    </xdr:to>
    <xdr:pic>
      <xdr:nvPicPr>
        <xdr:cNvPr id="17087" name="Рисунок 17086">
          <a:extLst>
            <a:ext uri="{FF2B5EF4-FFF2-40B4-BE49-F238E27FC236}">
              <a16:creationId xmlns:a16="http://schemas.microsoft.com/office/drawing/2014/main" id="{90CAC940-DA86-4D09-968E-6C5C6CE76D3A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7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587501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4534</xdr:row>
      <xdr:rowOff>25400</xdr:rowOff>
    </xdr:from>
    <xdr:to>
      <xdr:col>11</xdr:col>
      <xdr:colOff>571500</xdr:colOff>
      <xdr:row>4535</xdr:row>
      <xdr:rowOff>0</xdr:rowOff>
    </xdr:to>
    <xdr:pic>
      <xdr:nvPicPr>
        <xdr:cNvPr id="17089" name="Рисунок 17088">
          <a:extLst>
            <a:ext uri="{FF2B5EF4-FFF2-40B4-BE49-F238E27FC236}">
              <a16:creationId xmlns:a16="http://schemas.microsoft.com/office/drawing/2014/main" id="{F9ABD9D1-0ADA-497D-B232-4FB879D9D34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7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588072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4535</xdr:row>
      <xdr:rowOff>25400</xdr:rowOff>
    </xdr:from>
    <xdr:to>
      <xdr:col>11</xdr:col>
      <xdr:colOff>571500</xdr:colOff>
      <xdr:row>4536</xdr:row>
      <xdr:rowOff>0</xdr:rowOff>
    </xdr:to>
    <xdr:pic>
      <xdr:nvPicPr>
        <xdr:cNvPr id="17091" name="Рисунок 17090">
          <a:extLst>
            <a:ext uri="{FF2B5EF4-FFF2-40B4-BE49-F238E27FC236}">
              <a16:creationId xmlns:a16="http://schemas.microsoft.com/office/drawing/2014/main" id="{6FE13380-CE53-41E6-A287-90FC4787B150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7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588644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4536</xdr:row>
      <xdr:rowOff>25400</xdr:rowOff>
    </xdr:from>
    <xdr:to>
      <xdr:col>11</xdr:col>
      <xdr:colOff>571500</xdr:colOff>
      <xdr:row>4537</xdr:row>
      <xdr:rowOff>0</xdr:rowOff>
    </xdr:to>
    <xdr:pic>
      <xdr:nvPicPr>
        <xdr:cNvPr id="17093" name="Рисунок 17092">
          <a:extLst>
            <a:ext uri="{FF2B5EF4-FFF2-40B4-BE49-F238E27FC236}">
              <a16:creationId xmlns:a16="http://schemas.microsoft.com/office/drawing/2014/main" id="{C4AA072E-BA1B-4C8F-8F63-381098DD108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8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589215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4537</xdr:row>
      <xdr:rowOff>25400</xdr:rowOff>
    </xdr:from>
    <xdr:to>
      <xdr:col>11</xdr:col>
      <xdr:colOff>571500</xdr:colOff>
      <xdr:row>4538</xdr:row>
      <xdr:rowOff>0</xdr:rowOff>
    </xdr:to>
    <xdr:pic>
      <xdr:nvPicPr>
        <xdr:cNvPr id="17095" name="Рисунок 17094">
          <a:extLst>
            <a:ext uri="{FF2B5EF4-FFF2-40B4-BE49-F238E27FC236}">
              <a16:creationId xmlns:a16="http://schemas.microsoft.com/office/drawing/2014/main" id="{528B00D2-981A-4DD5-9F0A-6CCC8E1D0D6E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8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5897871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11</xdr:col>
      <xdr:colOff>25400</xdr:colOff>
      <xdr:row>4538</xdr:row>
      <xdr:rowOff>25400</xdr:rowOff>
    </xdr:from>
    <xdr:to>
      <xdr:col>11</xdr:col>
      <xdr:colOff>571500</xdr:colOff>
      <xdr:row>4539</xdr:row>
      <xdr:rowOff>0</xdr:rowOff>
    </xdr:to>
    <xdr:pic>
      <xdr:nvPicPr>
        <xdr:cNvPr id="17097" name="Рисунок 17096">
          <a:extLst>
            <a:ext uri="{FF2B5EF4-FFF2-40B4-BE49-F238E27FC236}">
              <a16:creationId xmlns:a16="http://schemas.microsoft.com/office/drawing/2014/main" id="{DB7CB8F0-2D5C-449B-AC7B-17F017BBA696}"/>
            </a:ext>
          </a:extLst>
        </xdr:cNvPr>
        <xdr:cNvPicPr>
          <a:picLocks/>
        </xdr:cNvPicPr>
      </xdr:nvPicPr>
      <xdr:blipFill>
        <a:blip xmlns:r="http://schemas.openxmlformats.org/officeDocument/2006/relationships" r:embed="rId448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10179050" y="2590358675"/>
          <a:ext cx="546100" cy="546100"/>
        </a:xfrm>
        <a:prstGeom prst="rect">
          <a:avLst/>
        </a:prstGeom>
      </xdr:spPr>
    </xdr:pic>
    <xdr:clientData/>
  </xdr:twoCellAnchor>
  <xdr:twoCellAnchor editAs="oneCell">
    <xdr:from>
      <xdr:col>0</xdr:col>
      <xdr:colOff>0</xdr:colOff>
      <xdr:row>0</xdr:row>
      <xdr:rowOff>0</xdr:rowOff>
    </xdr:from>
    <xdr:to>
      <xdr:col>2</xdr:col>
      <xdr:colOff>713938</xdr:colOff>
      <xdr:row>3</xdr:row>
      <xdr:rowOff>30480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E9DD12F7-9DDA-D9A0-3E32-49D3B800C5A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2085538" cy="510540"/>
        </a:xfrm>
        <a:prstGeom prst="rect">
          <a:avLst/>
        </a:prstGeom>
      </xdr:spPr>
    </xdr:pic>
    <xdr:clientData/>
  </xdr:twoCellAnchor>
</xdr:wsDr>
</file>

<file path=xl/drawings/drawing4.xml><?xml version="1.0" encoding="utf-8"?>
<xdr:wsDr xmlns:xdr="http://schemas.openxmlformats.org/drawingml/2006/spreadsheetDrawing" xmlns:a="http://schemas.openxmlformats.org/drawingml/2006/main">
  <mc:AlternateContent xmlns:mc="http://schemas.openxmlformats.org/markup-compatibility/2006">
    <mc:Choice xmlns:a14="http://schemas.microsoft.com/office/drawing/2010/main" Requires="a14">
      <xdr:twoCellAnchor>
        <xdr:from>
          <xdr:col>6</xdr:col>
          <xdr:colOff>30480</xdr:colOff>
          <xdr:row>0</xdr:row>
          <xdr:rowOff>99060</xdr:rowOff>
        </xdr:from>
        <xdr:to>
          <xdr:col>7</xdr:col>
          <xdr:colOff>502920</xdr:colOff>
          <xdr:row>2</xdr:row>
          <xdr:rowOff>99060</xdr:rowOff>
        </xdr:to>
        <xdr:sp macro="" textlink="">
          <xdr:nvSpPr>
            <xdr:cNvPr id="3076" name="Button 4" hidden="1">
              <a:extLst>
                <a:ext uri="{63B3BB69-23CF-44E3-9099-C40C66FF867C}">
                  <a14:compatExt spid="_x0000_s3076"/>
                </a:ext>
                <a:ext uri="{FF2B5EF4-FFF2-40B4-BE49-F238E27FC236}">
                  <a16:creationId xmlns:a16="http://schemas.microsoft.com/office/drawing/2014/main" id="{00000000-0008-0000-0300-0000040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</xdr:spPr>
          <xdr:txBody>
            <a:bodyPr vertOverflow="clip" wrap="square" lIns="27432" tIns="22860" rIns="27432" bIns="0" anchor="t" upright="1"/>
            <a:lstStyle/>
            <a:p>
              <a:pPr algn="ctr" rtl="0">
                <a:defRPr sz="1000"/>
              </a:pPr>
              <a:r>
                <a:rPr lang="ru-KZ" sz="800" b="1" i="0" u="none" strike="noStrike" baseline="0">
                  <a:solidFill>
                    <a:srgbClr val="000000"/>
                  </a:solidFill>
                  <a:latin typeface="Arial"/>
                  <a:cs typeface="Arial"/>
                </a:rPr>
                <a:t>Очистить</a:t>
              </a:r>
            </a:p>
            <a:p>
              <a:pPr algn="ctr" rtl="0">
                <a:defRPr sz="1000"/>
              </a:pPr>
              <a:r>
                <a:rPr lang="ru-KZ" sz="800" b="1" i="0" u="none" strike="noStrike" baseline="0">
                  <a:solidFill>
                    <a:srgbClr val="000000"/>
                  </a:solidFill>
                  <a:latin typeface="Arial"/>
                  <a:cs typeface="Arial"/>
                </a:rPr>
                <a:t>заказ  на этом листе</a:t>
              </a:r>
            </a:p>
          </xdr:txBody>
        </xdr:sp>
        <xdr:clientData fLocksWithSheet="0"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6</xdr:col>
          <xdr:colOff>30480</xdr:colOff>
          <xdr:row>0</xdr:row>
          <xdr:rowOff>99060</xdr:rowOff>
        </xdr:from>
        <xdr:to>
          <xdr:col>7</xdr:col>
          <xdr:colOff>502920</xdr:colOff>
          <xdr:row>2</xdr:row>
          <xdr:rowOff>99060</xdr:rowOff>
        </xdr:to>
        <xdr:sp macro="" textlink="">
          <xdr:nvSpPr>
            <xdr:cNvPr id="3077" name="Button 5" hidden="1">
              <a:extLst>
                <a:ext uri="{63B3BB69-23CF-44E3-9099-C40C66FF867C}">
                  <a14:compatExt spid="_x0000_s3077"/>
                </a:ext>
                <a:ext uri="{FF2B5EF4-FFF2-40B4-BE49-F238E27FC236}">
                  <a16:creationId xmlns:a16="http://schemas.microsoft.com/office/drawing/2014/main" id="{00000000-0008-0000-0300-0000050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</xdr:spPr>
          <xdr:txBody>
            <a:bodyPr vertOverflow="clip" wrap="square" lIns="27432" tIns="22860" rIns="27432" bIns="0" anchor="t" upright="1"/>
            <a:lstStyle/>
            <a:p>
              <a:pPr algn="ctr" rtl="0">
                <a:defRPr sz="1000"/>
              </a:pPr>
              <a:r>
                <a:rPr lang="ru-KZ" sz="800" b="1" i="0" u="none" strike="noStrike" baseline="0">
                  <a:solidFill>
                    <a:srgbClr val="000000"/>
                  </a:solidFill>
                  <a:latin typeface="Arial"/>
                  <a:cs typeface="Arial"/>
                </a:rPr>
                <a:t>Очистить</a:t>
              </a:r>
            </a:p>
            <a:p>
              <a:pPr algn="ctr" rtl="0">
                <a:defRPr sz="1000"/>
              </a:pPr>
              <a:r>
                <a:rPr lang="ru-KZ" sz="800" b="1" i="0" u="none" strike="noStrike" baseline="0">
                  <a:solidFill>
                    <a:srgbClr val="000000"/>
                  </a:solidFill>
                  <a:latin typeface="Arial"/>
                  <a:cs typeface="Arial"/>
                </a:rPr>
                <a:t>заказ  на этом листе</a:t>
              </a:r>
            </a:p>
          </xdr:txBody>
        </xdr:sp>
        <xdr:clientData fLocksWithSheet="0"/>
      </xdr:twoCellAnchor>
    </mc:Choice>
    <mc:Fallback/>
  </mc:AlternateContent>
  <mc:AlternateContent xmlns:mc="http://schemas.openxmlformats.org/markup-compatibility/2006">
    <mc:Choice xmlns:a14="http://schemas.microsoft.com/office/drawing/2010/main" Requires="a14">
      <xdr:twoCellAnchor>
        <xdr:from>
          <xdr:col>6</xdr:col>
          <xdr:colOff>30480</xdr:colOff>
          <xdr:row>0</xdr:row>
          <xdr:rowOff>99060</xdr:rowOff>
        </xdr:from>
        <xdr:to>
          <xdr:col>7</xdr:col>
          <xdr:colOff>502920</xdr:colOff>
          <xdr:row>2</xdr:row>
          <xdr:rowOff>99060</xdr:rowOff>
        </xdr:to>
        <xdr:sp macro="" textlink="">
          <xdr:nvSpPr>
            <xdr:cNvPr id="3078" name="Button 6" hidden="1">
              <a:extLst>
                <a:ext uri="{63B3BB69-23CF-44E3-9099-C40C66FF867C}">
                  <a14:compatExt spid="_x0000_s3078"/>
                </a:ext>
                <a:ext uri="{FF2B5EF4-FFF2-40B4-BE49-F238E27FC236}">
                  <a16:creationId xmlns:a16="http://schemas.microsoft.com/office/drawing/2014/main" id="{00000000-0008-0000-0300-0000060C0000}"/>
                </a:ext>
              </a:extLst>
            </xdr:cNvPr>
            <xdr:cNvSpPr/>
          </xdr:nvSpPr>
          <xdr:spPr bwMode="auto">
            <a:xfrm>
              <a:off x="0" y="0"/>
              <a:ext cx="0" cy="0"/>
            </a:xfrm>
            <a:prstGeom prst="rect">
              <a:avLst/>
            </a:prstGeom>
            <a:noFill/>
            <a:ln w="9525">
              <a:miter lim="800000"/>
              <a:headEnd/>
              <a:tailEnd/>
            </a:ln>
          </xdr:spPr>
          <xdr:txBody>
            <a:bodyPr vertOverflow="clip" wrap="square" lIns="27432" tIns="22860" rIns="27432" bIns="0" anchor="t" upright="1"/>
            <a:lstStyle/>
            <a:p>
              <a:pPr algn="ctr" rtl="0">
                <a:defRPr sz="1000"/>
              </a:pPr>
              <a:r>
                <a:rPr lang="ru-KZ" sz="800" b="1" i="0" u="none" strike="noStrike" baseline="0">
                  <a:solidFill>
                    <a:srgbClr val="000000"/>
                  </a:solidFill>
                  <a:latin typeface="Arial"/>
                  <a:cs typeface="Arial"/>
                </a:rPr>
                <a:t>Очистить</a:t>
              </a:r>
            </a:p>
            <a:p>
              <a:pPr algn="ctr" rtl="0">
                <a:defRPr sz="1000"/>
              </a:pPr>
              <a:r>
                <a:rPr lang="ru-KZ" sz="800" b="1" i="0" u="none" strike="noStrike" baseline="0">
                  <a:solidFill>
                    <a:srgbClr val="000000"/>
                  </a:solidFill>
                  <a:latin typeface="Arial"/>
                  <a:cs typeface="Arial"/>
                </a:rPr>
                <a:t>заказ  на этом листе</a:t>
              </a:r>
            </a:p>
          </xdr:txBody>
        </xdr:sp>
        <xdr:clientData fLocksWithSheet="0"/>
      </xdr:twoCellAnchor>
    </mc:Choice>
    <mc:Fallback/>
  </mc:AlternateContent>
  <xdr:twoCellAnchor editAs="oneCell">
    <xdr:from>
      <xdr:col>0</xdr:col>
      <xdr:colOff>0</xdr:colOff>
      <xdr:row>0</xdr:row>
      <xdr:rowOff>0</xdr:rowOff>
    </xdr:from>
    <xdr:to>
      <xdr:col>4</xdr:col>
      <xdr:colOff>1239718</xdr:colOff>
      <xdr:row>3</xdr:row>
      <xdr:rowOff>30480</xdr:rowOff>
    </xdr:to>
    <xdr:pic>
      <xdr:nvPicPr>
        <xdr:cNvPr id="2" name="Рисунок 1">
          <a:extLst>
            <a:ext uri="{FF2B5EF4-FFF2-40B4-BE49-F238E27FC236}">
              <a16:creationId xmlns:a16="http://schemas.microsoft.com/office/drawing/2014/main" id="{0DA2DCD6-9161-4197-B5AF-B3AECBE38A3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0" y="0"/>
          <a:ext cx="2085538" cy="510540"/>
        </a:xfrm>
        <a:prstGeom prst="rect">
          <a:avLst/>
        </a:prstGeom>
      </xdr:spPr>
    </xdr:pic>
    <xdr:clientData/>
  </xdr:twoCellAnchor>
</xdr:wsDr>
</file>

<file path=xl/theme/theme1.xml><?xml version="1.0" encoding="utf-8"?>
<a:theme xmlns:a="http://schemas.openxmlformats.org/drawingml/2006/main" name="Office Theme 2007 - 2010">
  <a:themeElements>
    <a:clrScheme name="Office 2007 - 2010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 2007 - 2010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 2007 - 2010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1.vml"/><Relationship Id="rId2" Type="http://schemas.openxmlformats.org/officeDocument/2006/relationships/drawing" Target="../drawings/drawing1.xml"/><Relationship Id="rId1" Type="http://schemas.openxmlformats.org/officeDocument/2006/relationships/printerSettings" Target="../printerSettings/printerSettings1.bin"/><Relationship Id="rId4" Type="http://schemas.openxmlformats.org/officeDocument/2006/relationships/ctrlProp" Target="../ctrlProps/ctrlProp1.xml"/></Relationships>
</file>

<file path=xl/worksheets/_rels/sheet2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2.vml"/><Relationship Id="rId2" Type="http://schemas.openxmlformats.org/officeDocument/2006/relationships/drawing" Target="../drawings/drawing2.xml"/><Relationship Id="rId1" Type="http://schemas.openxmlformats.org/officeDocument/2006/relationships/printerSettings" Target="../printerSettings/printerSettings2.bin"/><Relationship Id="rId6" Type="http://schemas.openxmlformats.org/officeDocument/2006/relationships/ctrlProp" Target="../ctrlProps/ctrlProp4.xml"/><Relationship Id="rId5" Type="http://schemas.openxmlformats.org/officeDocument/2006/relationships/ctrlProp" Target="../ctrlProps/ctrlProp3.xml"/><Relationship Id="rId4" Type="http://schemas.openxmlformats.org/officeDocument/2006/relationships/ctrlProp" Target="../ctrlProps/ctrlProp2.xml"/></Relationships>
</file>

<file path=xl/worksheets/_rels/sheet3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3.vml"/><Relationship Id="rId2" Type="http://schemas.openxmlformats.org/officeDocument/2006/relationships/drawing" Target="../drawings/drawing3.xml"/><Relationship Id="rId1" Type="http://schemas.openxmlformats.org/officeDocument/2006/relationships/printerSettings" Target="../printerSettings/printerSettings3.bin"/><Relationship Id="rId6" Type="http://schemas.openxmlformats.org/officeDocument/2006/relationships/ctrlProp" Target="../ctrlProps/ctrlProp7.xml"/><Relationship Id="rId5" Type="http://schemas.openxmlformats.org/officeDocument/2006/relationships/ctrlProp" Target="../ctrlProps/ctrlProp6.xml"/><Relationship Id="rId4" Type="http://schemas.openxmlformats.org/officeDocument/2006/relationships/ctrlProp" Target="../ctrlProps/ctrlProp5.xml"/></Relationships>
</file>

<file path=xl/worksheets/_rels/sheet4.xml.rels><?xml version="1.0" encoding="UTF-8" standalone="yes"?>
<Relationships xmlns="http://schemas.openxmlformats.org/package/2006/relationships"><Relationship Id="rId3" Type="http://schemas.openxmlformats.org/officeDocument/2006/relationships/vmlDrawing" Target="../drawings/vmlDrawing4.vml"/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4.bin"/><Relationship Id="rId6" Type="http://schemas.openxmlformats.org/officeDocument/2006/relationships/ctrlProp" Target="../ctrlProps/ctrlProp10.xml"/><Relationship Id="rId5" Type="http://schemas.openxmlformats.org/officeDocument/2006/relationships/ctrlProp" Target="../ctrlProps/ctrlProp9.xml"/><Relationship Id="rId4" Type="http://schemas.openxmlformats.org/officeDocument/2006/relationships/ctrlProp" Target="../ctrlProps/ctrlProp8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sheetPr codeName="Лист3">
    <pageSetUpPr fitToPage="1"/>
  </sheetPr>
  <dimension ref="A1:V46"/>
  <sheetViews>
    <sheetView showGridLines="0" workbookViewId="0">
      <pane ySplit="8" topLeftCell="A9" activePane="bottomLeft" state="frozen"/>
      <selection pane="bottomLeft"/>
    </sheetView>
  </sheetViews>
  <sheetFormatPr defaultColWidth="9.109375" defaultRowHeight="10.199999999999999" x14ac:dyDescent="0.2"/>
  <cols>
    <col min="1" max="2" width="10" style="12" customWidth="1"/>
    <col min="3" max="4" width="15.44140625" style="12" customWidth="1"/>
    <col min="5" max="5" width="30.88671875" style="24" customWidth="1"/>
    <col min="6" max="6" width="9.109375" style="12" customWidth="1"/>
    <col min="7" max="7" width="9.109375" style="29" customWidth="1"/>
    <col min="8" max="8" width="7.6640625" style="32" customWidth="1"/>
    <col min="9" max="9" width="10" style="12" customWidth="1"/>
    <col min="10" max="10" width="12.6640625" style="43" customWidth="1"/>
    <col min="11" max="11" width="12.6640625" style="12" customWidth="1"/>
    <col min="12" max="12" width="16.33203125" style="12" customWidth="1"/>
    <col min="13" max="13" width="25.6640625" style="29" customWidth="1"/>
    <col min="14" max="14" width="12.6640625" style="12" customWidth="1"/>
    <col min="15" max="15" width="8.6640625" style="12" customWidth="1"/>
    <col min="16" max="16" width="12.6640625" style="47" customWidth="1"/>
    <col min="17" max="21" width="15.6640625" style="47" customWidth="1"/>
    <col min="22" max="22" width="9.109375" style="47"/>
    <col min="23" max="16384" width="9.109375" style="2"/>
  </cols>
  <sheetData>
    <row r="1" spans="1:22" ht="12.75" customHeight="1" x14ac:dyDescent="0.2"/>
    <row r="2" spans="1:22" s="1" customFormat="1" ht="12.75" customHeight="1" x14ac:dyDescent="0.25">
      <c r="A2" s="13"/>
      <c r="B2" s="13"/>
      <c r="C2" s="13"/>
      <c r="D2" s="13"/>
      <c r="E2" s="25"/>
      <c r="F2" s="17"/>
      <c r="G2" s="30"/>
      <c r="H2" s="33"/>
      <c r="I2" s="13"/>
      <c r="J2" s="43"/>
      <c r="K2" s="13"/>
      <c r="L2" s="12"/>
      <c r="M2" s="30"/>
      <c r="N2" s="13"/>
      <c r="O2" s="13"/>
      <c r="P2" s="51"/>
      <c r="Q2" s="51"/>
      <c r="R2" s="51"/>
      <c r="S2" s="51"/>
      <c r="T2" s="51"/>
      <c r="U2" s="51"/>
      <c r="V2" s="51"/>
    </row>
    <row r="3" spans="1:22" s="10" customFormat="1" ht="12.75" customHeight="1" x14ac:dyDescent="0.3">
      <c r="A3" s="12"/>
      <c r="B3" s="12"/>
      <c r="C3" s="12"/>
      <c r="D3" s="12"/>
      <c r="E3" s="24"/>
      <c r="F3" s="12"/>
      <c r="G3" s="29"/>
      <c r="H3" s="32"/>
      <c r="I3" s="12"/>
      <c r="J3" s="43"/>
      <c r="K3" s="12"/>
      <c r="L3" s="12"/>
      <c r="M3" s="29"/>
      <c r="N3" s="12"/>
      <c r="O3" s="12"/>
      <c r="P3" s="47"/>
      <c r="Q3" s="47"/>
      <c r="R3" s="47"/>
      <c r="S3" s="47"/>
      <c r="T3" s="47"/>
      <c r="U3" s="47"/>
      <c r="V3" s="47"/>
    </row>
    <row r="4" spans="1:22" s="10" customFormat="1" ht="12.75" customHeight="1" x14ac:dyDescent="0.3">
      <c r="A4" s="27" t="s">
        <v>8</v>
      </c>
      <c r="B4" s="15"/>
      <c r="C4" s="28"/>
      <c r="D4" s="12"/>
      <c r="E4" s="18"/>
      <c r="F4" s="19"/>
      <c r="G4" s="41"/>
      <c r="H4" s="7"/>
      <c r="I4" s="12"/>
      <c r="J4" s="43"/>
      <c r="K4" s="15"/>
      <c r="L4" s="12"/>
      <c r="M4" s="12"/>
      <c r="N4" s="12"/>
      <c r="O4" s="12"/>
      <c r="P4" s="47"/>
      <c r="Q4" s="47"/>
      <c r="R4" s="47"/>
      <c r="S4" s="47"/>
      <c r="T4" s="47"/>
      <c r="U4" s="47"/>
      <c r="V4" s="47"/>
    </row>
    <row r="5" spans="1:22" s="10" customFormat="1" ht="12.75" customHeight="1" x14ac:dyDescent="0.3">
      <c r="A5" s="12"/>
      <c r="B5" s="16"/>
      <c r="C5" s="12"/>
      <c r="D5" s="12"/>
      <c r="E5" s="18"/>
      <c r="F5" s="12"/>
      <c r="G5" s="42"/>
      <c r="H5" s="7"/>
      <c r="I5" s="12"/>
      <c r="J5" s="43"/>
      <c r="K5" s="15"/>
      <c r="L5" s="12"/>
      <c r="M5" s="12"/>
      <c r="N5" s="12"/>
      <c r="O5" s="12"/>
      <c r="P5" s="47"/>
      <c r="Q5" s="47"/>
      <c r="R5" s="47"/>
      <c r="S5" s="47"/>
      <c r="T5" s="47"/>
      <c r="U5" s="47"/>
      <c r="V5" s="47"/>
    </row>
    <row r="6" spans="1:22" s="10" customFormat="1" ht="12.75" customHeight="1" x14ac:dyDescent="0.3">
      <c r="A6" s="12"/>
      <c r="B6" s="12"/>
      <c r="C6" s="12"/>
      <c r="D6" s="12"/>
      <c r="E6" s="18"/>
      <c r="F6" s="20"/>
      <c r="G6" s="9"/>
      <c r="H6" s="8"/>
      <c r="I6" s="22"/>
      <c r="J6" s="44"/>
      <c r="K6" s="21"/>
      <c r="L6" s="12"/>
      <c r="M6" s="12"/>
      <c r="N6" s="12"/>
      <c r="O6" s="12"/>
      <c r="P6" s="47"/>
      <c r="Q6" s="47"/>
      <c r="R6" s="47"/>
      <c r="S6" s="47"/>
      <c r="T6" s="47"/>
      <c r="U6" s="47"/>
      <c r="V6" s="47"/>
    </row>
    <row r="7" spans="1:22" s="3" customFormat="1" ht="12.75" customHeight="1" x14ac:dyDescent="0.2">
      <c r="A7" s="14"/>
      <c r="B7" s="14"/>
      <c r="C7" s="14"/>
      <c r="D7" s="14"/>
      <c r="E7" s="26"/>
      <c r="F7" s="14"/>
      <c r="G7" s="31"/>
      <c r="H7" s="34"/>
      <c r="I7" s="14"/>
      <c r="J7" s="43"/>
      <c r="K7" s="14"/>
      <c r="L7" s="14"/>
      <c r="M7" s="31"/>
      <c r="N7" s="23"/>
      <c r="O7" s="14"/>
      <c r="P7" s="52"/>
      <c r="Q7" s="52"/>
      <c r="R7" s="52"/>
      <c r="S7" s="52"/>
      <c r="T7" s="52"/>
      <c r="U7" s="52"/>
      <c r="V7" s="52"/>
    </row>
    <row r="8" spans="1:22" s="4" customFormat="1" ht="24" customHeight="1" x14ac:dyDescent="0.2">
      <c r="A8" s="5" t="s">
        <v>3</v>
      </c>
      <c r="B8" s="5" t="s">
        <v>2</v>
      </c>
      <c r="C8" s="5" t="s">
        <v>11</v>
      </c>
      <c r="D8" s="5" t="s">
        <v>15</v>
      </c>
      <c r="E8" s="5" t="s">
        <v>10</v>
      </c>
      <c r="F8" s="5" t="s">
        <v>0</v>
      </c>
      <c r="G8" s="39" t="s">
        <v>19</v>
      </c>
      <c r="H8" s="6" t="s">
        <v>20</v>
      </c>
      <c r="I8" s="46" t="s">
        <v>18</v>
      </c>
      <c r="J8" s="48" t="s">
        <v>21</v>
      </c>
      <c r="K8" s="46" t="s">
        <v>1</v>
      </c>
      <c r="L8" s="46" t="s">
        <v>5</v>
      </c>
      <c r="M8" s="49" t="s">
        <v>7</v>
      </c>
      <c r="N8" s="46" t="s">
        <v>22</v>
      </c>
      <c r="O8" s="50" t="s">
        <v>6</v>
      </c>
      <c r="P8" s="50" t="s">
        <v>4</v>
      </c>
      <c r="Q8" s="53" t="s">
        <v>16</v>
      </c>
      <c r="R8" s="53" t="s">
        <v>17</v>
      </c>
      <c r="S8" s="53" t="s">
        <v>23</v>
      </c>
      <c r="T8" s="56" t="s">
        <v>24</v>
      </c>
      <c r="U8" s="56" t="s">
        <v>25</v>
      </c>
      <c r="V8" s="57"/>
    </row>
    <row r="9" spans="1:22" s="11" customFormat="1" ht="45" customHeight="1" x14ac:dyDescent="0.2">
      <c r="A9" s="66" t="s">
        <v>29</v>
      </c>
      <c r="B9" s="66" t="s">
        <v>26</v>
      </c>
      <c r="C9" s="66" t="s">
        <v>29</v>
      </c>
      <c r="D9" s="66" t="s">
        <v>26</v>
      </c>
      <c r="E9" s="68" t="s">
        <v>30</v>
      </c>
      <c r="F9" s="66" t="s">
        <v>31</v>
      </c>
      <c r="G9" s="71">
        <v>3750</v>
      </c>
      <c r="H9" s="73"/>
      <c r="I9" s="75">
        <v>0.2</v>
      </c>
      <c r="J9" s="77"/>
      <c r="K9" s="66"/>
      <c r="L9" s="66"/>
      <c r="M9" s="79" t="str">
        <f>HYPERLINK("http://www.pristavka.com/catalog/PGP_AIO/PktP22/")</f>
        <v>http://www.pristavka.com/catalog/PGP_AIO/PktP22/</v>
      </c>
      <c r="N9" s="71">
        <v>6530</v>
      </c>
      <c r="O9" s="66" t="s">
        <v>27</v>
      </c>
      <c r="P9" s="82" t="s">
        <v>32</v>
      </c>
      <c r="Q9" s="84"/>
      <c r="R9" s="84"/>
      <c r="S9" s="84">
        <v>0.2</v>
      </c>
      <c r="T9" s="82" t="s">
        <v>33</v>
      </c>
      <c r="U9" s="84"/>
      <c r="V9" s="54"/>
    </row>
    <row r="10" spans="1:22" s="11" customFormat="1" ht="45" customHeight="1" x14ac:dyDescent="0.2">
      <c r="A10" s="66" t="s">
        <v>29</v>
      </c>
      <c r="B10" s="66" t="s">
        <v>26</v>
      </c>
      <c r="C10" s="66" t="s">
        <v>29</v>
      </c>
      <c r="D10" s="66" t="s">
        <v>26</v>
      </c>
      <c r="E10" s="68" t="s">
        <v>34</v>
      </c>
      <c r="F10" s="66" t="s">
        <v>35</v>
      </c>
      <c r="G10" s="71">
        <v>3750</v>
      </c>
      <c r="H10" s="73"/>
      <c r="I10" s="75">
        <v>0.2</v>
      </c>
      <c r="J10" s="77"/>
      <c r="K10" s="66"/>
      <c r="L10" s="66"/>
      <c r="M10" s="79" t="str">
        <f>HYPERLINK("http://www.pristavka.com/catalog/PGP_AIO/PktP23/")</f>
        <v>http://www.pristavka.com/catalog/PGP_AIO/PktP23/</v>
      </c>
      <c r="N10" s="71">
        <v>6530</v>
      </c>
      <c r="O10" s="66" t="s">
        <v>27</v>
      </c>
      <c r="P10" s="82" t="s">
        <v>36</v>
      </c>
      <c r="Q10" s="84"/>
      <c r="R10" s="84"/>
      <c r="S10" s="84">
        <v>0.20499999999999999</v>
      </c>
      <c r="T10" s="82" t="s">
        <v>33</v>
      </c>
      <c r="U10" s="84"/>
      <c r="V10" s="54"/>
    </row>
    <row r="11" spans="1:22" s="11" customFormat="1" ht="45" customHeight="1" x14ac:dyDescent="0.2">
      <c r="A11" s="66" t="s">
        <v>29</v>
      </c>
      <c r="B11" s="66" t="s">
        <v>26</v>
      </c>
      <c r="C11" s="66" t="s">
        <v>29</v>
      </c>
      <c r="D11" s="66" t="s">
        <v>26</v>
      </c>
      <c r="E11" s="68" t="s">
        <v>37</v>
      </c>
      <c r="F11" s="66" t="s">
        <v>38</v>
      </c>
      <c r="G11" s="71">
        <v>3750</v>
      </c>
      <c r="H11" s="73"/>
      <c r="I11" s="75">
        <v>0.2</v>
      </c>
      <c r="J11" s="77"/>
      <c r="K11" s="66"/>
      <c r="L11" s="66"/>
      <c r="M11" s="79" t="str">
        <f>HYPERLINK("http://www.pristavka.com/catalog/PGP_AIO/PktP24/")</f>
        <v>http://www.pristavka.com/catalog/PGP_AIO/PktP24/</v>
      </c>
      <c r="N11" s="71">
        <v>6530</v>
      </c>
      <c r="O11" s="66" t="s">
        <v>27</v>
      </c>
      <c r="P11" s="82" t="s">
        <v>39</v>
      </c>
      <c r="Q11" s="84"/>
      <c r="R11" s="84"/>
      <c r="S11" s="84">
        <v>0.19900000000000001</v>
      </c>
      <c r="T11" s="82" t="s">
        <v>33</v>
      </c>
      <c r="U11" s="84"/>
      <c r="V11" s="54"/>
    </row>
    <row r="12" spans="1:22" s="11" customFormat="1" ht="45" customHeight="1" x14ac:dyDescent="0.2">
      <c r="A12" s="66" t="s">
        <v>29</v>
      </c>
      <c r="B12" s="66" t="s">
        <v>26</v>
      </c>
      <c r="C12" s="66" t="s">
        <v>29</v>
      </c>
      <c r="D12" s="66" t="s">
        <v>26</v>
      </c>
      <c r="E12" s="68" t="s">
        <v>40</v>
      </c>
      <c r="F12" s="66" t="s">
        <v>41</v>
      </c>
      <c r="G12" s="71">
        <v>6590</v>
      </c>
      <c r="H12" s="73"/>
      <c r="I12" s="75">
        <v>0.2</v>
      </c>
      <c r="J12" s="77"/>
      <c r="K12" s="66"/>
      <c r="L12" s="66"/>
      <c r="M12" s="79" t="str">
        <f>HYPERLINK("http://www.pristavka.com/catalog/PGP_AIO/PktP29/")</f>
        <v>http://www.pristavka.com/catalog/PGP_AIO/PktP29/</v>
      </c>
      <c r="N12" s="71">
        <v>9990</v>
      </c>
      <c r="O12" s="66" t="s">
        <v>27</v>
      </c>
      <c r="P12" s="82" t="s">
        <v>42</v>
      </c>
      <c r="Q12" s="84"/>
      <c r="R12" s="84"/>
      <c r="S12" s="84">
        <v>0.20399999999999999</v>
      </c>
      <c r="T12" s="82" t="s">
        <v>33</v>
      </c>
      <c r="U12" s="84"/>
      <c r="V12" s="54"/>
    </row>
    <row r="13" spans="1:22" s="11" customFormat="1" ht="45" customHeight="1" x14ac:dyDescent="0.2">
      <c r="A13" s="66" t="s">
        <v>29</v>
      </c>
      <c r="B13" s="66" t="s">
        <v>26</v>
      </c>
      <c r="C13" s="66" t="s">
        <v>29</v>
      </c>
      <c r="D13" s="66" t="s">
        <v>26</v>
      </c>
      <c r="E13" s="68" t="s">
        <v>43</v>
      </c>
      <c r="F13" s="66" t="s">
        <v>44</v>
      </c>
      <c r="G13" s="71">
        <v>9900</v>
      </c>
      <c r="H13" s="73"/>
      <c r="I13" s="75">
        <v>0.2</v>
      </c>
      <c r="J13" s="77"/>
      <c r="K13" s="66"/>
      <c r="L13" s="66"/>
      <c r="M13" s="79" t="str">
        <f>HYPERLINK("http://www.pristavka.com/catalog/PGP_AIO/PktP26/")</f>
        <v>http://www.pristavka.com/catalog/PGP_AIO/PktP26/</v>
      </c>
      <c r="N13" s="71">
        <v>15900</v>
      </c>
      <c r="O13" s="66" t="s">
        <v>27</v>
      </c>
      <c r="P13" s="82" t="s">
        <v>45</v>
      </c>
      <c r="Q13" s="84"/>
      <c r="R13" s="84"/>
      <c r="S13" s="84">
        <v>0.23</v>
      </c>
      <c r="T13" s="82" t="s">
        <v>33</v>
      </c>
      <c r="U13" s="84"/>
      <c r="V13" s="54"/>
    </row>
    <row r="14" spans="1:22" s="11" customFormat="1" ht="45" customHeight="1" x14ac:dyDescent="0.2">
      <c r="A14" s="66" t="s">
        <v>29</v>
      </c>
      <c r="B14" s="66" t="s">
        <v>26</v>
      </c>
      <c r="C14" s="66" t="s">
        <v>29</v>
      </c>
      <c r="D14" s="66" t="s">
        <v>26</v>
      </c>
      <c r="E14" s="68" t="s">
        <v>46</v>
      </c>
      <c r="F14" s="66" t="s">
        <v>47</v>
      </c>
      <c r="G14" s="71">
        <v>9900</v>
      </c>
      <c r="H14" s="73"/>
      <c r="I14" s="75">
        <v>0.2</v>
      </c>
      <c r="J14" s="77"/>
      <c r="K14" s="66"/>
      <c r="L14" s="66"/>
      <c r="M14" s="79" t="str">
        <f>HYPERLINK("http://www.pristavka.com/catalog/PGP_AIO/PktP21/")</f>
        <v>http://www.pristavka.com/catalog/PGP_AIO/PktP21/</v>
      </c>
      <c r="N14" s="71">
        <v>15900</v>
      </c>
      <c r="O14" s="66" t="s">
        <v>27</v>
      </c>
      <c r="P14" s="82" t="s">
        <v>48</v>
      </c>
      <c r="Q14" s="84"/>
      <c r="R14" s="84"/>
      <c r="S14" s="84">
        <v>0.22700000000000001</v>
      </c>
      <c r="T14" s="82" t="s">
        <v>33</v>
      </c>
      <c r="U14" s="84"/>
      <c r="V14" s="54"/>
    </row>
    <row r="15" spans="1:22" s="11" customFormat="1" ht="45" customHeight="1" x14ac:dyDescent="0.2">
      <c r="A15" s="66" t="s">
        <v>29</v>
      </c>
      <c r="B15" s="66" t="s">
        <v>26</v>
      </c>
      <c r="C15" s="66" t="s">
        <v>29</v>
      </c>
      <c r="D15" s="66" t="s">
        <v>26</v>
      </c>
      <c r="E15" s="68" t="s">
        <v>49</v>
      </c>
      <c r="F15" s="66" t="s">
        <v>50</v>
      </c>
      <c r="G15" s="71">
        <v>10500</v>
      </c>
      <c r="H15" s="73"/>
      <c r="I15" s="75">
        <v>0.2</v>
      </c>
      <c r="J15" s="77"/>
      <c r="K15" s="66"/>
      <c r="L15" s="66"/>
      <c r="M15" s="79" t="str">
        <f>HYPERLINK("http://www.pristavka.com/catalog/PGP_AIO/PktP27/")</f>
        <v>http://www.pristavka.com/catalog/PGP_AIO/PktP27/</v>
      </c>
      <c r="N15" s="71">
        <v>16500</v>
      </c>
      <c r="O15" s="66" t="s">
        <v>27</v>
      </c>
      <c r="P15" s="82" t="s">
        <v>51</v>
      </c>
      <c r="Q15" s="84"/>
      <c r="R15" s="84"/>
      <c r="S15" s="84">
        <v>0.251</v>
      </c>
      <c r="T15" s="82" t="s">
        <v>33</v>
      </c>
      <c r="U15" s="84" t="s">
        <v>52</v>
      </c>
      <c r="V15" s="54"/>
    </row>
    <row r="16" spans="1:22" s="11" customFormat="1" ht="45" customHeight="1" x14ac:dyDescent="0.2">
      <c r="A16" s="66" t="s">
        <v>29</v>
      </c>
      <c r="B16" s="66" t="s">
        <v>26</v>
      </c>
      <c r="C16" s="66" t="s">
        <v>29</v>
      </c>
      <c r="D16" s="66" t="s">
        <v>26</v>
      </c>
      <c r="E16" s="68" t="s">
        <v>53</v>
      </c>
      <c r="F16" s="66" t="s">
        <v>54</v>
      </c>
      <c r="G16" s="71">
        <v>10500</v>
      </c>
      <c r="H16" s="73"/>
      <c r="I16" s="75">
        <v>0.2</v>
      </c>
      <c r="J16" s="77"/>
      <c r="K16" s="66"/>
      <c r="L16" s="66"/>
      <c r="M16" s="79" t="str">
        <f>HYPERLINK("http://www.pristavka.com/catalog/PGP_AIO/PktP27/")</f>
        <v>http://www.pristavka.com/catalog/PGP_AIO/PktP27/</v>
      </c>
      <c r="N16" s="71">
        <v>16500</v>
      </c>
      <c r="O16" s="66" t="s">
        <v>27</v>
      </c>
      <c r="P16" s="82" t="s">
        <v>55</v>
      </c>
      <c r="Q16" s="84"/>
      <c r="R16" s="84"/>
      <c r="S16" s="84">
        <v>0.27300000000000002</v>
      </c>
      <c r="T16" s="82" t="s">
        <v>33</v>
      </c>
      <c r="U16" s="84"/>
      <c r="V16" s="54"/>
    </row>
    <row r="17" spans="1:22" s="45" customFormat="1" ht="45" customHeight="1" x14ac:dyDescent="0.2">
      <c r="A17" s="67" t="s">
        <v>56</v>
      </c>
      <c r="B17" s="67" t="s">
        <v>57</v>
      </c>
      <c r="C17" s="67" t="s">
        <v>58</v>
      </c>
      <c r="D17" s="67" t="s">
        <v>26</v>
      </c>
      <c r="E17" s="69" t="s">
        <v>59</v>
      </c>
      <c r="F17" s="67" t="s">
        <v>60</v>
      </c>
      <c r="G17" s="72">
        <v>0</v>
      </c>
      <c r="H17" s="74"/>
      <c r="I17" s="76">
        <v>0.2</v>
      </c>
      <c r="J17" s="77"/>
      <c r="K17" s="67" t="s">
        <v>61</v>
      </c>
      <c r="L17" s="67"/>
      <c r="M17" s="79" t="str">
        <f>HYPERLINK("http://www.pristavka.com/catalog/game-consoles-ps-5/ConPS52")</f>
        <v>http://www.pristavka.com/catalog/game-consoles-ps-5/ConPS52</v>
      </c>
      <c r="N17" s="72"/>
      <c r="O17" s="67" t="s">
        <v>27</v>
      </c>
      <c r="P17" s="83" t="s">
        <v>62</v>
      </c>
      <c r="Q17" s="85"/>
      <c r="R17" s="85"/>
      <c r="S17" s="85">
        <v>4.2140000000000004</v>
      </c>
      <c r="T17" s="83" t="s">
        <v>63</v>
      </c>
      <c r="U17" s="85"/>
      <c r="V17" s="55"/>
    </row>
    <row r="18" spans="1:22" s="45" customFormat="1" ht="45" customHeight="1" x14ac:dyDescent="0.2">
      <c r="A18" s="67" t="s">
        <v>56</v>
      </c>
      <c r="B18" s="67" t="s">
        <v>57</v>
      </c>
      <c r="C18" s="67" t="s">
        <v>58</v>
      </c>
      <c r="D18" s="67" t="s">
        <v>64</v>
      </c>
      <c r="E18" s="69" t="s">
        <v>65</v>
      </c>
      <c r="F18" s="67" t="s">
        <v>66</v>
      </c>
      <c r="G18" s="72">
        <v>0</v>
      </c>
      <c r="H18" s="74"/>
      <c r="I18" s="76">
        <v>0.2</v>
      </c>
      <c r="J18" s="77"/>
      <c r="K18" s="67" t="s">
        <v>61</v>
      </c>
      <c r="L18" s="67"/>
      <c r="M18" s="80"/>
      <c r="N18" s="72"/>
      <c r="O18" s="67" t="s">
        <v>28</v>
      </c>
      <c r="P18" s="83" t="s">
        <v>67</v>
      </c>
      <c r="Q18" s="85"/>
      <c r="R18" s="85"/>
      <c r="S18" s="85">
        <v>4.5999999999999996</v>
      </c>
      <c r="T18" s="83" t="s">
        <v>68</v>
      </c>
      <c r="U18" s="85"/>
      <c r="V18" s="55"/>
    </row>
    <row r="19" spans="1:22" s="11" customFormat="1" ht="45" customHeight="1" x14ac:dyDescent="0.2">
      <c r="A19" s="66" t="s">
        <v>69</v>
      </c>
      <c r="B19" s="66" t="s">
        <v>70</v>
      </c>
      <c r="C19" s="66" t="s">
        <v>71</v>
      </c>
      <c r="D19" s="66" t="s">
        <v>72</v>
      </c>
      <c r="E19" s="68" t="s">
        <v>73</v>
      </c>
      <c r="F19" s="66" t="s">
        <v>74</v>
      </c>
      <c r="G19" s="71">
        <v>28560</v>
      </c>
      <c r="H19" s="73"/>
      <c r="I19" s="75">
        <v>0.2</v>
      </c>
      <c r="J19" s="77"/>
      <c r="K19" s="66"/>
      <c r="L19" s="66"/>
      <c r="M19" s="79" t="str">
        <f>HYPERLINK("http://www.pristavka.com/catalog/sega-genesis/ConSkDn105/")</f>
        <v>http://www.pristavka.com/catalog/sega-genesis/ConSkDn105/</v>
      </c>
      <c r="N19" s="71">
        <v>34590</v>
      </c>
      <c r="O19" s="66" t="s">
        <v>27</v>
      </c>
      <c r="P19" s="82" t="s">
        <v>75</v>
      </c>
      <c r="Q19" s="84"/>
      <c r="R19" s="84"/>
      <c r="S19" s="84">
        <v>1.1100000000000001</v>
      </c>
      <c r="T19" s="82" t="s">
        <v>76</v>
      </c>
      <c r="U19" s="84"/>
      <c r="V19" s="54"/>
    </row>
    <row r="20" spans="1:22" s="11" customFormat="1" ht="45" customHeight="1" x14ac:dyDescent="0.2">
      <c r="A20" s="66" t="s">
        <v>69</v>
      </c>
      <c r="B20" s="66" t="s">
        <v>70</v>
      </c>
      <c r="C20" s="66" t="s">
        <v>71</v>
      </c>
      <c r="D20" s="66" t="s">
        <v>72</v>
      </c>
      <c r="E20" s="68" t="s">
        <v>77</v>
      </c>
      <c r="F20" s="66" t="s">
        <v>78</v>
      </c>
      <c r="G20" s="71">
        <v>32080</v>
      </c>
      <c r="H20" s="73"/>
      <c r="I20" s="75">
        <v>0.2</v>
      </c>
      <c r="J20" s="77"/>
      <c r="K20" s="66"/>
      <c r="L20" s="66"/>
      <c r="M20" s="79" t="str">
        <f>HYPERLINK("http://www.pristavka.com/catalog/sega-genesis/ConSkDn104/")</f>
        <v>http://www.pristavka.com/catalog/sega-genesis/ConSkDn104/</v>
      </c>
      <c r="N20" s="71">
        <v>38890</v>
      </c>
      <c r="O20" s="66" t="s">
        <v>27</v>
      </c>
      <c r="P20" s="82" t="s">
        <v>79</v>
      </c>
      <c r="Q20" s="84"/>
      <c r="R20" s="84"/>
      <c r="S20" s="84">
        <v>1.173</v>
      </c>
      <c r="T20" s="82" t="s">
        <v>80</v>
      </c>
      <c r="U20" s="84"/>
      <c r="V20" s="54"/>
    </row>
    <row r="21" spans="1:22" s="11" customFormat="1" ht="45" customHeight="1" x14ac:dyDescent="0.2">
      <c r="A21" s="66" t="s">
        <v>69</v>
      </c>
      <c r="B21" s="66" t="s">
        <v>81</v>
      </c>
      <c r="C21" s="66" t="s">
        <v>69</v>
      </c>
      <c r="D21" s="66" t="s">
        <v>82</v>
      </c>
      <c r="E21" s="68" t="s">
        <v>83</v>
      </c>
      <c r="F21" s="66" t="s">
        <v>84</v>
      </c>
      <c r="G21" s="71">
        <v>18780</v>
      </c>
      <c r="H21" s="73"/>
      <c r="I21" s="75">
        <v>0.2</v>
      </c>
      <c r="J21" s="77"/>
      <c r="K21" s="66"/>
      <c r="L21" s="66"/>
      <c r="M21" s="79" t="str">
        <f>HYPERLINK("http://www.pristavka.com/catalog/sega-genesis/ConSkDn77/")</f>
        <v>http://www.pristavka.com/catalog/sega-genesis/ConSkDn77/</v>
      </c>
      <c r="N21" s="71">
        <v>23990</v>
      </c>
      <c r="O21" s="66" t="s">
        <v>27</v>
      </c>
      <c r="P21" s="82" t="s">
        <v>85</v>
      </c>
      <c r="Q21" s="84"/>
      <c r="R21" s="84"/>
      <c r="S21" s="84">
        <v>0.92</v>
      </c>
      <c r="T21" s="82" t="s">
        <v>86</v>
      </c>
      <c r="U21" s="84"/>
      <c r="V21" s="54"/>
    </row>
    <row r="22" spans="1:22" s="11" customFormat="1" ht="45" customHeight="1" x14ac:dyDescent="0.2">
      <c r="A22" s="66" t="s">
        <v>69</v>
      </c>
      <c r="B22" s="66" t="s">
        <v>81</v>
      </c>
      <c r="C22" s="66" t="s">
        <v>69</v>
      </c>
      <c r="D22" s="66" t="s">
        <v>87</v>
      </c>
      <c r="E22" s="68" t="s">
        <v>88</v>
      </c>
      <c r="F22" s="66" t="s">
        <v>89</v>
      </c>
      <c r="G22" s="71">
        <v>8670</v>
      </c>
      <c r="H22" s="73"/>
      <c r="I22" s="75">
        <v>0.2</v>
      </c>
      <c r="J22" s="77"/>
      <c r="K22" s="66"/>
      <c r="L22" s="66"/>
      <c r="M22" s="79" t="str">
        <f>HYPERLINK("http://www.pristavka.com/catalog/sega-genesis/ConSkDn85/")</f>
        <v>http://www.pristavka.com/catalog/sega-genesis/ConSkDn85/</v>
      </c>
      <c r="N22" s="71">
        <v>11690</v>
      </c>
      <c r="O22" s="66" t="s">
        <v>27</v>
      </c>
      <c r="P22" s="82" t="s">
        <v>90</v>
      </c>
      <c r="Q22" s="84"/>
      <c r="R22" s="84"/>
      <c r="S22" s="84">
        <v>0.627</v>
      </c>
      <c r="T22" s="82" t="s">
        <v>91</v>
      </c>
      <c r="U22" s="84"/>
      <c r="V22" s="54"/>
    </row>
    <row r="23" spans="1:22" s="11" customFormat="1" ht="45" customHeight="1" x14ac:dyDescent="0.2">
      <c r="A23" s="66" t="s">
        <v>69</v>
      </c>
      <c r="B23" s="66" t="s">
        <v>70</v>
      </c>
      <c r="C23" s="66" t="s">
        <v>69</v>
      </c>
      <c r="D23" s="66" t="s">
        <v>92</v>
      </c>
      <c r="E23" s="68" t="s">
        <v>93</v>
      </c>
      <c r="F23" s="66" t="s">
        <v>94</v>
      </c>
      <c r="G23" s="71">
        <v>1320</v>
      </c>
      <c r="H23" s="73"/>
      <c r="I23" s="75">
        <v>0.2</v>
      </c>
      <c r="J23" s="77"/>
      <c r="K23" s="66"/>
      <c r="L23" s="66"/>
      <c r="M23" s="79" t="str">
        <f>HYPERLINK("http://www.pristavka.com/catalog/sega-genesis/ACSg12/")</f>
        <v>http://www.pristavka.com/catalog/sega-genesis/ACSg12/</v>
      </c>
      <c r="N23" s="71">
        <v>2690</v>
      </c>
      <c r="O23" s="66" t="s">
        <v>27</v>
      </c>
      <c r="P23" s="82" t="s">
        <v>95</v>
      </c>
      <c r="Q23" s="84"/>
      <c r="R23" s="84"/>
      <c r="S23" s="84">
        <v>0.17</v>
      </c>
      <c r="T23" s="82" t="s">
        <v>96</v>
      </c>
      <c r="U23" s="84"/>
      <c r="V23" s="54"/>
    </row>
    <row r="24" spans="1:22" s="11" customFormat="1" ht="45" customHeight="1" x14ac:dyDescent="0.2">
      <c r="A24" s="66" t="s">
        <v>69</v>
      </c>
      <c r="B24" s="66" t="s">
        <v>70</v>
      </c>
      <c r="C24" s="66" t="s">
        <v>69</v>
      </c>
      <c r="D24" s="66" t="s">
        <v>92</v>
      </c>
      <c r="E24" s="68" t="s">
        <v>97</v>
      </c>
      <c r="F24" s="66" t="s">
        <v>98</v>
      </c>
      <c r="G24" s="71">
        <v>1320</v>
      </c>
      <c r="H24" s="73"/>
      <c r="I24" s="75">
        <v>0.2</v>
      </c>
      <c r="J24" s="77"/>
      <c r="K24" s="66"/>
      <c r="L24" s="66"/>
      <c r="M24" s="79" t="str">
        <f>HYPERLINK("http://www.pristavka.com/catalog/sega-genesis/ACSg10/")</f>
        <v>http://www.pristavka.com/catalog/sega-genesis/ACSg10/</v>
      </c>
      <c r="N24" s="71">
        <v>2690</v>
      </c>
      <c r="O24" s="66" t="s">
        <v>28</v>
      </c>
      <c r="P24" s="82" t="s">
        <v>99</v>
      </c>
      <c r="Q24" s="84"/>
      <c r="R24" s="84"/>
      <c r="S24" s="84">
        <v>7.4999999999999997E-2</v>
      </c>
      <c r="T24" s="82" t="s">
        <v>100</v>
      </c>
      <c r="U24" s="84"/>
      <c r="V24" s="54"/>
    </row>
    <row r="25" spans="1:22" s="11" customFormat="1" ht="45" customHeight="1" x14ac:dyDescent="0.2">
      <c r="A25" s="66" t="s">
        <v>69</v>
      </c>
      <c r="B25" s="66" t="s">
        <v>70</v>
      </c>
      <c r="C25" s="66" t="s">
        <v>69</v>
      </c>
      <c r="D25" s="66" t="s">
        <v>92</v>
      </c>
      <c r="E25" s="68" t="s">
        <v>101</v>
      </c>
      <c r="F25" s="66" t="s">
        <v>102</v>
      </c>
      <c r="G25" s="71">
        <v>1360</v>
      </c>
      <c r="H25" s="73"/>
      <c r="I25" s="75">
        <v>0.2</v>
      </c>
      <c r="J25" s="77"/>
      <c r="K25" s="66"/>
      <c r="L25" s="66"/>
      <c r="M25" s="79" t="str">
        <f>HYPERLINK("http://www.pristavka.com/catalog/sega-genesis/ACSg11/")</f>
        <v>http://www.pristavka.com/catalog/sega-genesis/ACSg11/</v>
      </c>
      <c r="N25" s="71">
        <v>2390</v>
      </c>
      <c r="O25" s="66" t="s">
        <v>27</v>
      </c>
      <c r="P25" s="82" t="s">
        <v>103</v>
      </c>
      <c r="Q25" s="84"/>
      <c r="R25" s="84"/>
      <c r="S25" s="84">
        <v>0.14000000000000001</v>
      </c>
      <c r="T25" s="82" t="s">
        <v>104</v>
      </c>
      <c r="U25" s="84"/>
      <c r="V25" s="54"/>
    </row>
    <row r="26" spans="1:22" s="11" customFormat="1" ht="45" customHeight="1" x14ac:dyDescent="0.2">
      <c r="A26" s="66" t="s">
        <v>69</v>
      </c>
      <c r="B26" s="66" t="s">
        <v>70</v>
      </c>
      <c r="C26" s="66" t="s">
        <v>69</v>
      </c>
      <c r="D26" s="66" t="s">
        <v>92</v>
      </c>
      <c r="E26" s="68" t="s">
        <v>105</v>
      </c>
      <c r="F26" s="66" t="s">
        <v>106</v>
      </c>
      <c r="G26" s="71">
        <v>1910</v>
      </c>
      <c r="H26" s="73"/>
      <c r="I26" s="75">
        <v>0.2</v>
      </c>
      <c r="J26" s="77"/>
      <c r="K26" s="66"/>
      <c r="L26" s="66"/>
      <c r="M26" s="79" t="str">
        <f>HYPERLINK("https://pristavka.com/catalog/sega-genesis/ACSg17/")</f>
        <v>https://pristavka.com/catalog/sega-genesis/ACSg17/</v>
      </c>
      <c r="N26" s="71">
        <v>3190</v>
      </c>
      <c r="O26" s="66" t="s">
        <v>27</v>
      </c>
      <c r="P26" s="82" t="s">
        <v>107</v>
      </c>
      <c r="Q26" s="84"/>
      <c r="R26" s="84"/>
      <c r="S26" s="84">
        <v>0.12</v>
      </c>
      <c r="T26" s="82" t="s">
        <v>108</v>
      </c>
      <c r="U26" s="84"/>
      <c r="V26" s="54"/>
    </row>
    <row r="27" spans="1:22" s="11" customFormat="1" ht="45" customHeight="1" x14ac:dyDescent="0.2">
      <c r="A27" s="66" t="s">
        <v>69</v>
      </c>
      <c r="B27" s="66" t="s">
        <v>70</v>
      </c>
      <c r="C27" s="66" t="s">
        <v>69</v>
      </c>
      <c r="D27" s="66" t="s">
        <v>92</v>
      </c>
      <c r="E27" s="68" t="s">
        <v>109</v>
      </c>
      <c r="F27" s="66" t="s">
        <v>110</v>
      </c>
      <c r="G27" s="71">
        <v>1450</v>
      </c>
      <c r="H27" s="73"/>
      <c r="I27" s="75">
        <v>0.2</v>
      </c>
      <c r="J27" s="77"/>
      <c r="K27" s="66"/>
      <c r="L27" s="66"/>
      <c r="M27" s="79" t="str">
        <f>HYPERLINK("http://www.pristavka.com/catalog/sega-genesis/ACSg08/")</f>
        <v>http://www.pristavka.com/catalog/sega-genesis/ACSg08/</v>
      </c>
      <c r="N27" s="71">
        <v>2590</v>
      </c>
      <c r="O27" s="66" t="s">
        <v>28</v>
      </c>
      <c r="P27" s="82" t="s">
        <v>111</v>
      </c>
      <c r="Q27" s="84"/>
      <c r="R27" s="84"/>
      <c r="S27" s="84">
        <v>8.7999999999999995E-2</v>
      </c>
      <c r="T27" s="82" t="s">
        <v>112</v>
      </c>
      <c r="U27" s="84"/>
      <c r="V27" s="54"/>
    </row>
    <row r="28" spans="1:22" s="11" customFormat="1" ht="45" customHeight="1" x14ac:dyDescent="0.2">
      <c r="A28" s="66" t="s">
        <v>69</v>
      </c>
      <c r="B28" s="66" t="s">
        <v>70</v>
      </c>
      <c r="C28" s="66" t="s">
        <v>69</v>
      </c>
      <c r="D28" s="66" t="s">
        <v>92</v>
      </c>
      <c r="E28" s="68" t="s">
        <v>113</v>
      </c>
      <c r="F28" s="66" t="s">
        <v>114</v>
      </c>
      <c r="G28" s="71">
        <v>1450</v>
      </c>
      <c r="H28" s="73"/>
      <c r="I28" s="75">
        <v>0.2</v>
      </c>
      <c r="J28" s="77"/>
      <c r="K28" s="66"/>
      <c r="L28" s="66"/>
      <c r="M28" s="79" t="str">
        <f>HYPERLINK("http://www.pristavka.com/catalog/sega-genesis/ACSg13/")</f>
        <v>http://www.pristavka.com/catalog/sega-genesis/ACSg13/</v>
      </c>
      <c r="N28" s="71">
        <v>2590</v>
      </c>
      <c r="O28" s="66" t="s">
        <v>27</v>
      </c>
      <c r="P28" s="82" t="s">
        <v>115</v>
      </c>
      <c r="Q28" s="84"/>
      <c r="R28" s="84"/>
      <c r="S28" s="84">
        <v>8.7999999999999995E-2</v>
      </c>
      <c r="T28" s="82" t="s">
        <v>116</v>
      </c>
      <c r="U28" s="84"/>
      <c r="V28" s="54"/>
    </row>
    <row r="29" spans="1:22" s="11" customFormat="1" ht="45" customHeight="1" x14ac:dyDescent="0.2">
      <c r="A29" s="66" t="s">
        <v>69</v>
      </c>
      <c r="B29" s="66" t="s">
        <v>26</v>
      </c>
      <c r="C29" s="66" t="s">
        <v>69</v>
      </c>
      <c r="D29" s="66" t="s">
        <v>117</v>
      </c>
      <c r="E29" s="68" t="s">
        <v>118</v>
      </c>
      <c r="F29" s="66" t="s">
        <v>119</v>
      </c>
      <c r="G29" s="71">
        <v>11960</v>
      </c>
      <c r="H29" s="73"/>
      <c r="I29" s="75">
        <v>0.2</v>
      </c>
      <c r="J29" s="77"/>
      <c r="K29" s="66"/>
      <c r="L29" s="66"/>
      <c r="M29" s="79" t="str">
        <f>HYPERLINK("https://pristavka.com/catalog/sega-genesis/ConSkDn129/")</f>
        <v>https://pristavka.com/catalog/sega-genesis/ConSkDn129/</v>
      </c>
      <c r="N29" s="71">
        <v>15990</v>
      </c>
      <c r="O29" s="66" t="s">
        <v>27</v>
      </c>
      <c r="P29" s="82" t="s">
        <v>120</v>
      </c>
      <c r="Q29" s="84"/>
      <c r="R29" s="84"/>
      <c r="S29" s="84">
        <v>0.36399999999999999</v>
      </c>
      <c r="T29" s="82" t="s">
        <v>121</v>
      </c>
      <c r="U29" s="84"/>
      <c r="V29" s="54"/>
    </row>
    <row r="30" spans="1:22" s="11" customFormat="1" ht="45" customHeight="1" x14ac:dyDescent="0.2">
      <c r="A30" s="66" t="s">
        <v>69</v>
      </c>
      <c r="B30" s="66" t="s">
        <v>70</v>
      </c>
      <c r="C30" s="66" t="s">
        <v>69</v>
      </c>
      <c r="D30" s="66" t="s">
        <v>122</v>
      </c>
      <c r="E30" s="68" t="s">
        <v>123</v>
      </c>
      <c r="F30" s="66" t="s">
        <v>124</v>
      </c>
      <c r="G30" s="71">
        <v>13390</v>
      </c>
      <c r="H30" s="73"/>
      <c r="I30" s="75">
        <v>0.2</v>
      </c>
      <c r="J30" s="77"/>
      <c r="K30" s="66"/>
      <c r="L30" s="66"/>
      <c r="M30" s="79" t="str">
        <f>HYPERLINK("http://www.pristavka.com/catalog/sega-genesis/ConSkDn87/")</f>
        <v>http://www.pristavka.com/catalog/sega-genesis/ConSkDn87/</v>
      </c>
      <c r="N30" s="71">
        <v>17590</v>
      </c>
      <c r="O30" s="66" t="s">
        <v>28</v>
      </c>
      <c r="P30" s="82" t="s">
        <v>125</v>
      </c>
      <c r="Q30" s="84"/>
      <c r="R30" s="84"/>
      <c r="S30" s="84">
        <v>0.78400000000000003</v>
      </c>
      <c r="T30" s="82" t="s">
        <v>126</v>
      </c>
      <c r="U30" s="84"/>
      <c r="V30" s="54"/>
    </row>
    <row r="31" spans="1:22" s="45" customFormat="1" ht="45" customHeight="1" x14ac:dyDescent="0.2">
      <c r="A31" s="67" t="s">
        <v>69</v>
      </c>
      <c r="B31" s="67" t="s">
        <v>26</v>
      </c>
      <c r="C31" s="67" t="s">
        <v>69</v>
      </c>
      <c r="D31" s="67" t="s">
        <v>26</v>
      </c>
      <c r="E31" s="69" t="s">
        <v>127</v>
      </c>
      <c r="F31" s="67" t="s">
        <v>128</v>
      </c>
      <c r="G31" s="72">
        <v>12990</v>
      </c>
      <c r="H31" s="74"/>
      <c r="I31" s="76">
        <v>0.2</v>
      </c>
      <c r="J31" s="77"/>
      <c r="K31" s="67" t="s">
        <v>129</v>
      </c>
      <c r="L31" s="67"/>
      <c r="M31" s="79" t="str">
        <f>HYPERLINK("https://pristavka.com/catalog/sega-genesis/ConSkDn128/")</f>
        <v>https://pristavka.com/catalog/sega-genesis/ConSkDn128/</v>
      </c>
      <c r="N31" s="72">
        <v>17490</v>
      </c>
      <c r="O31" s="67" t="s">
        <v>27</v>
      </c>
      <c r="P31" s="83" t="s">
        <v>130</v>
      </c>
      <c r="Q31" s="85"/>
      <c r="R31" s="85"/>
      <c r="S31" s="85">
        <v>0.63</v>
      </c>
      <c r="T31" s="83" t="s">
        <v>131</v>
      </c>
      <c r="U31" s="85"/>
      <c r="V31" s="55"/>
    </row>
    <row r="32" spans="1:22" s="11" customFormat="1" ht="45" customHeight="1" x14ac:dyDescent="0.2">
      <c r="A32" s="66" t="s">
        <v>69</v>
      </c>
      <c r="B32" s="66" t="s">
        <v>26</v>
      </c>
      <c r="C32" s="66" t="s">
        <v>69</v>
      </c>
      <c r="D32" s="66" t="s">
        <v>132</v>
      </c>
      <c r="E32" s="68" t="s">
        <v>133</v>
      </c>
      <c r="F32" s="66" t="s">
        <v>134</v>
      </c>
      <c r="G32" s="71">
        <v>11790</v>
      </c>
      <c r="H32" s="73"/>
      <c r="I32" s="75">
        <v>0.2</v>
      </c>
      <c r="J32" s="77"/>
      <c r="K32" s="66"/>
      <c r="L32" s="66"/>
      <c r="M32" s="79" t="str">
        <f>HYPERLINK("http://www.pristavka.com/catalog/sega-genesis/ConSkDn137/")</f>
        <v>http://www.pristavka.com/catalog/sega-genesis/ConSkDn137/</v>
      </c>
      <c r="N32" s="71">
        <v>16090</v>
      </c>
      <c r="O32" s="66" t="s">
        <v>27</v>
      </c>
      <c r="P32" s="82" t="s">
        <v>135</v>
      </c>
      <c r="Q32" s="84"/>
      <c r="R32" s="84"/>
      <c r="S32" s="84">
        <v>0.4</v>
      </c>
      <c r="T32" s="82" t="s">
        <v>136</v>
      </c>
      <c r="U32" s="84"/>
      <c r="V32" s="54"/>
    </row>
    <row r="33" spans="1:22" s="11" customFormat="1" ht="45" customHeight="1" x14ac:dyDescent="0.2">
      <c r="A33" s="66" t="s">
        <v>69</v>
      </c>
      <c r="B33" s="66" t="s">
        <v>26</v>
      </c>
      <c r="C33" s="66" t="s">
        <v>69</v>
      </c>
      <c r="D33" s="66" t="s">
        <v>137</v>
      </c>
      <c r="E33" s="68" t="s">
        <v>138</v>
      </c>
      <c r="F33" s="66" t="s">
        <v>139</v>
      </c>
      <c r="G33" s="71">
        <v>11510</v>
      </c>
      <c r="H33" s="73"/>
      <c r="I33" s="75">
        <v>0.2</v>
      </c>
      <c r="J33" s="77"/>
      <c r="K33" s="66"/>
      <c r="L33" s="66"/>
      <c r="M33" s="79" t="str">
        <f>HYPERLINK("https://pristavka.com/catalog/sega-genesis/Pkt200/")</f>
        <v>https://pristavka.com/catalog/sega-genesis/Pkt200/</v>
      </c>
      <c r="N33" s="71">
        <v>14890</v>
      </c>
      <c r="O33" s="66" t="s">
        <v>27</v>
      </c>
      <c r="P33" s="82" t="s">
        <v>140</v>
      </c>
      <c r="Q33" s="84"/>
      <c r="R33" s="84"/>
      <c r="S33" s="84">
        <v>0.245</v>
      </c>
      <c r="T33" s="82" t="s">
        <v>141</v>
      </c>
      <c r="U33" s="84"/>
      <c r="V33" s="54"/>
    </row>
    <row r="34" spans="1:22" s="11" customFormat="1" ht="45" customHeight="1" x14ac:dyDescent="0.2">
      <c r="A34" s="66" t="s">
        <v>69</v>
      </c>
      <c r="B34" s="66" t="s">
        <v>26</v>
      </c>
      <c r="C34" s="66" t="s">
        <v>69</v>
      </c>
      <c r="D34" s="66" t="s">
        <v>142</v>
      </c>
      <c r="E34" s="68" t="s">
        <v>143</v>
      </c>
      <c r="F34" s="66" t="s">
        <v>144</v>
      </c>
      <c r="G34" s="71">
        <v>15630</v>
      </c>
      <c r="H34" s="73"/>
      <c r="I34" s="75">
        <v>0.2</v>
      </c>
      <c r="J34" s="77"/>
      <c r="K34" s="66"/>
      <c r="L34" s="66"/>
      <c r="M34" s="79" t="str">
        <f>HYPERLINK("https://pristavka.com/catalog/sega-genesis/ConSkDn132/")</f>
        <v>https://pristavka.com/catalog/sega-genesis/ConSkDn132/</v>
      </c>
      <c r="N34" s="71">
        <v>20190</v>
      </c>
      <c r="O34" s="66" t="s">
        <v>27</v>
      </c>
      <c r="P34" s="82" t="s">
        <v>145</v>
      </c>
      <c r="Q34" s="84"/>
      <c r="R34" s="84"/>
      <c r="S34" s="84">
        <v>0.24399999999999999</v>
      </c>
      <c r="T34" s="82" t="s">
        <v>146</v>
      </c>
      <c r="U34" s="84"/>
      <c r="V34" s="54"/>
    </row>
    <row r="35" spans="1:22" s="11" customFormat="1" ht="45" customHeight="1" x14ac:dyDescent="0.2">
      <c r="A35" s="66" t="s">
        <v>69</v>
      </c>
      <c r="B35" s="66" t="s">
        <v>26</v>
      </c>
      <c r="C35" s="66" t="s">
        <v>69</v>
      </c>
      <c r="D35" s="66" t="s">
        <v>142</v>
      </c>
      <c r="E35" s="68" t="s">
        <v>147</v>
      </c>
      <c r="F35" s="66" t="s">
        <v>148</v>
      </c>
      <c r="G35" s="71">
        <v>15630</v>
      </c>
      <c r="H35" s="73"/>
      <c r="I35" s="75">
        <v>0.2</v>
      </c>
      <c r="J35" s="77"/>
      <c r="K35" s="66"/>
      <c r="L35" s="66"/>
      <c r="M35" s="79" t="str">
        <f>HYPERLINK("https://pristavka.com/catalog/sega-genesis/Pkt201/")</f>
        <v>https://pristavka.com/catalog/sega-genesis/Pkt201/</v>
      </c>
      <c r="N35" s="71">
        <v>20190</v>
      </c>
      <c r="O35" s="66" t="s">
        <v>27</v>
      </c>
      <c r="P35" s="82" t="s">
        <v>149</v>
      </c>
      <c r="Q35" s="84"/>
      <c r="R35" s="84"/>
      <c r="S35" s="84">
        <v>0.25</v>
      </c>
      <c r="T35" s="82" t="s">
        <v>150</v>
      </c>
      <c r="U35" s="84"/>
      <c r="V35" s="54"/>
    </row>
    <row r="36" spans="1:22" s="11" customFormat="1" ht="45" customHeight="1" x14ac:dyDescent="0.2">
      <c r="A36" s="66" t="s">
        <v>69</v>
      </c>
      <c r="B36" s="66" t="s">
        <v>70</v>
      </c>
      <c r="C36" s="66" t="s">
        <v>69</v>
      </c>
      <c r="D36" s="66" t="s">
        <v>151</v>
      </c>
      <c r="E36" s="68" t="s">
        <v>152</v>
      </c>
      <c r="F36" s="66" t="s">
        <v>153</v>
      </c>
      <c r="G36" s="71">
        <v>16240</v>
      </c>
      <c r="H36" s="73"/>
      <c r="I36" s="75">
        <v>0.2</v>
      </c>
      <c r="J36" s="77"/>
      <c r="K36" s="66"/>
      <c r="L36" s="66"/>
      <c r="M36" s="79" t="str">
        <f>HYPERLINK("http://www.pristavka.com/catalog/sega-genesis/ConSkDn91/")</f>
        <v>http://www.pristavka.com/catalog/sega-genesis/ConSkDn91/</v>
      </c>
      <c r="N36" s="71">
        <v>21290</v>
      </c>
      <c r="O36" s="66" t="s">
        <v>27</v>
      </c>
      <c r="P36" s="82" t="s">
        <v>154</v>
      </c>
      <c r="Q36" s="84"/>
      <c r="R36" s="84"/>
      <c r="S36" s="84">
        <v>1.1000000000000001</v>
      </c>
      <c r="T36" s="82" t="s">
        <v>86</v>
      </c>
      <c r="U36" s="84"/>
      <c r="V36" s="54"/>
    </row>
    <row r="37" spans="1:22" s="11" customFormat="1" ht="45" customHeight="1" x14ac:dyDescent="0.2">
      <c r="A37" s="66" t="s">
        <v>69</v>
      </c>
      <c r="B37" s="66" t="s">
        <v>70</v>
      </c>
      <c r="C37" s="66" t="s">
        <v>69</v>
      </c>
      <c r="D37" s="66" t="s">
        <v>155</v>
      </c>
      <c r="E37" s="68" t="s">
        <v>156</v>
      </c>
      <c r="F37" s="66" t="s">
        <v>157</v>
      </c>
      <c r="G37" s="71">
        <v>12980</v>
      </c>
      <c r="H37" s="73"/>
      <c r="I37" s="75">
        <v>0.2</v>
      </c>
      <c r="J37" s="77"/>
      <c r="K37" s="66"/>
      <c r="L37" s="66"/>
      <c r="M37" s="79" t="str">
        <f>HYPERLINK("http://www.pristavka.com/catalog/sega-genesis/ConSkDn92/")</f>
        <v>http://www.pristavka.com/catalog/sega-genesis/ConSkDn92/</v>
      </c>
      <c r="N37" s="71">
        <v>16990</v>
      </c>
      <c r="O37" s="66" t="s">
        <v>27</v>
      </c>
      <c r="P37" s="82" t="s">
        <v>158</v>
      </c>
      <c r="Q37" s="84"/>
      <c r="R37" s="84"/>
      <c r="S37" s="84">
        <v>1.052</v>
      </c>
      <c r="T37" s="82" t="s">
        <v>86</v>
      </c>
      <c r="U37" s="84"/>
      <c r="V37" s="54"/>
    </row>
    <row r="39" spans="1:22" x14ac:dyDescent="0.2">
      <c r="A39" s="2" t="s">
        <v>14</v>
      </c>
      <c r="B39" s="2"/>
      <c r="C39" s="2"/>
      <c r="D39" s="2"/>
      <c r="E39" s="2"/>
      <c r="F39" s="2"/>
      <c r="G39" s="2"/>
      <c r="H39" s="2"/>
      <c r="I39" s="47"/>
      <c r="J39" s="47"/>
      <c r="K39" s="47"/>
      <c r="L39" s="47"/>
      <c r="M39" s="47"/>
      <c r="N39" s="47"/>
      <c r="O39" s="47"/>
    </row>
    <row r="40" spans="1:22" x14ac:dyDescent="0.2">
      <c r="A40" s="2" t="s">
        <v>12</v>
      </c>
      <c r="B40" s="2"/>
      <c r="C40" s="2"/>
      <c r="D40" s="2"/>
      <c r="E40" s="2"/>
      <c r="F40" s="2"/>
      <c r="G40" s="2"/>
      <c r="H40" s="2"/>
      <c r="I40" s="47"/>
      <c r="J40" s="47"/>
      <c r="K40" s="47"/>
      <c r="L40" s="47"/>
      <c r="M40" s="47"/>
      <c r="N40" s="47"/>
      <c r="O40" s="47"/>
    </row>
    <row r="41" spans="1:22" x14ac:dyDescent="0.2">
      <c r="A41" s="2" t="s">
        <v>13</v>
      </c>
      <c r="B41" s="2"/>
      <c r="C41" s="2"/>
      <c r="D41" s="2"/>
      <c r="E41" s="2"/>
      <c r="F41" s="2"/>
      <c r="G41" s="2"/>
      <c r="H41" s="2"/>
      <c r="I41" s="47"/>
      <c r="J41" s="47"/>
      <c r="K41" s="47"/>
      <c r="L41" s="47"/>
      <c r="M41" s="47"/>
      <c r="N41" s="47"/>
      <c r="O41" s="47"/>
    </row>
    <row r="42" spans="1:22" x14ac:dyDescent="0.2">
      <c r="A42" s="2" t="s">
        <v>159</v>
      </c>
      <c r="B42" s="2"/>
      <c r="C42" s="2"/>
      <c r="D42" s="2"/>
      <c r="E42" s="2"/>
      <c r="F42" s="2"/>
      <c r="G42" s="2"/>
      <c r="H42" s="2"/>
      <c r="I42" s="47"/>
      <c r="J42" s="47"/>
      <c r="K42" s="47"/>
      <c r="L42" s="47"/>
      <c r="M42" s="47"/>
      <c r="N42" s="47"/>
      <c r="O42" s="47"/>
    </row>
    <row r="43" spans="1:22" x14ac:dyDescent="0.2">
      <c r="A43" s="2" t="s">
        <v>9</v>
      </c>
      <c r="B43" s="2"/>
      <c r="C43" s="2"/>
      <c r="D43" s="2"/>
      <c r="E43" s="2"/>
      <c r="F43" s="2"/>
      <c r="G43" s="2"/>
      <c r="H43" s="2"/>
      <c r="I43" s="47"/>
      <c r="J43" s="47"/>
      <c r="K43" s="47"/>
      <c r="L43" s="47"/>
      <c r="M43" s="47"/>
      <c r="N43" s="47"/>
      <c r="O43" s="47"/>
    </row>
    <row r="44" spans="1:22" x14ac:dyDescent="0.2">
      <c r="A44" s="2"/>
      <c r="B44" s="2"/>
      <c r="C44" s="2"/>
      <c r="D44" s="2"/>
      <c r="E44" s="2"/>
      <c r="F44" s="2"/>
      <c r="G44" s="2"/>
      <c r="H44" s="2"/>
      <c r="I44" s="47"/>
      <c r="J44" s="47"/>
      <c r="K44" s="47"/>
      <c r="L44" s="47"/>
      <c r="M44" s="47"/>
      <c r="N44" s="47"/>
      <c r="O44" s="47"/>
    </row>
    <row r="45" spans="1:22" x14ac:dyDescent="0.2">
      <c r="A45" s="2"/>
      <c r="B45" s="2"/>
      <c r="C45" s="2"/>
      <c r="D45" s="2"/>
      <c r="E45" s="2"/>
      <c r="F45" s="2"/>
      <c r="G45" s="2"/>
      <c r="H45" s="2"/>
      <c r="I45" s="47"/>
      <c r="J45" s="47"/>
      <c r="K45" s="47"/>
      <c r="L45" s="47"/>
      <c r="M45" s="47"/>
      <c r="N45" s="47"/>
      <c r="O45" s="47"/>
    </row>
    <row r="46" spans="1:22" x14ac:dyDescent="0.2">
      <c r="A46" s="2"/>
      <c r="B46" s="2"/>
      <c r="C46" s="2"/>
      <c r="D46" s="2"/>
      <c r="E46" s="2"/>
      <c r="F46" s="2"/>
      <c r="G46" s="2"/>
      <c r="H46" s="2"/>
      <c r="I46" s="47"/>
      <c r="J46" s="47"/>
      <c r="K46" s="47"/>
      <c r="L46" s="47"/>
      <c r="M46" s="47"/>
      <c r="N46" s="47"/>
      <c r="O46" s="47"/>
    </row>
  </sheetData>
  <autoFilter ref="A8:O37" xr:uid="{00000000-0009-0000-0000-000001000000}"/>
  <pageMargins left="0.19" right="0.22" top="0.27" bottom="0.74803149606299213" header="0.17" footer="0.31496062992125984"/>
  <pageSetup paperSize="9" scale="74" fitToHeight="0" orientation="landscape" r:id="rId1"/>
  <drawing r:id="rId2"/>
  <legacyDrawing r:id="rId3"/>
  <mc:AlternateContent xmlns:mc="http://schemas.openxmlformats.org/markup-compatibility/2006">
    <mc:Choice Requires="x14">
      <controls>
        <mc:AlternateContent xmlns:mc="http://schemas.openxmlformats.org/markup-compatibility/2006">
          <mc:Choice Requires="x14">
            <control shapeId="1028" r:id="rId4" name="Button 4">
              <controlPr locked="0" defaultSize="0" autoFill="0" autoPict="0" macro="[0]!Clear">
                <anchor moveWithCells="1" sizeWithCells="1">
                  <from>
                    <xdr:col>6</xdr:col>
                    <xdr:colOff>30480</xdr:colOff>
                    <xdr:row>0</xdr:row>
                    <xdr:rowOff>99060</xdr:rowOff>
                  </from>
                  <to>
                    <xdr:col>7</xdr:col>
                    <xdr:colOff>502920</xdr:colOff>
                    <xdr:row>2</xdr:row>
                    <xdr:rowOff>99060</xdr:rowOff>
                  </to>
                </anchor>
              </controlPr>
            </control>
          </mc:Choice>
        </mc:AlternateContent>
      </controls>
    </mc:Choice>
  </mc:AlternateContent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sheetPr codeName="Лист4"/>
  <dimension ref="A1:V213"/>
  <sheetViews>
    <sheetView showGridLines="0" workbookViewId="0">
      <pane ySplit="8" topLeftCell="A9" activePane="bottomLeft" state="frozen"/>
      <selection pane="bottomLeft"/>
    </sheetView>
  </sheetViews>
  <sheetFormatPr defaultColWidth="9.109375" defaultRowHeight="10.199999999999999" x14ac:dyDescent="0.2"/>
  <cols>
    <col min="1" max="2" width="10" style="12" customWidth="1"/>
    <col min="3" max="4" width="15.44140625" style="12" customWidth="1"/>
    <col min="5" max="5" width="30.88671875" style="24" customWidth="1"/>
    <col min="6" max="6" width="9.109375" style="12" customWidth="1"/>
    <col min="7" max="7" width="9.109375" style="29" customWidth="1"/>
    <col min="8" max="8" width="7.6640625" style="32" customWidth="1"/>
    <col min="9" max="9" width="10" style="12" customWidth="1"/>
    <col min="10" max="10" width="12.6640625" style="43" customWidth="1"/>
    <col min="11" max="11" width="12.6640625" style="12" customWidth="1"/>
    <col min="12" max="12" width="19" style="12" customWidth="1"/>
    <col min="13" max="13" width="25.6640625" style="29" customWidth="1"/>
    <col min="14" max="14" width="12.6640625" style="12" customWidth="1"/>
    <col min="15" max="15" width="8.6640625" style="12" customWidth="1"/>
    <col min="16" max="16" width="12.6640625" style="47" customWidth="1"/>
    <col min="17" max="21" width="15.6640625" style="47" customWidth="1"/>
    <col min="22" max="22" width="9.109375" style="47"/>
    <col min="23" max="16384" width="9.109375" style="2"/>
  </cols>
  <sheetData>
    <row r="1" spans="1:22" ht="12.75" customHeight="1" x14ac:dyDescent="0.2"/>
    <row r="2" spans="1:22" s="1" customFormat="1" ht="12.75" customHeight="1" x14ac:dyDescent="0.25">
      <c r="A2" s="13"/>
      <c r="B2" s="13"/>
      <c r="C2" s="13"/>
      <c r="D2" s="13"/>
      <c r="E2" s="25"/>
      <c r="F2" s="17"/>
      <c r="G2" s="30"/>
      <c r="H2" s="33"/>
      <c r="I2" s="13"/>
      <c r="J2" s="43"/>
      <c r="K2" s="13"/>
      <c r="L2" s="12"/>
      <c r="M2" s="30"/>
      <c r="N2" s="13"/>
      <c r="O2" s="13"/>
      <c r="P2" s="51"/>
      <c r="Q2" s="51"/>
      <c r="R2" s="51"/>
      <c r="S2" s="51"/>
      <c r="T2" s="51"/>
      <c r="U2" s="51"/>
      <c r="V2" s="51"/>
    </row>
    <row r="3" spans="1:22" s="10" customFormat="1" ht="12.75" customHeight="1" x14ac:dyDescent="0.3">
      <c r="A3" s="12"/>
      <c r="B3" s="12"/>
      <c r="C3" s="12"/>
      <c r="D3" s="12"/>
      <c r="E3" s="24"/>
      <c r="F3" s="12"/>
      <c r="G3" s="29"/>
      <c r="H3" s="32"/>
      <c r="I3" s="12"/>
      <c r="J3" s="43"/>
      <c r="K3" s="12"/>
      <c r="L3" s="12"/>
      <c r="M3" s="29"/>
      <c r="N3" s="12"/>
      <c r="O3" s="12"/>
      <c r="P3" s="47"/>
      <c r="Q3" s="47"/>
      <c r="R3" s="47"/>
      <c r="S3" s="47"/>
      <c r="T3" s="47"/>
      <c r="U3" s="47"/>
      <c r="V3" s="47"/>
    </row>
    <row r="4" spans="1:22" s="10" customFormat="1" ht="12.75" customHeight="1" x14ac:dyDescent="0.3">
      <c r="A4" s="27" t="s">
        <v>8</v>
      </c>
      <c r="B4" s="15"/>
      <c r="C4" s="12"/>
      <c r="D4" s="12"/>
      <c r="E4" s="18"/>
      <c r="F4" s="19"/>
      <c r="G4" s="41"/>
      <c r="H4" s="7"/>
      <c r="I4" s="12"/>
      <c r="J4" s="43"/>
      <c r="K4" s="15"/>
      <c r="L4" s="12"/>
      <c r="M4" s="12"/>
      <c r="N4" s="12"/>
      <c r="O4" s="12"/>
      <c r="P4" s="47"/>
      <c r="Q4" s="47"/>
      <c r="R4" s="47"/>
      <c r="S4" s="47"/>
      <c r="T4" s="47"/>
      <c r="U4" s="47"/>
      <c r="V4" s="47"/>
    </row>
    <row r="5" spans="1:22" s="10" customFormat="1" ht="12.75" customHeight="1" x14ac:dyDescent="0.3">
      <c r="A5" s="12"/>
      <c r="B5" s="16"/>
      <c r="C5" s="12"/>
      <c r="D5" s="12"/>
      <c r="E5" s="18"/>
      <c r="F5" s="12"/>
      <c r="G5" s="42"/>
      <c r="H5" s="7"/>
      <c r="I5" s="12"/>
      <c r="J5" s="43"/>
      <c r="K5" s="15"/>
      <c r="L5" s="12"/>
      <c r="M5" s="12"/>
      <c r="N5" s="12"/>
      <c r="O5" s="12"/>
      <c r="P5" s="47"/>
      <c r="Q5" s="47"/>
      <c r="R5" s="47"/>
      <c r="S5" s="47"/>
      <c r="T5" s="47"/>
      <c r="U5" s="47"/>
      <c r="V5" s="47"/>
    </row>
    <row r="6" spans="1:22" s="10" customFormat="1" ht="12.75" customHeight="1" x14ac:dyDescent="0.3">
      <c r="A6" s="12"/>
      <c r="B6" s="12"/>
      <c r="C6" s="12"/>
      <c r="D6" s="12"/>
      <c r="E6" s="18"/>
      <c r="F6" s="20"/>
      <c r="G6" s="9"/>
      <c r="H6" s="8"/>
      <c r="I6" s="22"/>
      <c r="J6" s="44"/>
      <c r="K6" s="21"/>
      <c r="L6" s="12"/>
      <c r="M6" s="12"/>
      <c r="N6" s="12"/>
      <c r="O6" s="12"/>
      <c r="P6" s="47"/>
      <c r="Q6" s="47"/>
      <c r="R6" s="47"/>
      <c r="S6" s="47"/>
      <c r="T6" s="47"/>
      <c r="U6" s="47"/>
      <c r="V6" s="47"/>
    </row>
    <row r="7" spans="1:22" s="3" customFormat="1" ht="12.75" customHeight="1" x14ac:dyDescent="0.2">
      <c r="A7" s="14"/>
      <c r="B7" s="14"/>
      <c r="C7" s="14"/>
      <c r="D7" s="14"/>
      <c r="E7" s="26"/>
      <c r="F7" s="14"/>
      <c r="G7" s="31"/>
      <c r="H7" s="34"/>
      <c r="I7" s="14"/>
      <c r="J7" s="43"/>
      <c r="K7" s="14"/>
      <c r="L7" s="14"/>
      <c r="M7" s="31"/>
      <c r="N7" s="23"/>
      <c r="O7" s="14"/>
      <c r="P7" s="52"/>
      <c r="Q7" s="52"/>
      <c r="R7" s="52"/>
      <c r="S7" s="52"/>
      <c r="T7" s="52"/>
      <c r="U7" s="52"/>
      <c r="V7" s="52"/>
    </row>
    <row r="8" spans="1:22" s="4" customFormat="1" ht="24" customHeight="1" x14ac:dyDescent="0.2">
      <c r="A8" s="5" t="s">
        <v>3</v>
      </c>
      <c r="B8" s="5" t="s">
        <v>2</v>
      </c>
      <c r="C8" s="5" t="s">
        <v>11</v>
      </c>
      <c r="D8" s="5" t="s">
        <v>15</v>
      </c>
      <c r="E8" s="5" t="s">
        <v>10</v>
      </c>
      <c r="F8" s="5" t="s">
        <v>0</v>
      </c>
      <c r="G8" s="39" t="s">
        <v>19</v>
      </c>
      <c r="H8" s="6" t="s">
        <v>20</v>
      </c>
      <c r="I8" s="46" t="s">
        <v>18</v>
      </c>
      <c r="J8" s="48" t="s">
        <v>21</v>
      </c>
      <c r="K8" s="46" t="s">
        <v>1</v>
      </c>
      <c r="L8" s="46" t="s">
        <v>5</v>
      </c>
      <c r="M8" s="49" t="s">
        <v>7</v>
      </c>
      <c r="N8" s="46" t="s">
        <v>22</v>
      </c>
      <c r="O8" s="50" t="s">
        <v>6</v>
      </c>
      <c r="P8" s="50" t="s">
        <v>4</v>
      </c>
      <c r="Q8" s="53" t="s">
        <v>16</v>
      </c>
      <c r="R8" s="53" t="s">
        <v>17</v>
      </c>
      <c r="S8" s="53" t="s">
        <v>23</v>
      </c>
      <c r="T8" s="56" t="s">
        <v>24</v>
      </c>
      <c r="U8" s="56" t="s">
        <v>25</v>
      </c>
      <c r="V8" s="57"/>
    </row>
    <row r="9" spans="1:22" s="11" customFormat="1" ht="45" customHeight="1" x14ac:dyDescent="0.2">
      <c r="A9" s="66" t="s">
        <v>165</v>
      </c>
      <c r="B9" s="66" t="s">
        <v>166</v>
      </c>
      <c r="C9" s="66" t="s">
        <v>167</v>
      </c>
      <c r="D9" s="66" t="s">
        <v>168</v>
      </c>
      <c r="E9" s="68" t="s">
        <v>169</v>
      </c>
      <c r="F9" s="66" t="s">
        <v>170</v>
      </c>
      <c r="G9" s="71">
        <v>3900</v>
      </c>
      <c r="H9" s="73"/>
      <c r="I9" s="75">
        <v>0.2</v>
      </c>
      <c r="J9" s="77"/>
      <c r="K9" s="66"/>
      <c r="L9" s="66"/>
      <c r="M9" s="79" t="str">
        <f>HYPERLINK("http://www.pristavka.com/catalog/artplays/ACPS4119/")</f>
        <v>http://www.pristavka.com/catalog/artplays/ACPS4119/</v>
      </c>
      <c r="N9" s="71">
        <v>5290</v>
      </c>
      <c r="O9" s="66" t="s">
        <v>27</v>
      </c>
      <c r="P9" s="82" t="s">
        <v>171</v>
      </c>
      <c r="Q9" s="84"/>
      <c r="R9" s="84"/>
      <c r="S9" s="84">
        <v>0.49099999999999999</v>
      </c>
      <c r="T9" s="82" t="s">
        <v>172</v>
      </c>
      <c r="U9" s="84"/>
      <c r="V9" s="54"/>
    </row>
    <row r="10" spans="1:22" s="11" customFormat="1" ht="45" customHeight="1" x14ac:dyDescent="0.2">
      <c r="A10" s="66" t="s">
        <v>165</v>
      </c>
      <c r="B10" s="66" t="s">
        <v>166</v>
      </c>
      <c r="C10" s="66" t="s">
        <v>167</v>
      </c>
      <c r="D10" s="66" t="s">
        <v>173</v>
      </c>
      <c r="E10" s="68" t="s">
        <v>174</v>
      </c>
      <c r="F10" s="66" t="s">
        <v>173</v>
      </c>
      <c r="G10" s="71">
        <v>560</v>
      </c>
      <c r="H10" s="73"/>
      <c r="I10" s="75">
        <v>0.2</v>
      </c>
      <c r="J10" s="77"/>
      <c r="K10" s="66"/>
      <c r="L10" s="66"/>
      <c r="M10" s="79" t="str">
        <f>HYPERLINK("http://www.pristavka.com/catalog/accessories-playstation-4/ACPS423/")</f>
        <v>http://www.pristavka.com/catalog/accessories-playstation-4/ACPS423/</v>
      </c>
      <c r="N10" s="71">
        <v>1490</v>
      </c>
      <c r="O10" s="66" t="s">
        <v>27</v>
      </c>
      <c r="P10" s="82" t="s">
        <v>175</v>
      </c>
      <c r="Q10" s="84"/>
      <c r="R10" s="84"/>
      <c r="S10" s="84">
        <v>1.7000000000000001E-2</v>
      </c>
      <c r="T10" s="82" t="s">
        <v>176</v>
      </c>
      <c r="U10" s="84" t="s">
        <v>177</v>
      </c>
      <c r="V10" s="54"/>
    </row>
    <row r="11" spans="1:22" s="11" customFormat="1" ht="45" customHeight="1" x14ac:dyDescent="0.2">
      <c r="A11" s="66" t="s">
        <v>165</v>
      </c>
      <c r="B11" s="66" t="s">
        <v>166</v>
      </c>
      <c r="C11" s="66" t="s">
        <v>167</v>
      </c>
      <c r="D11" s="66" t="s">
        <v>178</v>
      </c>
      <c r="E11" s="68" t="s">
        <v>179</v>
      </c>
      <c r="F11" s="66" t="s">
        <v>178</v>
      </c>
      <c r="G11" s="71">
        <v>560</v>
      </c>
      <c r="H11" s="73"/>
      <c r="I11" s="75">
        <v>0.2</v>
      </c>
      <c r="J11" s="77" t="s">
        <v>18176</v>
      </c>
      <c r="K11" s="66"/>
      <c r="L11" s="66"/>
      <c r="M11" s="79" t="str">
        <f>HYPERLINK("http://www.pristavka.com/catalog/accessories-playstation-4/ACPS423/")</f>
        <v>http://www.pristavka.com/catalog/accessories-playstation-4/ACPS423/</v>
      </c>
      <c r="N11" s="71">
        <v>1490</v>
      </c>
      <c r="O11" s="66" t="s">
        <v>27</v>
      </c>
      <c r="P11" s="82" t="s">
        <v>180</v>
      </c>
      <c r="Q11" s="84"/>
      <c r="R11" s="84"/>
      <c r="S11" s="84">
        <v>1.7000000000000001E-2</v>
      </c>
      <c r="T11" s="82" t="s">
        <v>176</v>
      </c>
      <c r="U11" s="84" t="s">
        <v>177</v>
      </c>
      <c r="V11" s="54"/>
    </row>
    <row r="12" spans="1:22" s="11" customFormat="1" ht="45" customHeight="1" x14ac:dyDescent="0.2">
      <c r="A12" s="66" t="s">
        <v>165</v>
      </c>
      <c r="B12" s="66" t="s">
        <v>166</v>
      </c>
      <c r="C12" s="66" t="s">
        <v>167</v>
      </c>
      <c r="D12" s="66" t="s">
        <v>26</v>
      </c>
      <c r="E12" s="68" t="s">
        <v>181</v>
      </c>
      <c r="F12" s="66" t="s">
        <v>182</v>
      </c>
      <c r="G12" s="71">
        <v>460</v>
      </c>
      <c r="H12" s="73"/>
      <c r="I12" s="75">
        <v>0.2</v>
      </c>
      <c r="J12" s="77" t="s">
        <v>18177</v>
      </c>
      <c r="K12" s="66"/>
      <c r="L12" s="66"/>
      <c r="M12" s="79" t="str">
        <f>HYPERLINK("http://www.pristavka.com/catalog/accessories-playstation-4/ACPS426/")</f>
        <v>http://www.pristavka.com/catalog/accessories-playstation-4/ACPS426/</v>
      </c>
      <c r="N12" s="71">
        <v>1090</v>
      </c>
      <c r="O12" s="66" t="s">
        <v>27</v>
      </c>
      <c r="P12" s="82" t="s">
        <v>183</v>
      </c>
      <c r="Q12" s="84"/>
      <c r="R12" s="84"/>
      <c r="S12" s="84">
        <v>5.0000000000000001E-3</v>
      </c>
      <c r="T12" s="82" t="s">
        <v>184</v>
      </c>
      <c r="U12" s="84"/>
      <c r="V12" s="54"/>
    </row>
    <row r="13" spans="1:22" s="11" customFormat="1" ht="45" customHeight="1" x14ac:dyDescent="0.2">
      <c r="A13" s="66" t="s">
        <v>165</v>
      </c>
      <c r="B13" s="66" t="s">
        <v>166</v>
      </c>
      <c r="C13" s="66" t="s">
        <v>167</v>
      </c>
      <c r="D13" s="66" t="s">
        <v>26</v>
      </c>
      <c r="E13" s="68" t="s">
        <v>185</v>
      </c>
      <c r="F13" s="66" t="s">
        <v>186</v>
      </c>
      <c r="G13" s="71">
        <v>460</v>
      </c>
      <c r="H13" s="73"/>
      <c r="I13" s="75">
        <v>0.2</v>
      </c>
      <c r="J13" s="77" t="s">
        <v>18177</v>
      </c>
      <c r="K13" s="66"/>
      <c r="L13" s="66"/>
      <c r="M13" s="79" t="str">
        <f>HYPERLINK("http://www.pristavka.com/catalog/accessories-playstation-4/ACPS425/")</f>
        <v>http://www.pristavka.com/catalog/accessories-playstation-4/ACPS425/</v>
      </c>
      <c r="N13" s="71">
        <v>1090</v>
      </c>
      <c r="O13" s="66" t="s">
        <v>27</v>
      </c>
      <c r="P13" s="82" t="s">
        <v>187</v>
      </c>
      <c r="Q13" s="84"/>
      <c r="R13" s="84"/>
      <c r="S13" s="84">
        <v>5.0000000000000001E-3</v>
      </c>
      <c r="T13" s="82" t="s">
        <v>184</v>
      </c>
      <c r="U13" s="84"/>
      <c r="V13" s="54"/>
    </row>
    <row r="14" spans="1:22" s="11" customFormat="1" ht="45" customHeight="1" x14ac:dyDescent="0.2">
      <c r="A14" s="66" t="s">
        <v>165</v>
      </c>
      <c r="B14" s="66" t="s">
        <v>166</v>
      </c>
      <c r="C14" s="66" t="s">
        <v>167</v>
      </c>
      <c r="D14" s="66" t="s">
        <v>188</v>
      </c>
      <c r="E14" s="68" t="s">
        <v>189</v>
      </c>
      <c r="F14" s="66" t="s">
        <v>188</v>
      </c>
      <c r="G14" s="71">
        <v>460</v>
      </c>
      <c r="H14" s="73"/>
      <c r="I14" s="75">
        <v>0.2</v>
      </c>
      <c r="J14" s="77" t="s">
        <v>18177</v>
      </c>
      <c r="K14" s="66"/>
      <c r="L14" s="66"/>
      <c r="M14" s="79" t="str">
        <f>HYPERLINK("http://www.pristavka.com/catalog/accessories-playstation-4/ACPS423/")</f>
        <v>http://www.pristavka.com/catalog/accessories-playstation-4/ACPS423/</v>
      </c>
      <c r="N14" s="71">
        <v>1090</v>
      </c>
      <c r="O14" s="66" t="s">
        <v>27</v>
      </c>
      <c r="P14" s="82" t="s">
        <v>190</v>
      </c>
      <c r="Q14" s="84"/>
      <c r="R14" s="84"/>
      <c r="S14" s="84">
        <v>5.0000000000000001E-3</v>
      </c>
      <c r="T14" s="82" t="s">
        <v>184</v>
      </c>
      <c r="U14" s="84"/>
      <c r="V14" s="54"/>
    </row>
    <row r="15" spans="1:22" s="11" customFormat="1" ht="45" customHeight="1" x14ac:dyDescent="0.2">
      <c r="A15" s="66" t="s">
        <v>165</v>
      </c>
      <c r="B15" s="66" t="s">
        <v>166</v>
      </c>
      <c r="C15" s="66" t="s">
        <v>167</v>
      </c>
      <c r="D15" s="66" t="s">
        <v>191</v>
      </c>
      <c r="E15" s="68" t="s">
        <v>192</v>
      </c>
      <c r="F15" s="66" t="s">
        <v>193</v>
      </c>
      <c r="G15" s="71">
        <v>34750</v>
      </c>
      <c r="H15" s="73"/>
      <c r="I15" s="75">
        <v>0.2</v>
      </c>
      <c r="J15" s="77" t="s">
        <v>18178</v>
      </c>
      <c r="K15" s="66"/>
      <c r="L15" s="66"/>
      <c r="M15" s="79" t="str">
        <f>HYPERLINK("http://www.pristavka.com/catalog/accessories-playstation-4/ACPS4113/")</f>
        <v>http://www.pristavka.com/catalog/accessories-playstation-4/ACPS4113/</v>
      </c>
      <c r="N15" s="71">
        <v>45590</v>
      </c>
      <c r="O15" s="66" t="s">
        <v>27</v>
      </c>
      <c r="P15" s="82" t="s">
        <v>194</v>
      </c>
      <c r="Q15" s="84"/>
      <c r="R15" s="84"/>
      <c r="S15" s="84">
        <v>4.8</v>
      </c>
      <c r="T15" s="82" t="s">
        <v>195</v>
      </c>
      <c r="U15" s="84"/>
      <c r="V15" s="54"/>
    </row>
    <row r="16" spans="1:22" s="11" customFormat="1" ht="45" customHeight="1" x14ac:dyDescent="0.2">
      <c r="A16" s="66" t="s">
        <v>165</v>
      </c>
      <c r="B16" s="66" t="s">
        <v>57</v>
      </c>
      <c r="C16" s="66" t="s">
        <v>167</v>
      </c>
      <c r="D16" s="66" t="s">
        <v>26</v>
      </c>
      <c r="E16" s="68" t="s">
        <v>196</v>
      </c>
      <c r="F16" s="66" t="s">
        <v>197</v>
      </c>
      <c r="G16" s="71">
        <v>8450</v>
      </c>
      <c r="H16" s="73"/>
      <c r="I16" s="75">
        <v>0.2</v>
      </c>
      <c r="J16" s="77" t="s">
        <v>18179</v>
      </c>
      <c r="K16" s="66"/>
      <c r="L16" s="66"/>
      <c r="M16" s="79" t="str">
        <f>HYPERLINK("https://pristavka.com/catalog/artplays/ART51/")</f>
        <v>https://pristavka.com/catalog/artplays/ART51/</v>
      </c>
      <c r="N16" s="71">
        <v>11490</v>
      </c>
      <c r="O16" s="66" t="s">
        <v>27</v>
      </c>
      <c r="P16" s="82" t="s">
        <v>198</v>
      </c>
      <c r="Q16" s="84"/>
      <c r="R16" s="84"/>
      <c r="S16" s="84">
        <v>0.58499999999999996</v>
      </c>
      <c r="T16" s="82" t="s">
        <v>199</v>
      </c>
      <c r="U16" s="84"/>
      <c r="V16" s="54"/>
    </row>
    <row r="17" spans="1:22" s="11" customFormat="1" ht="45" customHeight="1" x14ac:dyDescent="0.2">
      <c r="A17" s="66" t="s">
        <v>165</v>
      </c>
      <c r="B17" s="66" t="s">
        <v>57</v>
      </c>
      <c r="C17" s="66" t="s">
        <v>167</v>
      </c>
      <c r="D17" s="66" t="s">
        <v>26</v>
      </c>
      <c r="E17" s="68" t="s">
        <v>200</v>
      </c>
      <c r="F17" s="66" t="s">
        <v>201</v>
      </c>
      <c r="G17" s="71">
        <v>10390</v>
      </c>
      <c r="H17" s="73"/>
      <c r="I17" s="75">
        <v>0.2</v>
      </c>
      <c r="J17" s="77" t="s">
        <v>18180</v>
      </c>
      <c r="K17" s="66"/>
      <c r="L17" s="66"/>
      <c r="M17" s="79" t="str">
        <f>HYPERLINK("https://pristavka.com/catalog/artplays/ART33/")</f>
        <v>https://pristavka.com/catalog/artplays/ART33/</v>
      </c>
      <c r="N17" s="71">
        <v>13790</v>
      </c>
      <c r="O17" s="66" t="s">
        <v>27</v>
      </c>
      <c r="P17" s="82" t="s">
        <v>202</v>
      </c>
      <c r="Q17" s="84"/>
      <c r="R17" s="84"/>
      <c r="S17" s="84">
        <v>0.66</v>
      </c>
      <c r="T17" s="82" t="s">
        <v>203</v>
      </c>
      <c r="U17" s="84"/>
      <c r="V17" s="54"/>
    </row>
    <row r="18" spans="1:22" s="11" customFormat="1" ht="45" customHeight="1" x14ac:dyDescent="0.2">
      <c r="A18" s="66" t="s">
        <v>165</v>
      </c>
      <c r="B18" s="66" t="s">
        <v>57</v>
      </c>
      <c r="C18" s="66" t="s">
        <v>167</v>
      </c>
      <c r="D18" s="66" t="s">
        <v>26</v>
      </c>
      <c r="E18" s="68" t="s">
        <v>204</v>
      </c>
      <c r="F18" s="66" t="s">
        <v>205</v>
      </c>
      <c r="G18" s="71">
        <v>730</v>
      </c>
      <c r="H18" s="73"/>
      <c r="I18" s="75">
        <v>0.2</v>
      </c>
      <c r="J18" s="77"/>
      <c r="K18" s="66"/>
      <c r="L18" s="66"/>
      <c r="M18" s="79" t="str">
        <f>HYPERLINK("http://pristavka.com/catalog/artplays/ART14/")</f>
        <v>http://pristavka.com/catalog/artplays/ART14/</v>
      </c>
      <c r="N18" s="71">
        <v>990</v>
      </c>
      <c r="O18" s="66" t="s">
        <v>27</v>
      </c>
      <c r="P18" s="82" t="s">
        <v>206</v>
      </c>
      <c r="Q18" s="84"/>
      <c r="R18" s="84"/>
      <c r="S18" s="84">
        <v>0.122</v>
      </c>
      <c r="T18" s="82" t="s">
        <v>207</v>
      </c>
      <c r="U18" s="84"/>
      <c r="V18" s="54"/>
    </row>
    <row r="19" spans="1:22" s="11" customFormat="1" ht="45" customHeight="1" x14ac:dyDescent="0.2">
      <c r="A19" s="66" t="s">
        <v>165</v>
      </c>
      <c r="B19" s="66" t="s">
        <v>208</v>
      </c>
      <c r="C19" s="66" t="s">
        <v>167</v>
      </c>
      <c r="D19" s="66" t="s">
        <v>26</v>
      </c>
      <c r="E19" s="68" t="s">
        <v>209</v>
      </c>
      <c r="F19" s="66" t="s">
        <v>210</v>
      </c>
      <c r="G19" s="71">
        <v>11050</v>
      </c>
      <c r="H19" s="73"/>
      <c r="I19" s="75">
        <v>0.2</v>
      </c>
      <c r="J19" s="77" t="s">
        <v>18181</v>
      </c>
      <c r="K19" s="66"/>
      <c r="L19" s="66"/>
      <c r="M19" s="79" t="str">
        <f>HYPERLINK("https://pristavka.com/catalog/artplays/ART30/")</f>
        <v>https://pristavka.com/catalog/artplays/ART30/</v>
      </c>
      <c r="N19" s="71">
        <v>14890</v>
      </c>
      <c r="O19" s="66" t="s">
        <v>27</v>
      </c>
      <c r="P19" s="82" t="s">
        <v>211</v>
      </c>
      <c r="Q19" s="84"/>
      <c r="R19" s="84"/>
      <c r="S19" s="84">
        <v>0.36</v>
      </c>
      <c r="T19" s="82" t="s">
        <v>212</v>
      </c>
      <c r="U19" s="84"/>
      <c r="V19" s="54"/>
    </row>
    <row r="20" spans="1:22" s="45" customFormat="1" ht="45" customHeight="1" x14ac:dyDescent="0.2">
      <c r="A20" s="67" t="s">
        <v>165</v>
      </c>
      <c r="B20" s="67" t="s">
        <v>213</v>
      </c>
      <c r="C20" s="67" t="s">
        <v>167</v>
      </c>
      <c r="D20" s="67" t="s">
        <v>26</v>
      </c>
      <c r="E20" s="69" t="s">
        <v>214</v>
      </c>
      <c r="F20" s="67" t="s">
        <v>215</v>
      </c>
      <c r="G20" s="72">
        <v>0</v>
      </c>
      <c r="H20" s="74"/>
      <c r="I20" s="76">
        <v>0.2</v>
      </c>
      <c r="J20" s="77"/>
      <c r="K20" s="67" t="s">
        <v>61</v>
      </c>
      <c r="L20" s="67"/>
      <c r="M20" s="80"/>
      <c r="N20" s="72"/>
      <c r="O20" s="67" t="s">
        <v>27</v>
      </c>
      <c r="P20" s="83" t="s">
        <v>216</v>
      </c>
      <c r="Q20" s="85"/>
      <c r="R20" s="85"/>
      <c r="S20" s="85">
        <v>0.115</v>
      </c>
      <c r="T20" s="83" t="s">
        <v>217</v>
      </c>
      <c r="U20" s="85"/>
      <c r="V20" s="55"/>
    </row>
    <row r="21" spans="1:22" s="45" customFormat="1" ht="45" customHeight="1" x14ac:dyDescent="0.2">
      <c r="A21" s="67" t="s">
        <v>165</v>
      </c>
      <c r="B21" s="67" t="s">
        <v>213</v>
      </c>
      <c r="C21" s="67" t="s">
        <v>167</v>
      </c>
      <c r="D21" s="67" t="s">
        <v>26</v>
      </c>
      <c r="E21" s="69" t="s">
        <v>218</v>
      </c>
      <c r="F21" s="67" t="s">
        <v>219</v>
      </c>
      <c r="G21" s="72">
        <v>0</v>
      </c>
      <c r="H21" s="74"/>
      <c r="I21" s="76">
        <v>0.2</v>
      </c>
      <c r="J21" s="77"/>
      <c r="K21" s="67" t="s">
        <v>61</v>
      </c>
      <c r="L21" s="67"/>
      <c r="M21" s="80"/>
      <c r="N21" s="72"/>
      <c r="O21" s="67" t="s">
        <v>27</v>
      </c>
      <c r="P21" s="83" t="s">
        <v>220</v>
      </c>
      <c r="Q21" s="85"/>
      <c r="R21" s="85"/>
      <c r="S21" s="85">
        <v>0.215</v>
      </c>
      <c r="T21" s="83" t="s">
        <v>221</v>
      </c>
      <c r="U21" s="85"/>
      <c r="V21" s="55"/>
    </row>
    <row r="22" spans="1:22" s="11" customFormat="1" ht="45" customHeight="1" x14ac:dyDescent="0.2">
      <c r="A22" s="66" t="s">
        <v>165</v>
      </c>
      <c r="B22" s="66" t="s">
        <v>26</v>
      </c>
      <c r="C22" s="66" t="s">
        <v>167</v>
      </c>
      <c r="D22" s="66" t="s">
        <v>26</v>
      </c>
      <c r="E22" s="68" t="s">
        <v>222</v>
      </c>
      <c r="F22" s="66" t="s">
        <v>223</v>
      </c>
      <c r="G22" s="71">
        <v>6280</v>
      </c>
      <c r="H22" s="73"/>
      <c r="I22" s="75">
        <v>0.2</v>
      </c>
      <c r="J22" s="77"/>
      <c r="K22" s="66"/>
      <c r="L22" s="66"/>
      <c r="M22" s="79" t="str">
        <f>HYPERLINK("http://pristavka.com/catalog/artplays/ART18/")</f>
        <v>http://pristavka.com/catalog/artplays/ART18/</v>
      </c>
      <c r="N22" s="71">
        <v>8490</v>
      </c>
      <c r="O22" s="66" t="s">
        <v>27</v>
      </c>
      <c r="P22" s="82" t="s">
        <v>224</v>
      </c>
      <c r="Q22" s="84"/>
      <c r="R22" s="84"/>
      <c r="S22" s="84">
        <v>0.14899999999999999</v>
      </c>
      <c r="T22" s="82" t="s">
        <v>225</v>
      </c>
      <c r="U22" s="84"/>
      <c r="V22" s="54"/>
    </row>
    <row r="23" spans="1:22" s="11" customFormat="1" ht="45" customHeight="1" x14ac:dyDescent="0.2">
      <c r="A23" s="66" t="s">
        <v>165</v>
      </c>
      <c r="B23" s="66" t="s">
        <v>26</v>
      </c>
      <c r="C23" s="66" t="s">
        <v>167</v>
      </c>
      <c r="D23" s="66" t="s">
        <v>26</v>
      </c>
      <c r="E23" s="68" t="s">
        <v>226</v>
      </c>
      <c r="F23" s="66" t="s">
        <v>227</v>
      </c>
      <c r="G23" s="71">
        <v>4300</v>
      </c>
      <c r="H23" s="73"/>
      <c r="I23" s="75">
        <v>0.2</v>
      </c>
      <c r="J23" s="77"/>
      <c r="K23" s="66"/>
      <c r="L23" s="66"/>
      <c r="M23" s="79" t="str">
        <f>HYPERLINK("http://pristavka.com/catalog/artplays/ART16/")</f>
        <v>http://pristavka.com/catalog/artplays/ART16/</v>
      </c>
      <c r="N23" s="71">
        <v>5790</v>
      </c>
      <c r="O23" s="66" t="s">
        <v>27</v>
      </c>
      <c r="P23" s="82" t="s">
        <v>228</v>
      </c>
      <c r="Q23" s="84"/>
      <c r="R23" s="84"/>
      <c r="S23" s="84">
        <v>0.122</v>
      </c>
      <c r="T23" s="82" t="s">
        <v>229</v>
      </c>
      <c r="U23" s="84"/>
      <c r="V23" s="54"/>
    </row>
    <row r="24" spans="1:22" s="11" customFormat="1" ht="45" customHeight="1" x14ac:dyDescent="0.2">
      <c r="A24" s="66" t="s">
        <v>165</v>
      </c>
      <c r="B24" s="66" t="s">
        <v>230</v>
      </c>
      <c r="C24" s="66" t="s">
        <v>167</v>
      </c>
      <c r="D24" s="66" t="s">
        <v>231</v>
      </c>
      <c r="E24" s="68" t="s">
        <v>232</v>
      </c>
      <c r="F24" s="66" t="s">
        <v>233</v>
      </c>
      <c r="G24" s="71">
        <v>1800</v>
      </c>
      <c r="H24" s="73"/>
      <c r="I24" s="75">
        <v>0.2</v>
      </c>
      <c r="J24" s="77" t="s">
        <v>18182</v>
      </c>
      <c r="K24" s="66"/>
      <c r="L24" s="66"/>
      <c r="M24" s="79" t="str">
        <f>HYPERLINK("http://www.pristavka.com/catalog/accessories-ns/ACSWT20/")</f>
        <v>http://www.pristavka.com/catalog/accessories-ns/ACSWT20/</v>
      </c>
      <c r="N24" s="71">
        <v>3690</v>
      </c>
      <c r="O24" s="66" t="s">
        <v>27</v>
      </c>
      <c r="P24" s="82" t="s">
        <v>234</v>
      </c>
      <c r="Q24" s="84"/>
      <c r="R24" s="84"/>
      <c r="S24" s="84">
        <v>3.3000000000000002E-2</v>
      </c>
      <c r="T24" s="82" t="s">
        <v>235</v>
      </c>
      <c r="U24" s="84"/>
      <c r="V24" s="54"/>
    </row>
    <row r="25" spans="1:22" s="11" customFormat="1" ht="45" customHeight="1" x14ac:dyDescent="0.2">
      <c r="A25" s="66" t="s">
        <v>165</v>
      </c>
      <c r="B25" s="66" t="s">
        <v>213</v>
      </c>
      <c r="C25" s="66" t="s">
        <v>167</v>
      </c>
      <c r="D25" s="66" t="s">
        <v>26</v>
      </c>
      <c r="E25" s="68" t="s">
        <v>236</v>
      </c>
      <c r="F25" s="66" t="s">
        <v>237</v>
      </c>
      <c r="G25" s="71">
        <v>1790</v>
      </c>
      <c r="H25" s="73"/>
      <c r="I25" s="75">
        <v>0.2</v>
      </c>
      <c r="J25" s="77"/>
      <c r="K25" s="66"/>
      <c r="L25" s="66"/>
      <c r="M25" s="96"/>
      <c r="N25" s="71">
        <v>3590</v>
      </c>
      <c r="O25" s="66" t="s">
        <v>27</v>
      </c>
      <c r="P25" s="82" t="s">
        <v>238</v>
      </c>
      <c r="Q25" s="84"/>
      <c r="R25" s="84"/>
      <c r="S25" s="84">
        <v>4.4999999999999998E-2</v>
      </c>
      <c r="T25" s="82" t="s">
        <v>239</v>
      </c>
      <c r="U25" s="84"/>
      <c r="V25" s="54"/>
    </row>
    <row r="26" spans="1:22" s="11" customFormat="1" ht="45" customHeight="1" x14ac:dyDescent="0.2">
      <c r="A26" s="66" t="s">
        <v>165</v>
      </c>
      <c r="B26" s="66" t="s">
        <v>230</v>
      </c>
      <c r="C26" s="66" t="s">
        <v>167</v>
      </c>
      <c r="D26" s="66" t="s">
        <v>240</v>
      </c>
      <c r="E26" s="68" t="s">
        <v>241</v>
      </c>
      <c r="F26" s="66" t="s">
        <v>242</v>
      </c>
      <c r="G26" s="71">
        <v>1560</v>
      </c>
      <c r="H26" s="73"/>
      <c r="I26" s="75">
        <v>0.2</v>
      </c>
      <c r="J26" s="77" t="s">
        <v>18183</v>
      </c>
      <c r="K26" s="66"/>
      <c r="L26" s="66"/>
      <c r="M26" s="79" t="str">
        <f>HYPERLINK("http://www.pristavka.com/catalog/artplays/ART6/")</f>
        <v>http://www.pristavka.com/catalog/artplays/ART6/</v>
      </c>
      <c r="N26" s="71">
        <v>3090</v>
      </c>
      <c r="O26" s="66" t="s">
        <v>27</v>
      </c>
      <c r="P26" s="82" t="s">
        <v>243</v>
      </c>
      <c r="Q26" s="84"/>
      <c r="R26" s="84"/>
      <c r="S26" s="84">
        <v>0.03</v>
      </c>
      <c r="T26" s="82" t="s">
        <v>244</v>
      </c>
      <c r="U26" s="84"/>
      <c r="V26" s="54"/>
    </row>
    <row r="27" spans="1:22" s="58" customFormat="1" ht="45" customHeight="1" x14ac:dyDescent="0.2">
      <c r="A27" s="86" t="s">
        <v>165</v>
      </c>
      <c r="B27" s="86" t="s">
        <v>57</v>
      </c>
      <c r="C27" s="86" t="s">
        <v>167</v>
      </c>
      <c r="D27" s="86" t="s">
        <v>26</v>
      </c>
      <c r="E27" s="88" t="s">
        <v>245</v>
      </c>
      <c r="F27" s="86" t="s">
        <v>246</v>
      </c>
      <c r="G27" s="90">
        <v>4660</v>
      </c>
      <c r="H27" s="92"/>
      <c r="I27" s="94">
        <v>0.2</v>
      </c>
      <c r="J27" s="77"/>
      <c r="K27" s="86" t="s">
        <v>61</v>
      </c>
      <c r="L27" s="86"/>
      <c r="M27" s="79" t="str">
        <f>HYPERLINK("https://pristavka.com/catalog/artplays/ART48/")</f>
        <v>https://pristavka.com/catalog/artplays/ART48/</v>
      </c>
      <c r="N27" s="90">
        <v>6290</v>
      </c>
      <c r="O27" s="86" t="s">
        <v>27</v>
      </c>
      <c r="P27" s="97" t="s">
        <v>247</v>
      </c>
      <c r="Q27" s="99"/>
      <c r="R27" s="99"/>
      <c r="S27" s="99">
        <v>0.85</v>
      </c>
      <c r="T27" s="97" t="s">
        <v>248</v>
      </c>
      <c r="U27" s="99"/>
      <c r="V27" s="60"/>
    </row>
    <row r="28" spans="1:22" s="58" customFormat="1" ht="45" customHeight="1" x14ac:dyDescent="0.2">
      <c r="A28" s="86" t="s">
        <v>165</v>
      </c>
      <c r="B28" s="86" t="s">
        <v>57</v>
      </c>
      <c r="C28" s="86" t="s">
        <v>167</v>
      </c>
      <c r="D28" s="86" t="s">
        <v>26</v>
      </c>
      <c r="E28" s="88" t="s">
        <v>249</v>
      </c>
      <c r="F28" s="86" t="s">
        <v>250</v>
      </c>
      <c r="G28" s="90">
        <v>3880</v>
      </c>
      <c r="H28" s="92"/>
      <c r="I28" s="94">
        <v>0.2</v>
      </c>
      <c r="J28" s="77"/>
      <c r="K28" s="86" t="s">
        <v>61</v>
      </c>
      <c r="L28" s="86"/>
      <c r="M28" s="79" t="str">
        <f>HYPERLINK("https://pristavka.com/catalog/artplays/ART49/")</f>
        <v>https://pristavka.com/catalog/artplays/ART49/</v>
      </c>
      <c r="N28" s="90">
        <v>5290</v>
      </c>
      <c r="O28" s="86" t="s">
        <v>27</v>
      </c>
      <c r="P28" s="97" t="s">
        <v>251</v>
      </c>
      <c r="Q28" s="99"/>
      <c r="R28" s="99"/>
      <c r="S28" s="99">
        <v>0.42699999999999999</v>
      </c>
      <c r="T28" s="97" t="s">
        <v>252</v>
      </c>
      <c r="U28" s="99"/>
      <c r="V28" s="60"/>
    </row>
    <row r="29" spans="1:22" s="58" customFormat="1" ht="45" customHeight="1" x14ac:dyDescent="0.2">
      <c r="A29" s="86" t="s">
        <v>165</v>
      </c>
      <c r="B29" s="86" t="s">
        <v>57</v>
      </c>
      <c r="C29" s="86" t="s">
        <v>167</v>
      </c>
      <c r="D29" s="86" t="s">
        <v>26</v>
      </c>
      <c r="E29" s="88" t="s">
        <v>253</v>
      </c>
      <c r="F29" s="86" t="s">
        <v>254</v>
      </c>
      <c r="G29" s="90">
        <v>5050</v>
      </c>
      <c r="H29" s="92"/>
      <c r="I29" s="94">
        <v>0.2</v>
      </c>
      <c r="J29" s="77" t="s">
        <v>18184</v>
      </c>
      <c r="K29" s="86" t="s">
        <v>61</v>
      </c>
      <c r="L29" s="86"/>
      <c r="M29" s="79" t="str">
        <f>HYPERLINK("https://pristavka.com/catalog/artplays/ART47/")</f>
        <v>https://pristavka.com/catalog/artplays/ART47/</v>
      </c>
      <c r="N29" s="90">
        <v>6890</v>
      </c>
      <c r="O29" s="86" t="s">
        <v>27</v>
      </c>
      <c r="P29" s="97" t="s">
        <v>255</v>
      </c>
      <c r="Q29" s="99"/>
      <c r="R29" s="99"/>
      <c r="S29" s="99">
        <v>0.83299999999999996</v>
      </c>
      <c r="T29" s="97" t="s">
        <v>256</v>
      </c>
      <c r="U29" s="99"/>
      <c r="V29" s="60"/>
    </row>
    <row r="30" spans="1:22" s="58" customFormat="1" ht="45" customHeight="1" x14ac:dyDescent="0.2">
      <c r="A30" s="86" t="s">
        <v>165</v>
      </c>
      <c r="B30" s="86" t="s">
        <v>57</v>
      </c>
      <c r="C30" s="86" t="s">
        <v>167</v>
      </c>
      <c r="D30" s="86" t="s">
        <v>26</v>
      </c>
      <c r="E30" s="88" t="s">
        <v>257</v>
      </c>
      <c r="F30" s="86" t="s">
        <v>258</v>
      </c>
      <c r="G30" s="90">
        <v>4660</v>
      </c>
      <c r="H30" s="92"/>
      <c r="I30" s="94">
        <v>0.2</v>
      </c>
      <c r="J30" s="77"/>
      <c r="K30" s="86" t="s">
        <v>61</v>
      </c>
      <c r="L30" s="86"/>
      <c r="M30" s="79" t="str">
        <f>HYPERLINK("https://pristavka.com/catalog/artplays/ART47/")</f>
        <v>https://pristavka.com/catalog/artplays/ART47/</v>
      </c>
      <c r="N30" s="90">
        <v>6290</v>
      </c>
      <c r="O30" s="86" t="s">
        <v>27</v>
      </c>
      <c r="P30" s="97" t="s">
        <v>259</v>
      </c>
      <c r="Q30" s="99"/>
      <c r="R30" s="99"/>
      <c r="S30" s="99">
        <v>0.83299999999999996</v>
      </c>
      <c r="T30" s="97" t="s">
        <v>256</v>
      </c>
      <c r="U30" s="99"/>
      <c r="V30" s="60"/>
    </row>
    <row r="31" spans="1:22" s="58" customFormat="1" ht="45" customHeight="1" x14ac:dyDescent="0.2">
      <c r="A31" s="86" t="s">
        <v>165</v>
      </c>
      <c r="B31" s="86" t="s">
        <v>57</v>
      </c>
      <c r="C31" s="86" t="s">
        <v>167</v>
      </c>
      <c r="D31" s="86" t="s">
        <v>26</v>
      </c>
      <c r="E31" s="88" t="s">
        <v>260</v>
      </c>
      <c r="F31" s="86" t="s">
        <v>261</v>
      </c>
      <c r="G31" s="90">
        <v>3880</v>
      </c>
      <c r="H31" s="92"/>
      <c r="I31" s="94">
        <v>0.2</v>
      </c>
      <c r="J31" s="77"/>
      <c r="K31" s="86" t="s">
        <v>61</v>
      </c>
      <c r="L31" s="86"/>
      <c r="M31" s="79" t="str">
        <f>HYPERLINK("https://pristavka.com/catalog/artplays/ART50/")</f>
        <v>https://pristavka.com/catalog/artplays/ART50/</v>
      </c>
      <c r="N31" s="90">
        <v>5290</v>
      </c>
      <c r="O31" s="86" t="s">
        <v>27</v>
      </c>
      <c r="P31" s="97" t="s">
        <v>262</v>
      </c>
      <c r="Q31" s="99"/>
      <c r="R31" s="99"/>
      <c r="S31" s="99">
        <v>0.42899999999999999</v>
      </c>
      <c r="T31" s="97" t="s">
        <v>263</v>
      </c>
      <c r="U31" s="99"/>
      <c r="V31" s="60"/>
    </row>
    <row r="32" spans="1:22" s="11" customFormat="1" ht="45" customHeight="1" x14ac:dyDescent="0.2">
      <c r="A32" s="66" t="s">
        <v>165</v>
      </c>
      <c r="B32" s="66" t="s">
        <v>57</v>
      </c>
      <c r="C32" s="66" t="s">
        <v>167</v>
      </c>
      <c r="D32" s="66" t="s">
        <v>26</v>
      </c>
      <c r="E32" s="68" t="s">
        <v>264</v>
      </c>
      <c r="F32" s="66" t="s">
        <v>265</v>
      </c>
      <c r="G32" s="71">
        <v>7400</v>
      </c>
      <c r="H32" s="73"/>
      <c r="I32" s="75">
        <v>0.2</v>
      </c>
      <c r="J32" s="77"/>
      <c r="K32" s="66"/>
      <c r="L32" s="66"/>
      <c r="M32" s="79" t="str">
        <f>HYPERLINK("https://pristavka.com/catalog/artplays/ART25/")</f>
        <v>https://pristavka.com/catalog/artplays/ART25/</v>
      </c>
      <c r="N32" s="71">
        <v>10090</v>
      </c>
      <c r="O32" s="66" t="s">
        <v>27</v>
      </c>
      <c r="P32" s="82" t="s">
        <v>266</v>
      </c>
      <c r="Q32" s="84"/>
      <c r="R32" s="84"/>
      <c r="S32" s="84">
        <v>1.0229999999999999</v>
      </c>
      <c r="T32" s="82" t="s">
        <v>267</v>
      </c>
      <c r="U32" s="84"/>
      <c r="V32" s="54"/>
    </row>
    <row r="33" spans="1:22" s="11" customFormat="1" ht="45" customHeight="1" x14ac:dyDescent="0.2">
      <c r="A33" s="66" t="s">
        <v>165</v>
      </c>
      <c r="B33" s="66" t="s">
        <v>213</v>
      </c>
      <c r="C33" s="66" t="s">
        <v>167</v>
      </c>
      <c r="D33" s="66" t="s">
        <v>26</v>
      </c>
      <c r="E33" s="68" t="s">
        <v>268</v>
      </c>
      <c r="F33" s="66" t="s">
        <v>269</v>
      </c>
      <c r="G33" s="71">
        <v>4370</v>
      </c>
      <c r="H33" s="73"/>
      <c r="I33" s="75">
        <v>0.2</v>
      </c>
      <c r="J33" s="77"/>
      <c r="K33" s="66"/>
      <c r="L33" s="66"/>
      <c r="M33" s="96"/>
      <c r="N33" s="71">
        <v>5990</v>
      </c>
      <c r="O33" s="66" t="s">
        <v>27</v>
      </c>
      <c r="P33" s="82" t="s">
        <v>270</v>
      </c>
      <c r="Q33" s="84"/>
      <c r="R33" s="84"/>
      <c r="S33" s="84">
        <v>0.48</v>
      </c>
      <c r="T33" s="82" t="s">
        <v>271</v>
      </c>
      <c r="U33" s="84"/>
      <c r="V33" s="54"/>
    </row>
    <row r="34" spans="1:22" s="11" customFormat="1" ht="45" customHeight="1" x14ac:dyDescent="0.2">
      <c r="A34" s="66" t="s">
        <v>165</v>
      </c>
      <c r="B34" s="66" t="s">
        <v>230</v>
      </c>
      <c r="C34" s="66" t="s">
        <v>167</v>
      </c>
      <c r="D34" s="66" t="s">
        <v>26</v>
      </c>
      <c r="E34" s="68" t="s">
        <v>272</v>
      </c>
      <c r="F34" s="66" t="s">
        <v>273</v>
      </c>
      <c r="G34" s="71">
        <v>580</v>
      </c>
      <c r="H34" s="73"/>
      <c r="I34" s="75">
        <v>0.2</v>
      </c>
      <c r="J34" s="77"/>
      <c r="K34" s="66"/>
      <c r="L34" s="66"/>
      <c r="M34" s="79" t="str">
        <f>HYPERLINK("https://pristavka.com/catalog/artplays/ART12/")</f>
        <v>https://pristavka.com/catalog/artplays/ART12/</v>
      </c>
      <c r="N34" s="71">
        <v>1290</v>
      </c>
      <c r="O34" s="66" t="s">
        <v>27</v>
      </c>
      <c r="P34" s="82" t="s">
        <v>274</v>
      </c>
      <c r="Q34" s="84"/>
      <c r="R34" s="84"/>
      <c r="S34" s="84">
        <v>5.0000000000000001E-3</v>
      </c>
      <c r="T34" s="82" t="s">
        <v>184</v>
      </c>
      <c r="U34" s="84"/>
      <c r="V34" s="54"/>
    </row>
    <row r="35" spans="1:22" s="11" customFormat="1" ht="45" customHeight="1" x14ac:dyDescent="0.2">
      <c r="A35" s="66" t="s">
        <v>165</v>
      </c>
      <c r="B35" s="66" t="s">
        <v>57</v>
      </c>
      <c r="C35" s="66" t="s">
        <v>167</v>
      </c>
      <c r="D35" s="66" t="s">
        <v>188</v>
      </c>
      <c r="E35" s="68" t="s">
        <v>275</v>
      </c>
      <c r="F35" s="66" t="s">
        <v>276</v>
      </c>
      <c r="G35" s="71">
        <v>890</v>
      </c>
      <c r="H35" s="73"/>
      <c r="I35" s="75">
        <v>0.2</v>
      </c>
      <c r="J35" s="77"/>
      <c r="K35" s="66"/>
      <c r="L35" s="66"/>
      <c r="M35" s="79" t="str">
        <f>HYPERLINK("https://pristavka.com/catalog/artplays/ART38/")</f>
        <v>https://pristavka.com/catalog/artplays/ART38/</v>
      </c>
      <c r="N35" s="71">
        <v>1590</v>
      </c>
      <c r="O35" s="66" t="s">
        <v>27</v>
      </c>
      <c r="P35" s="82" t="s">
        <v>277</v>
      </c>
      <c r="Q35" s="84"/>
      <c r="R35" s="84"/>
      <c r="S35" s="84">
        <v>8.0000000000000002E-3</v>
      </c>
      <c r="T35" s="82" t="s">
        <v>278</v>
      </c>
      <c r="U35" s="84"/>
      <c r="V35" s="54"/>
    </row>
    <row r="36" spans="1:22" s="11" customFormat="1" ht="45" customHeight="1" x14ac:dyDescent="0.2">
      <c r="A36" s="66" t="s">
        <v>165</v>
      </c>
      <c r="B36" s="66" t="s">
        <v>57</v>
      </c>
      <c r="C36" s="66" t="s">
        <v>167</v>
      </c>
      <c r="D36" s="66" t="s">
        <v>188</v>
      </c>
      <c r="E36" s="68" t="s">
        <v>279</v>
      </c>
      <c r="F36" s="66" t="s">
        <v>280</v>
      </c>
      <c r="G36" s="71">
        <v>890</v>
      </c>
      <c r="H36" s="73"/>
      <c r="I36" s="75">
        <v>0.2</v>
      </c>
      <c r="J36" s="77"/>
      <c r="K36" s="66"/>
      <c r="L36" s="66"/>
      <c r="M36" s="79" t="str">
        <f>HYPERLINK("https://pristavka.com/catalog/artplays/ART34/")</f>
        <v>https://pristavka.com/catalog/artplays/ART34/</v>
      </c>
      <c r="N36" s="71">
        <v>1590</v>
      </c>
      <c r="O36" s="66" t="s">
        <v>27</v>
      </c>
      <c r="P36" s="82" t="s">
        <v>281</v>
      </c>
      <c r="Q36" s="84"/>
      <c r="R36" s="84"/>
      <c r="S36" s="84">
        <v>8.0000000000000002E-3</v>
      </c>
      <c r="T36" s="82" t="s">
        <v>278</v>
      </c>
      <c r="U36" s="84"/>
      <c r="V36" s="54"/>
    </row>
    <row r="37" spans="1:22" s="11" customFormat="1" ht="45" customHeight="1" x14ac:dyDescent="0.2">
      <c r="A37" s="66" t="s">
        <v>165</v>
      </c>
      <c r="B37" s="66" t="s">
        <v>57</v>
      </c>
      <c r="C37" s="66" t="s">
        <v>167</v>
      </c>
      <c r="D37" s="66" t="s">
        <v>188</v>
      </c>
      <c r="E37" s="68" t="s">
        <v>282</v>
      </c>
      <c r="F37" s="66" t="s">
        <v>283</v>
      </c>
      <c r="G37" s="71">
        <v>890</v>
      </c>
      <c r="H37" s="73"/>
      <c r="I37" s="75">
        <v>0.2</v>
      </c>
      <c r="J37" s="77"/>
      <c r="K37" s="66"/>
      <c r="L37" s="66"/>
      <c r="M37" s="79" t="str">
        <f>HYPERLINK("https://pristavka.com/catalog/artplays/ART37/")</f>
        <v>https://pristavka.com/catalog/artplays/ART37/</v>
      </c>
      <c r="N37" s="71">
        <v>1590</v>
      </c>
      <c r="O37" s="66" t="s">
        <v>27</v>
      </c>
      <c r="P37" s="82" t="s">
        <v>284</v>
      </c>
      <c r="Q37" s="84"/>
      <c r="R37" s="84"/>
      <c r="S37" s="84">
        <v>8.0000000000000002E-3</v>
      </c>
      <c r="T37" s="82" t="s">
        <v>278</v>
      </c>
      <c r="U37" s="84"/>
      <c r="V37" s="54"/>
    </row>
    <row r="38" spans="1:22" s="11" customFormat="1" ht="45" customHeight="1" x14ac:dyDescent="0.2">
      <c r="A38" s="66" t="s">
        <v>165</v>
      </c>
      <c r="B38" s="66" t="s">
        <v>57</v>
      </c>
      <c r="C38" s="66" t="s">
        <v>167</v>
      </c>
      <c r="D38" s="66" t="s">
        <v>188</v>
      </c>
      <c r="E38" s="68" t="s">
        <v>285</v>
      </c>
      <c r="F38" s="66" t="s">
        <v>286</v>
      </c>
      <c r="G38" s="71">
        <v>890</v>
      </c>
      <c r="H38" s="73"/>
      <c r="I38" s="75">
        <v>0.2</v>
      </c>
      <c r="J38" s="77"/>
      <c r="K38" s="66"/>
      <c r="L38" s="66"/>
      <c r="M38" s="79" t="str">
        <f>HYPERLINK("https://pristavka.com/catalog/artplays/ART35/")</f>
        <v>https://pristavka.com/catalog/artplays/ART35/</v>
      </c>
      <c r="N38" s="71">
        <v>1590</v>
      </c>
      <c r="O38" s="66" t="s">
        <v>27</v>
      </c>
      <c r="P38" s="82" t="s">
        <v>287</v>
      </c>
      <c r="Q38" s="84"/>
      <c r="R38" s="84"/>
      <c r="S38" s="84">
        <v>0.01</v>
      </c>
      <c r="T38" s="82" t="s">
        <v>288</v>
      </c>
      <c r="U38" s="84"/>
      <c r="V38" s="54"/>
    </row>
    <row r="39" spans="1:22" s="11" customFormat="1" ht="45" customHeight="1" x14ac:dyDescent="0.2">
      <c r="A39" s="66" t="s">
        <v>165</v>
      </c>
      <c r="B39" s="66" t="s">
        <v>57</v>
      </c>
      <c r="C39" s="66" t="s">
        <v>167</v>
      </c>
      <c r="D39" s="66" t="s">
        <v>188</v>
      </c>
      <c r="E39" s="68" t="s">
        <v>289</v>
      </c>
      <c r="F39" s="66" t="s">
        <v>290</v>
      </c>
      <c r="G39" s="71">
        <v>890</v>
      </c>
      <c r="H39" s="73"/>
      <c r="I39" s="75">
        <v>0.2</v>
      </c>
      <c r="J39" s="77"/>
      <c r="K39" s="66"/>
      <c r="L39" s="66"/>
      <c r="M39" s="79" t="str">
        <f>HYPERLINK("https://pristavka.com/catalog/artplays/ART28/")</f>
        <v>https://pristavka.com/catalog/artplays/ART28/</v>
      </c>
      <c r="N39" s="71">
        <v>1590</v>
      </c>
      <c r="O39" s="66" t="s">
        <v>27</v>
      </c>
      <c r="P39" s="82" t="s">
        <v>291</v>
      </c>
      <c r="Q39" s="84"/>
      <c r="R39" s="84"/>
      <c r="S39" s="84">
        <v>8.0000000000000002E-3</v>
      </c>
      <c r="T39" s="82" t="s">
        <v>278</v>
      </c>
      <c r="U39" s="84"/>
      <c r="V39" s="54"/>
    </row>
    <row r="40" spans="1:22" s="11" customFormat="1" ht="45" customHeight="1" x14ac:dyDescent="0.2">
      <c r="A40" s="66" t="s">
        <v>165</v>
      </c>
      <c r="B40" s="66" t="s">
        <v>57</v>
      </c>
      <c r="C40" s="66" t="s">
        <v>167</v>
      </c>
      <c r="D40" s="66" t="s">
        <v>26</v>
      </c>
      <c r="E40" s="68" t="s">
        <v>292</v>
      </c>
      <c r="F40" s="66" t="s">
        <v>293</v>
      </c>
      <c r="G40" s="71">
        <v>4380</v>
      </c>
      <c r="H40" s="73"/>
      <c r="I40" s="75">
        <v>0.2</v>
      </c>
      <c r="J40" s="77"/>
      <c r="K40" s="66"/>
      <c r="L40" s="66"/>
      <c r="M40" s="79" t="str">
        <f>HYPERLINK("https://pristavka.com/catalog/artplays/ART52/")</f>
        <v>https://pristavka.com/catalog/artplays/ART52/</v>
      </c>
      <c r="N40" s="71">
        <v>5990</v>
      </c>
      <c r="O40" s="66" t="s">
        <v>27</v>
      </c>
      <c r="P40" s="82" t="s">
        <v>294</v>
      </c>
      <c r="Q40" s="84"/>
      <c r="R40" s="84"/>
      <c r="S40" s="84">
        <v>0.14000000000000001</v>
      </c>
      <c r="T40" s="82" t="s">
        <v>295</v>
      </c>
      <c r="U40" s="84"/>
      <c r="V40" s="54"/>
    </row>
    <row r="41" spans="1:22" s="45" customFormat="1" ht="45" customHeight="1" x14ac:dyDescent="0.2">
      <c r="A41" s="67" t="s">
        <v>165</v>
      </c>
      <c r="B41" s="67" t="s">
        <v>213</v>
      </c>
      <c r="C41" s="67" t="s">
        <v>167</v>
      </c>
      <c r="D41" s="67" t="s">
        <v>26</v>
      </c>
      <c r="E41" s="69" t="s">
        <v>296</v>
      </c>
      <c r="F41" s="67" t="s">
        <v>297</v>
      </c>
      <c r="G41" s="72">
        <v>0</v>
      </c>
      <c r="H41" s="74"/>
      <c r="I41" s="76">
        <v>0.2</v>
      </c>
      <c r="J41" s="77"/>
      <c r="K41" s="67" t="s">
        <v>61</v>
      </c>
      <c r="L41" s="67"/>
      <c r="M41" s="80"/>
      <c r="N41" s="72"/>
      <c r="O41" s="67" t="s">
        <v>27</v>
      </c>
      <c r="P41" s="83" t="s">
        <v>298</v>
      </c>
      <c r="Q41" s="85"/>
      <c r="R41" s="85"/>
      <c r="S41" s="85">
        <v>0.155</v>
      </c>
      <c r="T41" s="83" t="s">
        <v>299</v>
      </c>
      <c r="U41" s="85"/>
      <c r="V41" s="55"/>
    </row>
    <row r="42" spans="1:22" s="59" customFormat="1" ht="45" customHeight="1" x14ac:dyDescent="0.2">
      <c r="A42" s="87" t="s">
        <v>165</v>
      </c>
      <c r="B42" s="87" t="s">
        <v>300</v>
      </c>
      <c r="C42" s="87" t="s">
        <v>167</v>
      </c>
      <c r="D42" s="87" t="s">
        <v>301</v>
      </c>
      <c r="E42" s="89" t="s">
        <v>302</v>
      </c>
      <c r="F42" s="87" t="s">
        <v>303</v>
      </c>
      <c r="G42" s="91">
        <v>68490</v>
      </c>
      <c r="H42" s="93"/>
      <c r="I42" s="95">
        <v>0.2</v>
      </c>
      <c r="J42" s="77" t="s">
        <v>18185</v>
      </c>
      <c r="K42" s="87" t="s">
        <v>304</v>
      </c>
      <c r="L42" s="87"/>
      <c r="M42" s="79" t="str">
        <f>HYPERLINK("http://www.pristavka.com/catalog/artplays/ART32/")</f>
        <v>http://www.pristavka.com/catalog/artplays/ART32/</v>
      </c>
      <c r="N42" s="91">
        <v>89190</v>
      </c>
      <c r="O42" s="87" t="s">
        <v>27</v>
      </c>
      <c r="P42" s="98" t="s">
        <v>305</v>
      </c>
      <c r="Q42" s="100"/>
      <c r="R42" s="100"/>
      <c r="S42" s="100">
        <v>6.2060000000000004</v>
      </c>
      <c r="T42" s="98" t="s">
        <v>306</v>
      </c>
      <c r="U42" s="100"/>
      <c r="V42" s="61"/>
    </row>
    <row r="43" spans="1:22" s="59" customFormat="1" ht="45" customHeight="1" x14ac:dyDescent="0.2">
      <c r="A43" s="87" t="s">
        <v>165</v>
      </c>
      <c r="B43" s="87" t="s">
        <v>300</v>
      </c>
      <c r="C43" s="87" t="s">
        <v>167</v>
      </c>
      <c r="D43" s="87" t="s">
        <v>307</v>
      </c>
      <c r="E43" s="89" t="s">
        <v>308</v>
      </c>
      <c r="F43" s="87" t="s">
        <v>309</v>
      </c>
      <c r="G43" s="91">
        <v>48240</v>
      </c>
      <c r="H43" s="93"/>
      <c r="I43" s="95">
        <v>0.2</v>
      </c>
      <c r="J43" s="77" t="s">
        <v>18186</v>
      </c>
      <c r="K43" s="87" t="s">
        <v>304</v>
      </c>
      <c r="L43" s="87"/>
      <c r="M43" s="79" t="str">
        <f>HYPERLINK("http://www.pristavka.com/catalog/artplays/ART3/")</f>
        <v>http://www.pristavka.com/catalog/artplays/ART3/</v>
      </c>
      <c r="N43" s="91">
        <v>64390</v>
      </c>
      <c r="O43" s="87" t="s">
        <v>28</v>
      </c>
      <c r="P43" s="98" t="s">
        <v>310</v>
      </c>
      <c r="Q43" s="100"/>
      <c r="R43" s="100"/>
      <c r="S43" s="100">
        <v>4.2329999999999997</v>
      </c>
      <c r="T43" s="98" t="s">
        <v>311</v>
      </c>
      <c r="U43" s="100"/>
      <c r="V43" s="61"/>
    </row>
    <row r="44" spans="1:22" s="58" customFormat="1" ht="45" customHeight="1" x14ac:dyDescent="0.2">
      <c r="A44" s="86" t="s">
        <v>165</v>
      </c>
      <c r="B44" s="86" t="s">
        <v>312</v>
      </c>
      <c r="C44" s="86" t="s">
        <v>167</v>
      </c>
      <c r="D44" s="86" t="s">
        <v>313</v>
      </c>
      <c r="E44" s="88" t="s">
        <v>314</v>
      </c>
      <c r="F44" s="86" t="s">
        <v>315</v>
      </c>
      <c r="G44" s="90">
        <v>67110</v>
      </c>
      <c r="H44" s="92"/>
      <c r="I44" s="94">
        <v>0.2</v>
      </c>
      <c r="J44" s="77" t="s">
        <v>18187</v>
      </c>
      <c r="K44" s="86" t="s">
        <v>61</v>
      </c>
      <c r="L44" s="86"/>
      <c r="M44" s="79" t="str">
        <f>HYPERLINK("https://pristavka.com/catalog/artplays/ART43/")</f>
        <v>https://pristavka.com/catalog/artplays/ART43/</v>
      </c>
      <c r="N44" s="90">
        <v>89190</v>
      </c>
      <c r="O44" s="86" t="s">
        <v>27</v>
      </c>
      <c r="P44" s="97" t="s">
        <v>316</v>
      </c>
      <c r="Q44" s="99"/>
      <c r="R44" s="99"/>
      <c r="S44" s="99">
        <v>5.5679999999999996</v>
      </c>
      <c r="T44" s="97" t="s">
        <v>317</v>
      </c>
      <c r="U44" s="99"/>
      <c r="V44" s="60"/>
    </row>
    <row r="45" spans="1:22" s="11" customFormat="1" ht="45" customHeight="1" x14ac:dyDescent="0.2">
      <c r="A45" s="66" t="s">
        <v>165</v>
      </c>
      <c r="B45" s="66" t="s">
        <v>312</v>
      </c>
      <c r="C45" s="66" t="s">
        <v>167</v>
      </c>
      <c r="D45" s="66" t="s">
        <v>318</v>
      </c>
      <c r="E45" s="68" t="s">
        <v>319</v>
      </c>
      <c r="F45" s="66" t="s">
        <v>320</v>
      </c>
      <c r="G45" s="71">
        <v>100930</v>
      </c>
      <c r="H45" s="73"/>
      <c r="I45" s="75">
        <v>0.2</v>
      </c>
      <c r="J45" s="77" t="s">
        <v>18188</v>
      </c>
      <c r="K45" s="66"/>
      <c r="L45" s="66"/>
      <c r="M45" s="79" t="str">
        <f>HYPERLINK("http://www.pristavka.com/catalog/artplays/ART10/")</f>
        <v>http://www.pristavka.com/catalog/artplays/ART10/</v>
      </c>
      <c r="N45" s="71">
        <v>128790</v>
      </c>
      <c r="O45" s="66" t="s">
        <v>27</v>
      </c>
      <c r="P45" s="82" t="s">
        <v>321</v>
      </c>
      <c r="Q45" s="84"/>
      <c r="R45" s="84"/>
      <c r="S45" s="84">
        <v>7.88</v>
      </c>
      <c r="T45" s="82" t="s">
        <v>322</v>
      </c>
      <c r="U45" s="84"/>
      <c r="V45" s="54"/>
    </row>
    <row r="46" spans="1:22" s="58" customFormat="1" ht="45" customHeight="1" x14ac:dyDescent="0.2">
      <c r="A46" s="86" t="s">
        <v>165</v>
      </c>
      <c r="B46" s="86" t="s">
        <v>312</v>
      </c>
      <c r="C46" s="86" t="s">
        <v>167</v>
      </c>
      <c r="D46" s="86" t="s">
        <v>323</v>
      </c>
      <c r="E46" s="88" t="s">
        <v>324</v>
      </c>
      <c r="F46" s="86" t="s">
        <v>325</v>
      </c>
      <c r="G46" s="90">
        <v>105700</v>
      </c>
      <c r="H46" s="92"/>
      <c r="I46" s="94">
        <v>0.2</v>
      </c>
      <c r="J46" s="77" t="s">
        <v>18189</v>
      </c>
      <c r="K46" s="86" t="s">
        <v>61</v>
      </c>
      <c r="L46" s="86"/>
      <c r="M46" s="79" t="str">
        <f>HYPERLINK("http://www.pristavka.com/catalog/artplays/ART39/")</f>
        <v>http://www.pristavka.com/catalog/artplays/ART39/</v>
      </c>
      <c r="N46" s="90">
        <v>133890</v>
      </c>
      <c r="O46" s="86" t="s">
        <v>27</v>
      </c>
      <c r="P46" s="97" t="s">
        <v>326</v>
      </c>
      <c r="Q46" s="99"/>
      <c r="R46" s="99"/>
      <c r="S46" s="99">
        <v>9.0239999999999991</v>
      </c>
      <c r="T46" s="97" t="s">
        <v>327</v>
      </c>
      <c r="U46" s="99"/>
      <c r="V46" s="60"/>
    </row>
    <row r="47" spans="1:22" s="11" customFormat="1" ht="45" customHeight="1" x14ac:dyDescent="0.2">
      <c r="A47" s="66" t="s">
        <v>165</v>
      </c>
      <c r="B47" s="66" t="s">
        <v>230</v>
      </c>
      <c r="C47" s="66" t="s">
        <v>167</v>
      </c>
      <c r="D47" s="66" t="s">
        <v>26</v>
      </c>
      <c r="E47" s="68" t="s">
        <v>328</v>
      </c>
      <c r="F47" s="66" t="s">
        <v>329</v>
      </c>
      <c r="G47" s="71">
        <v>5300</v>
      </c>
      <c r="H47" s="73"/>
      <c r="I47" s="75">
        <v>0.2</v>
      </c>
      <c r="J47" s="77" t="s">
        <v>18190</v>
      </c>
      <c r="K47" s="66"/>
      <c r="L47" s="66"/>
      <c r="M47" s="79" t="str">
        <f>HYPERLINK("https://pristavka.com/catalog/artplays/ART53/")</f>
        <v>https://pristavka.com/catalog/artplays/ART53/</v>
      </c>
      <c r="N47" s="71">
        <v>7290</v>
      </c>
      <c r="O47" s="66" t="s">
        <v>27</v>
      </c>
      <c r="P47" s="82" t="s">
        <v>330</v>
      </c>
      <c r="Q47" s="84"/>
      <c r="R47" s="84"/>
      <c r="S47" s="84">
        <v>0.255</v>
      </c>
      <c r="T47" s="82" t="s">
        <v>331</v>
      </c>
      <c r="U47" s="84"/>
      <c r="V47" s="54"/>
    </row>
    <row r="48" spans="1:22" s="11" customFormat="1" ht="45" customHeight="1" x14ac:dyDescent="0.2">
      <c r="A48" s="66" t="s">
        <v>165</v>
      </c>
      <c r="B48" s="66" t="s">
        <v>230</v>
      </c>
      <c r="C48" s="66" t="s">
        <v>167</v>
      </c>
      <c r="D48" s="66" t="s">
        <v>26</v>
      </c>
      <c r="E48" s="68" t="s">
        <v>332</v>
      </c>
      <c r="F48" s="66" t="s">
        <v>333</v>
      </c>
      <c r="G48" s="71">
        <v>5300</v>
      </c>
      <c r="H48" s="73"/>
      <c r="I48" s="75">
        <v>0.2</v>
      </c>
      <c r="J48" s="77" t="s">
        <v>18190</v>
      </c>
      <c r="K48" s="66"/>
      <c r="L48" s="66"/>
      <c r="M48" s="79" t="str">
        <f>HYPERLINK("https://pristavka.com/catalog/artplays/ART46/")</f>
        <v>https://pristavka.com/catalog/artplays/ART46/</v>
      </c>
      <c r="N48" s="71">
        <v>7290</v>
      </c>
      <c r="O48" s="66" t="s">
        <v>27</v>
      </c>
      <c r="P48" s="82" t="s">
        <v>334</v>
      </c>
      <c r="Q48" s="84"/>
      <c r="R48" s="84"/>
      <c r="S48" s="84">
        <v>0.25</v>
      </c>
      <c r="T48" s="82" t="s">
        <v>331</v>
      </c>
      <c r="U48" s="84"/>
      <c r="V48" s="54"/>
    </row>
    <row r="49" spans="1:22" s="11" customFormat="1" ht="45" customHeight="1" x14ac:dyDescent="0.2">
      <c r="A49" s="66" t="s">
        <v>165</v>
      </c>
      <c r="B49" s="66" t="s">
        <v>230</v>
      </c>
      <c r="C49" s="66" t="s">
        <v>167</v>
      </c>
      <c r="D49" s="66" t="s">
        <v>26</v>
      </c>
      <c r="E49" s="68" t="s">
        <v>335</v>
      </c>
      <c r="F49" s="66" t="s">
        <v>336</v>
      </c>
      <c r="G49" s="71">
        <v>4630</v>
      </c>
      <c r="H49" s="73"/>
      <c r="I49" s="75">
        <v>0.2</v>
      </c>
      <c r="J49" s="77" t="s">
        <v>18191</v>
      </c>
      <c r="K49" s="66"/>
      <c r="L49" s="66"/>
      <c r="M49" s="79" t="str">
        <f>HYPERLINK("https://pristavka.com/catalog/artplays/ART44/")</f>
        <v>https://pristavka.com/catalog/artplays/ART44/</v>
      </c>
      <c r="N49" s="71">
        <v>6390</v>
      </c>
      <c r="O49" s="66" t="s">
        <v>27</v>
      </c>
      <c r="P49" s="82" t="s">
        <v>337</v>
      </c>
      <c r="Q49" s="84"/>
      <c r="R49" s="84"/>
      <c r="S49" s="84">
        <v>0.23200000000000001</v>
      </c>
      <c r="T49" s="82" t="s">
        <v>331</v>
      </c>
      <c r="U49" s="84"/>
      <c r="V49" s="54"/>
    </row>
    <row r="50" spans="1:22" s="11" customFormat="1" ht="45" customHeight="1" x14ac:dyDescent="0.2">
      <c r="A50" s="66" t="s">
        <v>165</v>
      </c>
      <c r="B50" s="66" t="s">
        <v>230</v>
      </c>
      <c r="C50" s="66" t="s">
        <v>167</v>
      </c>
      <c r="D50" s="66" t="s">
        <v>26</v>
      </c>
      <c r="E50" s="68" t="s">
        <v>338</v>
      </c>
      <c r="F50" s="66" t="s">
        <v>339</v>
      </c>
      <c r="G50" s="71">
        <v>4630</v>
      </c>
      <c r="H50" s="73"/>
      <c r="I50" s="75">
        <v>0.2</v>
      </c>
      <c r="J50" s="77" t="s">
        <v>18191</v>
      </c>
      <c r="K50" s="66"/>
      <c r="L50" s="66"/>
      <c r="M50" s="79" t="str">
        <f>HYPERLINK("https://pristavka.com/catalog/artplays/ART45/")</f>
        <v>https://pristavka.com/catalog/artplays/ART45/</v>
      </c>
      <c r="N50" s="71">
        <v>6390</v>
      </c>
      <c r="O50" s="66" t="s">
        <v>27</v>
      </c>
      <c r="P50" s="82" t="s">
        <v>340</v>
      </c>
      <c r="Q50" s="84"/>
      <c r="R50" s="84"/>
      <c r="S50" s="84">
        <v>0.252</v>
      </c>
      <c r="T50" s="82" t="s">
        <v>331</v>
      </c>
      <c r="U50" s="84"/>
      <c r="V50" s="54"/>
    </row>
    <row r="51" spans="1:22" s="45" customFormat="1" ht="45" customHeight="1" x14ac:dyDescent="0.2">
      <c r="A51" s="67" t="s">
        <v>165</v>
      </c>
      <c r="B51" s="67" t="s">
        <v>213</v>
      </c>
      <c r="C51" s="67" t="s">
        <v>167</v>
      </c>
      <c r="D51" s="67" t="s">
        <v>26</v>
      </c>
      <c r="E51" s="69" t="s">
        <v>341</v>
      </c>
      <c r="F51" s="67" t="s">
        <v>342</v>
      </c>
      <c r="G51" s="72">
        <v>0</v>
      </c>
      <c r="H51" s="74"/>
      <c r="I51" s="76">
        <v>0.2</v>
      </c>
      <c r="J51" s="77"/>
      <c r="K51" s="67" t="s">
        <v>61</v>
      </c>
      <c r="L51" s="67"/>
      <c r="M51" s="80"/>
      <c r="N51" s="72"/>
      <c r="O51" s="67" t="s">
        <v>27</v>
      </c>
      <c r="P51" s="83" t="s">
        <v>343</v>
      </c>
      <c r="Q51" s="85"/>
      <c r="R51" s="85"/>
      <c r="S51" s="85">
        <v>0.12</v>
      </c>
      <c r="T51" s="83" t="s">
        <v>344</v>
      </c>
      <c r="U51" s="85"/>
      <c r="V51" s="55"/>
    </row>
    <row r="52" spans="1:22" s="11" customFormat="1" ht="45" customHeight="1" x14ac:dyDescent="0.2">
      <c r="A52" s="66" t="s">
        <v>165</v>
      </c>
      <c r="B52" s="66" t="s">
        <v>230</v>
      </c>
      <c r="C52" s="66" t="s">
        <v>167</v>
      </c>
      <c r="D52" s="66" t="s">
        <v>26</v>
      </c>
      <c r="E52" s="68" t="s">
        <v>345</v>
      </c>
      <c r="F52" s="66" t="s">
        <v>346</v>
      </c>
      <c r="G52" s="71">
        <v>2760</v>
      </c>
      <c r="H52" s="73"/>
      <c r="I52" s="75">
        <v>0.2</v>
      </c>
      <c r="J52" s="77"/>
      <c r="K52" s="66"/>
      <c r="L52" s="66"/>
      <c r="M52" s="79" t="str">
        <f>HYPERLINK("http://www.pristavka.com/catalog/artplays/ART5/")</f>
        <v>http://www.pristavka.com/catalog/artplays/ART5/</v>
      </c>
      <c r="N52" s="71">
        <v>4190</v>
      </c>
      <c r="O52" s="66" t="s">
        <v>27</v>
      </c>
      <c r="P52" s="82" t="s">
        <v>347</v>
      </c>
      <c r="Q52" s="84"/>
      <c r="R52" s="84"/>
      <c r="S52" s="84">
        <v>0.17</v>
      </c>
      <c r="T52" s="82" t="s">
        <v>348</v>
      </c>
      <c r="U52" s="84"/>
      <c r="V52" s="54"/>
    </row>
    <row r="53" spans="1:22" s="11" customFormat="1" ht="45" customHeight="1" x14ac:dyDescent="0.2">
      <c r="A53" s="66" t="s">
        <v>165</v>
      </c>
      <c r="B53" s="66" t="s">
        <v>230</v>
      </c>
      <c r="C53" s="66" t="s">
        <v>167</v>
      </c>
      <c r="D53" s="66" t="s">
        <v>26</v>
      </c>
      <c r="E53" s="68" t="s">
        <v>349</v>
      </c>
      <c r="F53" s="66" t="s">
        <v>350</v>
      </c>
      <c r="G53" s="71">
        <v>2940</v>
      </c>
      <c r="H53" s="73"/>
      <c r="I53" s="75">
        <v>0.2</v>
      </c>
      <c r="J53" s="77" t="s">
        <v>18192</v>
      </c>
      <c r="K53" s="66"/>
      <c r="L53" s="66"/>
      <c r="M53" s="79" t="str">
        <f>HYPERLINK("http://www.pristavka.com/catalog/artplays/ACSWT29/")</f>
        <v>http://www.pristavka.com/catalog/artplays/ACSWT29/</v>
      </c>
      <c r="N53" s="71">
        <v>4690</v>
      </c>
      <c r="O53" s="66" t="s">
        <v>27</v>
      </c>
      <c r="P53" s="82" t="s">
        <v>351</v>
      </c>
      <c r="Q53" s="84"/>
      <c r="R53" s="84"/>
      <c r="S53" s="84">
        <v>0.16800000000000001</v>
      </c>
      <c r="T53" s="82" t="s">
        <v>352</v>
      </c>
      <c r="U53" s="84"/>
      <c r="V53" s="54"/>
    </row>
    <row r="54" spans="1:22" s="11" customFormat="1" ht="45" customHeight="1" x14ac:dyDescent="0.2">
      <c r="A54" s="66" t="s">
        <v>165</v>
      </c>
      <c r="B54" s="66" t="s">
        <v>230</v>
      </c>
      <c r="C54" s="66" t="s">
        <v>167</v>
      </c>
      <c r="D54" s="66" t="s">
        <v>26</v>
      </c>
      <c r="E54" s="68" t="s">
        <v>353</v>
      </c>
      <c r="F54" s="66" t="s">
        <v>354</v>
      </c>
      <c r="G54" s="71">
        <v>5630</v>
      </c>
      <c r="H54" s="73"/>
      <c r="I54" s="75">
        <v>0.2</v>
      </c>
      <c r="J54" s="77" t="s">
        <v>18193</v>
      </c>
      <c r="K54" s="66"/>
      <c r="L54" s="66"/>
      <c r="M54" s="79" t="str">
        <f>HYPERLINK("https://pristavka.com/catalog/artplays/ART54/")</f>
        <v>https://pristavka.com/catalog/artplays/ART54/</v>
      </c>
      <c r="N54" s="71">
        <v>7790</v>
      </c>
      <c r="O54" s="66" t="s">
        <v>27</v>
      </c>
      <c r="P54" s="82" t="s">
        <v>355</v>
      </c>
      <c r="Q54" s="84"/>
      <c r="R54" s="84"/>
      <c r="S54" s="84">
        <v>0.248</v>
      </c>
      <c r="T54" s="82" t="s">
        <v>331</v>
      </c>
      <c r="U54" s="84"/>
      <c r="V54" s="54"/>
    </row>
    <row r="55" spans="1:22" s="11" customFormat="1" ht="45" customHeight="1" x14ac:dyDescent="0.2">
      <c r="A55" s="66" t="s">
        <v>165</v>
      </c>
      <c r="B55" s="66" t="s">
        <v>230</v>
      </c>
      <c r="C55" s="66" t="s">
        <v>167</v>
      </c>
      <c r="D55" s="66" t="s">
        <v>26</v>
      </c>
      <c r="E55" s="68" t="s">
        <v>356</v>
      </c>
      <c r="F55" s="66" t="s">
        <v>357</v>
      </c>
      <c r="G55" s="71">
        <v>4960</v>
      </c>
      <c r="H55" s="73"/>
      <c r="I55" s="75">
        <v>0.2</v>
      </c>
      <c r="J55" s="77" t="s">
        <v>18194</v>
      </c>
      <c r="K55" s="66"/>
      <c r="L55" s="66"/>
      <c r="M55" s="79" t="str">
        <f>HYPERLINK("https://pristavka.com/catalog/artplays/ART55/")</f>
        <v>https://pristavka.com/catalog/artplays/ART55/</v>
      </c>
      <c r="N55" s="71">
        <v>6890</v>
      </c>
      <c r="O55" s="66" t="s">
        <v>27</v>
      </c>
      <c r="P55" s="82" t="s">
        <v>358</v>
      </c>
      <c r="Q55" s="84"/>
      <c r="R55" s="84"/>
      <c r="S55" s="84">
        <v>0.215</v>
      </c>
      <c r="T55" s="82" t="s">
        <v>359</v>
      </c>
      <c r="U55" s="84"/>
      <c r="V55" s="54"/>
    </row>
    <row r="56" spans="1:22" s="11" customFormat="1" ht="45" customHeight="1" x14ac:dyDescent="0.2">
      <c r="A56" s="66" t="s">
        <v>165</v>
      </c>
      <c r="B56" s="66" t="s">
        <v>360</v>
      </c>
      <c r="C56" s="66" t="s">
        <v>167</v>
      </c>
      <c r="D56" s="66" t="s">
        <v>26</v>
      </c>
      <c r="E56" s="68" t="s">
        <v>361</v>
      </c>
      <c r="F56" s="66" t="s">
        <v>362</v>
      </c>
      <c r="G56" s="71">
        <v>4060</v>
      </c>
      <c r="H56" s="73"/>
      <c r="I56" s="75">
        <v>0.2</v>
      </c>
      <c r="J56" s="77" t="s">
        <v>18195</v>
      </c>
      <c r="K56" s="66"/>
      <c r="L56" s="66"/>
      <c r="M56" s="79" t="str">
        <f>HYPERLINK("https://pristavka.com/catalog/artplays/ART41/")</f>
        <v>https://pristavka.com/catalog/artplays/ART41/</v>
      </c>
      <c r="N56" s="71">
        <v>6290</v>
      </c>
      <c r="O56" s="66" t="s">
        <v>27</v>
      </c>
      <c r="P56" s="82" t="s">
        <v>363</v>
      </c>
      <c r="Q56" s="84"/>
      <c r="R56" s="84"/>
      <c r="S56" s="84">
        <v>0.23200000000000001</v>
      </c>
      <c r="T56" s="82" t="s">
        <v>364</v>
      </c>
      <c r="U56" s="84"/>
      <c r="V56" s="54"/>
    </row>
    <row r="57" spans="1:22" s="11" customFormat="1" ht="45" customHeight="1" x14ac:dyDescent="0.2">
      <c r="A57" s="66" t="s">
        <v>365</v>
      </c>
      <c r="B57" s="66" t="s">
        <v>230</v>
      </c>
      <c r="C57" s="66" t="s">
        <v>161</v>
      </c>
      <c r="D57" s="66" t="s">
        <v>366</v>
      </c>
      <c r="E57" s="68" t="s">
        <v>367</v>
      </c>
      <c r="F57" s="66" t="s">
        <v>368</v>
      </c>
      <c r="G57" s="71">
        <v>14200</v>
      </c>
      <c r="H57" s="73"/>
      <c r="I57" s="75">
        <v>0.2</v>
      </c>
      <c r="J57" s="77" t="s">
        <v>18196</v>
      </c>
      <c r="K57" s="66"/>
      <c r="L57" s="66"/>
      <c r="M57" s="79" t="str">
        <f>HYPERLINK("http://www.pristavka.com/catalog/hori/HR214/")</f>
        <v>http://www.pristavka.com/catalog/hori/HR214/</v>
      </c>
      <c r="N57" s="71">
        <v>19899</v>
      </c>
      <c r="O57" s="66" t="s">
        <v>27</v>
      </c>
      <c r="P57" s="82" t="s">
        <v>369</v>
      </c>
      <c r="Q57" s="84"/>
      <c r="R57" s="84"/>
      <c r="S57" s="84">
        <v>0.11</v>
      </c>
      <c r="T57" s="82" t="s">
        <v>370</v>
      </c>
      <c r="U57" s="84" t="s">
        <v>177</v>
      </c>
      <c r="V57" s="54"/>
    </row>
    <row r="58" spans="1:22" s="11" customFormat="1" ht="45" customHeight="1" x14ac:dyDescent="0.2">
      <c r="A58" s="66" t="s">
        <v>365</v>
      </c>
      <c r="B58" s="66" t="s">
        <v>230</v>
      </c>
      <c r="C58" s="66" t="s">
        <v>161</v>
      </c>
      <c r="D58" s="66" t="s">
        <v>371</v>
      </c>
      <c r="E58" s="68" t="s">
        <v>372</v>
      </c>
      <c r="F58" s="66" t="s">
        <v>373</v>
      </c>
      <c r="G58" s="71">
        <v>14200</v>
      </c>
      <c r="H58" s="73"/>
      <c r="I58" s="75">
        <v>0.2</v>
      </c>
      <c r="J58" s="77"/>
      <c r="K58" s="66"/>
      <c r="L58" s="66"/>
      <c r="M58" s="79" t="str">
        <f>HYPERLINK("http://www.pristavka.com/catalog/hori/HR218/")</f>
        <v>http://www.pristavka.com/catalog/hori/HR218/</v>
      </c>
      <c r="N58" s="71">
        <v>19899</v>
      </c>
      <c r="O58" s="66" t="s">
        <v>27</v>
      </c>
      <c r="P58" s="82" t="s">
        <v>374</v>
      </c>
      <c r="Q58" s="84"/>
      <c r="R58" s="84"/>
      <c r="S58" s="84">
        <v>8.4000000000000005E-2</v>
      </c>
      <c r="T58" s="82" t="s">
        <v>375</v>
      </c>
      <c r="U58" s="84" t="s">
        <v>177</v>
      </c>
      <c r="V58" s="54"/>
    </row>
    <row r="59" spans="1:22" s="11" customFormat="1" ht="45" customHeight="1" x14ac:dyDescent="0.2">
      <c r="A59" s="66" t="s">
        <v>365</v>
      </c>
      <c r="B59" s="66" t="s">
        <v>208</v>
      </c>
      <c r="C59" s="66" t="s">
        <v>161</v>
      </c>
      <c r="D59" s="66" t="s">
        <v>376</v>
      </c>
      <c r="E59" s="68" t="s">
        <v>377</v>
      </c>
      <c r="F59" s="66" t="s">
        <v>378</v>
      </c>
      <c r="G59" s="71">
        <v>83800</v>
      </c>
      <c r="H59" s="73"/>
      <c r="I59" s="75">
        <v>0.2</v>
      </c>
      <c r="J59" s="77" t="s">
        <v>18197</v>
      </c>
      <c r="K59" s="66"/>
      <c r="L59" s="66"/>
      <c r="M59" s="79" t="str">
        <f>HYPERLINK("http://www.pristavka.com/catalog/hori/HR13/")</f>
        <v>http://www.pristavka.com/catalog/hori/HR13/</v>
      </c>
      <c r="N59" s="71">
        <v>108899</v>
      </c>
      <c r="O59" s="66" t="s">
        <v>27</v>
      </c>
      <c r="P59" s="82" t="s">
        <v>379</v>
      </c>
      <c r="Q59" s="84"/>
      <c r="R59" s="84"/>
      <c r="S59" s="84">
        <v>2.83</v>
      </c>
      <c r="T59" s="82" t="s">
        <v>380</v>
      </c>
      <c r="U59" s="84" t="s">
        <v>177</v>
      </c>
      <c r="V59" s="54"/>
    </row>
    <row r="60" spans="1:22" s="58" customFormat="1" ht="45" customHeight="1" x14ac:dyDescent="0.2">
      <c r="A60" s="86" t="s">
        <v>365</v>
      </c>
      <c r="B60" s="86" t="s">
        <v>230</v>
      </c>
      <c r="C60" s="86" t="s">
        <v>161</v>
      </c>
      <c r="D60" s="86" t="s">
        <v>381</v>
      </c>
      <c r="E60" s="88" t="s">
        <v>382</v>
      </c>
      <c r="F60" s="86" t="s">
        <v>383</v>
      </c>
      <c r="G60" s="90">
        <v>17400</v>
      </c>
      <c r="H60" s="92"/>
      <c r="I60" s="94">
        <v>0.2</v>
      </c>
      <c r="J60" s="77" t="s">
        <v>18198</v>
      </c>
      <c r="K60" s="86" t="s">
        <v>61</v>
      </c>
      <c r="L60" s="86"/>
      <c r="M60" s="79" t="str">
        <f>HYPERLINK("https://pristavka.com/catalog/hori/HR292/")</f>
        <v>https://pristavka.com/catalog/hori/HR292/</v>
      </c>
      <c r="N60" s="90">
        <v>22199</v>
      </c>
      <c r="O60" s="86" t="s">
        <v>28</v>
      </c>
      <c r="P60" s="97" t="s">
        <v>384</v>
      </c>
      <c r="Q60" s="99"/>
      <c r="R60" s="99"/>
      <c r="S60" s="99">
        <v>0.35299999999999998</v>
      </c>
      <c r="T60" s="97" t="s">
        <v>385</v>
      </c>
      <c r="U60" s="99" t="s">
        <v>177</v>
      </c>
      <c r="V60" s="60"/>
    </row>
    <row r="61" spans="1:22" s="58" customFormat="1" ht="45" customHeight="1" x14ac:dyDescent="0.2">
      <c r="A61" s="86" t="s">
        <v>365</v>
      </c>
      <c r="B61" s="86" t="s">
        <v>230</v>
      </c>
      <c r="C61" s="86" t="s">
        <v>161</v>
      </c>
      <c r="D61" s="86" t="s">
        <v>386</v>
      </c>
      <c r="E61" s="88" t="s">
        <v>387</v>
      </c>
      <c r="F61" s="86" t="s">
        <v>388</v>
      </c>
      <c r="G61" s="90">
        <v>17400</v>
      </c>
      <c r="H61" s="92"/>
      <c r="I61" s="94">
        <v>0.2</v>
      </c>
      <c r="J61" s="77"/>
      <c r="K61" s="86" t="s">
        <v>61</v>
      </c>
      <c r="L61" s="86"/>
      <c r="M61" s="79" t="str">
        <f>HYPERLINK("https://pristavka.com/catalog/hori/HR304/")</f>
        <v>https://pristavka.com/catalog/hori/HR304/</v>
      </c>
      <c r="N61" s="90">
        <v>22199</v>
      </c>
      <c r="O61" s="86" t="s">
        <v>28</v>
      </c>
      <c r="P61" s="97" t="s">
        <v>389</v>
      </c>
      <c r="Q61" s="99"/>
      <c r="R61" s="99"/>
      <c r="S61" s="99">
        <v>0.35</v>
      </c>
      <c r="T61" s="97" t="s">
        <v>390</v>
      </c>
      <c r="U61" s="99" t="s">
        <v>177</v>
      </c>
      <c r="V61" s="60"/>
    </row>
    <row r="62" spans="1:22" s="11" customFormat="1" ht="45" customHeight="1" x14ac:dyDescent="0.2">
      <c r="A62" s="66" t="s">
        <v>365</v>
      </c>
      <c r="B62" s="66" t="s">
        <v>230</v>
      </c>
      <c r="C62" s="66" t="s">
        <v>161</v>
      </c>
      <c r="D62" s="66" t="s">
        <v>391</v>
      </c>
      <c r="E62" s="68" t="s">
        <v>392</v>
      </c>
      <c r="F62" s="66" t="s">
        <v>393</v>
      </c>
      <c r="G62" s="71">
        <v>32000</v>
      </c>
      <c r="H62" s="73"/>
      <c r="I62" s="75">
        <v>0.2</v>
      </c>
      <c r="J62" s="77" t="s">
        <v>18199</v>
      </c>
      <c r="K62" s="66"/>
      <c r="L62" s="66"/>
      <c r="M62" s="79" t="str">
        <f>HYPERLINK("http://www.pristavka.com/catalog/hori/HR219/")</f>
        <v>http://www.pristavka.com/catalog/hori/HR219/</v>
      </c>
      <c r="N62" s="71">
        <v>42599</v>
      </c>
      <c r="O62" s="66" t="s">
        <v>27</v>
      </c>
      <c r="P62" s="82" t="s">
        <v>394</v>
      </c>
      <c r="Q62" s="84"/>
      <c r="R62" s="84"/>
      <c r="S62" s="84">
        <v>0.318</v>
      </c>
      <c r="T62" s="82" t="s">
        <v>395</v>
      </c>
      <c r="U62" s="84" t="s">
        <v>177</v>
      </c>
      <c r="V62" s="54"/>
    </row>
    <row r="63" spans="1:22" s="58" customFormat="1" ht="45" customHeight="1" x14ac:dyDescent="0.2">
      <c r="A63" s="86" t="s">
        <v>365</v>
      </c>
      <c r="B63" s="86" t="s">
        <v>230</v>
      </c>
      <c r="C63" s="86" t="s">
        <v>161</v>
      </c>
      <c r="D63" s="86" t="s">
        <v>396</v>
      </c>
      <c r="E63" s="88" t="s">
        <v>397</v>
      </c>
      <c r="F63" s="86" t="s">
        <v>398</v>
      </c>
      <c r="G63" s="90">
        <v>32000</v>
      </c>
      <c r="H63" s="92"/>
      <c r="I63" s="94">
        <v>0.2</v>
      </c>
      <c r="J63" s="77" t="s">
        <v>18199</v>
      </c>
      <c r="K63" s="86" t="s">
        <v>61</v>
      </c>
      <c r="L63" s="86"/>
      <c r="M63" s="79" t="str">
        <f>HYPERLINK("https://pristavka.com/catalog/hori/HR295/")</f>
        <v>https://pristavka.com/catalog/hori/HR295/</v>
      </c>
      <c r="N63" s="90">
        <v>42599</v>
      </c>
      <c r="O63" s="86" t="s">
        <v>27</v>
      </c>
      <c r="P63" s="97" t="s">
        <v>399</v>
      </c>
      <c r="Q63" s="99"/>
      <c r="R63" s="99"/>
      <c r="S63" s="99">
        <v>0.32500000000000001</v>
      </c>
      <c r="T63" s="97" t="s">
        <v>400</v>
      </c>
      <c r="U63" s="99" t="s">
        <v>177</v>
      </c>
      <c r="V63" s="60"/>
    </row>
    <row r="64" spans="1:22" s="58" customFormat="1" ht="45" customHeight="1" x14ac:dyDescent="0.2">
      <c r="A64" s="86" t="s">
        <v>365</v>
      </c>
      <c r="B64" s="86" t="s">
        <v>230</v>
      </c>
      <c r="C64" s="86" t="s">
        <v>161</v>
      </c>
      <c r="D64" s="86" t="s">
        <v>401</v>
      </c>
      <c r="E64" s="88" t="s">
        <v>402</v>
      </c>
      <c r="F64" s="86" t="s">
        <v>403</v>
      </c>
      <c r="G64" s="90">
        <v>17100</v>
      </c>
      <c r="H64" s="92"/>
      <c r="I64" s="94">
        <v>0.2</v>
      </c>
      <c r="J64" s="77"/>
      <c r="K64" s="86" t="s">
        <v>61</v>
      </c>
      <c r="L64" s="86"/>
      <c r="M64" s="79" t="str">
        <f>HYPERLINK("https://pristavka.com/catalog/hori/HR236/")</f>
        <v>https://pristavka.com/catalog/hori/HR236/</v>
      </c>
      <c r="N64" s="90">
        <v>22799</v>
      </c>
      <c r="O64" s="86" t="s">
        <v>28</v>
      </c>
      <c r="P64" s="97" t="s">
        <v>404</v>
      </c>
      <c r="Q64" s="99"/>
      <c r="R64" s="99"/>
      <c r="S64" s="99">
        <v>0.23</v>
      </c>
      <c r="T64" s="97" t="s">
        <v>405</v>
      </c>
      <c r="U64" s="99" t="s">
        <v>177</v>
      </c>
      <c r="V64" s="60"/>
    </row>
    <row r="65" spans="1:22" s="58" customFormat="1" ht="45" customHeight="1" x14ac:dyDescent="0.2">
      <c r="A65" s="86" t="s">
        <v>365</v>
      </c>
      <c r="B65" s="86" t="s">
        <v>230</v>
      </c>
      <c r="C65" s="86" t="s">
        <v>161</v>
      </c>
      <c r="D65" s="86" t="s">
        <v>406</v>
      </c>
      <c r="E65" s="88" t="s">
        <v>407</v>
      </c>
      <c r="F65" s="86" t="s">
        <v>408</v>
      </c>
      <c r="G65" s="90">
        <v>17100</v>
      </c>
      <c r="H65" s="92"/>
      <c r="I65" s="94">
        <v>0.2</v>
      </c>
      <c r="J65" s="77"/>
      <c r="K65" s="86" t="s">
        <v>61</v>
      </c>
      <c r="L65" s="86"/>
      <c r="M65" s="79" t="str">
        <f>HYPERLINK("https://pristavka.com/catalog/hori/HR237/")</f>
        <v>https://pristavka.com/catalog/hori/HR237/</v>
      </c>
      <c r="N65" s="90">
        <v>22799</v>
      </c>
      <c r="O65" s="86" t="s">
        <v>28</v>
      </c>
      <c r="P65" s="97" t="s">
        <v>409</v>
      </c>
      <c r="Q65" s="99"/>
      <c r="R65" s="99"/>
      <c r="S65" s="99">
        <v>0.22800000000000001</v>
      </c>
      <c r="T65" s="97" t="s">
        <v>410</v>
      </c>
      <c r="U65" s="99" t="s">
        <v>177</v>
      </c>
      <c r="V65" s="60"/>
    </row>
    <row r="66" spans="1:22" s="11" customFormat="1" ht="45" customHeight="1" x14ac:dyDescent="0.2">
      <c r="A66" s="66" t="s">
        <v>365</v>
      </c>
      <c r="B66" s="66" t="s">
        <v>230</v>
      </c>
      <c r="C66" s="66" t="s">
        <v>161</v>
      </c>
      <c r="D66" s="66" t="s">
        <v>411</v>
      </c>
      <c r="E66" s="68" t="s">
        <v>412</v>
      </c>
      <c r="F66" s="66" t="s">
        <v>413</v>
      </c>
      <c r="G66" s="71">
        <v>17100</v>
      </c>
      <c r="H66" s="73"/>
      <c r="I66" s="75">
        <v>0.2</v>
      </c>
      <c r="J66" s="77" t="s">
        <v>18200</v>
      </c>
      <c r="K66" s="66"/>
      <c r="L66" s="66"/>
      <c r="M66" s="79" t="str">
        <f>HYPERLINK("http://www.pristavka.com/catalog/hori/HR102/")</f>
        <v>http://www.pristavka.com/catalog/hori/HR102/</v>
      </c>
      <c r="N66" s="71">
        <v>22799</v>
      </c>
      <c r="O66" s="66" t="s">
        <v>27</v>
      </c>
      <c r="P66" s="82" t="s">
        <v>414</v>
      </c>
      <c r="Q66" s="84"/>
      <c r="R66" s="84"/>
      <c r="S66" s="84">
        <v>0.218</v>
      </c>
      <c r="T66" s="82" t="s">
        <v>415</v>
      </c>
      <c r="U66" s="84" t="s">
        <v>177</v>
      </c>
      <c r="V66" s="54"/>
    </row>
    <row r="67" spans="1:22" s="58" customFormat="1" ht="45" customHeight="1" x14ac:dyDescent="0.2">
      <c r="A67" s="86" t="s">
        <v>365</v>
      </c>
      <c r="B67" s="86" t="s">
        <v>230</v>
      </c>
      <c r="C67" s="86" t="s">
        <v>161</v>
      </c>
      <c r="D67" s="86" t="s">
        <v>416</v>
      </c>
      <c r="E67" s="88" t="s">
        <v>417</v>
      </c>
      <c r="F67" s="86" t="s">
        <v>418</v>
      </c>
      <c r="G67" s="90">
        <v>17100</v>
      </c>
      <c r="H67" s="92"/>
      <c r="I67" s="94">
        <v>0.2</v>
      </c>
      <c r="J67" s="77" t="s">
        <v>18200</v>
      </c>
      <c r="K67" s="86" t="s">
        <v>61</v>
      </c>
      <c r="L67" s="86"/>
      <c r="M67" s="79" t="str">
        <f>HYPERLINK("https://pristavka.com/catalog/hori/HR238/")</f>
        <v>https://pristavka.com/catalog/hori/HR238/</v>
      </c>
      <c r="N67" s="90">
        <v>22799</v>
      </c>
      <c r="O67" s="86" t="s">
        <v>27</v>
      </c>
      <c r="P67" s="97" t="s">
        <v>419</v>
      </c>
      <c r="Q67" s="99"/>
      <c r="R67" s="99"/>
      <c r="S67" s="99">
        <v>0.222</v>
      </c>
      <c r="T67" s="97" t="s">
        <v>410</v>
      </c>
      <c r="U67" s="99" t="s">
        <v>177</v>
      </c>
      <c r="V67" s="60"/>
    </row>
    <row r="68" spans="1:22" s="11" customFormat="1" ht="45" customHeight="1" x14ac:dyDescent="0.2">
      <c r="A68" s="66" t="s">
        <v>365</v>
      </c>
      <c r="B68" s="66" t="s">
        <v>230</v>
      </c>
      <c r="C68" s="66" t="s">
        <v>161</v>
      </c>
      <c r="D68" s="66" t="s">
        <v>420</v>
      </c>
      <c r="E68" s="68" t="s">
        <v>421</v>
      </c>
      <c r="F68" s="66" t="s">
        <v>422</v>
      </c>
      <c r="G68" s="71">
        <v>3100</v>
      </c>
      <c r="H68" s="73"/>
      <c r="I68" s="75">
        <v>0.2</v>
      </c>
      <c r="J68" s="77"/>
      <c r="K68" s="66"/>
      <c r="L68" s="66"/>
      <c r="M68" s="79" t="str">
        <f>HYPERLINK("http://www.pristavka.com/catalog/hori/HR71/")</f>
        <v>http://www.pristavka.com/catalog/hori/HR71/</v>
      </c>
      <c r="N68" s="71">
        <v>4299</v>
      </c>
      <c r="O68" s="66" t="s">
        <v>27</v>
      </c>
      <c r="P68" s="82" t="s">
        <v>423</v>
      </c>
      <c r="Q68" s="84"/>
      <c r="R68" s="84"/>
      <c r="S68" s="84">
        <v>2.1999999999999999E-2</v>
      </c>
      <c r="T68" s="82" t="s">
        <v>424</v>
      </c>
      <c r="U68" s="84" t="s">
        <v>177</v>
      </c>
      <c r="V68" s="54"/>
    </row>
    <row r="69" spans="1:22" s="11" customFormat="1" ht="45" customHeight="1" x14ac:dyDescent="0.2">
      <c r="A69" s="66" t="s">
        <v>365</v>
      </c>
      <c r="B69" s="66" t="s">
        <v>230</v>
      </c>
      <c r="C69" s="66" t="s">
        <v>161</v>
      </c>
      <c r="D69" s="66" t="s">
        <v>425</v>
      </c>
      <c r="E69" s="68" t="s">
        <v>426</v>
      </c>
      <c r="F69" s="66" t="s">
        <v>427</v>
      </c>
      <c r="G69" s="71">
        <v>10300</v>
      </c>
      <c r="H69" s="73"/>
      <c r="I69" s="75">
        <v>0.2</v>
      </c>
      <c r="J69" s="77" t="s">
        <v>18201</v>
      </c>
      <c r="K69" s="66"/>
      <c r="L69" s="66"/>
      <c r="M69" s="79" t="str">
        <f>HYPERLINK("http://www.pristavka.com/catalog/hori/HR68/")</f>
        <v>http://www.pristavka.com/catalog/hori/HR68/</v>
      </c>
      <c r="N69" s="71">
        <v>13699</v>
      </c>
      <c r="O69" s="66" t="s">
        <v>27</v>
      </c>
      <c r="P69" s="82" t="s">
        <v>428</v>
      </c>
      <c r="Q69" s="84"/>
      <c r="R69" s="84"/>
      <c r="S69" s="84">
        <v>0.16800000000000001</v>
      </c>
      <c r="T69" s="82" t="s">
        <v>429</v>
      </c>
      <c r="U69" s="84" t="s">
        <v>177</v>
      </c>
      <c r="V69" s="54"/>
    </row>
    <row r="70" spans="1:22" s="11" customFormat="1" ht="45" customHeight="1" x14ac:dyDescent="0.2">
      <c r="A70" s="66" t="s">
        <v>365</v>
      </c>
      <c r="B70" s="66" t="s">
        <v>230</v>
      </c>
      <c r="C70" s="66" t="s">
        <v>161</v>
      </c>
      <c r="D70" s="66" t="s">
        <v>430</v>
      </c>
      <c r="E70" s="68" t="s">
        <v>431</v>
      </c>
      <c r="F70" s="66" t="s">
        <v>432</v>
      </c>
      <c r="G70" s="71">
        <v>11600</v>
      </c>
      <c r="H70" s="73"/>
      <c r="I70" s="75">
        <v>0.2</v>
      </c>
      <c r="J70" s="77" t="s">
        <v>18202</v>
      </c>
      <c r="K70" s="66"/>
      <c r="L70" s="66"/>
      <c r="M70" s="79" t="str">
        <f>HYPERLINK("https://pristavka.com/catalog/hori/HR233/")</f>
        <v>https://pristavka.com/catalog/hori/HR233/</v>
      </c>
      <c r="N70" s="71">
        <v>16099</v>
      </c>
      <c r="O70" s="66" t="s">
        <v>27</v>
      </c>
      <c r="P70" s="82" t="s">
        <v>433</v>
      </c>
      <c r="Q70" s="84"/>
      <c r="R70" s="84"/>
      <c r="S70" s="84">
        <v>0.29799999999999999</v>
      </c>
      <c r="T70" s="82" t="s">
        <v>434</v>
      </c>
      <c r="U70" s="84" t="s">
        <v>177</v>
      </c>
      <c r="V70" s="54"/>
    </row>
    <row r="71" spans="1:22" s="11" customFormat="1" ht="45" customHeight="1" x14ac:dyDescent="0.2">
      <c r="A71" s="66" t="s">
        <v>365</v>
      </c>
      <c r="B71" s="66" t="s">
        <v>230</v>
      </c>
      <c r="C71" s="66" t="s">
        <v>161</v>
      </c>
      <c r="D71" s="66" t="s">
        <v>435</v>
      </c>
      <c r="E71" s="68" t="s">
        <v>436</v>
      </c>
      <c r="F71" s="66" t="s">
        <v>437</v>
      </c>
      <c r="G71" s="71">
        <v>14300</v>
      </c>
      <c r="H71" s="73"/>
      <c r="I71" s="75">
        <v>0.2</v>
      </c>
      <c r="J71" s="77" t="s">
        <v>18203</v>
      </c>
      <c r="K71" s="66"/>
      <c r="L71" s="66"/>
      <c r="M71" s="79" t="str">
        <f>HYPERLINK("https://pristavka.com/catalog/hori/HR249/")</f>
        <v>https://pristavka.com/catalog/hori/HR249/</v>
      </c>
      <c r="N71" s="71">
        <v>19799</v>
      </c>
      <c r="O71" s="66" t="s">
        <v>27</v>
      </c>
      <c r="P71" s="82" t="s">
        <v>438</v>
      </c>
      <c r="Q71" s="84"/>
      <c r="R71" s="84"/>
      <c r="S71" s="84">
        <v>0.28599999999999998</v>
      </c>
      <c r="T71" s="82" t="s">
        <v>434</v>
      </c>
      <c r="U71" s="84" t="s">
        <v>177</v>
      </c>
      <c r="V71" s="54"/>
    </row>
    <row r="72" spans="1:22" s="11" customFormat="1" ht="45" customHeight="1" x14ac:dyDescent="0.2">
      <c r="A72" s="66" t="s">
        <v>365</v>
      </c>
      <c r="B72" s="66" t="s">
        <v>360</v>
      </c>
      <c r="C72" s="66" t="s">
        <v>161</v>
      </c>
      <c r="D72" s="66" t="s">
        <v>439</v>
      </c>
      <c r="E72" s="68" t="s">
        <v>440</v>
      </c>
      <c r="F72" s="66" t="s">
        <v>441</v>
      </c>
      <c r="G72" s="71">
        <v>12800</v>
      </c>
      <c r="H72" s="73"/>
      <c r="I72" s="75">
        <v>0.2</v>
      </c>
      <c r="J72" s="77" t="s">
        <v>18204</v>
      </c>
      <c r="K72" s="66"/>
      <c r="L72" s="66"/>
      <c r="M72" s="79" t="str">
        <f>HYPERLINK("https://www.pristavka.com/catalog/hori/HR223/")</f>
        <v>https://www.pristavka.com/catalog/hori/HR223/</v>
      </c>
      <c r="N72" s="71">
        <v>16999</v>
      </c>
      <c r="O72" s="66" t="s">
        <v>27</v>
      </c>
      <c r="P72" s="82" t="s">
        <v>442</v>
      </c>
      <c r="Q72" s="84"/>
      <c r="R72" s="84"/>
      <c r="S72" s="84">
        <v>0.17499999999999999</v>
      </c>
      <c r="T72" s="82" t="s">
        <v>443</v>
      </c>
      <c r="U72" s="84" t="s">
        <v>177</v>
      </c>
      <c r="V72" s="54"/>
    </row>
    <row r="73" spans="1:22" s="58" customFormat="1" ht="45" customHeight="1" x14ac:dyDescent="0.2">
      <c r="A73" s="86" t="s">
        <v>365</v>
      </c>
      <c r="B73" s="86" t="s">
        <v>230</v>
      </c>
      <c r="C73" s="86" t="s">
        <v>161</v>
      </c>
      <c r="D73" s="86" t="s">
        <v>444</v>
      </c>
      <c r="E73" s="88" t="s">
        <v>445</v>
      </c>
      <c r="F73" s="86" t="s">
        <v>446</v>
      </c>
      <c r="G73" s="90">
        <v>33400</v>
      </c>
      <c r="H73" s="92"/>
      <c r="I73" s="94">
        <v>0.2</v>
      </c>
      <c r="J73" s="77" t="s">
        <v>18205</v>
      </c>
      <c r="K73" s="86" t="s">
        <v>61</v>
      </c>
      <c r="L73" s="86"/>
      <c r="M73" s="79" t="str">
        <f>HYPERLINK("https://pristavka.com/catalog/hori/HR248/")</f>
        <v>https://pristavka.com/catalog/hori/HR248/</v>
      </c>
      <c r="N73" s="90">
        <v>44499</v>
      </c>
      <c r="O73" s="86" t="s">
        <v>27</v>
      </c>
      <c r="P73" s="97" t="s">
        <v>447</v>
      </c>
      <c r="Q73" s="99"/>
      <c r="R73" s="99"/>
      <c r="S73" s="99">
        <v>0.249</v>
      </c>
      <c r="T73" s="97" t="s">
        <v>448</v>
      </c>
      <c r="U73" s="99" t="s">
        <v>177</v>
      </c>
      <c r="V73" s="60"/>
    </row>
    <row r="74" spans="1:22" s="58" customFormat="1" ht="45" customHeight="1" x14ac:dyDescent="0.2">
      <c r="A74" s="86" t="s">
        <v>365</v>
      </c>
      <c r="B74" s="86" t="s">
        <v>230</v>
      </c>
      <c r="C74" s="86" t="s">
        <v>161</v>
      </c>
      <c r="D74" s="86" t="s">
        <v>449</v>
      </c>
      <c r="E74" s="88" t="s">
        <v>450</v>
      </c>
      <c r="F74" s="86" t="s">
        <v>451</v>
      </c>
      <c r="G74" s="90">
        <v>30300</v>
      </c>
      <c r="H74" s="92"/>
      <c r="I74" s="94">
        <v>0.2</v>
      </c>
      <c r="J74" s="77" t="s">
        <v>18206</v>
      </c>
      <c r="K74" s="86" t="s">
        <v>61</v>
      </c>
      <c r="L74" s="86"/>
      <c r="M74" s="79" t="str">
        <f>HYPERLINK("https://pristavka.com/catalog/hori/HR246/")</f>
        <v>https://pristavka.com/catalog/hori/HR246/</v>
      </c>
      <c r="N74" s="90">
        <v>42099</v>
      </c>
      <c r="O74" s="86" t="s">
        <v>27</v>
      </c>
      <c r="P74" s="97" t="s">
        <v>452</v>
      </c>
      <c r="Q74" s="99"/>
      <c r="R74" s="99"/>
      <c r="S74" s="99">
        <v>0.248</v>
      </c>
      <c r="T74" s="97" t="s">
        <v>453</v>
      </c>
      <c r="U74" s="99" t="s">
        <v>177</v>
      </c>
      <c r="V74" s="60"/>
    </row>
    <row r="75" spans="1:22" s="58" customFormat="1" ht="45" customHeight="1" x14ac:dyDescent="0.2">
      <c r="A75" s="86" t="s">
        <v>365</v>
      </c>
      <c r="B75" s="86" t="s">
        <v>230</v>
      </c>
      <c r="C75" s="86" t="s">
        <v>161</v>
      </c>
      <c r="D75" s="86" t="s">
        <v>454</v>
      </c>
      <c r="E75" s="88" t="s">
        <v>455</v>
      </c>
      <c r="F75" s="86" t="s">
        <v>456</v>
      </c>
      <c r="G75" s="90">
        <v>36900</v>
      </c>
      <c r="H75" s="92"/>
      <c r="I75" s="94">
        <v>0.2</v>
      </c>
      <c r="J75" s="77" t="s">
        <v>18207</v>
      </c>
      <c r="K75" s="86" t="s">
        <v>61</v>
      </c>
      <c r="L75" s="86"/>
      <c r="M75" s="79" t="str">
        <f>HYPERLINK("https://pristavka.com/catalog/hori/HR300/")</f>
        <v>https://pristavka.com/catalog/hori/HR300/</v>
      </c>
      <c r="N75" s="90">
        <v>47299</v>
      </c>
      <c r="O75" s="86" t="s">
        <v>27</v>
      </c>
      <c r="P75" s="97" t="s">
        <v>457</v>
      </c>
      <c r="Q75" s="99"/>
      <c r="R75" s="99"/>
      <c r="S75" s="99">
        <v>0.25700000000000001</v>
      </c>
      <c r="T75" s="97" t="s">
        <v>458</v>
      </c>
      <c r="U75" s="99" t="s">
        <v>177</v>
      </c>
      <c r="V75" s="60"/>
    </row>
    <row r="76" spans="1:22" s="58" customFormat="1" ht="45" customHeight="1" x14ac:dyDescent="0.2">
      <c r="A76" s="86" t="s">
        <v>365</v>
      </c>
      <c r="B76" s="86" t="s">
        <v>230</v>
      </c>
      <c r="C76" s="86" t="s">
        <v>161</v>
      </c>
      <c r="D76" s="86" t="s">
        <v>459</v>
      </c>
      <c r="E76" s="88" t="s">
        <v>460</v>
      </c>
      <c r="F76" s="86" t="s">
        <v>461</v>
      </c>
      <c r="G76" s="90">
        <v>33400</v>
      </c>
      <c r="H76" s="92"/>
      <c r="I76" s="94">
        <v>0.2</v>
      </c>
      <c r="J76" s="77" t="s">
        <v>18205</v>
      </c>
      <c r="K76" s="86" t="s">
        <v>61</v>
      </c>
      <c r="L76" s="86"/>
      <c r="M76" s="79" t="str">
        <f>HYPERLINK("https://pristavka.com/catalog/hori/HR247/")</f>
        <v>https://pristavka.com/catalog/hori/HR247/</v>
      </c>
      <c r="N76" s="90">
        <v>44499</v>
      </c>
      <c r="O76" s="86" t="s">
        <v>27</v>
      </c>
      <c r="P76" s="97" t="s">
        <v>462</v>
      </c>
      <c r="Q76" s="99"/>
      <c r="R76" s="99"/>
      <c r="S76" s="99">
        <v>0.25</v>
      </c>
      <c r="T76" s="97" t="s">
        <v>448</v>
      </c>
      <c r="U76" s="99" t="s">
        <v>177</v>
      </c>
      <c r="V76" s="60"/>
    </row>
    <row r="77" spans="1:22" s="58" customFormat="1" ht="45" customHeight="1" x14ac:dyDescent="0.2">
      <c r="A77" s="86" t="s">
        <v>365</v>
      </c>
      <c r="B77" s="86" t="s">
        <v>230</v>
      </c>
      <c r="C77" s="86" t="s">
        <v>161</v>
      </c>
      <c r="D77" s="86" t="s">
        <v>463</v>
      </c>
      <c r="E77" s="88" t="s">
        <v>464</v>
      </c>
      <c r="F77" s="86" t="s">
        <v>465</v>
      </c>
      <c r="G77" s="90">
        <v>36900</v>
      </c>
      <c r="H77" s="92"/>
      <c r="I77" s="94">
        <v>0.2</v>
      </c>
      <c r="J77" s="77" t="s">
        <v>18207</v>
      </c>
      <c r="K77" s="86" t="s">
        <v>61</v>
      </c>
      <c r="L77" s="86"/>
      <c r="M77" s="79" t="str">
        <f>HYPERLINK("https://pristavka.com/catalog/hori/HR303/")</f>
        <v>https://pristavka.com/catalog/hori/HR303/</v>
      </c>
      <c r="N77" s="90">
        <v>47299</v>
      </c>
      <c r="O77" s="86" t="s">
        <v>27</v>
      </c>
      <c r="P77" s="97" t="s">
        <v>466</v>
      </c>
      <c r="Q77" s="99"/>
      <c r="R77" s="99"/>
      <c r="S77" s="99">
        <v>0.255</v>
      </c>
      <c r="T77" s="97" t="s">
        <v>467</v>
      </c>
      <c r="U77" s="99" t="s">
        <v>177</v>
      </c>
      <c r="V77" s="60"/>
    </row>
    <row r="78" spans="1:22" s="11" customFormat="1" ht="45" customHeight="1" x14ac:dyDescent="0.2">
      <c r="A78" s="66" t="s">
        <v>365</v>
      </c>
      <c r="B78" s="66" t="s">
        <v>230</v>
      </c>
      <c r="C78" s="66" t="s">
        <v>161</v>
      </c>
      <c r="D78" s="66" t="s">
        <v>468</v>
      </c>
      <c r="E78" s="68" t="s">
        <v>469</v>
      </c>
      <c r="F78" s="66" t="s">
        <v>470</v>
      </c>
      <c r="G78" s="71">
        <v>25600</v>
      </c>
      <c r="H78" s="73"/>
      <c r="I78" s="75">
        <v>0.2</v>
      </c>
      <c r="J78" s="77" t="s">
        <v>18208</v>
      </c>
      <c r="K78" s="66"/>
      <c r="L78" s="66"/>
      <c r="M78" s="79" t="str">
        <f>HYPERLINK("http://www.pristavka.com/catalog/hori/HR99/")</f>
        <v>http://www.pristavka.com/catalog/hori/HR99/</v>
      </c>
      <c r="N78" s="71">
        <v>35499</v>
      </c>
      <c r="O78" s="66" t="s">
        <v>27</v>
      </c>
      <c r="P78" s="82" t="s">
        <v>471</v>
      </c>
      <c r="Q78" s="84"/>
      <c r="R78" s="84"/>
      <c r="S78" s="84">
        <v>0.255</v>
      </c>
      <c r="T78" s="82" t="s">
        <v>472</v>
      </c>
      <c r="U78" s="84" t="s">
        <v>177</v>
      </c>
      <c r="V78" s="54"/>
    </row>
    <row r="79" spans="1:22" s="58" customFormat="1" ht="45" customHeight="1" x14ac:dyDescent="0.2">
      <c r="A79" s="86" t="s">
        <v>365</v>
      </c>
      <c r="B79" s="86" t="s">
        <v>230</v>
      </c>
      <c r="C79" s="86" t="s">
        <v>161</v>
      </c>
      <c r="D79" s="86" t="s">
        <v>473</v>
      </c>
      <c r="E79" s="88" t="s">
        <v>474</v>
      </c>
      <c r="F79" s="86" t="s">
        <v>475</v>
      </c>
      <c r="G79" s="90">
        <v>34500</v>
      </c>
      <c r="H79" s="92"/>
      <c r="I79" s="94">
        <v>0.2</v>
      </c>
      <c r="J79" s="77"/>
      <c r="K79" s="86" t="s">
        <v>61</v>
      </c>
      <c r="L79" s="86"/>
      <c r="M79" s="79" t="str">
        <f>HYPERLINK("https://pristavka.com/catalog/hori/HR244/")</f>
        <v>https://pristavka.com/catalog/hori/HR244/</v>
      </c>
      <c r="N79" s="90">
        <v>45899</v>
      </c>
      <c r="O79" s="86" t="s">
        <v>27</v>
      </c>
      <c r="P79" s="97" t="s">
        <v>476</v>
      </c>
      <c r="Q79" s="99"/>
      <c r="R79" s="99"/>
      <c r="S79" s="99">
        <v>0.25600000000000001</v>
      </c>
      <c r="T79" s="97" t="s">
        <v>448</v>
      </c>
      <c r="U79" s="99" t="s">
        <v>177</v>
      </c>
      <c r="V79" s="60"/>
    </row>
    <row r="80" spans="1:22" s="11" customFormat="1" ht="45" customHeight="1" x14ac:dyDescent="0.2">
      <c r="A80" s="66" t="s">
        <v>365</v>
      </c>
      <c r="B80" s="66" t="s">
        <v>230</v>
      </c>
      <c r="C80" s="66" t="s">
        <v>161</v>
      </c>
      <c r="D80" s="66" t="s">
        <v>477</v>
      </c>
      <c r="E80" s="68" t="s">
        <v>478</v>
      </c>
      <c r="F80" s="66" t="s">
        <v>479</v>
      </c>
      <c r="G80" s="71">
        <v>30700</v>
      </c>
      <c r="H80" s="73"/>
      <c r="I80" s="75">
        <v>0.2</v>
      </c>
      <c r="J80" s="77" t="s">
        <v>18209</v>
      </c>
      <c r="K80" s="66"/>
      <c r="L80" s="66"/>
      <c r="M80" s="79" t="str">
        <f>HYPERLINK("http://www.pristavka.com/catalog/tm/HR203/")</f>
        <v>http://www.pristavka.com/catalog/tm/HR203/</v>
      </c>
      <c r="N80" s="71">
        <v>42599</v>
      </c>
      <c r="O80" s="66" t="s">
        <v>27</v>
      </c>
      <c r="P80" s="82" t="s">
        <v>480</v>
      </c>
      <c r="Q80" s="84"/>
      <c r="R80" s="84"/>
      <c r="S80" s="84">
        <v>0.246</v>
      </c>
      <c r="T80" s="82" t="s">
        <v>481</v>
      </c>
      <c r="U80" s="84" t="s">
        <v>177</v>
      </c>
      <c r="V80" s="54"/>
    </row>
    <row r="81" spans="1:22" s="45" customFormat="1" ht="45" customHeight="1" x14ac:dyDescent="0.2">
      <c r="A81" s="67" t="s">
        <v>365</v>
      </c>
      <c r="B81" s="67" t="s">
        <v>482</v>
      </c>
      <c r="C81" s="67" t="s">
        <v>161</v>
      </c>
      <c r="D81" s="67" t="s">
        <v>483</v>
      </c>
      <c r="E81" s="69" t="s">
        <v>484</v>
      </c>
      <c r="F81" s="67" t="s">
        <v>485</v>
      </c>
      <c r="G81" s="72">
        <v>0</v>
      </c>
      <c r="H81" s="74"/>
      <c r="I81" s="76">
        <v>0.2</v>
      </c>
      <c r="J81" s="77"/>
      <c r="K81" s="67" t="s">
        <v>61</v>
      </c>
      <c r="L81" s="67"/>
      <c r="M81" s="79" t="str">
        <f>HYPERLINK("https://pristavka.com/catalog/hori/HR289/")</f>
        <v>https://pristavka.com/catalog/hori/HR289/</v>
      </c>
      <c r="N81" s="72"/>
      <c r="O81" s="67" t="s">
        <v>28</v>
      </c>
      <c r="P81" s="83" t="s">
        <v>486</v>
      </c>
      <c r="Q81" s="85"/>
      <c r="R81" s="85"/>
      <c r="S81" s="85">
        <v>0.25800000000000001</v>
      </c>
      <c r="T81" s="83" t="s">
        <v>487</v>
      </c>
      <c r="U81" s="85" t="s">
        <v>177</v>
      </c>
      <c r="V81" s="55"/>
    </row>
    <row r="82" spans="1:22" s="58" customFormat="1" ht="45" customHeight="1" x14ac:dyDescent="0.2">
      <c r="A82" s="86" t="s">
        <v>365</v>
      </c>
      <c r="B82" s="86" t="s">
        <v>230</v>
      </c>
      <c r="C82" s="86" t="s">
        <v>161</v>
      </c>
      <c r="D82" s="86" t="s">
        <v>488</v>
      </c>
      <c r="E82" s="88" t="s">
        <v>489</v>
      </c>
      <c r="F82" s="86" t="s">
        <v>490</v>
      </c>
      <c r="G82" s="90">
        <v>55400</v>
      </c>
      <c r="H82" s="92"/>
      <c r="I82" s="94">
        <v>0.2</v>
      </c>
      <c r="J82" s="77" t="s">
        <v>18210</v>
      </c>
      <c r="K82" s="86" t="s">
        <v>61</v>
      </c>
      <c r="L82" s="86"/>
      <c r="M82" s="79" t="str">
        <f>HYPERLINK("https://pristavka.com/catalog/hori/HR299/")</f>
        <v>https://pristavka.com/catalog/hori/HR299/</v>
      </c>
      <c r="N82" s="90">
        <v>70999</v>
      </c>
      <c r="O82" s="86" t="s">
        <v>27</v>
      </c>
      <c r="P82" s="97" t="s">
        <v>491</v>
      </c>
      <c r="Q82" s="99"/>
      <c r="R82" s="99"/>
      <c r="S82" s="99">
        <v>0.42799999999999999</v>
      </c>
      <c r="T82" s="97" t="s">
        <v>492</v>
      </c>
      <c r="U82" s="99" t="s">
        <v>177</v>
      </c>
      <c r="V82" s="60"/>
    </row>
    <row r="83" spans="1:22" s="58" customFormat="1" ht="45" customHeight="1" x14ac:dyDescent="0.2">
      <c r="A83" s="86" t="s">
        <v>365</v>
      </c>
      <c r="B83" s="86" t="s">
        <v>230</v>
      </c>
      <c r="C83" s="86" t="s">
        <v>161</v>
      </c>
      <c r="D83" s="86" t="s">
        <v>493</v>
      </c>
      <c r="E83" s="88" t="s">
        <v>494</v>
      </c>
      <c r="F83" s="86" t="s">
        <v>495</v>
      </c>
      <c r="G83" s="90">
        <v>44300</v>
      </c>
      <c r="H83" s="92"/>
      <c r="I83" s="94">
        <v>0.2</v>
      </c>
      <c r="J83" s="77" t="s">
        <v>18211</v>
      </c>
      <c r="K83" s="86" t="s">
        <v>61</v>
      </c>
      <c r="L83" s="86"/>
      <c r="M83" s="79" t="str">
        <f>HYPERLINK("https://pristavka.com/catalog/hori/HR298/")</f>
        <v>https://pristavka.com/catalog/hori/HR298/</v>
      </c>
      <c r="N83" s="90">
        <v>56799</v>
      </c>
      <c r="O83" s="86" t="s">
        <v>27</v>
      </c>
      <c r="P83" s="97" t="s">
        <v>496</v>
      </c>
      <c r="Q83" s="99"/>
      <c r="R83" s="99"/>
      <c r="S83" s="99">
        <v>0.42299999999999999</v>
      </c>
      <c r="T83" s="97" t="s">
        <v>492</v>
      </c>
      <c r="U83" s="99" t="s">
        <v>177</v>
      </c>
      <c r="V83" s="60"/>
    </row>
    <row r="84" spans="1:22" s="58" customFormat="1" ht="45" customHeight="1" x14ac:dyDescent="0.2">
      <c r="A84" s="86" t="s">
        <v>365</v>
      </c>
      <c r="B84" s="86" t="s">
        <v>230</v>
      </c>
      <c r="C84" s="86" t="s">
        <v>161</v>
      </c>
      <c r="D84" s="86" t="s">
        <v>497</v>
      </c>
      <c r="E84" s="88" t="s">
        <v>498</v>
      </c>
      <c r="F84" s="86" t="s">
        <v>499</v>
      </c>
      <c r="G84" s="90">
        <v>44300</v>
      </c>
      <c r="H84" s="92"/>
      <c r="I84" s="94">
        <v>0.2</v>
      </c>
      <c r="J84" s="77"/>
      <c r="K84" s="86" t="s">
        <v>61</v>
      </c>
      <c r="L84" s="86"/>
      <c r="M84" s="79" t="str">
        <f>HYPERLINK("https://pristavka.com/catalog/hori/HR297/")</f>
        <v>https://pristavka.com/catalog/hori/HR297/</v>
      </c>
      <c r="N84" s="90">
        <v>56799</v>
      </c>
      <c r="O84" s="86" t="s">
        <v>28</v>
      </c>
      <c r="P84" s="97" t="s">
        <v>500</v>
      </c>
      <c r="Q84" s="99"/>
      <c r="R84" s="99"/>
      <c r="S84" s="99">
        <v>0.42</v>
      </c>
      <c r="T84" s="97" t="s">
        <v>501</v>
      </c>
      <c r="U84" s="99" t="s">
        <v>177</v>
      </c>
      <c r="V84" s="60"/>
    </row>
    <row r="85" spans="1:22" s="58" customFormat="1" ht="45" customHeight="1" x14ac:dyDescent="0.2">
      <c r="A85" s="86" t="s">
        <v>365</v>
      </c>
      <c r="B85" s="86" t="s">
        <v>230</v>
      </c>
      <c r="C85" s="86" t="s">
        <v>161</v>
      </c>
      <c r="D85" s="86" t="s">
        <v>502</v>
      </c>
      <c r="E85" s="88" t="s">
        <v>503</v>
      </c>
      <c r="F85" s="86" t="s">
        <v>504</v>
      </c>
      <c r="G85" s="90">
        <v>48000</v>
      </c>
      <c r="H85" s="92"/>
      <c r="I85" s="94">
        <v>0.2</v>
      </c>
      <c r="J85" s="77" t="s">
        <v>18212</v>
      </c>
      <c r="K85" s="86" t="s">
        <v>61</v>
      </c>
      <c r="L85" s="86"/>
      <c r="M85" s="79" t="str">
        <f>HYPERLINK("https://pristavka.com/catalog/hori/HR296/")</f>
        <v>https://pristavka.com/catalog/hori/HR296/</v>
      </c>
      <c r="N85" s="90">
        <v>61499</v>
      </c>
      <c r="O85" s="86" t="s">
        <v>27</v>
      </c>
      <c r="P85" s="97" t="s">
        <v>505</v>
      </c>
      <c r="Q85" s="99"/>
      <c r="R85" s="99"/>
      <c r="S85" s="99">
        <v>0.497</v>
      </c>
      <c r="T85" s="97" t="s">
        <v>492</v>
      </c>
      <c r="U85" s="99" t="s">
        <v>177</v>
      </c>
      <c r="V85" s="60"/>
    </row>
    <row r="86" spans="1:22" s="11" customFormat="1" ht="45" customHeight="1" x14ac:dyDescent="0.2">
      <c r="A86" s="66" t="s">
        <v>365</v>
      </c>
      <c r="B86" s="66" t="s">
        <v>230</v>
      </c>
      <c r="C86" s="66" t="s">
        <v>161</v>
      </c>
      <c r="D86" s="66" t="s">
        <v>506</v>
      </c>
      <c r="E86" s="68" t="s">
        <v>507</v>
      </c>
      <c r="F86" s="66" t="s">
        <v>508</v>
      </c>
      <c r="G86" s="71">
        <v>8400</v>
      </c>
      <c r="H86" s="73"/>
      <c r="I86" s="75">
        <v>0.2</v>
      </c>
      <c r="J86" s="77" t="s">
        <v>18213</v>
      </c>
      <c r="K86" s="66"/>
      <c r="L86" s="66"/>
      <c r="M86" s="79" t="str">
        <f>HYPERLINK("http://www.pristavka.com/catalog/hori/HR35/")</f>
        <v>http://www.pristavka.com/catalog/hori/HR35/</v>
      </c>
      <c r="N86" s="71">
        <v>11199</v>
      </c>
      <c r="O86" s="66" t="s">
        <v>27</v>
      </c>
      <c r="P86" s="82" t="s">
        <v>509</v>
      </c>
      <c r="Q86" s="84"/>
      <c r="R86" s="84"/>
      <c r="S86" s="84">
        <v>0.155</v>
      </c>
      <c r="T86" s="82" t="s">
        <v>510</v>
      </c>
      <c r="U86" s="84" t="s">
        <v>177</v>
      </c>
      <c r="V86" s="54"/>
    </row>
    <row r="87" spans="1:22" s="11" customFormat="1" ht="45" customHeight="1" x14ac:dyDescent="0.2">
      <c r="A87" s="66" t="s">
        <v>365</v>
      </c>
      <c r="B87" s="66" t="s">
        <v>230</v>
      </c>
      <c r="C87" s="66" t="s">
        <v>161</v>
      </c>
      <c r="D87" s="66" t="s">
        <v>511</v>
      </c>
      <c r="E87" s="68" t="s">
        <v>512</v>
      </c>
      <c r="F87" s="66" t="s">
        <v>513</v>
      </c>
      <c r="G87" s="71">
        <v>8400</v>
      </c>
      <c r="H87" s="73"/>
      <c r="I87" s="75">
        <v>0.2</v>
      </c>
      <c r="J87" s="77" t="s">
        <v>18213</v>
      </c>
      <c r="K87" s="66"/>
      <c r="L87" s="66"/>
      <c r="M87" s="79" t="str">
        <f>HYPERLINK("http://www.pristavka.com/catalog/hori/HR36/")</f>
        <v>http://www.pristavka.com/catalog/hori/HR36/</v>
      </c>
      <c r="N87" s="71">
        <v>11199</v>
      </c>
      <c r="O87" s="66" t="s">
        <v>27</v>
      </c>
      <c r="P87" s="82" t="s">
        <v>514</v>
      </c>
      <c r="Q87" s="84"/>
      <c r="R87" s="84"/>
      <c r="S87" s="84">
        <v>0.155</v>
      </c>
      <c r="T87" s="82" t="s">
        <v>510</v>
      </c>
      <c r="U87" s="84" t="s">
        <v>177</v>
      </c>
      <c r="V87" s="54"/>
    </row>
    <row r="88" spans="1:22" s="11" customFormat="1" ht="45" customHeight="1" x14ac:dyDescent="0.2">
      <c r="A88" s="66" t="s">
        <v>365</v>
      </c>
      <c r="B88" s="66" t="s">
        <v>230</v>
      </c>
      <c r="C88" s="66" t="s">
        <v>161</v>
      </c>
      <c r="D88" s="66" t="s">
        <v>515</v>
      </c>
      <c r="E88" s="68" t="s">
        <v>516</v>
      </c>
      <c r="F88" s="66" t="s">
        <v>517</v>
      </c>
      <c r="G88" s="71">
        <v>7800</v>
      </c>
      <c r="H88" s="73"/>
      <c r="I88" s="75">
        <v>0.2</v>
      </c>
      <c r="J88" s="77"/>
      <c r="K88" s="66"/>
      <c r="L88" s="66"/>
      <c r="M88" s="79" t="str">
        <f>HYPERLINK("http://www.pristavka.com/catalog/hori/HR34/")</f>
        <v>http://www.pristavka.com/catalog/hori/HR34/</v>
      </c>
      <c r="N88" s="71">
        <v>10399</v>
      </c>
      <c r="O88" s="66" t="s">
        <v>28</v>
      </c>
      <c r="P88" s="82" t="s">
        <v>518</v>
      </c>
      <c r="Q88" s="84"/>
      <c r="R88" s="84"/>
      <c r="S88" s="84">
        <v>0.17799999999999999</v>
      </c>
      <c r="T88" s="82" t="s">
        <v>519</v>
      </c>
      <c r="U88" s="84" t="s">
        <v>177</v>
      </c>
      <c r="V88" s="54"/>
    </row>
    <row r="89" spans="1:22" s="11" customFormat="1" ht="45" customHeight="1" x14ac:dyDescent="0.2">
      <c r="A89" s="66" t="s">
        <v>365</v>
      </c>
      <c r="B89" s="66" t="s">
        <v>230</v>
      </c>
      <c r="C89" s="66" t="s">
        <v>161</v>
      </c>
      <c r="D89" s="66" t="s">
        <v>520</v>
      </c>
      <c r="E89" s="68" t="s">
        <v>521</v>
      </c>
      <c r="F89" s="66" t="s">
        <v>522</v>
      </c>
      <c r="G89" s="71">
        <v>7800</v>
      </c>
      <c r="H89" s="73"/>
      <c r="I89" s="75">
        <v>0.2</v>
      </c>
      <c r="J89" s="77"/>
      <c r="K89" s="66"/>
      <c r="L89" s="66"/>
      <c r="M89" s="79" t="str">
        <f>HYPERLINK("http://www.pristavka.com/catalog/hori/HR18/")</f>
        <v>http://www.pristavka.com/catalog/hori/HR18/</v>
      </c>
      <c r="N89" s="71">
        <v>10399</v>
      </c>
      <c r="O89" s="66" t="s">
        <v>27</v>
      </c>
      <c r="P89" s="82" t="s">
        <v>523</v>
      </c>
      <c r="Q89" s="84"/>
      <c r="R89" s="84"/>
      <c r="S89" s="84">
        <v>0.17</v>
      </c>
      <c r="T89" s="82" t="s">
        <v>524</v>
      </c>
      <c r="U89" s="84" t="s">
        <v>177</v>
      </c>
      <c r="V89" s="54"/>
    </row>
    <row r="90" spans="1:22" s="11" customFormat="1" ht="45" customHeight="1" x14ac:dyDescent="0.2">
      <c r="A90" s="66" t="s">
        <v>365</v>
      </c>
      <c r="B90" s="66" t="s">
        <v>230</v>
      </c>
      <c r="C90" s="66" t="s">
        <v>161</v>
      </c>
      <c r="D90" s="66" t="s">
        <v>525</v>
      </c>
      <c r="E90" s="68" t="s">
        <v>526</v>
      </c>
      <c r="F90" s="66" t="s">
        <v>527</v>
      </c>
      <c r="G90" s="71">
        <v>36500</v>
      </c>
      <c r="H90" s="73"/>
      <c r="I90" s="75">
        <v>0.2</v>
      </c>
      <c r="J90" s="77"/>
      <c r="K90" s="66"/>
      <c r="L90" s="66"/>
      <c r="M90" s="79" t="str">
        <f>HYPERLINK("http://www.pristavka.com/catalog/hori/HR91/")</f>
        <v>http://www.pristavka.com/catalog/hori/HR91/</v>
      </c>
      <c r="N90" s="71">
        <v>52099</v>
      </c>
      <c r="O90" s="66" t="s">
        <v>28</v>
      </c>
      <c r="P90" s="82" t="s">
        <v>528</v>
      </c>
      <c r="Q90" s="84"/>
      <c r="R90" s="84"/>
      <c r="S90" s="84">
        <v>1.58</v>
      </c>
      <c r="T90" s="82" t="s">
        <v>529</v>
      </c>
      <c r="U90" s="84"/>
      <c r="V90" s="54"/>
    </row>
    <row r="91" spans="1:22" s="11" customFormat="1" ht="45" customHeight="1" x14ac:dyDescent="0.2">
      <c r="A91" s="66" t="s">
        <v>365</v>
      </c>
      <c r="B91" s="66" t="s">
        <v>230</v>
      </c>
      <c r="C91" s="66" t="s">
        <v>161</v>
      </c>
      <c r="D91" s="66" t="s">
        <v>530</v>
      </c>
      <c r="E91" s="68" t="s">
        <v>531</v>
      </c>
      <c r="F91" s="66" t="s">
        <v>532</v>
      </c>
      <c r="G91" s="71">
        <v>61000</v>
      </c>
      <c r="H91" s="73"/>
      <c r="I91" s="75">
        <v>0.2</v>
      </c>
      <c r="J91" s="77"/>
      <c r="K91" s="66"/>
      <c r="L91" s="66"/>
      <c r="M91" s="79" t="str">
        <f>HYPERLINK("http://www.pristavka.com/catalog/hori/HR92/")</f>
        <v>http://www.pristavka.com/catalog/hori/HR92/</v>
      </c>
      <c r="N91" s="71">
        <v>87099</v>
      </c>
      <c r="O91" s="66" t="s">
        <v>28</v>
      </c>
      <c r="P91" s="82" t="s">
        <v>533</v>
      </c>
      <c r="Q91" s="84"/>
      <c r="R91" s="84"/>
      <c r="S91" s="84">
        <v>3.29</v>
      </c>
      <c r="T91" s="82" t="s">
        <v>534</v>
      </c>
      <c r="U91" s="84"/>
      <c r="V91" s="54"/>
    </row>
    <row r="92" spans="1:22" s="58" customFormat="1" ht="45" customHeight="1" x14ac:dyDescent="0.2">
      <c r="A92" s="86" t="s">
        <v>365</v>
      </c>
      <c r="B92" s="86" t="s">
        <v>230</v>
      </c>
      <c r="C92" s="86" t="s">
        <v>161</v>
      </c>
      <c r="D92" s="86" t="s">
        <v>535</v>
      </c>
      <c r="E92" s="88" t="s">
        <v>536</v>
      </c>
      <c r="F92" s="86" t="s">
        <v>537</v>
      </c>
      <c r="G92" s="90">
        <v>70200</v>
      </c>
      <c r="H92" s="92"/>
      <c r="I92" s="94">
        <v>0.2</v>
      </c>
      <c r="J92" s="77" t="s">
        <v>18214</v>
      </c>
      <c r="K92" s="86" t="s">
        <v>61</v>
      </c>
      <c r="L92" s="86"/>
      <c r="M92" s="79" t="str">
        <f>HYPERLINK("https://pristavka.com/catalog/hori/HR290/")</f>
        <v>https://pristavka.com/catalog/hori/HR290/</v>
      </c>
      <c r="N92" s="90">
        <v>89899</v>
      </c>
      <c r="O92" s="86" t="s">
        <v>27</v>
      </c>
      <c r="P92" s="97" t="s">
        <v>538</v>
      </c>
      <c r="Q92" s="99"/>
      <c r="R92" s="99"/>
      <c r="S92" s="99">
        <v>3.383</v>
      </c>
      <c r="T92" s="97" t="s">
        <v>539</v>
      </c>
      <c r="U92" s="99"/>
      <c r="V92" s="60"/>
    </row>
    <row r="93" spans="1:22" s="58" customFormat="1" ht="45" customHeight="1" x14ac:dyDescent="0.2">
      <c r="A93" s="86" t="s">
        <v>365</v>
      </c>
      <c r="B93" s="86" t="s">
        <v>230</v>
      </c>
      <c r="C93" s="86" t="s">
        <v>161</v>
      </c>
      <c r="D93" s="86" t="s">
        <v>540</v>
      </c>
      <c r="E93" s="88" t="s">
        <v>541</v>
      </c>
      <c r="F93" s="86" t="s">
        <v>542</v>
      </c>
      <c r="G93" s="90">
        <v>14700</v>
      </c>
      <c r="H93" s="92"/>
      <c r="I93" s="94">
        <v>0.2</v>
      </c>
      <c r="J93" s="77" t="s">
        <v>18215</v>
      </c>
      <c r="K93" s="86" t="s">
        <v>61</v>
      </c>
      <c r="L93" s="86"/>
      <c r="M93" s="79" t="str">
        <f>HYPERLINK("https://pristavka.com/catalog/hori/HR251/")</f>
        <v>https://pristavka.com/catalog/hori/HR251/</v>
      </c>
      <c r="N93" s="90">
        <v>20399</v>
      </c>
      <c r="O93" s="86" t="s">
        <v>27</v>
      </c>
      <c r="P93" s="97" t="s">
        <v>543</v>
      </c>
      <c r="Q93" s="99"/>
      <c r="R93" s="99"/>
      <c r="S93" s="99">
        <v>0.248</v>
      </c>
      <c r="T93" s="97" t="s">
        <v>544</v>
      </c>
      <c r="U93" s="99" t="s">
        <v>177</v>
      </c>
      <c r="V93" s="60"/>
    </row>
    <row r="94" spans="1:22" s="58" customFormat="1" ht="45" customHeight="1" x14ac:dyDescent="0.2">
      <c r="A94" s="86" t="s">
        <v>365</v>
      </c>
      <c r="B94" s="86" t="s">
        <v>230</v>
      </c>
      <c r="C94" s="86" t="s">
        <v>161</v>
      </c>
      <c r="D94" s="86" t="s">
        <v>545</v>
      </c>
      <c r="E94" s="88" t="s">
        <v>546</v>
      </c>
      <c r="F94" s="86" t="s">
        <v>547</v>
      </c>
      <c r="G94" s="90">
        <v>14700</v>
      </c>
      <c r="H94" s="92"/>
      <c r="I94" s="94">
        <v>0.2</v>
      </c>
      <c r="J94" s="77" t="s">
        <v>18216</v>
      </c>
      <c r="K94" s="86" t="s">
        <v>61</v>
      </c>
      <c r="L94" s="86"/>
      <c r="M94" s="79" t="str">
        <f>HYPERLINK("https://pristavka.com/catalog/hori/HR250/")</f>
        <v>https://pristavka.com/catalog/hori/HR250/</v>
      </c>
      <c r="N94" s="90">
        <v>20399</v>
      </c>
      <c r="O94" s="86" t="s">
        <v>27</v>
      </c>
      <c r="P94" s="97" t="s">
        <v>548</v>
      </c>
      <c r="Q94" s="99"/>
      <c r="R94" s="99"/>
      <c r="S94" s="99">
        <v>0.25</v>
      </c>
      <c r="T94" s="97" t="s">
        <v>544</v>
      </c>
      <c r="U94" s="99" t="s">
        <v>177</v>
      </c>
      <c r="V94" s="60"/>
    </row>
    <row r="95" spans="1:22" s="58" customFormat="1" ht="45" customHeight="1" x14ac:dyDescent="0.2">
      <c r="A95" s="86" t="s">
        <v>365</v>
      </c>
      <c r="B95" s="86" t="s">
        <v>482</v>
      </c>
      <c r="C95" s="86" t="s">
        <v>161</v>
      </c>
      <c r="D95" s="86" t="s">
        <v>549</v>
      </c>
      <c r="E95" s="88" t="s">
        <v>550</v>
      </c>
      <c r="F95" s="86" t="s">
        <v>551</v>
      </c>
      <c r="G95" s="90">
        <v>0</v>
      </c>
      <c r="H95" s="92"/>
      <c r="I95" s="94">
        <v>0.2</v>
      </c>
      <c r="J95" s="77"/>
      <c r="K95" s="86" t="s">
        <v>61</v>
      </c>
      <c r="L95" s="86"/>
      <c r="M95" s="79" t="str">
        <f>HYPERLINK("https://pristavka.com/catalog/hori/HR286/")</f>
        <v>https://pristavka.com/catalog/hori/HR286/</v>
      </c>
      <c r="N95" s="90"/>
      <c r="O95" s="86" t="s">
        <v>27</v>
      </c>
      <c r="P95" s="97" t="s">
        <v>552</v>
      </c>
      <c r="Q95" s="99"/>
      <c r="R95" s="99"/>
      <c r="S95" s="99">
        <v>0.26900000000000002</v>
      </c>
      <c r="T95" s="97" t="s">
        <v>553</v>
      </c>
      <c r="U95" s="99" t="s">
        <v>177</v>
      </c>
      <c r="V95" s="60"/>
    </row>
    <row r="96" spans="1:22" s="58" customFormat="1" ht="45" customHeight="1" x14ac:dyDescent="0.2">
      <c r="A96" s="86" t="s">
        <v>365</v>
      </c>
      <c r="B96" s="86" t="s">
        <v>230</v>
      </c>
      <c r="C96" s="86" t="s">
        <v>161</v>
      </c>
      <c r="D96" s="86" t="s">
        <v>554</v>
      </c>
      <c r="E96" s="88" t="s">
        <v>555</v>
      </c>
      <c r="F96" s="86" t="s">
        <v>556</v>
      </c>
      <c r="G96" s="90">
        <v>16500</v>
      </c>
      <c r="H96" s="92"/>
      <c r="I96" s="94">
        <v>0.2</v>
      </c>
      <c r="J96" s="77"/>
      <c r="K96" s="86" t="s">
        <v>61</v>
      </c>
      <c r="L96" s="86"/>
      <c r="M96" s="79" t="str">
        <f>HYPERLINK("https://pristavka.com/catalog/hori/HR253/")</f>
        <v>https://pristavka.com/catalog/hori/HR253/</v>
      </c>
      <c r="N96" s="90">
        <v>22899</v>
      </c>
      <c r="O96" s="86" t="s">
        <v>28</v>
      </c>
      <c r="P96" s="97" t="s">
        <v>557</v>
      </c>
      <c r="Q96" s="99"/>
      <c r="R96" s="99"/>
      <c r="S96" s="99">
        <v>0.44400000000000001</v>
      </c>
      <c r="T96" s="97" t="s">
        <v>558</v>
      </c>
      <c r="U96" s="99" t="s">
        <v>177</v>
      </c>
      <c r="V96" s="60"/>
    </row>
    <row r="97" spans="1:22" s="58" customFormat="1" ht="45" customHeight="1" x14ac:dyDescent="0.2">
      <c r="A97" s="86" t="s">
        <v>365</v>
      </c>
      <c r="B97" s="86" t="s">
        <v>230</v>
      </c>
      <c r="C97" s="86" t="s">
        <v>161</v>
      </c>
      <c r="D97" s="86" t="s">
        <v>559</v>
      </c>
      <c r="E97" s="88" t="s">
        <v>560</v>
      </c>
      <c r="F97" s="86" t="s">
        <v>561</v>
      </c>
      <c r="G97" s="90">
        <v>15300</v>
      </c>
      <c r="H97" s="92"/>
      <c r="I97" s="94">
        <v>0.2</v>
      </c>
      <c r="J97" s="77"/>
      <c r="K97" s="86" t="s">
        <v>61</v>
      </c>
      <c r="L97" s="86"/>
      <c r="M97" s="79" t="str">
        <f>HYPERLINK("https://pristavka.com/catalog/hori/HR302/")</f>
        <v>https://pristavka.com/catalog/hori/HR302/</v>
      </c>
      <c r="N97" s="90">
        <v>20399</v>
      </c>
      <c r="O97" s="86" t="s">
        <v>27</v>
      </c>
      <c r="P97" s="97" t="s">
        <v>562</v>
      </c>
      <c r="Q97" s="99"/>
      <c r="R97" s="99"/>
      <c r="S97" s="99">
        <v>0.31</v>
      </c>
      <c r="T97" s="97" t="s">
        <v>563</v>
      </c>
      <c r="U97" s="99" t="s">
        <v>177</v>
      </c>
      <c r="V97" s="60"/>
    </row>
    <row r="98" spans="1:22" s="58" customFormat="1" ht="45" customHeight="1" x14ac:dyDescent="0.2">
      <c r="A98" s="86" t="s">
        <v>365</v>
      </c>
      <c r="B98" s="86" t="s">
        <v>230</v>
      </c>
      <c r="C98" s="86" t="s">
        <v>161</v>
      </c>
      <c r="D98" s="86" t="s">
        <v>564</v>
      </c>
      <c r="E98" s="88" t="s">
        <v>565</v>
      </c>
      <c r="F98" s="86" t="s">
        <v>566</v>
      </c>
      <c r="G98" s="90">
        <v>13500</v>
      </c>
      <c r="H98" s="92"/>
      <c r="I98" s="94">
        <v>0.2</v>
      </c>
      <c r="J98" s="77" t="s">
        <v>18217</v>
      </c>
      <c r="K98" s="86" t="s">
        <v>61</v>
      </c>
      <c r="L98" s="86"/>
      <c r="M98" s="79" t="str">
        <f>HYPERLINK("https://pristavka.com/catalog/hori/HR288/")</f>
        <v>https://pristavka.com/catalog/hori/HR288/</v>
      </c>
      <c r="N98" s="90">
        <v>17999</v>
      </c>
      <c r="O98" s="86" t="s">
        <v>27</v>
      </c>
      <c r="P98" s="97" t="s">
        <v>567</v>
      </c>
      <c r="Q98" s="99"/>
      <c r="R98" s="99"/>
      <c r="S98" s="99">
        <v>0.21199999999999999</v>
      </c>
      <c r="T98" s="97" t="s">
        <v>568</v>
      </c>
      <c r="U98" s="99" t="s">
        <v>177</v>
      </c>
      <c r="V98" s="60"/>
    </row>
    <row r="99" spans="1:22" s="11" customFormat="1" ht="45" customHeight="1" x14ac:dyDescent="0.2">
      <c r="A99" s="66" t="s">
        <v>365</v>
      </c>
      <c r="B99" s="66" t="s">
        <v>230</v>
      </c>
      <c r="C99" s="66" t="s">
        <v>161</v>
      </c>
      <c r="D99" s="66" t="s">
        <v>569</v>
      </c>
      <c r="E99" s="68" t="s">
        <v>570</v>
      </c>
      <c r="F99" s="66" t="s">
        <v>571</v>
      </c>
      <c r="G99" s="71">
        <v>11700</v>
      </c>
      <c r="H99" s="73"/>
      <c r="I99" s="75">
        <v>0.2</v>
      </c>
      <c r="J99" s="77" t="s">
        <v>18218</v>
      </c>
      <c r="K99" s="66"/>
      <c r="L99" s="66"/>
      <c r="M99" s="79" t="str">
        <f>HYPERLINK("http://www.pristavka.com/catalog/hori/HR211/")</f>
        <v>http://www.pristavka.com/catalog/hori/HR211/</v>
      </c>
      <c r="N99" s="71">
        <v>15599</v>
      </c>
      <c r="O99" s="66" t="s">
        <v>28</v>
      </c>
      <c r="P99" s="82" t="s">
        <v>572</v>
      </c>
      <c r="Q99" s="84"/>
      <c r="R99" s="84"/>
      <c r="S99" s="84">
        <v>0.16</v>
      </c>
      <c r="T99" s="82" t="s">
        <v>573</v>
      </c>
      <c r="U99" s="84" t="s">
        <v>177</v>
      </c>
      <c r="V99" s="54"/>
    </row>
    <row r="100" spans="1:22" s="58" customFormat="1" ht="45" customHeight="1" x14ac:dyDescent="0.2">
      <c r="A100" s="86" t="s">
        <v>365</v>
      </c>
      <c r="B100" s="86" t="s">
        <v>160</v>
      </c>
      <c r="C100" s="86" t="s">
        <v>161</v>
      </c>
      <c r="D100" s="86" t="s">
        <v>574</v>
      </c>
      <c r="E100" s="88" t="s">
        <v>575</v>
      </c>
      <c r="F100" s="86" t="s">
        <v>576</v>
      </c>
      <c r="G100" s="90">
        <v>136300</v>
      </c>
      <c r="H100" s="92"/>
      <c r="I100" s="94">
        <v>0.2</v>
      </c>
      <c r="J100" s="77" t="s">
        <v>18219</v>
      </c>
      <c r="K100" s="86" t="s">
        <v>61</v>
      </c>
      <c r="L100" s="86"/>
      <c r="M100" s="79" t="str">
        <f>HYPERLINK("https://pristavka.com/catalog/hori/HR287/")</f>
        <v>https://pristavka.com/catalog/hori/HR287/</v>
      </c>
      <c r="N100" s="90">
        <v>170399</v>
      </c>
      <c r="O100" s="86" t="s">
        <v>27</v>
      </c>
      <c r="P100" s="97" t="s">
        <v>577</v>
      </c>
      <c r="Q100" s="99"/>
      <c r="R100" s="99"/>
      <c r="S100" s="99">
        <v>3.363</v>
      </c>
      <c r="T100" s="97" t="s">
        <v>578</v>
      </c>
      <c r="U100" s="99" t="s">
        <v>177</v>
      </c>
      <c r="V100" s="60"/>
    </row>
    <row r="101" spans="1:22" s="58" customFormat="1" ht="45" customHeight="1" x14ac:dyDescent="0.2">
      <c r="A101" s="86" t="s">
        <v>365</v>
      </c>
      <c r="B101" s="86" t="s">
        <v>160</v>
      </c>
      <c r="C101" s="86" t="s">
        <v>161</v>
      </c>
      <c r="D101" s="86" t="s">
        <v>579</v>
      </c>
      <c r="E101" s="88" t="s">
        <v>580</v>
      </c>
      <c r="F101" s="86" t="s">
        <v>581</v>
      </c>
      <c r="G101" s="90">
        <v>147700</v>
      </c>
      <c r="H101" s="92"/>
      <c r="I101" s="94">
        <v>0.2</v>
      </c>
      <c r="J101" s="77"/>
      <c r="K101" s="86" t="s">
        <v>61</v>
      </c>
      <c r="L101" s="86"/>
      <c r="M101" s="79" t="str">
        <f>HYPERLINK("https://pristavka.com/catalog/hori/HR307/")</f>
        <v>https://pristavka.com/catalog/hori/HR307/</v>
      </c>
      <c r="N101" s="90">
        <v>184599</v>
      </c>
      <c r="O101" s="86" t="s">
        <v>27</v>
      </c>
      <c r="P101" s="97" t="s">
        <v>582</v>
      </c>
      <c r="Q101" s="99"/>
      <c r="R101" s="99"/>
      <c r="S101" s="99">
        <v>3.38</v>
      </c>
      <c r="T101" s="97" t="s">
        <v>583</v>
      </c>
      <c r="U101" s="99" t="s">
        <v>177</v>
      </c>
      <c r="V101" s="60"/>
    </row>
    <row r="102" spans="1:22" s="58" customFormat="1" ht="45" customHeight="1" x14ac:dyDescent="0.2">
      <c r="A102" s="86" t="s">
        <v>365</v>
      </c>
      <c r="B102" s="86" t="s">
        <v>160</v>
      </c>
      <c r="C102" s="86" t="s">
        <v>161</v>
      </c>
      <c r="D102" s="86" t="s">
        <v>584</v>
      </c>
      <c r="E102" s="88" t="s">
        <v>585</v>
      </c>
      <c r="F102" s="86" t="s">
        <v>586</v>
      </c>
      <c r="G102" s="90">
        <v>110100</v>
      </c>
      <c r="H102" s="92"/>
      <c r="I102" s="94">
        <v>0.2</v>
      </c>
      <c r="J102" s="77" t="s">
        <v>18220</v>
      </c>
      <c r="K102" s="86" t="s">
        <v>61</v>
      </c>
      <c r="L102" s="86"/>
      <c r="M102" s="79" t="str">
        <f>HYPERLINK("https://pristavka.com/catalog/hori/HR241/")</f>
        <v>https://pristavka.com/catalog/hori/HR241/</v>
      </c>
      <c r="N102" s="90">
        <v>146699</v>
      </c>
      <c r="O102" s="86" t="s">
        <v>27</v>
      </c>
      <c r="P102" s="97" t="s">
        <v>587</v>
      </c>
      <c r="Q102" s="99"/>
      <c r="R102" s="99"/>
      <c r="S102" s="99">
        <v>3.3980000000000001</v>
      </c>
      <c r="T102" s="97" t="s">
        <v>588</v>
      </c>
      <c r="U102" s="99" t="s">
        <v>177</v>
      </c>
      <c r="V102" s="60"/>
    </row>
    <row r="103" spans="1:22" s="58" customFormat="1" ht="45" customHeight="1" x14ac:dyDescent="0.2">
      <c r="A103" s="86" t="s">
        <v>365</v>
      </c>
      <c r="B103" s="86" t="s">
        <v>160</v>
      </c>
      <c r="C103" s="86" t="s">
        <v>161</v>
      </c>
      <c r="D103" s="86" t="s">
        <v>589</v>
      </c>
      <c r="E103" s="88" t="s">
        <v>590</v>
      </c>
      <c r="F103" s="86" t="s">
        <v>591</v>
      </c>
      <c r="G103" s="90">
        <v>33200</v>
      </c>
      <c r="H103" s="92"/>
      <c r="I103" s="94">
        <v>0.2</v>
      </c>
      <c r="J103" s="77"/>
      <c r="K103" s="86" t="s">
        <v>61</v>
      </c>
      <c r="L103" s="86"/>
      <c r="M103" s="79" t="str">
        <f>HYPERLINK("https://pristavka.com/catalog/hori/HR308/")</f>
        <v>https://pristavka.com/catalog/hori/HR308/</v>
      </c>
      <c r="N103" s="90">
        <v>42599</v>
      </c>
      <c r="O103" s="86" t="s">
        <v>27</v>
      </c>
      <c r="P103" s="97" t="s">
        <v>592</v>
      </c>
      <c r="Q103" s="99"/>
      <c r="R103" s="99"/>
      <c r="S103" s="99">
        <v>0.66800000000000004</v>
      </c>
      <c r="T103" s="97" t="s">
        <v>593</v>
      </c>
      <c r="U103" s="99"/>
      <c r="V103" s="60"/>
    </row>
    <row r="104" spans="1:22" s="11" customFormat="1" ht="45" customHeight="1" x14ac:dyDescent="0.2">
      <c r="A104" s="66" t="s">
        <v>365</v>
      </c>
      <c r="B104" s="66" t="s">
        <v>160</v>
      </c>
      <c r="C104" s="66" t="s">
        <v>161</v>
      </c>
      <c r="D104" s="66" t="s">
        <v>162</v>
      </c>
      <c r="E104" s="68" t="s">
        <v>594</v>
      </c>
      <c r="F104" s="66" t="s">
        <v>595</v>
      </c>
      <c r="G104" s="71">
        <v>80200</v>
      </c>
      <c r="H104" s="73"/>
      <c r="I104" s="75">
        <v>0.2</v>
      </c>
      <c r="J104" s="77" t="s">
        <v>18221</v>
      </c>
      <c r="K104" s="66"/>
      <c r="L104" s="66"/>
      <c r="M104" s="79" t="str">
        <f>HYPERLINK("https://www.pristavka.com/catalog/hori/HR230/")</f>
        <v>https://www.pristavka.com/catalog/hori/HR230/</v>
      </c>
      <c r="N104" s="71">
        <v>104099</v>
      </c>
      <c r="O104" s="66" t="s">
        <v>27</v>
      </c>
      <c r="P104" s="82" t="s">
        <v>596</v>
      </c>
      <c r="Q104" s="84"/>
      <c r="R104" s="84"/>
      <c r="S104" s="84">
        <v>3.2349999999999999</v>
      </c>
      <c r="T104" s="82" t="s">
        <v>163</v>
      </c>
      <c r="U104" s="84"/>
      <c r="V104" s="54"/>
    </row>
    <row r="105" spans="1:22" s="58" customFormat="1" ht="45" customHeight="1" x14ac:dyDescent="0.2">
      <c r="A105" s="86" t="s">
        <v>365</v>
      </c>
      <c r="B105" s="86" t="s">
        <v>160</v>
      </c>
      <c r="C105" s="86" t="s">
        <v>161</v>
      </c>
      <c r="D105" s="86" t="s">
        <v>162</v>
      </c>
      <c r="E105" s="88" t="s">
        <v>597</v>
      </c>
      <c r="F105" s="86" t="s">
        <v>598</v>
      </c>
      <c r="G105" s="90">
        <v>102300</v>
      </c>
      <c r="H105" s="92"/>
      <c r="I105" s="94">
        <v>0.2</v>
      </c>
      <c r="J105" s="77"/>
      <c r="K105" s="86" t="s">
        <v>61</v>
      </c>
      <c r="L105" s="86"/>
      <c r="M105" s="79" t="str">
        <f>HYPERLINK("https://pristavka.com/catalog/hori/HR313/")</f>
        <v>https://pristavka.com/catalog/hori/HR313/</v>
      </c>
      <c r="N105" s="90">
        <v>127799</v>
      </c>
      <c r="O105" s="86" t="s">
        <v>27</v>
      </c>
      <c r="P105" s="97" t="s">
        <v>599</v>
      </c>
      <c r="Q105" s="99"/>
      <c r="R105" s="99"/>
      <c r="S105" s="99">
        <v>3.42</v>
      </c>
      <c r="T105" s="97" t="s">
        <v>600</v>
      </c>
      <c r="U105" s="99"/>
      <c r="V105" s="60"/>
    </row>
    <row r="106" spans="1:22" s="11" customFormat="1" ht="45" customHeight="1" x14ac:dyDescent="0.2">
      <c r="A106" s="66" t="s">
        <v>365</v>
      </c>
      <c r="B106" s="66" t="s">
        <v>160</v>
      </c>
      <c r="C106" s="66" t="s">
        <v>161</v>
      </c>
      <c r="D106" s="66" t="s">
        <v>601</v>
      </c>
      <c r="E106" s="68" t="s">
        <v>602</v>
      </c>
      <c r="F106" s="66" t="s">
        <v>603</v>
      </c>
      <c r="G106" s="71">
        <v>34300</v>
      </c>
      <c r="H106" s="73"/>
      <c r="I106" s="75">
        <v>0.2</v>
      </c>
      <c r="J106" s="77"/>
      <c r="K106" s="66"/>
      <c r="L106" s="66"/>
      <c r="M106" s="79" t="str">
        <f>HYPERLINK("https://pristavka.com/catalog/hori/HR239/")</f>
        <v>https://pristavka.com/catalog/hori/HR239/</v>
      </c>
      <c r="N106" s="71">
        <v>44499</v>
      </c>
      <c r="O106" s="66" t="s">
        <v>27</v>
      </c>
      <c r="P106" s="82" t="s">
        <v>604</v>
      </c>
      <c r="Q106" s="84"/>
      <c r="R106" s="84"/>
      <c r="S106" s="84">
        <v>0.41299999999999998</v>
      </c>
      <c r="T106" s="82" t="s">
        <v>605</v>
      </c>
      <c r="U106" s="84" t="s">
        <v>177</v>
      </c>
      <c r="V106" s="54"/>
    </row>
    <row r="107" spans="1:22" s="58" customFormat="1" ht="45" customHeight="1" x14ac:dyDescent="0.2">
      <c r="A107" s="86" t="s">
        <v>365</v>
      </c>
      <c r="B107" s="86" t="s">
        <v>606</v>
      </c>
      <c r="C107" s="86" t="s">
        <v>161</v>
      </c>
      <c r="D107" s="86" t="s">
        <v>607</v>
      </c>
      <c r="E107" s="88" t="s">
        <v>608</v>
      </c>
      <c r="F107" s="86" t="s">
        <v>609</v>
      </c>
      <c r="G107" s="90">
        <v>231000</v>
      </c>
      <c r="H107" s="92"/>
      <c r="I107" s="94">
        <v>0.2</v>
      </c>
      <c r="J107" s="77"/>
      <c r="K107" s="86" t="s">
        <v>61</v>
      </c>
      <c r="L107" s="86"/>
      <c r="M107" s="79" t="str">
        <f>HYPERLINK("https://pristavka.com/catalog/hori/HR306/")</f>
        <v>https://pristavka.com/catalog/hori/HR306/</v>
      </c>
      <c r="N107" s="90">
        <v>288699</v>
      </c>
      <c r="O107" s="86" t="s">
        <v>27</v>
      </c>
      <c r="P107" s="97" t="s">
        <v>610</v>
      </c>
      <c r="Q107" s="99"/>
      <c r="R107" s="99"/>
      <c r="S107" s="99">
        <v>8</v>
      </c>
      <c r="T107" s="97" t="s">
        <v>611</v>
      </c>
      <c r="U107" s="99" t="s">
        <v>177</v>
      </c>
      <c r="V107" s="60"/>
    </row>
    <row r="108" spans="1:22" s="58" customFormat="1" ht="45" customHeight="1" x14ac:dyDescent="0.2">
      <c r="A108" s="86" t="s">
        <v>365</v>
      </c>
      <c r="B108" s="86" t="s">
        <v>606</v>
      </c>
      <c r="C108" s="86" t="s">
        <v>161</v>
      </c>
      <c r="D108" s="86" t="s">
        <v>612</v>
      </c>
      <c r="E108" s="88" t="s">
        <v>613</v>
      </c>
      <c r="F108" s="86" t="s">
        <v>614</v>
      </c>
      <c r="G108" s="90">
        <v>367200</v>
      </c>
      <c r="H108" s="92"/>
      <c r="I108" s="94">
        <v>0.2</v>
      </c>
      <c r="J108" s="77"/>
      <c r="K108" s="86" t="s">
        <v>61</v>
      </c>
      <c r="L108" s="86"/>
      <c r="M108" s="79" t="str">
        <f>HYPERLINK("https://pristavka.com/catalog/hori/HR310/")</f>
        <v>https://pristavka.com/catalog/hori/HR310/</v>
      </c>
      <c r="N108" s="90">
        <v>447799</v>
      </c>
      <c r="O108" s="86" t="s">
        <v>28</v>
      </c>
      <c r="P108" s="97" t="s">
        <v>615</v>
      </c>
      <c r="Q108" s="99"/>
      <c r="R108" s="99"/>
      <c r="S108" s="99">
        <v>12.5</v>
      </c>
      <c r="T108" s="97" t="s">
        <v>616</v>
      </c>
      <c r="U108" s="99" t="s">
        <v>177</v>
      </c>
      <c r="V108" s="60"/>
    </row>
    <row r="109" spans="1:22" s="11" customFormat="1" ht="45" customHeight="1" x14ac:dyDescent="0.2">
      <c r="A109" s="66" t="s">
        <v>365</v>
      </c>
      <c r="B109" s="66" t="s">
        <v>617</v>
      </c>
      <c r="C109" s="66" t="s">
        <v>161</v>
      </c>
      <c r="D109" s="66" t="s">
        <v>618</v>
      </c>
      <c r="E109" s="68" t="s">
        <v>619</v>
      </c>
      <c r="F109" s="66" t="s">
        <v>620</v>
      </c>
      <c r="G109" s="71">
        <v>114500</v>
      </c>
      <c r="H109" s="73"/>
      <c r="I109" s="75">
        <v>0.2</v>
      </c>
      <c r="J109" s="77" t="s">
        <v>18222</v>
      </c>
      <c r="K109" s="66"/>
      <c r="L109" s="66"/>
      <c r="M109" s="79" t="str">
        <f>HYPERLINK("http://www.pristavka.com/catalog/hori/HR216/")</f>
        <v>http://www.pristavka.com/catalog/hori/HR216/</v>
      </c>
      <c r="N109" s="71">
        <v>146699</v>
      </c>
      <c r="O109" s="66" t="s">
        <v>27</v>
      </c>
      <c r="P109" s="82" t="s">
        <v>621</v>
      </c>
      <c r="Q109" s="84"/>
      <c r="R109" s="84"/>
      <c r="S109" s="84">
        <v>3.383</v>
      </c>
      <c r="T109" s="82" t="s">
        <v>622</v>
      </c>
      <c r="U109" s="84" t="s">
        <v>177</v>
      </c>
      <c r="V109" s="54"/>
    </row>
    <row r="110" spans="1:22" s="11" customFormat="1" ht="45" customHeight="1" x14ac:dyDescent="0.2">
      <c r="A110" s="66" t="s">
        <v>365</v>
      </c>
      <c r="B110" s="66" t="s">
        <v>617</v>
      </c>
      <c r="C110" s="66" t="s">
        <v>161</v>
      </c>
      <c r="D110" s="66" t="s">
        <v>623</v>
      </c>
      <c r="E110" s="68" t="s">
        <v>624</v>
      </c>
      <c r="F110" s="66" t="s">
        <v>625</v>
      </c>
      <c r="G110" s="71">
        <v>34300</v>
      </c>
      <c r="H110" s="73"/>
      <c r="I110" s="75">
        <v>0.2</v>
      </c>
      <c r="J110" s="77" t="s">
        <v>18223</v>
      </c>
      <c r="K110" s="66"/>
      <c r="L110" s="66"/>
      <c r="M110" s="79" t="str">
        <f>HYPERLINK("http://www.pristavka.com/catalog/hori/HR221/")</f>
        <v>http://www.pristavka.com/catalog/hori/HR221/</v>
      </c>
      <c r="N110" s="71">
        <v>44499</v>
      </c>
      <c r="O110" s="66" t="s">
        <v>28</v>
      </c>
      <c r="P110" s="82" t="s">
        <v>626</v>
      </c>
      <c r="Q110" s="84"/>
      <c r="R110" s="84"/>
      <c r="S110" s="84">
        <v>0.36</v>
      </c>
      <c r="T110" s="82" t="s">
        <v>627</v>
      </c>
      <c r="U110" s="84" t="s">
        <v>177</v>
      </c>
      <c r="V110" s="54"/>
    </row>
    <row r="111" spans="1:22" s="11" customFormat="1" ht="45" customHeight="1" x14ac:dyDescent="0.2">
      <c r="A111" s="66" t="s">
        <v>365</v>
      </c>
      <c r="B111" s="66" t="s">
        <v>617</v>
      </c>
      <c r="C111" s="66" t="s">
        <v>161</v>
      </c>
      <c r="D111" s="66" t="s">
        <v>628</v>
      </c>
      <c r="E111" s="68" t="s">
        <v>629</v>
      </c>
      <c r="F111" s="66" t="s">
        <v>630</v>
      </c>
      <c r="G111" s="71">
        <v>27700</v>
      </c>
      <c r="H111" s="73"/>
      <c r="I111" s="75">
        <v>0.2</v>
      </c>
      <c r="J111" s="77" t="s">
        <v>18224</v>
      </c>
      <c r="K111" s="66"/>
      <c r="L111" s="66"/>
      <c r="M111" s="79" t="str">
        <f>HYPERLINK("http://www.pristavka.com/catalog/hori/HR208/")</f>
        <v>http://www.pristavka.com/catalog/hori/HR208/</v>
      </c>
      <c r="N111" s="71">
        <v>36899</v>
      </c>
      <c r="O111" s="66" t="s">
        <v>27</v>
      </c>
      <c r="P111" s="82" t="s">
        <v>631</v>
      </c>
      <c r="Q111" s="84"/>
      <c r="R111" s="84"/>
      <c r="S111" s="84">
        <v>0.41799999999999998</v>
      </c>
      <c r="T111" s="82" t="s">
        <v>632</v>
      </c>
      <c r="U111" s="84" t="s">
        <v>177</v>
      </c>
      <c r="V111" s="54"/>
    </row>
    <row r="112" spans="1:22" s="11" customFormat="1" ht="45" customHeight="1" x14ac:dyDescent="0.2">
      <c r="A112" s="66" t="s">
        <v>365</v>
      </c>
      <c r="B112" s="66" t="s">
        <v>633</v>
      </c>
      <c r="C112" s="66" t="s">
        <v>161</v>
      </c>
      <c r="D112" s="66" t="s">
        <v>634</v>
      </c>
      <c r="E112" s="68" t="s">
        <v>635</v>
      </c>
      <c r="F112" s="66" t="s">
        <v>636</v>
      </c>
      <c r="G112" s="71">
        <v>174000</v>
      </c>
      <c r="H112" s="73"/>
      <c r="I112" s="75">
        <v>0.2</v>
      </c>
      <c r="J112" s="77" t="s">
        <v>18225</v>
      </c>
      <c r="K112" s="66"/>
      <c r="L112" s="66"/>
      <c r="M112" s="79" t="str">
        <f>HYPERLINK("https://www.pristavka.com/catalog/hori/HR222/")</f>
        <v>https://www.pristavka.com/catalog/hori/HR222/</v>
      </c>
      <c r="N112" s="71">
        <v>231899</v>
      </c>
      <c r="O112" s="66" t="s">
        <v>27</v>
      </c>
      <c r="P112" s="82" t="s">
        <v>637</v>
      </c>
      <c r="Q112" s="84"/>
      <c r="R112" s="84"/>
      <c r="S112" s="84">
        <v>1.9</v>
      </c>
      <c r="T112" s="82" t="s">
        <v>638</v>
      </c>
      <c r="U112" s="84"/>
      <c r="V112" s="54"/>
    </row>
    <row r="113" spans="1:22" s="11" customFormat="1" ht="45" customHeight="1" x14ac:dyDescent="0.2">
      <c r="A113" s="66" t="s">
        <v>365</v>
      </c>
      <c r="B113" s="66" t="s">
        <v>617</v>
      </c>
      <c r="C113" s="66" t="s">
        <v>161</v>
      </c>
      <c r="D113" s="66" t="s">
        <v>639</v>
      </c>
      <c r="E113" s="68" t="s">
        <v>640</v>
      </c>
      <c r="F113" s="66" t="s">
        <v>641</v>
      </c>
      <c r="G113" s="71">
        <v>74600</v>
      </c>
      <c r="H113" s="73"/>
      <c r="I113" s="75">
        <v>0.2</v>
      </c>
      <c r="J113" s="77" t="s">
        <v>18226</v>
      </c>
      <c r="K113" s="66"/>
      <c r="L113" s="66"/>
      <c r="M113" s="79" t="str">
        <f>HYPERLINK("http://www.pristavka.com/catalog/hori/HR207/")</f>
        <v>http://www.pristavka.com/catalog/hori/HR207/</v>
      </c>
      <c r="N113" s="71">
        <v>99399</v>
      </c>
      <c r="O113" s="66" t="s">
        <v>27</v>
      </c>
      <c r="P113" s="82" t="s">
        <v>642</v>
      </c>
      <c r="Q113" s="84"/>
      <c r="R113" s="84"/>
      <c r="S113" s="84">
        <v>3.27</v>
      </c>
      <c r="T113" s="82" t="s">
        <v>643</v>
      </c>
      <c r="U113" s="84"/>
      <c r="V113" s="54"/>
    </row>
    <row r="114" spans="1:22" s="58" customFormat="1" ht="45" customHeight="1" x14ac:dyDescent="0.2">
      <c r="A114" s="86" t="s">
        <v>365</v>
      </c>
      <c r="B114" s="86" t="s">
        <v>606</v>
      </c>
      <c r="C114" s="86" t="s">
        <v>161</v>
      </c>
      <c r="D114" s="86" t="s">
        <v>644</v>
      </c>
      <c r="E114" s="88" t="s">
        <v>645</v>
      </c>
      <c r="F114" s="86" t="s">
        <v>646</v>
      </c>
      <c r="G114" s="90">
        <v>32600</v>
      </c>
      <c r="H114" s="92"/>
      <c r="I114" s="94">
        <v>0.2</v>
      </c>
      <c r="J114" s="77"/>
      <c r="K114" s="86" t="s">
        <v>61</v>
      </c>
      <c r="L114" s="86"/>
      <c r="M114" s="79" t="str">
        <f>HYPERLINK("https://pristavka.com/catalog/hori/HR312/")</f>
        <v>https://pristavka.com/catalog/hori/HR312/</v>
      </c>
      <c r="N114" s="90">
        <v>40699</v>
      </c>
      <c r="O114" s="86" t="s">
        <v>27</v>
      </c>
      <c r="P114" s="97" t="s">
        <v>647</v>
      </c>
      <c r="Q114" s="99"/>
      <c r="R114" s="99"/>
      <c r="S114" s="99">
        <v>0.38400000000000001</v>
      </c>
      <c r="T114" s="97" t="s">
        <v>648</v>
      </c>
      <c r="U114" s="99" t="s">
        <v>177</v>
      </c>
      <c r="V114" s="60"/>
    </row>
    <row r="115" spans="1:22" s="58" customFormat="1" ht="45" customHeight="1" x14ac:dyDescent="0.2">
      <c r="A115" s="86" t="s">
        <v>365</v>
      </c>
      <c r="B115" s="86" t="s">
        <v>606</v>
      </c>
      <c r="C115" s="86" t="s">
        <v>161</v>
      </c>
      <c r="D115" s="86" t="s">
        <v>649</v>
      </c>
      <c r="E115" s="88" t="s">
        <v>650</v>
      </c>
      <c r="F115" s="86" t="s">
        <v>651</v>
      </c>
      <c r="G115" s="90">
        <v>32600</v>
      </c>
      <c r="H115" s="92"/>
      <c r="I115" s="94">
        <v>0.2</v>
      </c>
      <c r="J115" s="77"/>
      <c r="K115" s="86" t="s">
        <v>61</v>
      </c>
      <c r="L115" s="86"/>
      <c r="M115" s="79" t="str">
        <f>HYPERLINK("https://pristavka.com/catalog/hori/HR311/")</f>
        <v>https://pristavka.com/catalog/hori/HR311/</v>
      </c>
      <c r="N115" s="90">
        <v>40699</v>
      </c>
      <c r="O115" s="86" t="s">
        <v>27</v>
      </c>
      <c r="P115" s="97" t="s">
        <v>652</v>
      </c>
      <c r="Q115" s="99"/>
      <c r="R115" s="99"/>
      <c r="S115" s="99">
        <v>0.38</v>
      </c>
      <c r="T115" s="97" t="s">
        <v>653</v>
      </c>
      <c r="U115" s="99" t="s">
        <v>177</v>
      </c>
      <c r="V115" s="60"/>
    </row>
    <row r="116" spans="1:22" s="58" customFormat="1" ht="45" customHeight="1" x14ac:dyDescent="0.2">
      <c r="A116" s="86" t="s">
        <v>365</v>
      </c>
      <c r="B116" s="86" t="s">
        <v>606</v>
      </c>
      <c r="C116" s="86" t="s">
        <v>161</v>
      </c>
      <c r="D116" s="86" t="s">
        <v>612</v>
      </c>
      <c r="E116" s="88" t="s">
        <v>654</v>
      </c>
      <c r="F116" s="86" t="s">
        <v>655</v>
      </c>
      <c r="G116" s="90">
        <v>50200</v>
      </c>
      <c r="H116" s="92"/>
      <c r="I116" s="94">
        <v>0.2</v>
      </c>
      <c r="J116" s="77"/>
      <c r="K116" s="86" t="s">
        <v>61</v>
      </c>
      <c r="L116" s="86"/>
      <c r="M116" s="79" t="str">
        <f>HYPERLINK("https://pristavka.com/catalog/hori/HR309/")</f>
        <v>https://pristavka.com/catalog/hori/HR309/</v>
      </c>
      <c r="N116" s="90">
        <v>64399</v>
      </c>
      <c r="O116" s="86" t="s">
        <v>28</v>
      </c>
      <c r="P116" s="97" t="s">
        <v>656</v>
      </c>
      <c r="Q116" s="99"/>
      <c r="R116" s="99"/>
      <c r="S116" s="99">
        <v>1.851</v>
      </c>
      <c r="T116" s="97" t="s">
        <v>657</v>
      </c>
      <c r="U116" s="99"/>
      <c r="V116" s="60"/>
    </row>
    <row r="117" spans="1:22" s="58" customFormat="1" ht="45" customHeight="1" x14ac:dyDescent="0.2">
      <c r="A117" s="86" t="s">
        <v>658</v>
      </c>
      <c r="B117" s="86" t="s">
        <v>606</v>
      </c>
      <c r="C117" s="86" t="s">
        <v>659</v>
      </c>
      <c r="D117" s="86" t="s">
        <v>660</v>
      </c>
      <c r="E117" s="88" t="s">
        <v>661</v>
      </c>
      <c r="F117" s="86" t="s">
        <v>662</v>
      </c>
      <c r="G117" s="90">
        <v>9057</v>
      </c>
      <c r="H117" s="92"/>
      <c r="I117" s="94">
        <v>0.2</v>
      </c>
      <c r="J117" s="77" t="s">
        <v>18227</v>
      </c>
      <c r="K117" s="86" t="s">
        <v>61</v>
      </c>
      <c r="L117" s="86"/>
      <c r="M117" s="79" t="str">
        <f>HYPERLINK("https://www.pristavka.com/catalog/marvo/MR56/")</f>
        <v>https://www.pristavka.com/catalog/marvo/MR56/</v>
      </c>
      <c r="N117" s="90">
        <v>15999</v>
      </c>
      <c r="O117" s="86" t="s">
        <v>27</v>
      </c>
      <c r="P117" s="97" t="s">
        <v>663</v>
      </c>
      <c r="Q117" s="99"/>
      <c r="R117" s="99"/>
      <c r="S117" s="99">
        <v>0.95</v>
      </c>
      <c r="T117" s="97" t="s">
        <v>664</v>
      </c>
      <c r="U117" s="99" t="s">
        <v>177</v>
      </c>
      <c r="V117" s="60"/>
    </row>
    <row r="118" spans="1:22" s="58" customFormat="1" ht="45" customHeight="1" x14ac:dyDescent="0.2">
      <c r="A118" s="86" t="s">
        <v>658</v>
      </c>
      <c r="B118" s="86" t="s">
        <v>606</v>
      </c>
      <c r="C118" s="86" t="s">
        <v>659</v>
      </c>
      <c r="D118" s="86" t="s">
        <v>665</v>
      </c>
      <c r="E118" s="88" t="s">
        <v>666</v>
      </c>
      <c r="F118" s="86" t="s">
        <v>667</v>
      </c>
      <c r="G118" s="90">
        <v>1800</v>
      </c>
      <c r="H118" s="92"/>
      <c r="I118" s="94">
        <v>0.2</v>
      </c>
      <c r="J118" s="77"/>
      <c r="K118" s="86" t="s">
        <v>61</v>
      </c>
      <c r="L118" s="86"/>
      <c r="M118" s="79" t="str">
        <f>HYPERLINK("http://www.pristavka.com/catalog/marvo/MR23/")</f>
        <v>http://www.pristavka.com/catalog/marvo/MR23/</v>
      </c>
      <c r="N118" s="90">
        <v>2999</v>
      </c>
      <c r="O118" s="86" t="s">
        <v>27</v>
      </c>
      <c r="P118" s="97" t="s">
        <v>668</v>
      </c>
      <c r="Q118" s="99"/>
      <c r="R118" s="99"/>
      <c r="S118" s="99">
        <v>0.252</v>
      </c>
      <c r="T118" s="97" t="s">
        <v>669</v>
      </c>
      <c r="U118" s="99" t="s">
        <v>177</v>
      </c>
      <c r="V118" s="60"/>
    </row>
    <row r="119" spans="1:22" s="58" customFormat="1" ht="45" customHeight="1" x14ac:dyDescent="0.2">
      <c r="A119" s="86" t="s">
        <v>658</v>
      </c>
      <c r="B119" s="86" t="s">
        <v>606</v>
      </c>
      <c r="C119" s="86" t="s">
        <v>659</v>
      </c>
      <c r="D119" s="86" t="s">
        <v>670</v>
      </c>
      <c r="E119" s="88" t="s">
        <v>671</v>
      </c>
      <c r="F119" s="86" t="s">
        <v>672</v>
      </c>
      <c r="G119" s="90">
        <v>2898</v>
      </c>
      <c r="H119" s="92"/>
      <c r="I119" s="94">
        <v>0.2</v>
      </c>
      <c r="J119" s="77" t="s">
        <v>18228</v>
      </c>
      <c r="K119" s="86" t="s">
        <v>61</v>
      </c>
      <c r="L119" s="86"/>
      <c r="M119" s="79" t="str">
        <f>HYPERLINK("http://www.pristavka.com/catalog/marvo/MR37/")</f>
        <v>http://www.pristavka.com/catalog/marvo/MR37/</v>
      </c>
      <c r="N119" s="90">
        <v>4699</v>
      </c>
      <c r="O119" s="86" t="s">
        <v>27</v>
      </c>
      <c r="P119" s="97" t="s">
        <v>673</v>
      </c>
      <c r="Q119" s="99"/>
      <c r="R119" s="99"/>
      <c r="S119" s="99">
        <v>0.629</v>
      </c>
      <c r="T119" s="97" t="s">
        <v>674</v>
      </c>
      <c r="U119" s="99" t="s">
        <v>177</v>
      </c>
      <c r="V119" s="60"/>
    </row>
    <row r="120" spans="1:22" s="58" customFormat="1" ht="45" customHeight="1" x14ac:dyDescent="0.2">
      <c r="A120" s="86" t="s">
        <v>658</v>
      </c>
      <c r="B120" s="86" t="s">
        <v>606</v>
      </c>
      <c r="C120" s="86" t="s">
        <v>659</v>
      </c>
      <c r="D120" s="86" t="s">
        <v>675</v>
      </c>
      <c r="E120" s="88" t="s">
        <v>676</v>
      </c>
      <c r="F120" s="86" t="s">
        <v>677</v>
      </c>
      <c r="G120" s="90">
        <v>2898</v>
      </c>
      <c r="H120" s="92"/>
      <c r="I120" s="94">
        <v>0.2</v>
      </c>
      <c r="J120" s="77" t="s">
        <v>18228</v>
      </c>
      <c r="K120" s="86" t="s">
        <v>61</v>
      </c>
      <c r="L120" s="86"/>
      <c r="M120" s="79" t="str">
        <f>HYPERLINK("http://www.pristavka.com/catalog/marvo/MR38/")</f>
        <v>http://www.pristavka.com/catalog/marvo/MR38/</v>
      </c>
      <c r="N120" s="90">
        <v>4699</v>
      </c>
      <c r="O120" s="86" t="s">
        <v>27</v>
      </c>
      <c r="P120" s="97" t="s">
        <v>678</v>
      </c>
      <c r="Q120" s="99"/>
      <c r="R120" s="99"/>
      <c r="S120" s="99">
        <v>0.66</v>
      </c>
      <c r="T120" s="97" t="s">
        <v>674</v>
      </c>
      <c r="U120" s="99" t="s">
        <v>177</v>
      </c>
      <c r="V120" s="60"/>
    </row>
    <row r="121" spans="1:22" s="58" customFormat="1" ht="45" customHeight="1" x14ac:dyDescent="0.2">
      <c r="A121" s="86" t="s">
        <v>658</v>
      </c>
      <c r="B121" s="86" t="s">
        <v>606</v>
      </c>
      <c r="C121" s="86" t="s">
        <v>659</v>
      </c>
      <c r="D121" s="86" t="s">
        <v>679</v>
      </c>
      <c r="E121" s="88" t="s">
        <v>680</v>
      </c>
      <c r="F121" s="86" t="s">
        <v>681</v>
      </c>
      <c r="G121" s="90">
        <v>3000</v>
      </c>
      <c r="H121" s="92"/>
      <c r="I121" s="94">
        <v>0.2</v>
      </c>
      <c r="J121" s="77" t="s">
        <v>18229</v>
      </c>
      <c r="K121" s="86" t="s">
        <v>61</v>
      </c>
      <c r="L121" s="86"/>
      <c r="M121" s="79" t="str">
        <f>HYPERLINK("http://www.pristavka.com/catalog/marvo/MR36/")</f>
        <v>http://www.pristavka.com/catalog/marvo/MR36/</v>
      </c>
      <c r="N121" s="90">
        <v>4999</v>
      </c>
      <c r="O121" s="86" t="s">
        <v>27</v>
      </c>
      <c r="P121" s="97" t="s">
        <v>682</v>
      </c>
      <c r="Q121" s="99"/>
      <c r="R121" s="99"/>
      <c r="S121" s="99">
        <v>0.59199999999999997</v>
      </c>
      <c r="T121" s="97" t="s">
        <v>683</v>
      </c>
      <c r="U121" s="99" t="s">
        <v>177</v>
      </c>
      <c r="V121" s="60"/>
    </row>
    <row r="122" spans="1:22" s="58" customFormat="1" ht="45" customHeight="1" x14ac:dyDescent="0.2">
      <c r="A122" s="86" t="s">
        <v>658</v>
      </c>
      <c r="B122" s="86" t="s">
        <v>606</v>
      </c>
      <c r="C122" s="86" t="s">
        <v>659</v>
      </c>
      <c r="D122" s="86" t="s">
        <v>684</v>
      </c>
      <c r="E122" s="88" t="s">
        <v>685</v>
      </c>
      <c r="F122" s="86" t="s">
        <v>686</v>
      </c>
      <c r="G122" s="90">
        <v>1200</v>
      </c>
      <c r="H122" s="92"/>
      <c r="I122" s="94">
        <v>0.2</v>
      </c>
      <c r="J122" s="77" t="s">
        <v>18230</v>
      </c>
      <c r="K122" s="86" t="s">
        <v>61</v>
      </c>
      <c r="L122" s="86"/>
      <c r="M122" s="79" t="str">
        <f>HYPERLINK("http://www.pristavka.com/catalog/marvo/MR39/")</f>
        <v>http://www.pristavka.com/catalog/marvo/MR39/</v>
      </c>
      <c r="N122" s="90">
        <v>1999</v>
      </c>
      <c r="O122" s="86" t="s">
        <v>27</v>
      </c>
      <c r="P122" s="97" t="s">
        <v>687</v>
      </c>
      <c r="Q122" s="99"/>
      <c r="R122" s="99"/>
      <c r="S122" s="99">
        <v>0.17799999999999999</v>
      </c>
      <c r="T122" s="97" t="s">
        <v>688</v>
      </c>
      <c r="U122" s="99" t="s">
        <v>177</v>
      </c>
      <c r="V122" s="60"/>
    </row>
    <row r="123" spans="1:22" s="58" customFormat="1" ht="45" customHeight="1" x14ac:dyDescent="0.2">
      <c r="A123" s="86" t="s">
        <v>658</v>
      </c>
      <c r="B123" s="86" t="s">
        <v>606</v>
      </c>
      <c r="C123" s="86" t="s">
        <v>659</v>
      </c>
      <c r="D123" s="86" t="s">
        <v>689</v>
      </c>
      <c r="E123" s="88" t="s">
        <v>690</v>
      </c>
      <c r="F123" s="86" t="s">
        <v>691</v>
      </c>
      <c r="G123" s="90">
        <v>4927</v>
      </c>
      <c r="H123" s="92"/>
      <c r="I123" s="94">
        <v>0.2</v>
      </c>
      <c r="J123" s="77" t="s">
        <v>18231</v>
      </c>
      <c r="K123" s="86" t="s">
        <v>61</v>
      </c>
      <c r="L123" s="86"/>
      <c r="M123" s="79" t="str">
        <f>HYPERLINK("http://www.pristavka.com/catalog/marvo/MR45/")</f>
        <v>http://www.pristavka.com/catalog/marvo/MR45/</v>
      </c>
      <c r="N123" s="90">
        <v>10899</v>
      </c>
      <c r="O123" s="86" t="s">
        <v>27</v>
      </c>
      <c r="P123" s="97" t="s">
        <v>692</v>
      </c>
      <c r="Q123" s="99"/>
      <c r="R123" s="99"/>
      <c r="S123" s="99">
        <v>0.185</v>
      </c>
      <c r="T123" s="97" t="s">
        <v>693</v>
      </c>
      <c r="U123" s="99" t="s">
        <v>177</v>
      </c>
      <c r="V123" s="60"/>
    </row>
    <row r="124" spans="1:22" s="58" customFormat="1" ht="45" customHeight="1" x14ac:dyDescent="0.2">
      <c r="A124" s="86" t="s">
        <v>658</v>
      </c>
      <c r="B124" s="86" t="s">
        <v>606</v>
      </c>
      <c r="C124" s="86" t="s">
        <v>659</v>
      </c>
      <c r="D124" s="86" t="s">
        <v>694</v>
      </c>
      <c r="E124" s="88" t="s">
        <v>695</v>
      </c>
      <c r="F124" s="86" t="s">
        <v>696</v>
      </c>
      <c r="G124" s="90">
        <v>6300</v>
      </c>
      <c r="H124" s="92"/>
      <c r="I124" s="94">
        <v>0.2</v>
      </c>
      <c r="J124" s="77"/>
      <c r="K124" s="86" t="s">
        <v>61</v>
      </c>
      <c r="L124" s="86"/>
      <c r="M124" s="79" t="str">
        <f>HYPERLINK("http://www.pristavka.com/catalog/marvo/MR27/")</f>
        <v>http://www.pristavka.com/catalog/marvo/MR27/</v>
      </c>
      <c r="N124" s="90">
        <v>10399</v>
      </c>
      <c r="O124" s="86" t="s">
        <v>27</v>
      </c>
      <c r="P124" s="97" t="s">
        <v>697</v>
      </c>
      <c r="Q124" s="99"/>
      <c r="R124" s="99"/>
      <c r="S124" s="99">
        <v>0.25</v>
      </c>
      <c r="T124" s="97" t="s">
        <v>698</v>
      </c>
      <c r="U124" s="99" t="s">
        <v>177</v>
      </c>
      <c r="V124" s="60"/>
    </row>
    <row r="125" spans="1:22" s="58" customFormat="1" ht="45" customHeight="1" x14ac:dyDescent="0.2">
      <c r="A125" s="86" t="s">
        <v>658</v>
      </c>
      <c r="B125" s="86" t="s">
        <v>606</v>
      </c>
      <c r="C125" s="86" t="s">
        <v>659</v>
      </c>
      <c r="D125" s="86" t="s">
        <v>699</v>
      </c>
      <c r="E125" s="88" t="s">
        <v>700</v>
      </c>
      <c r="F125" s="86" t="s">
        <v>701</v>
      </c>
      <c r="G125" s="90">
        <v>5796</v>
      </c>
      <c r="H125" s="92"/>
      <c r="I125" s="94">
        <v>0.2</v>
      </c>
      <c r="J125" s="77" t="s">
        <v>18232</v>
      </c>
      <c r="K125" s="86" t="s">
        <v>61</v>
      </c>
      <c r="L125" s="86"/>
      <c r="M125" s="79" t="str">
        <f>HYPERLINK("http://www.pristavka.com/catalog/marvo/MR29/")</f>
        <v>http://www.pristavka.com/catalog/marvo/MR29/</v>
      </c>
      <c r="N125" s="90">
        <v>12799</v>
      </c>
      <c r="O125" s="86" t="s">
        <v>27</v>
      </c>
      <c r="P125" s="97" t="s">
        <v>702</v>
      </c>
      <c r="Q125" s="99"/>
      <c r="R125" s="99"/>
      <c r="S125" s="99">
        <v>0.19600000000000001</v>
      </c>
      <c r="T125" s="97" t="s">
        <v>698</v>
      </c>
      <c r="U125" s="99" t="s">
        <v>177</v>
      </c>
      <c r="V125" s="60"/>
    </row>
    <row r="126" spans="1:22" s="58" customFormat="1" ht="45" customHeight="1" x14ac:dyDescent="0.2">
      <c r="A126" s="86" t="s">
        <v>658</v>
      </c>
      <c r="B126" s="86" t="s">
        <v>606</v>
      </c>
      <c r="C126" s="86" t="s">
        <v>659</v>
      </c>
      <c r="D126" s="86" t="s">
        <v>703</v>
      </c>
      <c r="E126" s="88" t="s">
        <v>704</v>
      </c>
      <c r="F126" s="86" t="s">
        <v>705</v>
      </c>
      <c r="G126" s="90">
        <v>4029</v>
      </c>
      <c r="H126" s="92"/>
      <c r="I126" s="94">
        <v>0.2</v>
      </c>
      <c r="J126" s="77"/>
      <c r="K126" s="86" t="s">
        <v>61</v>
      </c>
      <c r="L126" s="86"/>
      <c r="M126" s="79" t="str">
        <f>HYPERLINK("https://www.pristavka.com/catalog/marvo/MR41/")</f>
        <v>https://www.pristavka.com/catalog/marvo/MR41/</v>
      </c>
      <c r="N126" s="90">
        <v>8899</v>
      </c>
      <c r="O126" s="86" t="s">
        <v>28</v>
      </c>
      <c r="P126" s="97" t="s">
        <v>706</v>
      </c>
      <c r="Q126" s="99"/>
      <c r="R126" s="99"/>
      <c r="S126" s="99">
        <v>0.19900000000000001</v>
      </c>
      <c r="T126" s="97" t="s">
        <v>693</v>
      </c>
      <c r="U126" s="99" t="s">
        <v>177</v>
      </c>
      <c r="V126" s="60"/>
    </row>
    <row r="127" spans="1:22" s="58" customFormat="1" ht="45" customHeight="1" x14ac:dyDescent="0.2">
      <c r="A127" s="86" t="s">
        <v>658</v>
      </c>
      <c r="B127" s="86" t="s">
        <v>606</v>
      </c>
      <c r="C127" s="86" t="s">
        <v>659</v>
      </c>
      <c r="D127" s="86" t="s">
        <v>707</v>
      </c>
      <c r="E127" s="88" t="s">
        <v>708</v>
      </c>
      <c r="F127" s="86" t="s">
        <v>709</v>
      </c>
      <c r="G127" s="90">
        <v>6000</v>
      </c>
      <c r="H127" s="92"/>
      <c r="I127" s="94">
        <v>0.2</v>
      </c>
      <c r="J127" s="77"/>
      <c r="K127" s="86" t="s">
        <v>61</v>
      </c>
      <c r="L127" s="86"/>
      <c r="M127" s="79" t="str">
        <f>HYPERLINK("http://www.pristavka.com/catalog/marvo/MR34/")</f>
        <v>http://www.pristavka.com/catalog/marvo/MR34/</v>
      </c>
      <c r="N127" s="90">
        <v>9899</v>
      </c>
      <c r="O127" s="86" t="s">
        <v>27</v>
      </c>
      <c r="P127" s="97" t="s">
        <v>710</v>
      </c>
      <c r="Q127" s="99"/>
      <c r="R127" s="99"/>
      <c r="S127" s="99">
        <v>0.4</v>
      </c>
      <c r="T127" s="97" t="s">
        <v>711</v>
      </c>
      <c r="U127" s="99" t="s">
        <v>177</v>
      </c>
      <c r="V127" s="60"/>
    </row>
    <row r="128" spans="1:22" s="58" customFormat="1" ht="45" customHeight="1" x14ac:dyDescent="0.2">
      <c r="A128" s="86" t="s">
        <v>712</v>
      </c>
      <c r="B128" s="86" t="s">
        <v>606</v>
      </c>
      <c r="C128" s="86" t="s">
        <v>713</v>
      </c>
      <c r="D128" s="86" t="s">
        <v>714</v>
      </c>
      <c r="E128" s="88" t="s">
        <v>715</v>
      </c>
      <c r="F128" s="86" t="s">
        <v>716</v>
      </c>
      <c r="G128" s="90">
        <v>252800</v>
      </c>
      <c r="H128" s="92"/>
      <c r="I128" s="94">
        <v>0.2</v>
      </c>
      <c r="J128" s="77" t="s">
        <v>18233</v>
      </c>
      <c r="K128" s="86" t="s">
        <v>61</v>
      </c>
      <c r="L128" s="86"/>
      <c r="M128" s="79" t="str">
        <f>HYPERLINK("https://pristavka.com/catalog/aksessuary_moza/MZ27/")</f>
        <v>https://pristavka.com/catalog/aksessuary_moza/MZ27/</v>
      </c>
      <c r="N128" s="90">
        <v>286790</v>
      </c>
      <c r="O128" s="86" t="s">
        <v>27</v>
      </c>
      <c r="P128" s="97" t="s">
        <v>717</v>
      </c>
      <c r="Q128" s="99"/>
      <c r="R128" s="99"/>
      <c r="S128" s="99">
        <v>7.5149999999999997</v>
      </c>
      <c r="T128" s="97" t="s">
        <v>718</v>
      </c>
      <c r="U128" s="99"/>
      <c r="V128" s="60"/>
    </row>
    <row r="129" spans="1:22" s="58" customFormat="1" ht="45" customHeight="1" x14ac:dyDescent="0.2">
      <c r="A129" s="86" t="s">
        <v>712</v>
      </c>
      <c r="B129" s="86" t="s">
        <v>606</v>
      </c>
      <c r="C129" s="86" t="s">
        <v>713</v>
      </c>
      <c r="D129" s="86" t="s">
        <v>719</v>
      </c>
      <c r="E129" s="88" t="s">
        <v>720</v>
      </c>
      <c r="F129" s="86" t="s">
        <v>721</v>
      </c>
      <c r="G129" s="90">
        <v>272580</v>
      </c>
      <c r="H129" s="92"/>
      <c r="I129" s="94">
        <v>0.2</v>
      </c>
      <c r="J129" s="77" t="s">
        <v>18234</v>
      </c>
      <c r="K129" s="86" t="s">
        <v>61</v>
      </c>
      <c r="L129" s="86"/>
      <c r="M129" s="79" t="str">
        <f>HYPERLINK("https://pristavka.com/catalog/aksessuary_moza/MZ58/")</f>
        <v>https://pristavka.com/catalog/aksessuary_moza/MZ58/</v>
      </c>
      <c r="N129" s="90">
        <v>320490</v>
      </c>
      <c r="O129" s="86" t="s">
        <v>27</v>
      </c>
      <c r="P129" s="97" t="s">
        <v>722</v>
      </c>
      <c r="Q129" s="99"/>
      <c r="R129" s="99"/>
      <c r="S129" s="99">
        <v>6.4329999999999998</v>
      </c>
      <c r="T129" s="97" t="s">
        <v>723</v>
      </c>
      <c r="U129" s="99"/>
      <c r="V129" s="60"/>
    </row>
    <row r="130" spans="1:22" s="58" customFormat="1" ht="45" customHeight="1" x14ac:dyDescent="0.2">
      <c r="A130" s="86" t="s">
        <v>712</v>
      </c>
      <c r="B130" s="86" t="s">
        <v>606</v>
      </c>
      <c r="C130" s="86" t="s">
        <v>713</v>
      </c>
      <c r="D130" s="86" t="s">
        <v>724</v>
      </c>
      <c r="E130" s="88" t="s">
        <v>725</v>
      </c>
      <c r="F130" s="86" t="s">
        <v>726</v>
      </c>
      <c r="G130" s="90">
        <v>170680</v>
      </c>
      <c r="H130" s="92"/>
      <c r="I130" s="94">
        <v>0.2</v>
      </c>
      <c r="J130" s="77"/>
      <c r="K130" s="86" t="s">
        <v>61</v>
      </c>
      <c r="L130" s="86"/>
      <c r="M130" s="79" t="str">
        <f>HYPERLINK("https://pristavka.com/catalog/aksessuary_moza/MZ5/")</f>
        <v>https://pristavka.com/catalog/aksessuary_moza/MZ5/</v>
      </c>
      <c r="N130" s="90">
        <v>194790</v>
      </c>
      <c r="O130" s="86" t="s">
        <v>28</v>
      </c>
      <c r="P130" s="97" t="s">
        <v>727</v>
      </c>
      <c r="Q130" s="99"/>
      <c r="R130" s="99"/>
      <c r="S130" s="99">
        <v>13.9</v>
      </c>
      <c r="T130" s="97" t="s">
        <v>728</v>
      </c>
      <c r="U130" s="99"/>
      <c r="V130" s="60"/>
    </row>
    <row r="131" spans="1:22" s="58" customFormat="1" ht="45" customHeight="1" x14ac:dyDescent="0.2">
      <c r="A131" s="86" t="s">
        <v>712</v>
      </c>
      <c r="B131" s="86" t="s">
        <v>606</v>
      </c>
      <c r="C131" s="86" t="s">
        <v>713</v>
      </c>
      <c r="D131" s="86" t="s">
        <v>729</v>
      </c>
      <c r="E131" s="88" t="s">
        <v>730</v>
      </c>
      <c r="F131" s="86" t="s">
        <v>731</v>
      </c>
      <c r="G131" s="90">
        <v>217710</v>
      </c>
      <c r="H131" s="92"/>
      <c r="I131" s="94">
        <v>0.2</v>
      </c>
      <c r="J131" s="77" t="s">
        <v>18235</v>
      </c>
      <c r="K131" s="86" t="s">
        <v>61</v>
      </c>
      <c r="L131" s="86"/>
      <c r="M131" s="79" t="str">
        <f>HYPERLINK("https://pristavka.com/catalog/aksessuary_moza/MZ59/")</f>
        <v>https://pristavka.com/catalog/aksessuary_moza/MZ59/</v>
      </c>
      <c r="N131" s="90">
        <v>257490</v>
      </c>
      <c r="O131" s="86" t="s">
        <v>27</v>
      </c>
      <c r="P131" s="97" t="s">
        <v>732</v>
      </c>
      <c r="Q131" s="99"/>
      <c r="R131" s="99"/>
      <c r="S131" s="99">
        <v>5.24</v>
      </c>
      <c r="T131" s="97" t="s">
        <v>723</v>
      </c>
      <c r="U131" s="99"/>
      <c r="V131" s="60"/>
    </row>
    <row r="132" spans="1:22" s="58" customFormat="1" ht="45" customHeight="1" x14ac:dyDescent="0.2">
      <c r="A132" s="86" t="s">
        <v>712</v>
      </c>
      <c r="B132" s="86" t="s">
        <v>606</v>
      </c>
      <c r="C132" s="86" t="s">
        <v>713</v>
      </c>
      <c r="D132" s="86" t="s">
        <v>733</v>
      </c>
      <c r="E132" s="88" t="s">
        <v>734</v>
      </c>
      <c r="F132" s="86" t="s">
        <v>735</v>
      </c>
      <c r="G132" s="90">
        <v>35370</v>
      </c>
      <c r="H132" s="92"/>
      <c r="I132" s="94">
        <v>0.2</v>
      </c>
      <c r="J132" s="77" t="s">
        <v>18236</v>
      </c>
      <c r="K132" s="86" t="s">
        <v>61</v>
      </c>
      <c r="L132" s="86"/>
      <c r="M132" s="79" t="str">
        <f>HYPERLINK("https://pristavka.com/catalog/aksessuary_moza/MZ40/")</f>
        <v>https://pristavka.com/catalog/aksessuary_moza/MZ40/</v>
      </c>
      <c r="N132" s="90">
        <v>42390</v>
      </c>
      <c r="O132" s="86" t="s">
        <v>27</v>
      </c>
      <c r="P132" s="97" t="s">
        <v>736</v>
      </c>
      <c r="Q132" s="99"/>
      <c r="R132" s="99"/>
      <c r="S132" s="99">
        <v>0.38500000000000001</v>
      </c>
      <c r="T132" s="97" t="s">
        <v>737</v>
      </c>
      <c r="U132" s="99"/>
      <c r="V132" s="60"/>
    </row>
    <row r="133" spans="1:22" s="58" customFormat="1" ht="45" customHeight="1" x14ac:dyDescent="0.2">
      <c r="A133" s="86" t="s">
        <v>712</v>
      </c>
      <c r="B133" s="86" t="s">
        <v>606</v>
      </c>
      <c r="C133" s="86" t="s">
        <v>713</v>
      </c>
      <c r="D133" s="86" t="s">
        <v>738</v>
      </c>
      <c r="E133" s="88" t="s">
        <v>739</v>
      </c>
      <c r="F133" s="86" t="s">
        <v>740</v>
      </c>
      <c r="G133" s="90">
        <v>191110</v>
      </c>
      <c r="H133" s="92"/>
      <c r="I133" s="94">
        <v>0.2</v>
      </c>
      <c r="J133" s="77" t="s">
        <v>18237</v>
      </c>
      <c r="K133" s="86" t="s">
        <v>61</v>
      </c>
      <c r="L133" s="86"/>
      <c r="M133" s="79" t="str">
        <f>HYPERLINK("https://pristavka.com/catalog/aksessuary_moza/MZ2/")</f>
        <v>https://pristavka.com/catalog/aksessuary_moza/MZ2/</v>
      </c>
      <c r="N133" s="90">
        <v>228890</v>
      </c>
      <c r="O133" s="86" t="s">
        <v>27</v>
      </c>
      <c r="P133" s="97" t="s">
        <v>741</v>
      </c>
      <c r="Q133" s="99"/>
      <c r="R133" s="99"/>
      <c r="S133" s="99">
        <v>12.8</v>
      </c>
      <c r="T133" s="97" t="s">
        <v>742</v>
      </c>
      <c r="U133" s="99"/>
      <c r="V133" s="60"/>
    </row>
    <row r="134" spans="1:22" s="58" customFormat="1" ht="45" customHeight="1" x14ac:dyDescent="0.2">
      <c r="A134" s="86" t="s">
        <v>712</v>
      </c>
      <c r="B134" s="86" t="s">
        <v>606</v>
      </c>
      <c r="C134" s="86" t="s">
        <v>713</v>
      </c>
      <c r="D134" s="86" t="s">
        <v>743</v>
      </c>
      <c r="E134" s="88" t="s">
        <v>744</v>
      </c>
      <c r="F134" s="86" t="s">
        <v>745</v>
      </c>
      <c r="G134" s="90">
        <v>18520</v>
      </c>
      <c r="H134" s="92"/>
      <c r="I134" s="94">
        <v>0.2</v>
      </c>
      <c r="J134" s="77" t="s">
        <v>18238</v>
      </c>
      <c r="K134" s="86" t="s">
        <v>61</v>
      </c>
      <c r="L134" s="86"/>
      <c r="M134" s="79" t="str">
        <f>HYPERLINK("https://pristavka.com/catalog/aksessuary_moza/MZ14/")</f>
        <v>https://pristavka.com/catalog/aksessuary_moza/MZ14/</v>
      </c>
      <c r="N134" s="90">
        <v>21890</v>
      </c>
      <c r="O134" s="86" t="s">
        <v>27</v>
      </c>
      <c r="P134" s="97" t="s">
        <v>746</v>
      </c>
      <c r="Q134" s="99"/>
      <c r="R134" s="99"/>
      <c r="S134" s="99">
        <v>0.23799999999999999</v>
      </c>
      <c r="T134" s="97" t="s">
        <v>747</v>
      </c>
      <c r="U134" s="99"/>
      <c r="V134" s="60"/>
    </row>
    <row r="135" spans="1:22" s="58" customFormat="1" ht="45" customHeight="1" x14ac:dyDescent="0.2">
      <c r="A135" s="86" t="s">
        <v>712</v>
      </c>
      <c r="B135" s="86" t="s">
        <v>606</v>
      </c>
      <c r="C135" s="86" t="s">
        <v>713</v>
      </c>
      <c r="D135" s="86" t="s">
        <v>748</v>
      </c>
      <c r="E135" s="88" t="s">
        <v>749</v>
      </c>
      <c r="F135" s="86" t="s">
        <v>750</v>
      </c>
      <c r="G135" s="90">
        <v>67840</v>
      </c>
      <c r="H135" s="92"/>
      <c r="I135" s="94">
        <v>0.2</v>
      </c>
      <c r="J135" s="77" t="s">
        <v>18239</v>
      </c>
      <c r="K135" s="86" t="s">
        <v>61</v>
      </c>
      <c r="L135" s="86"/>
      <c r="M135" s="79" t="str">
        <f>HYPERLINK("https://pristavka.com/catalog/aksessuary_moza/MZ15/")</f>
        <v>https://pristavka.com/catalog/aksessuary_moza/MZ15/</v>
      </c>
      <c r="N135" s="90">
        <v>82790</v>
      </c>
      <c r="O135" s="86" t="s">
        <v>27</v>
      </c>
      <c r="P135" s="97" t="s">
        <v>751</v>
      </c>
      <c r="Q135" s="99"/>
      <c r="R135" s="99"/>
      <c r="S135" s="99">
        <v>1.6950000000000001</v>
      </c>
      <c r="T135" s="97" t="s">
        <v>752</v>
      </c>
      <c r="U135" s="99"/>
      <c r="V135" s="60"/>
    </row>
    <row r="136" spans="1:22" s="58" customFormat="1" ht="45" customHeight="1" x14ac:dyDescent="0.2">
      <c r="A136" s="86" t="s">
        <v>712</v>
      </c>
      <c r="B136" s="86" t="s">
        <v>606</v>
      </c>
      <c r="C136" s="86" t="s">
        <v>713</v>
      </c>
      <c r="D136" s="86" t="s">
        <v>753</v>
      </c>
      <c r="E136" s="88" t="s">
        <v>754</v>
      </c>
      <c r="F136" s="86" t="s">
        <v>755</v>
      </c>
      <c r="G136" s="90">
        <v>27830</v>
      </c>
      <c r="H136" s="92"/>
      <c r="I136" s="94">
        <v>0.2</v>
      </c>
      <c r="J136" s="77" t="s">
        <v>18240</v>
      </c>
      <c r="K136" s="86" t="s">
        <v>61</v>
      </c>
      <c r="L136" s="86"/>
      <c r="M136" s="79" t="str">
        <f>HYPERLINK("https://pristavka.com/catalog/aksessuary_moza/MZ33/")</f>
        <v>https://pristavka.com/catalog/aksessuary_moza/MZ33/</v>
      </c>
      <c r="N136" s="90">
        <v>35090</v>
      </c>
      <c r="O136" s="86" t="s">
        <v>28</v>
      </c>
      <c r="P136" s="97" t="s">
        <v>756</v>
      </c>
      <c r="Q136" s="99"/>
      <c r="R136" s="99"/>
      <c r="S136" s="99">
        <v>0.93600000000000005</v>
      </c>
      <c r="T136" s="97" t="s">
        <v>757</v>
      </c>
      <c r="U136" s="99"/>
      <c r="V136" s="60"/>
    </row>
    <row r="137" spans="1:22" s="58" customFormat="1" ht="45" customHeight="1" x14ac:dyDescent="0.2">
      <c r="A137" s="86" t="s">
        <v>712</v>
      </c>
      <c r="B137" s="86" t="s">
        <v>606</v>
      </c>
      <c r="C137" s="86" t="s">
        <v>713</v>
      </c>
      <c r="D137" s="86" t="s">
        <v>758</v>
      </c>
      <c r="E137" s="88" t="s">
        <v>759</v>
      </c>
      <c r="F137" s="86" t="s">
        <v>760</v>
      </c>
      <c r="G137" s="90">
        <v>21080</v>
      </c>
      <c r="H137" s="92"/>
      <c r="I137" s="94">
        <v>0.2</v>
      </c>
      <c r="J137" s="77" t="s">
        <v>18241</v>
      </c>
      <c r="K137" s="86" t="s">
        <v>61</v>
      </c>
      <c r="L137" s="86"/>
      <c r="M137" s="79" t="str">
        <f>HYPERLINK("https://pristavka.com/catalog/aksessuary_moza/MZ26/")</f>
        <v>https://pristavka.com/catalog/aksessuary_moza/MZ26/</v>
      </c>
      <c r="N137" s="90">
        <v>27290</v>
      </c>
      <c r="O137" s="86" t="s">
        <v>28</v>
      </c>
      <c r="P137" s="97" t="s">
        <v>761</v>
      </c>
      <c r="Q137" s="99"/>
      <c r="R137" s="99"/>
      <c r="S137" s="99">
        <v>2.7480000000000002</v>
      </c>
      <c r="T137" s="97" t="s">
        <v>762</v>
      </c>
      <c r="U137" s="99"/>
      <c r="V137" s="60"/>
    </row>
    <row r="138" spans="1:22" s="58" customFormat="1" ht="45" customHeight="1" x14ac:dyDescent="0.2">
      <c r="A138" s="86" t="s">
        <v>712</v>
      </c>
      <c r="B138" s="86" t="s">
        <v>606</v>
      </c>
      <c r="C138" s="86" t="s">
        <v>713</v>
      </c>
      <c r="D138" s="86" t="s">
        <v>763</v>
      </c>
      <c r="E138" s="88" t="s">
        <v>764</v>
      </c>
      <c r="F138" s="86" t="s">
        <v>765</v>
      </c>
      <c r="G138" s="90">
        <v>21640</v>
      </c>
      <c r="H138" s="92"/>
      <c r="I138" s="94">
        <v>0.2</v>
      </c>
      <c r="J138" s="77"/>
      <c r="K138" s="86" t="s">
        <v>61</v>
      </c>
      <c r="L138" s="86"/>
      <c r="M138" s="79" t="str">
        <f>HYPERLINK("https://pristavka.com/catalog/aksessuary_moza/MZ19/")</f>
        <v>https://pristavka.com/catalog/aksessuary_moza/MZ19/</v>
      </c>
      <c r="N138" s="90">
        <v>27290</v>
      </c>
      <c r="O138" s="86" t="s">
        <v>28</v>
      </c>
      <c r="P138" s="97" t="s">
        <v>766</v>
      </c>
      <c r="Q138" s="99"/>
      <c r="R138" s="99"/>
      <c r="S138" s="99">
        <v>1.57</v>
      </c>
      <c r="T138" s="97" t="s">
        <v>767</v>
      </c>
      <c r="U138" s="99"/>
      <c r="V138" s="60"/>
    </row>
    <row r="139" spans="1:22" s="58" customFormat="1" ht="45" customHeight="1" x14ac:dyDescent="0.2">
      <c r="A139" s="86" t="s">
        <v>712</v>
      </c>
      <c r="B139" s="86" t="s">
        <v>606</v>
      </c>
      <c r="C139" s="86" t="s">
        <v>713</v>
      </c>
      <c r="D139" s="86" t="s">
        <v>768</v>
      </c>
      <c r="E139" s="88" t="s">
        <v>769</v>
      </c>
      <c r="F139" s="86" t="s">
        <v>770</v>
      </c>
      <c r="G139" s="90">
        <v>62980</v>
      </c>
      <c r="H139" s="92"/>
      <c r="I139" s="94">
        <v>0.2</v>
      </c>
      <c r="J139" s="77" t="s">
        <v>18242</v>
      </c>
      <c r="K139" s="86" t="s">
        <v>61</v>
      </c>
      <c r="L139" s="86"/>
      <c r="M139" s="79" t="str">
        <f>HYPERLINK("https://pristavka.com/catalog/aksessuary_moza/MZ13/")</f>
        <v>https://pristavka.com/catalog/aksessuary_moza/MZ13/</v>
      </c>
      <c r="N139" s="90">
        <v>74490</v>
      </c>
      <c r="O139" s="86" t="s">
        <v>27</v>
      </c>
      <c r="P139" s="97" t="s">
        <v>771</v>
      </c>
      <c r="Q139" s="99"/>
      <c r="R139" s="99"/>
      <c r="S139" s="99">
        <v>4.4000000000000004</v>
      </c>
      <c r="T139" s="97" t="s">
        <v>772</v>
      </c>
      <c r="U139" s="99"/>
      <c r="V139" s="60"/>
    </row>
    <row r="140" spans="1:22" s="58" customFormat="1" ht="45" customHeight="1" x14ac:dyDescent="0.2">
      <c r="A140" s="86" t="s">
        <v>712</v>
      </c>
      <c r="B140" s="86" t="s">
        <v>606</v>
      </c>
      <c r="C140" s="86" t="s">
        <v>713</v>
      </c>
      <c r="D140" s="86" t="s">
        <v>773</v>
      </c>
      <c r="E140" s="88" t="s">
        <v>774</v>
      </c>
      <c r="F140" s="86" t="s">
        <v>775</v>
      </c>
      <c r="G140" s="90">
        <v>41060</v>
      </c>
      <c r="H140" s="92"/>
      <c r="I140" s="94">
        <v>0.2</v>
      </c>
      <c r="J140" s="77"/>
      <c r="K140" s="86" t="s">
        <v>61</v>
      </c>
      <c r="L140" s="86"/>
      <c r="M140" s="79" t="str">
        <f>HYPERLINK("https://pristavka.com/catalog/aksessuary_moza/MZ43/")</f>
        <v>https://pristavka.com/catalog/aksessuary_moza/MZ43/</v>
      </c>
      <c r="N140" s="90">
        <v>48690</v>
      </c>
      <c r="O140" s="86" t="s">
        <v>27</v>
      </c>
      <c r="P140" s="97" t="s">
        <v>776</v>
      </c>
      <c r="Q140" s="99"/>
      <c r="R140" s="99"/>
      <c r="S140" s="99">
        <v>1.46</v>
      </c>
      <c r="T140" s="97" t="s">
        <v>777</v>
      </c>
      <c r="U140" s="99"/>
      <c r="V140" s="60"/>
    </row>
    <row r="141" spans="1:22" s="58" customFormat="1" ht="45" customHeight="1" x14ac:dyDescent="0.2">
      <c r="A141" s="86" t="s">
        <v>712</v>
      </c>
      <c r="B141" s="86" t="s">
        <v>606</v>
      </c>
      <c r="C141" s="86" t="s">
        <v>713</v>
      </c>
      <c r="D141" s="86" t="s">
        <v>778</v>
      </c>
      <c r="E141" s="88" t="s">
        <v>779</v>
      </c>
      <c r="F141" s="86" t="s">
        <v>780</v>
      </c>
      <c r="G141" s="90">
        <v>19920</v>
      </c>
      <c r="H141" s="92"/>
      <c r="I141" s="94">
        <v>0.2</v>
      </c>
      <c r="J141" s="77"/>
      <c r="K141" s="86" t="s">
        <v>61</v>
      </c>
      <c r="L141" s="86"/>
      <c r="M141" s="79" t="str">
        <f>HYPERLINK("https://pristavka.com/catalog/aksessuary_moza/MZ35/")</f>
        <v>https://pristavka.com/catalog/aksessuary_moza/MZ35/</v>
      </c>
      <c r="N141" s="90">
        <v>23890</v>
      </c>
      <c r="O141" s="86" t="s">
        <v>27</v>
      </c>
      <c r="P141" s="97" t="s">
        <v>781</v>
      </c>
      <c r="Q141" s="99"/>
      <c r="R141" s="99"/>
      <c r="S141" s="99">
        <v>1.0349999999999999</v>
      </c>
      <c r="T141" s="97" t="s">
        <v>782</v>
      </c>
      <c r="U141" s="99"/>
      <c r="V141" s="60"/>
    </row>
    <row r="142" spans="1:22" s="58" customFormat="1" ht="45" customHeight="1" x14ac:dyDescent="0.2">
      <c r="A142" s="86" t="s">
        <v>712</v>
      </c>
      <c r="B142" s="86" t="s">
        <v>606</v>
      </c>
      <c r="C142" s="86" t="s">
        <v>713</v>
      </c>
      <c r="D142" s="86" t="s">
        <v>783</v>
      </c>
      <c r="E142" s="88" t="s">
        <v>784</v>
      </c>
      <c r="F142" s="86" t="s">
        <v>785</v>
      </c>
      <c r="G142" s="90">
        <v>17890</v>
      </c>
      <c r="H142" s="92"/>
      <c r="I142" s="94">
        <v>0.2</v>
      </c>
      <c r="J142" s="77"/>
      <c r="K142" s="86" t="s">
        <v>61</v>
      </c>
      <c r="L142" s="86"/>
      <c r="M142" s="79" t="str">
        <f>HYPERLINK("https://pristavka.com/catalog/aksessuary_moza/MZ34/")</f>
        <v>https://pristavka.com/catalog/aksessuary_moza/MZ34/</v>
      </c>
      <c r="N142" s="90">
        <v>21390</v>
      </c>
      <c r="O142" s="86" t="s">
        <v>27</v>
      </c>
      <c r="P142" s="97" t="s">
        <v>786</v>
      </c>
      <c r="Q142" s="99"/>
      <c r="R142" s="99"/>
      <c r="S142" s="99">
        <v>1.1759999999999999</v>
      </c>
      <c r="T142" s="97" t="s">
        <v>787</v>
      </c>
      <c r="U142" s="99"/>
      <c r="V142" s="60"/>
    </row>
    <row r="143" spans="1:22" s="58" customFormat="1" ht="45" customHeight="1" x14ac:dyDescent="0.2">
      <c r="A143" s="86" t="s">
        <v>712</v>
      </c>
      <c r="B143" s="86" t="s">
        <v>606</v>
      </c>
      <c r="C143" s="86" t="s">
        <v>713</v>
      </c>
      <c r="D143" s="86" t="s">
        <v>788</v>
      </c>
      <c r="E143" s="88" t="s">
        <v>789</v>
      </c>
      <c r="F143" s="86" t="s">
        <v>790</v>
      </c>
      <c r="G143" s="90">
        <v>7530</v>
      </c>
      <c r="H143" s="92"/>
      <c r="I143" s="94">
        <v>0.2</v>
      </c>
      <c r="J143" s="77"/>
      <c r="K143" s="86" t="s">
        <v>61</v>
      </c>
      <c r="L143" s="86"/>
      <c r="M143" s="79" t="str">
        <f>HYPERLINK("https://pristavka.com/catalog/aksessuary_moza/MZ21/")</f>
        <v>https://pristavka.com/catalog/aksessuary_moza/MZ21/</v>
      </c>
      <c r="N143" s="90">
        <v>9190</v>
      </c>
      <c r="O143" s="86" t="s">
        <v>28</v>
      </c>
      <c r="P143" s="97" t="s">
        <v>791</v>
      </c>
      <c r="Q143" s="99"/>
      <c r="R143" s="99"/>
      <c r="S143" s="99">
        <v>0.40799999999999997</v>
      </c>
      <c r="T143" s="97" t="s">
        <v>792</v>
      </c>
      <c r="U143" s="99"/>
      <c r="V143" s="60"/>
    </row>
    <row r="144" spans="1:22" s="58" customFormat="1" ht="45" customHeight="1" x14ac:dyDescent="0.2">
      <c r="A144" s="86" t="s">
        <v>712</v>
      </c>
      <c r="B144" s="86" t="s">
        <v>606</v>
      </c>
      <c r="C144" s="86" t="s">
        <v>713</v>
      </c>
      <c r="D144" s="86" t="s">
        <v>793</v>
      </c>
      <c r="E144" s="88" t="s">
        <v>794</v>
      </c>
      <c r="F144" s="86" t="s">
        <v>795</v>
      </c>
      <c r="G144" s="90">
        <v>44280</v>
      </c>
      <c r="H144" s="92"/>
      <c r="I144" s="94">
        <v>0.2</v>
      </c>
      <c r="J144" s="77" t="s">
        <v>18243</v>
      </c>
      <c r="K144" s="86" t="s">
        <v>61</v>
      </c>
      <c r="L144" s="86"/>
      <c r="M144" s="79" t="str">
        <f>HYPERLINK("https://pristavka.com/catalog/aksessuary_moza/MZ16/")</f>
        <v>https://pristavka.com/catalog/aksessuary_moza/MZ16/</v>
      </c>
      <c r="N144" s="90">
        <v>53590</v>
      </c>
      <c r="O144" s="86" t="s">
        <v>27</v>
      </c>
      <c r="P144" s="97" t="s">
        <v>796</v>
      </c>
      <c r="Q144" s="99"/>
      <c r="R144" s="99"/>
      <c r="S144" s="99">
        <v>1.357</v>
      </c>
      <c r="T144" s="97" t="s">
        <v>797</v>
      </c>
      <c r="U144" s="99"/>
      <c r="V144" s="60"/>
    </row>
    <row r="145" spans="1:22" s="58" customFormat="1" ht="45" customHeight="1" x14ac:dyDescent="0.2">
      <c r="A145" s="86" t="s">
        <v>712</v>
      </c>
      <c r="B145" s="86" t="s">
        <v>606</v>
      </c>
      <c r="C145" s="86" t="s">
        <v>713</v>
      </c>
      <c r="D145" s="86" t="s">
        <v>798</v>
      </c>
      <c r="E145" s="88" t="s">
        <v>799</v>
      </c>
      <c r="F145" s="86" t="s">
        <v>800</v>
      </c>
      <c r="G145" s="90">
        <v>62210</v>
      </c>
      <c r="H145" s="92"/>
      <c r="I145" s="94">
        <v>0.2</v>
      </c>
      <c r="J145" s="77" t="s">
        <v>18244</v>
      </c>
      <c r="K145" s="86" t="s">
        <v>61</v>
      </c>
      <c r="L145" s="86"/>
      <c r="M145" s="79" t="str">
        <f>HYPERLINK("https://pristavka.com/catalog/aksessuary_moza/MZ25/")</f>
        <v>https://pristavka.com/catalog/aksessuary_moza/MZ25/</v>
      </c>
      <c r="N145" s="90">
        <v>74490</v>
      </c>
      <c r="O145" s="86" t="s">
        <v>27</v>
      </c>
      <c r="P145" s="97" t="s">
        <v>801</v>
      </c>
      <c r="Q145" s="99"/>
      <c r="R145" s="99"/>
      <c r="S145" s="99">
        <v>2.0710000000000002</v>
      </c>
      <c r="T145" s="97" t="s">
        <v>802</v>
      </c>
      <c r="U145" s="99"/>
      <c r="V145" s="60"/>
    </row>
    <row r="146" spans="1:22" s="58" customFormat="1" ht="45" customHeight="1" x14ac:dyDescent="0.2">
      <c r="A146" s="86" t="s">
        <v>712</v>
      </c>
      <c r="B146" s="86" t="s">
        <v>606</v>
      </c>
      <c r="C146" s="86" t="s">
        <v>713</v>
      </c>
      <c r="D146" s="86" t="s">
        <v>803</v>
      </c>
      <c r="E146" s="88" t="s">
        <v>804</v>
      </c>
      <c r="F146" s="86" t="s">
        <v>805</v>
      </c>
      <c r="G146" s="90">
        <v>29500</v>
      </c>
      <c r="H146" s="92"/>
      <c r="I146" s="94">
        <v>0.2</v>
      </c>
      <c r="J146" s="77" t="s">
        <v>18245</v>
      </c>
      <c r="K146" s="86" t="s">
        <v>61</v>
      </c>
      <c r="L146" s="86"/>
      <c r="M146" s="79" t="str">
        <f>HYPERLINK("https://pristavka.com/catalog/aksessuary_moza/MZ36/")</f>
        <v>https://pristavka.com/catalog/aksessuary_moza/MZ36/</v>
      </c>
      <c r="N146" s="90">
        <v>35490</v>
      </c>
      <c r="O146" s="86" t="s">
        <v>27</v>
      </c>
      <c r="P146" s="97" t="s">
        <v>806</v>
      </c>
      <c r="Q146" s="99"/>
      <c r="R146" s="99"/>
      <c r="S146" s="99">
        <v>1.2929999999999999</v>
      </c>
      <c r="T146" s="97" t="s">
        <v>807</v>
      </c>
      <c r="U146" s="99"/>
      <c r="V146" s="60"/>
    </row>
    <row r="147" spans="1:22" s="58" customFormat="1" ht="45" customHeight="1" x14ac:dyDescent="0.2">
      <c r="A147" s="86" t="s">
        <v>712</v>
      </c>
      <c r="B147" s="86" t="s">
        <v>606</v>
      </c>
      <c r="C147" s="86" t="s">
        <v>713</v>
      </c>
      <c r="D147" s="86" t="s">
        <v>808</v>
      </c>
      <c r="E147" s="88" t="s">
        <v>809</v>
      </c>
      <c r="F147" s="86" t="s">
        <v>810</v>
      </c>
      <c r="G147" s="90">
        <v>78850</v>
      </c>
      <c r="H147" s="92"/>
      <c r="I147" s="94">
        <v>0.2</v>
      </c>
      <c r="J147" s="77" t="s">
        <v>18246</v>
      </c>
      <c r="K147" s="86" t="s">
        <v>61</v>
      </c>
      <c r="L147" s="86"/>
      <c r="M147" s="79" t="str">
        <f>HYPERLINK("https://pristavka.com/catalog/aksessuary_moza/MZ38/")</f>
        <v>https://pristavka.com/catalog/aksessuary_moza/MZ38/</v>
      </c>
      <c r="N147" s="90">
        <v>93290</v>
      </c>
      <c r="O147" s="86" t="s">
        <v>27</v>
      </c>
      <c r="P147" s="97" t="s">
        <v>811</v>
      </c>
      <c r="Q147" s="99"/>
      <c r="R147" s="99"/>
      <c r="S147" s="99">
        <v>1.675</v>
      </c>
      <c r="T147" s="97" t="s">
        <v>812</v>
      </c>
      <c r="U147" s="99"/>
      <c r="V147" s="60"/>
    </row>
    <row r="148" spans="1:22" s="58" customFormat="1" ht="45" customHeight="1" x14ac:dyDescent="0.2">
      <c r="A148" s="86" t="s">
        <v>712</v>
      </c>
      <c r="B148" s="86" t="s">
        <v>606</v>
      </c>
      <c r="C148" s="86" t="s">
        <v>713</v>
      </c>
      <c r="D148" s="86" t="s">
        <v>813</v>
      </c>
      <c r="E148" s="88" t="s">
        <v>814</v>
      </c>
      <c r="F148" s="86" t="s">
        <v>815</v>
      </c>
      <c r="G148" s="90">
        <v>116080</v>
      </c>
      <c r="H148" s="92"/>
      <c r="I148" s="94">
        <v>0.2</v>
      </c>
      <c r="J148" s="77"/>
      <c r="K148" s="86" t="s">
        <v>61</v>
      </c>
      <c r="L148" s="86"/>
      <c r="M148" s="79" t="str">
        <f>HYPERLINK("https://pristavka.com/catalog/aksessuary_moza/MZ9/")</f>
        <v>https://pristavka.com/catalog/aksessuary_moza/MZ9/</v>
      </c>
      <c r="N148" s="90">
        <v>137290</v>
      </c>
      <c r="O148" s="86" t="s">
        <v>28</v>
      </c>
      <c r="P148" s="97" t="s">
        <v>816</v>
      </c>
      <c r="Q148" s="99"/>
      <c r="R148" s="99"/>
      <c r="S148" s="99">
        <v>2.2930000000000001</v>
      </c>
      <c r="T148" s="97" t="s">
        <v>817</v>
      </c>
      <c r="U148" s="99"/>
      <c r="V148" s="60"/>
    </row>
    <row r="149" spans="1:22" s="58" customFormat="1" ht="45" customHeight="1" x14ac:dyDescent="0.2">
      <c r="A149" s="86" t="s">
        <v>712</v>
      </c>
      <c r="B149" s="86" t="s">
        <v>606</v>
      </c>
      <c r="C149" s="86" t="s">
        <v>713</v>
      </c>
      <c r="D149" s="86" t="s">
        <v>818</v>
      </c>
      <c r="E149" s="88" t="s">
        <v>819</v>
      </c>
      <c r="F149" s="86" t="s">
        <v>820</v>
      </c>
      <c r="G149" s="90">
        <v>199240</v>
      </c>
      <c r="H149" s="92"/>
      <c r="I149" s="94">
        <v>0.2</v>
      </c>
      <c r="J149" s="77" t="s">
        <v>18247</v>
      </c>
      <c r="K149" s="86" t="s">
        <v>61</v>
      </c>
      <c r="L149" s="86"/>
      <c r="M149" s="79" t="str">
        <f>HYPERLINK("https://pristavka.com/catalog/aksessuary_moza/MZ6/")</f>
        <v>https://pristavka.com/catalog/aksessuary_moza/MZ6/</v>
      </c>
      <c r="N149" s="90">
        <v>238590</v>
      </c>
      <c r="O149" s="86" t="s">
        <v>27</v>
      </c>
      <c r="P149" s="97" t="s">
        <v>821</v>
      </c>
      <c r="Q149" s="99"/>
      <c r="R149" s="99"/>
      <c r="S149" s="99">
        <v>2.9249999999999998</v>
      </c>
      <c r="T149" s="97" t="s">
        <v>822</v>
      </c>
      <c r="U149" s="99"/>
      <c r="V149" s="60"/>
    </row>
    <row r="150" spans="1:22" s="58" customFormat="1" ht="45" customHeight="1" x14ac:dyDescent="0.2">
      <c r="A150" s="86" t="s">
        <v>712</v>
      </c>
      <c r="B150" s="86" t="s">
        <v>606</v>
      </c>
      <c r="C150" s="86" t="s">
        <v>713</v>
      </c>
      <c r="D150" s="86" t="s">
        <v>823</v>
      </c>
      <c r="E150" s="88" t="s">
        <v>824</v>
      </c>
      <c r="F150" s="86" t="s">
        <v>825</v>
      </c>
      <c r="G150" s="90">
        <v>311660</v>
      </c>
      <c r="H150" s="92"/>
      <c r="I150" s="94">
        <v>0.2</v>
      </c>
      <c r="J150" s="77" t="s">
        <v>18248</v>
      </c>
      <c r="K150" s="86" t="s">
        <v>61</v>
      </c>
      <c r="L150" s="86"/>
      <c r="M150" s="79" t="str">
        <f>HYPERLINK("https://pristavka.com/catalog/aksessuary_moza/MZ39/")</f>
        <v>https://pristavka.com/catalog/aksessuary_moza/MZ39/</v>
      </c>
      <c r="N150" s="90">
        <v>364190</v>
      </c>
      <c r="O150" s="86" t="s">
        <v>28</v>
      </c>
      <c r="P150" s="97" t="s">
        <v>826</v>
      </c>
      <c r="Q150" s="99"/>
      <c r="R150" s="99"/>
      <c r="S150" s="99">
        <v>3.14</v>
      </c>
      <c r="T150" s="97" t="s">
        <v>827</v>
      </c>
      <c r="U150" s="99"/>
      <c r="V150" s="60"/>
    </row>
    <row r="151" spans="1:22" s="58" customFormat="1" ht="45" customHeight="1" x14ac:dyDescent="0.2">
      <c r="A151" s="86" t="s">
        <v>712</v>
      </c>
      <c r="B151" s="86" t="s">
        <v>606</v>
      </c>
      <c r="C151" s="86" t="s">
        <v>713</v>
      </c>
      <c r="D151" s="86" t="s">
        <v>828</v>
      </c>
      <c r="E151" s="88" t="s">
        <v>829</v>
      </c>
      <c r="F151" s="86" t="s">
        <v>830</v>
      </c>
      <c r="G151" s="90">
        <v>32530</v>
      </c>
      <c r="H151" s="92"/>
      <c r="I151" s="94">
        <v>0.2</v>
      </c>
      <c r="J151" s="77" t="s">
        <v>18249</v>
      </c>
      <c r="K151" s="86" t="s">
        <v>61</v>
      </c>
      <c r="L151" s="86"/>
      <c r="M151" s="79" t="str">
        <f>HYPERLINK("https://pristavka.com/catalog/aksessuary_moza/MZ29/")</f>
        <v>https://pristavka.com/catalog/aksessuary_moza/MZ29/</v>
      </c>
      <c r="N151" s="90">
        <v>38990</v>
      </c>
      <c r="O151" s="86" t="s">
        <v>28</v>
      </c>
      <c r="P151" s="97" t="s">
        <v>831</v>
      </c>
      <c r="Q151" s="99"/>
      <c r="R151" s="99"/>
      <c r="S151" s="99">
        <v>0.32</v>
      </c>
      <c r="T151" s="97" t="s">
        <v>832</v>
      </c>
      <c r="U151" s="99"/>
      <c r="V151" s="60"/>
    </row>
    <row r="152" spans="1:22" s="11" customFormat="1" ht="45" customHeight="1" x14ac:dyDescent="0.2">
      <c r="A152" s="66" t="s">
        <v>833</v>
      </c>
      <c r="B152" s="66" t="s">
        <v>834</v>
      </c>
      <c r="C152" s="66" t="s">
        <v>835</v>
      </c>
      <c r="D152" s="66" t="s">
        <v>836</v>
      </c>
      <c r="E152" s="68" t="s">
        <v>837</v>
      </c>
      <c r="F152" s="66" t="s">
        <v>838</v>
      </c>
      <c r="G152" s="71">
        <v>17800</v>
      </c>
      <c r="H152" s="73"/>
      <c r="I152" s="75">
        <v>0.2</v>
      </c>
      <c r="J152" s="77"/>
      <c r="K152" s="66"/>
      <c r="L152" s="66"/>
      <c r="M152" s="79" t="str">
        <f>HYPERLINK("https://pristavka.com/catalog/playseat/PLS9/")</f>
        <v>https://pristavka.com/catalog/playseat/PLS9/</v>
      </c>
      <c r="N152" s="71">
        <v>23699</v>
      </c>
      <c r="O152" s="66" t="s">
        <v>28</v>
      </c>
      <c r="P152" s="82" t="s">
        <v>839</v>
      </c>
      <c r="Q152" s="84"/>
      <c r="R152" s="84"/>
      <c r="S152" s="84">
        <v>0.51</v>
      </c>
      <c r="T152" s="82" t="s">
        <v>840</v>
      </c>
      <c r="U152" s="84"/>
      <c r="V152" s="54"/>
    </row>
    <row r="153" spans="1:22" s="11" customFormat="1" ht="45" customHeight="1" x14ac:dyDescent="0.2">
      <c r="A153" s="66" t="s">
        <v>833</v>
      </c>
      <c r="B153" s="66" t="s">
        <v>834</v>
      </c>
      <c r="C153" s="66" t="s">
        <v>835</v>
      </c>
      <c r="D153" s="66" t="s">
        <v>841</v>
      </c>
      <c r="E153" s="68" t="s">
        <v>842</v>
      </c>
      <c r="F153" s="66" t="s">
        <v>843</v>
      </c>
      <c r="G153" s="71">
        <v>22800</v>
      </c>
      <c r="H153" s="73"/>
      <c r="I153" s="75">
        <v>0.2</v>
      </c>
      <c r="J153" s="77"/>
      <c r="K153" s="66"/>
      <c r="L153" s="66"/>
      <c r="M153" s="79" t="str">
        <f>HYPERLINK("https://pristavka.com/catalog/playseat/PLS3/")</f>
        <v>https://pristavka.com/catalog/playseat/PLS3/</v>
      </c>
      <c r="N153" s="71">
        <v>31199</v>
      </c>
      <c r="O153" s="66" t="s">
        <v>28</v>
      </c>
      <c r="P153" s="82" t="s">
        <v>844</v>
      </c>
      <c r="Q153" s="84"/>
      <c r="R153" s="84"/>
      <c r="S153" s="84">
        <v>1.4650000000000001</v>
      </c>
      <c r="T153" s="82" t="s">
        <v>845</v>
      </c>
      <c r="U153" s="84"/>
      <c r="V153" s="54"/>
    </row>
    <row r="154" spans="1:22" s="11" customFormat="1" ht="45" customHeight="1" x14ac:dyDescent="0.2">
      <c r="A154" s="66" t="s">
        <v>833</v>
      </c>
      <c r="B154" s="66" t="s">
        <v>834</v>
      </c>
      <c r="C154" s="66" t="s">
        <v>835</v>
      </c>
      <c r="D154" s="66" t="s">
        <v>846</v>
      </c>
      <c r="E154" s="68" t="s">
        <v>847</v>
      </c>
      <c r="F154" s="66" t="s">
        <v>848</v>
      </c>
      <c r="G154" s="71">
        <v>22800</v>
      </c>
      <c r="H154" s="73"/>
      <c r="I154" s="75">
        <v>0.2</v>
      </c>
      <c r="J154" s="77"/>
      <c r="K154" s="66"/>
      <c r="L154" s="66"/>
      <c r="M154" s="79" t="str">
        <f>HYPERLINK("https://pristavka.com/catalog/playseat/PLS5/")</f>
        <v>https://pristavka.com/catalog/playseat/PLS5/</v>
      </c>
      <c r="N154" s="71">
        <v>31199</v>
      </c>
      <c r="O154" s="66" t="s">
        <v>28</v>
      </c>
      <c r="P154" s="82" t="s">
        <v>849</v>
      </c>
      <c r="Q154" s="84"/>
      <c r="R154" s="84"/>
      <c r="S154" s="84">
        <v>2.44</v>
      </c>
      <c r="T154" s="82" t="s">
        <v>850</v>
      </c>
      <c r="U154" s="84"/>
      <c r="V154" s="54"/>
    </row>
    <row r="155" spans="1:22" s="11" customFormat="1" ht="45" customHeight="1" x14ac:dyDescent="0.2">
      <c r="A155" s="66" t="s">
        <v>851</v>
      </c>
      <c r="B155" s="66" t="s">
        <v>606</v>
      </c>
      <c r="C155" s="66" t="s">
        <v>852</v>
      </c>
      <c r="D155" s="66" t="s">
        <v>853</v>
      </c>
      <c r="E155" s="68" t="s">
        <v>854</v>
      </c>
      <c r="F155" s="66" t="s">
        <v>855</v>
      </c>
      <c r="G155" s="71">
        <v>4600</v>
      </c>
      <c r="H155" s="73"/>
      <c r="I155" s="75">
        <v>0.2</v>
      </c>
      <c r="J155" s="77" t="s">
        <v>18250</v>
      </c>
      <c r="K155" s="66"/>
      <c r="L155" s="66"/>
      <c r="M155" s="79" t="str">
        <f>HYPERLINK("http://www.pristavka.com/catalog/speedlink/SP9/")</f>
        <v>http://www.pristavka.com/catalog/speedlink/SP9/</v>
      </c>
      <c r="N155" s="71">
        <v>7699</v>
      </c>
      <c r="O155" s="66" t="s">
        <v>27</v>
      </c>
      <c r="P155" s="82" t="s">
        <v>856</v>
      </c>
      <c r="Q155" s="84"/>
      <c r="R155" s="84"/>
      <c r="S155" s="84">
        <v>0.24299999999999999</v>
      </c>
      <c r="T155" s="82" t="s">
        <v>857</v>
      </c>
      <c r="U155" s="84" t="s">
        <v>177</v>
      </c>
      <c r="V155" s="54"/>
    </row>
    <row r="156" spans="1:22" s="45" customFormat="1" ht="45" customHeight="1" x14ac:dyDescent="0.2">
      <c r="A156" s="67" t="s">
        <v>858</v>
      </c>
      <c r="B156" s="67" t="s">
        <v>213</v>
      </c>
      <c r="C156" s="67" t="s">
        <v>859</v>
      </c>
      <c r="D156" s="67" t="s">
        <v>26</v>
      </c>
      <c r="E156" s="69" t="s">
        <v>860</v>
      </c>
      <c r="F156" s="67" t="s">
        <v>861</v>
      </c>
      <c r="G156" s="72">
        <v>0</v>
      </c>
      <c r="H156" s="74"/>
      <c r="I156" s="76">
        <v>0.2</v>
      </c>
      <c r="J156" s="77"/>
      <c r="K156" s="67" t="s">
        <v>61</v>
      </c>
      <c r="L156" s="67"/>
      <c r="M156" s="80"/>
      <c r="N156" s="72"/>
      <c r="O156" s="67" t="s">
        <v>28</v>
      </c>
      <c r="P156" s="83" t="s">
        <v>862</v>
      </c>
      <c r="Q156" s="85"/>
      <c r="R156" s="85"/>
      <c r="S156" s="85">
        <v>0.21</v>
      </c>
      <c r="T156" s="83" t="s">
        <v>863</v>
      </c>
      <c r="U156" s="85"/>
      <c r="V156" s="55"/>
    </row>
    <row r="157" spans="1:22" s="11" customFormat="1" ht="45" customHeight="1" x14ac:dyDescent="0.2">
      <c r="A157" s="66" t="s">
        <v>864</v>
      </c>
      <c r="B157" s="66" t="s">
        <v>865</v>
      </c>
      <c r="C157" s="66" t="s">
        <v>866</v>
      </c>
      <c r="D157" s="66">
        <v>4060167</v>
      </c>
      <c r="E157" s="68" t="s">
        <v>867</v>
      </c>
      <c r="F157" s="66" t="s">
        <v>868</v>
      </c>
      <c r="G157" s="71">
        <v>12600</v>
      </c>
      <c r="H157" s="73"/>
      <c r="I157" s="75">
        <v>0.2</v>
      </c>
      <c r="J157" s="77" t="s">
        <v>18251</v>
      </c>
      <c r="K157" s="66"/>
      <c r="L157" s="66"/>
      <c r="M157" s="79" t="str">
        <f>HYPERLINK("http://www.pristavka.com/catalog/thrustmaster/THR126/")</f>
        <v>http://www.pristavka.com/catalog/thrustmaster/THR126/</v>
      </c>
      <c r="N157" s="71">
        <v>16099</v>
      </c>
      <c r="O157" s="66" t="s">
        <v>27</v>
      </c>
      <c r="P157" s="82" t="s">
        <v>869</v>
      </c>
      <c r="Q157" s="84"/>
      <c r="R157" s="84"/>
      <c r="S157" s="84">
        <v>0.372</v>
      </c>
      <c r="T157" s="82" t="s">
        <v>870</v>
      </c>
      <c r="U157" s="84"/>
      <c r="V157" s="54"/>
    </row>
    <row r="158" spans="1:22" s="11" customFormat="1" ht="45" customHeight="1" x14ac:dyDescent="0.2">
      <c r="A158" s="66" t="s">
        <v>864</v>
      </c>
      <c r="B158" s="66" t="s">
        <v>606</v>
      </c>
      <c r="C158" s="66" t="s">
        <v>866</v>
      </c>
      <c r="D158" s="66">
        <v>2960877</v>
      </c>
      <c r="E158" s="68" t="s">
        <v>871</v>
      </c>
      <c r="F158" s="66" t="s">
        <v>872</v>
      </c>
      <c r="G158" s="71">
        <v>439300</v>
      </c>
      <c r="H158" s="73"/>
      <c r="I158" s="75">
        <v>0.2</v>
      </c>
      <c r="J158" s="77" t="s">
        <v>18252</v>
      </c>
      <c r="K158" s="66"/>
      <c r="L158" s="66"/>
      <c r="M158" s="79" t="str">
        <f>HYPERLINK("https://pristavka.com/catalog/thrustmaster/THR151/")</f>
        <v>https://pristavka.com/catalog/thrustmaster/THR151/</v>
      </c>
      <c r="N158" s="71">
        <v>549099</v>
      </c>
      <c r="O158" s="66" t="s">
        <v>28</v>
      </c>
      <c r="P158" s="82" t="s">
        <v>873</v>
      </c>
      <c r="Q158" s="84"/>
      <c r="R158" s="84"/>
      <c r="S158" s="84">
        <v>7.5</v>
      </c>
      <c r="T158" s="82" t="s">
        <v>874</v>
      </c>
      <c r="U158" s="84" t="s">
        <v>177</v>
      </c>
      <c r="V158" s="54"/>
    </row>
    <row r="159" spans="1:22" s="11" customFormat="1" ht="45" customHeight="1" x14ac:dyDescent="0.2">
      <c r="A159" s="66" t="s">
        <v>864</v>
      </c>
      <c r="B159" s="66" t="s">
        <v>164</v>
      </c>
      <c r="C159" s="66" t="s">
        <v>866</v>
      </c>
      <c r="D159" s="66">
        <v>4160726</v>
      </c>
      <c r="E159" s="68" t="s">
        <v>875</v>
      </c>
      <c r="F159" s="66" t="s">
        <v>876</v>
      </c>
      <c r="G159" s="71">
        <v>60400</v>
      </c>
      <c r="H159" s="73"/>
      <c r="I159" s="75">
        <v>0.2</v>
      </c>
      <c r="J159" s="77"/>
      <c r="K159" s="66"/>
      <c r="L159" s="66"/>
      <c r="M159" s="79" t="str">
        <f>HYPERLINK("http://www.pristavka.com/catalog/thrustmaster/THR99/")</f>
        <v>http://www.pristavka.com/catalog/thrustmaster/THR99/</v>
      </c>
      <c r="N159" s="71">
        <v>80499</v>
      </c>
      <c r="O159" s="66" t="s">
        <v>28</v>
      </c>
      <c r="P159" s="82" t="s">
        <v>877</v>
      </c>
      <c r="Q159" s="84"/>
      <c r="R159" s="84"/>
      <c r="S159" s="84">
        <v>0.92400000000000004</v>
      </c>
      <c r="T159" s="82" t="s">
        <v>878</v>
      </c>
      <c r="U159" s="84"/>
      <c r="V159" s="54"/>
    </row>
    <row r="160" spans="1:22" s="11" customFormat="1" ht="45" customHeight="1" x14ac:dyDescent="0.2">
      <c r="A160" s="66" t="s">
        <v>864</v>
      </c>
      <c r="B160" s="66" t="s">
        <v>617</v>
      </c>
      <c r="C160" s="66" t="s">
        <v>866</v>
      </c>
      <c r="D160" s="66">
        <v>4460225</v>
      </c>
      <c r="E160" s="68" t="s">
        <v>879</v>
      </c>
      <c r="F160" s="66" t="s">
        <v>880</v>
      </c>
      <c r="G160" s="71">
        <v>81200</v>
      </c>
      <c r="H160" s="73"/>
      <c r="I160" s="75">
        <v>0.2</v>
      </c>
      <c r="J160" s="77"/>
      <c r="K160" s="66"/>
      <c r="L160" s="66"/>
      <c r="M160" s="79" t="str">
        <f>HYPERLINK("https://pristavka.com/catalog/thrustmaster/THR135/")</f>
        <v>https://pristavka.com/catalog/thrustmaster/THR135/</v>
      </c>
      <c r="N160" s="71">
        <v>104099</v>
      </c>
      <c r="O160" s="66" t="s">
        <v>27</v>
      </c>
      <c r="P160" s="82" t="s">
        <v>881</v>
      </c>
      <c r="Q160" s="84"/>
      <c r="R160" s="84"/>
      <c r="S160" s="84">
        <v>0.64500000000000002</v>
      </c>
      <c r="T160" s="82" t="s">
        <v>882</v>
      </c>
      <c r="U160" s="84"/>
      <c r="V160" s="54"/>
    </row>
    <row r="161" spans="1:22" s="58" customFormat="1" ht="45" customHeight="1" x14ac:dyDescent="0.2">
      <c r="A161" s="86" t="s">
        <v>864</v>
      </c>
      <c r="B161" s="86" t="s">
        <v>617</v>
      </c>
      <c r="C161" s="86" t="s">
        <v>866</v>
      </c>
      <c r="D161" s="86">
        <v>4460283</v>
      </c>
      <c r="E161" s="88" t="s">
        <v>883</v>
      </c>
      <c r="F161" s="86" t="s">
        <v>884</v>
      </c>
      <c r="G161" s="90">
        <v>107100</v>
      </c>
      <c r="H161" s="92"/>
      <c r="I161" s="94">
        <v>0.2</v>
      </c>
      <c r="J161" s="77"/>
      <c r="K161" s="86" t="s">
        <v>61</v>
      </c>
      <c r="L161" s="86"/>
      <c r="M161" s="79" t="str">
        <f>HYPERLINK("https://pristavka.com/catalog/thrustmaster/THR156/")</f>
        <v>https://pristavka.com/catalog/thrustmaster/THR156/</v>
      </c>
      <c r="N161" s="90">
        <v>137299</v>
      </c>
      <c r="O161" s="86" t="s">
        <v>27</v>
      </c>
      <c r="P161" s="97" t="s">
        <v>885</v>
      </c>
      <c r="Q161" s="99"/>
      <c r="R161" s="99"/>
      <c r="S161" s="99">
        <v>1.0549999999999999</v>
      </c>
      <c r="T161" s="97" t="s">
        <v>886</v>
      </c>
      <c r="U161" s="99"/>
      <c r="V161" s="60"/>
    </row>
    <row r="162" spans="1:22" s="58" customFormat="1" ht="45" customHeight="1" x14ac:dyDescent="0.2">
      <c r="A162" s="86" t="s">
        <v>864</v>
      </c>
      <c r="B162" s="86" t="s">
        <v>617</v>
      </c>
      <c r="C162" s="86" t="s">
        <v>866</v>
      </c>
      <c r="D162" s="86">
        <v>4460265</v>
      </c>
      <c r="E162" s="88" t="s">
        <v>887</v>
      </c>
      <c r="F162" s="86" t="s">
        <v>888</v>
      </c>
      <c r="G162" s="90">
        <v>99700</v>
      </c>
      <c r="H162" s="92"/>
      <c r="I162" s="94">
        <v>0.2</v>
      </c>
      <c r="J162" s="77"/>
      <c r="K162" s="86" t="s">
        <v>61</v>
      </c>
      <c r="L162" s="86"/>
      <c r="M162" s="79" t="str">
        <f>HYPERLINK("https://pristavka.com/catalog/thrustmaster/THR152/")</f>
        <v>https://pristavka.com/catalog/thrustmaster/THR152/</v>
      </c>
      <c r="N162" s="90">
        <v>127799</v>
      </c>
      <c r="O162" s="86" t="s">
        <v>27</v>
      </c>
      <c r="P162" s="97" t="s">
        <v>889</v>
      </c>
      <c r="Q162" s="99"/>
      <c r="R162" s="99"/>
      <c r="S162" s="99">
        <v>1.05</v>
      </c>
      <c r="T162" s="97" t="s">
        <v>882</v>
      </c>
      <c r="U162" s="99"/>
      <c r="V162" s="60"/>
    </row>
    <row r="163" spans="1:22" s="11" customFormat="1" ht="45" customHeight="1" x14ac:dyDescent="0.2">
      <c r="A163" s="66" t="s">
        <v>864</v>
      </c>
      <c r="B163" s="66" t="s">
        <v>617</v>
      </c>
      <c r="C163" s="66" t="s">
        <v>866</v>
      </c>
      <c r="D163" s="66">
        <v>4460262</v>
      </c>
      <c r="E163" s="68" t="s">
        <v>890</v>
      </c>
      <c r="F163" s="66" t="s">
        <v>891</v>
      </c>
      <c r="G163" s="71">
        <v>103400</v>
      </c>
      <c r="H163" s="73"/>
      <c r="I163" s="75">
        <v>0.2</v>
      </c>
      <c r="J163" s="77"/>
      <c r="K163" s="66"/>
      <c r="L163" s="66"/>
      <c r="M163" s="79" t="str">
        <f>HYPERLINK("https://pristavka.com/catalog/thrustmaster/THR150/")</f>
        <v>https://pristavka.com/catalog/thrustmaster/THR150/</v>
      </c>
      <c r="N163" s="71">
        <v>132499</v>
      </c>
      <c r="O163" s="66" t="s">
        <v>27</v>
      </c>
      <c r="P163" s="82" t="s">
        <v>892</v>
      </c>
      <c r="Q163" s="84"/>
      <c r="R163" s="84"/>
      <c r="S163" s="84">
        <v>1.08</v>
      </c>
      <c r="T163" s="82" t="s">
        <v>886</v>
      </c>
      <c r="U163" s="84"/>
      <c r="V163" s="54"/>
    </row>
    <row r="164" spans="1:22" s="58" customFormat="1" ht="45" customHeight="1" x14ac:dyDescent="0.2">
      <c r="A164" s="86" t="s">
        <v>864</v>
      </c>
      <c r="B164" s="86" t="s">
        <v>617</v>
      </c>
      <c r="C164" s="86" t="s">
        <v>866</v>
      </c>
      <c r="D164" s="86">
        <v>4460237</v>
      </c>
      <c r="E164" s="88" t="s">
        <v>893</v>
      </c>
      <c r="F164" s="86" t="s">
        <v>894</v>
      </c>
      <c r="G164" s="90">
        <v>73800</v>
      </c>
      <c r="H164" s="92"/>
      <c r="I164" s="94">
        <v>0.2</v>
      </c>
      <c r="J164" s="77"/>
      <c r="K164" s="86" t="s">
        <v>61</v>
      </c>
      <c r="L164" s="86"/>
      <c r="M164" s="79" t="str">
        <f>HYPERLINK("https://pristavka.com/catalog/thrustmaster/THR153/")</f>
        <v>https://pristavka.com/catalog/thrustmaster/THR153/</v>
      </c>
      <c r="N164" s="90">
        <v>89899</v>
      </c>
      <c r="O164" s="86" t="s">
        <v>27</v>
      </c>
      <c r="P164" s="97" t="s">
        <v>895</v>
      </c>
      <c r="Q164" s="99"/>
      <c r="R164" s="99"/>
      <c r="S164" s="99">
        <v>0.54600000000000004</v>
      </c>
      <c r="T164" s="97" t="s">
        <v>882</v>
      </c>
      <c r="U164" s="99"/>
      <c r="V164" s="60"/>
    </row>
    <row r="165" spans="1:22" s="58" customFormat="1" ht="45" customHeight="1" x14ac:dyDescent="0.2">
      <c r="A165" s="86" t="s">
        <v>864</v>
      </c>
      <c r="B165" s="86" t="s">
        <v>26</v>
      </c>
      <c r="C165" s="86" t="s">
        <v>866</v>
      </c>
      <c r="D165" s="86">
        <v>4460295</v>
      </c>
      <c r="E165" s="88" t="s">
        <v>896</v>
      </c>
      <c r="F165" s="86" t="s">
        <v>897</v>
      </c>
      <c r="G165" s="90">
        <v>63900</v>
      </c>
      <c r="H165" s="92"/>
      <c r="I165" s="94">
        <v>0.2</v>
      </c>
      <c r="J165" s="77"/>
      <c r="K165" s="86" t="s">
        <v>61</v>
      </c>
      <c r="L165" s="86"/>
      <c r="M165" s="79" t="str">
        <f>HYPERLINK("https://pristavka.com/catalog/thrustmaster/THR154/")</f>
        <v>https://pristavka.com/catalog/thrustmaster/THR154/</v>
      </c>
      <c r="N165" s="90">
        <v>85199</v>
      </c>
      <c r="O165" s="86" t="s">
        <v>27</v>
      </c>
      <c r="P165" s="97" t="s">
        <v>898</v>
      </c>
      <c r="Q165" s="99"/>
      <c r="R165" s="99"/>
      <c r="S165" s="99">
        <v>2.36</v>
      </c>
      <c r="T165" s="97" t="s">
        <v>899</v>
      </c>
      <c r="U165" s="99" t="s">
        <v>177</v>
      </c>
      <c r="V165" s="60"/>
    </row>
    <row r="166" spans="1:22" s="11" customFormat="1" ht="45" customHeight="1" x14ac:dyDescent="0.2">
      <c r="A166" s="66" t="s">
        <v>864</v>
      </c>
      <c r="B166" s="66" t="s">
        <v>606</v>
      </c>
      <c r="C166" s="66" t="s">
        <v>866</v>
      </c>
      <c r="D166" s="66">
        <v>2960773</v>
      </c>
      <c r="E166" s="68" t="s">
        <v>900</v>
      </c>
      <c r="F166" s="66" t="s">
        <v>901</v>
      </c>
      <c r="G166" s="71">
        <v>44300</v>
      </c>
      <c r="H166" s="73"/>
      <c r="I166" s="75">
        <v>0.2</v>
      </c>
      <c r="J166" s="77"/>
      <c r="K166" s="66"/>
      <c r="L166" s="66"/>
      <c r="M166" s="79" t="str">
        <f>HYPERLINK("http://www.pristavka.com/catalog/thrustmaster/THR49/")</f>
        <v>http://www.pristavka.com/catalog/thrustmaster/THR49/</v>
      </c>
      <c r="N166" s="71">
        <v>56799</v>
      </c>
      <c r="O166" s="66" t="s">
        <v>28</v>
      </c>
      <c r="P166" s="82" t="s">
        <v>902</v>
      </c>
      <c r="Q166" s="84"/>
      <c r="R166" s="84"/>
      <c r="S166" s="84">
        <v>1.1679999999999999</v>
      </c>
      <c r="T166" s="82" t="s">
        <v>903</v>
      </c>
      <c r="U166" s="84"/>
      <c r="V166" s="54"/>
    </row>
    <row r="167" spans="1:22" s="11" customFormat="1" ht="45" customHeight="1" x14ac:dyDescent="0.2">
      <c r="A167" s="66" t="s">
        <v>864</v>
      </c>
      <c r="B167" s="66" t="s">
        <v>606</v>
      </c>
      <c r="C167" s="66" t="s">
        <v>866</v>
      </c>
      <c r="D167" s="66">
        <v>2960844</v>
      </c>
      <c r="E167" s="68" t="s">
        <v>904</v>
      </c>
      <c r="F167" s="66" t="s">
        <v>905</v>
      </c>
      <c r="G167" s="71">
        <v>48000</v>
      </c>
      <c r="H167" s="73"/>
      <c r="I167" s="75">
        <v>0.2</v>
      </c>
      <c r="J167" s="77"/>
      <c r="K167" s="66"/>
      <c r="L167" s="66"/>
      <c r="M167" s="79" t="str">
        <f>HYPERLINK("http://www.pristavka.com/catalog/thrustmaster/THR106/")</f>
        <v>http://www.pristavka.com/catalog/thrustmaster/THR106/</v>
      </c>
      <c r="N167" s="71">
        <v>61499</v>
      </c>
      <c r="O167" s="66" t="s">
        <v>28</v>
      </c>
      <c r="P167" s="82" t="s">
        <v>906</v>
      </c>
      <c r="Q167" s="84"/>
      <c r="R167" s="84"/>
      <c r="S167" s="84">
        <v>1.22</v>
      </c>
      <c r="T167" s="82" t="s">
        <v>907</v>
      </c>
      <c r="U167" s="84"/>
      <c r="V167" s="54"/>
    </row>
    <row r="168" spans="1:22" s="11" customFormat="1" ht="45" customHeight="1" x14ac:dyDescent="0.2">
      <c r="A168" s="66" t="s">
        <v>864</v>
      </c>
      <c r="B168" s="66" t="s">
        <v>617</v>
      </c>
      <c r="C168" s="66" t="s">
        <v>866</v>
      </c>
      <c r="D168" s="66">
        <v>4460219</v>
      </c>
      <c r="E168" s="68" t="s">
        <v>908</v>
      </c>
      <c r="F168" s="66" t="s">
        <v>909</v>
      </c>
      <c r="G168" s="71">
        <v>70200</v>
      </c>
      <c r="H168" s="73"/>
      <c r="I168" s="75">
        <v>0.2</v>
      </c>
      <c r="J168" s="77"/>
      <c r="K168" s="66"/>
      <c r="L168" s="66"/>
      <c r="M168" s="79" t="str">
        <f>HYPERLINK("https://pristavka.com/catalog/thrustmaster/THR139/")</f>
        <v>https://pristavka.com/catalog/thrustmaster/THR139/</v>
      </c>
      <c r="N168" s="71">
        <v>89899</v>
      </c>
      <c r="O168" s="66" t="s">
        <v>27</v>
      </c>
      <c r="P168" s="82" t="s">
        <v>910</v>
      </c>
      <c r="Q168" s="84"/>
      <c r="R168" s="84"/>
      <c r="S168" s="84">
        <v>1.363</v>
      </c>
      <c r="T168" s="82" t="s">
        <v>911</v>
      </c>
      <c r="U168" s="84"/>
      <c r="V168" s="54"/>
    </row>
    <row r="169" spans="1:22" s="11" customFormat="1" ht="45" customHeight="1" x14ac:dyDescent="0.2">
      <c r="A169" s="66" t="s">
        <v>864</v>
      </c>
      <c r="B169" s="66" t="s">
        <v>912</v>
      </c>
      <c r="C169" s="66" t="s">
        <v>866</v>
      </c>
      <c r="D169" s="66">
        <v>2960703</v>
      </c>
      <c r="E169" s="68" t="s">
        <v>913</v>
      </c>
      <c r="F169" s="66" t="s">
        <v>914</v>
      </c>
      <c r="G169" s="71">
        <v>55400</v>
      </c>
      <c r="H169" s="73"/>
      <c r="I169" s="75">
        <v>0.2</v>
      </c>
      <c r="J169" s="77"/>
      <c r="K169" s="66"/>
      <c r="L169" s="66"/>
      <c r="M169" s="79" t="str">
        <f>HYPERLINK("http://www.pristavka.com/catalog/thrustmaster/THR35/")</f>
        <v>http://www.pristavka.com/catalog/thrustmaster/THR35/</v>
      </c>
      <c r="N169" s="71">
        <v>70999</v>
      </c>
      <c r="O169" s="66" t="s">
        <v>28</v>
      </c>
      <c r="P169" s="82" t="s">
        <v>915</v>
      </c>
      <c r="Q169" s="84"/>
      <c r="R169" s="84"/>
      <c r="S169" s="84">
        <v>1.968</v>
      </c>
      <c r="T169" s="82" t="s">
        <v>916</v>
      </c>
      <c r="U169" s="84"/>
      <c r="V169" s="54"/>
    </row>
    <row r="170" spans="1:22" s="11" customFormat="1" ht="45" customHeight="1" x14ac:dyDescent="0.2">
      <c r="A170" s="66" t="s">
        <v>864</v>
      </c>
      <c r="B170" s="66" t="s">
        <v>606</v>
      </c>
      <c r="C170" s="66" t="s">
        <v>866</v>
      </c>
      <c r="D170" s="66">
        <v>2960840</v>
      </c>
      <c r="E170" s="68" t="s">
        <v>917</v>
      </c>
      <c r="F170" s="66" t="s">
        <v>918</v>
      </c>
      <c r="G170" s="71">
        <v>77500</v>
      </c>
      <c r="H170" s="73"/>
      <c r="I170" s="75">
        <v>0.2</v>
      </c>
      <c r="J170" s="77"/>
      <c r="K170" s="66"/>
      <c r="L170" s="66"/>
      <c r="M170" s="79" t="str">
        <f>HYPERLINK("http://www.pristavka.com/catalog/thrustmaster/THR110/")</f>
        <v>http://www.pristavka.com/catalog/thrustmaster/THR110/</v>
      </c>
      <c r="N170" s="71">
        <v>99399</v>
      </c>
      <c r="O170" s="66" t="s">
        <v>28</v>
      </c>
      <c r="P170" s="82" t="s">
        <v>919</v>
      </c>
      <c r="Q170" s="84"/>
      <c r="R170" s="84"/>
      <c r="S170" s="84">
        <v>1.1499999999999999</v>
      </c>
      <c r="T170" s="82" t="s">
        <v>920</v>
      </c>
      <c r="U170" s="84"/>
      <c r="V170" s="54"/>
    </row>
    <row r="171" spans="1:22" s="11" customFormat="1" ht="45" customHeight="1" x14ac:dyDescent="0.2">
      <c r="A171" s="66" t="s">
        <v>864</v>
      </c>
      <c r="B171" s="66" t="s">
        <v>617</v>
      </c>
      <c r="C171" s="66" t="s">
        <v>866</v>
      </c>
      <c r="D171" s="66">
        <v>4060219</v>
      </c>
      <c r="E171" s="68" t="s">
        <v>921</v>
      </c>
      <c r="F171" s="66" t="s">
        <v>922</v>
      </c>
      <c r="G171" s="71">
        <v>99700</v>
      </c>
      <c r="H171" s="73"/>
      <c r="I171" s="75">
        <v>0.2</v>
      </c>
      <c r="J171" s="77"/>
      <c r="K171" s="66"/>
      <c r="L171" s="66"/>
      <c r="M171" s="79" t="str">
        <f>HYPERLINK("https://pristavka.com/catalog/thrustmaster/THR138/")</f>
        <v>https://pristavka.com/catalog/thrustmaster/THR138/</v>
      </c>
      <c r="N171" s="71">
        <v>127799</v>
      </c>
      <c r="O171" s="66" t="s">
        <v>27</v>
      </c>
      <c r="P171" s="82" t="s">
        <v>923</v>
      </c>
      <c r="Q171" s="84"/>
      <c r="R171" s="84"/>
      <c r="S171" s="84">
        <v>1.2470000000000001</v>
      </c>
      <c r="T171" s="82" t="s">
        <v>924</v>
      </c>
      <c r="U171" s="84"/>
      <c r="V171" s="54"/>
    </row>
    <row r="172" spans="1:22" s="11" customFormat="1" ht="45" customHeight="1" x14ac:dyDescent="0.2">
      <c r="A172" s="66" t="s">
        <v>864</v>
      </c>
      <c r="B172" s="66" t="s">
        <v>606</v>
      </c>
      <c r="C172" s="66" t="s">
        <v>866</v>
      </c>
      <c r="D172" s="66">
        <v>2960739</v>
      </c>
      <c r="E172" s="68" t="s">
        <v>925</v>
      </c>
      <c r="F172" s="66" t="s">
        <v>926</v>
      </c>
      <c r="G172" s="71">
        <v>184600</v>
      </c>
      <c r="H172" s="73"/>
      <c r="I172" s="75">
        <v>0.2</v>
      </c>
      <c r="J172" s="77" t="s">
        <v>18253</v>
      </c>
      <c r="K172" s="66"/>
      <c r="L172" s="66"/>
      <c r="M172" s="79" t="str">
        <f>HYPERLINK("http://www.pristavka.com/catalog/thrustmaster/THR28/")</f>
        <v>http://www.pristavka.com/catalog/thrustmaster/THR28/</v>
      </c>
      <c r="N172" s="71">
        <v>236699</v>
      </c>
      <c r="O172" s="66" t="s">
        <v>28</v>
      </c>
      <c r="P172" s="82" t="s">
        <v>927</v>
      </c>
      <c r="Q172" s="84"/>
      <c r="R172" s="84"/>
      <c r="S172" s="84">
        <v>5.09</v>
      </c>
      <c r="T172" s="82" t="s">
        <v>928</v>
      </c>
      <c r="U172" s="84"/>
      <c r="V172" s="54"/>
    </row>
    <row r="173" spans="1:22" s="11" customFormat="1" ht="45" customHeight="1" x14ac:dyDescent="0.2">
      <c r="A173" s="66" t="s">
        <v>864</v>
      </c>
      <c r="B173" s="66" t="s">
        <v>606</v>
      </c>
      <c r="C173" s="66" t="s">
        <v>866</v>
      </c>
      <c r="D173" s="66">
        <v>2960853</v>
      </c>
      <c r="E173" s="68" t="s">
        <v>929</v>
      </c>
      <c r="F173" s="66" t="s">
        <v>930</v>
      </c>
      <c r="G173" s="71">
        <v>59100</v>
      </c>
      <c r="H173" s="73"/>
      <c r="I173" s="75">
        <v>0.2</v>
      </c>
      <c r="J173" s="77"/>
      <c r="K173" s="66"/>
      <c r="L173" s="66"/>
      <c r="M173" s="79" t="str">
        <f>HYPERLINK("http://www.pristavka.com/catalog/thrustmaster/THR120/")</f>
        <v>http://www.pristavka.com/catalog/thrustmaster/THR120/</v>
      </c>
      <c r="N173" s="71">
        <v>75699</v>
      </c>
      <c r="O173" s="66" t="s">
        <v>28</v>
      </c>
      <c r="P173" s="82" t="s">
        <v>931</v>
      </c>
      <c r="Q173" s="84"/>
      <c r="R173" s="84"/>
      <c r="S173" s="84">
        <v>1.012</v>
      </c>
      <c r="T173" s="82" t="s">
        <v>932</v>
      </c>
      <c r="U173" s="84"/>
      <c r="V173" s="54"/>
    </row>
    <row r="174" spans="1:22" s="11" customFormat="1" ht="45" customHeight="1" x14ac:dyDescent="0.2">
      <c r="A174" s="66" t="s">
        <v>864</v>
      </c>
      <c r="B174" s="66" t="s">
        <v>933</v>
      </c>
      <c r="C174" s="66" t="s">
        <v>866</v>
      </c>
      <c r="D174" s="66">
        <v>4060104</v>
      </c>
      <c r="E174" s="68" t="s">
        <v>934</v>
      </c>
      <c r="F174" s="66" t="s">
        <v>935</v>
      </c>
      <c r="G174" s="71">
        <v>54300</v>
      </c>
      <c r="H174" s="73"/>
      <c r="I174" s="75">
        <v>0.2</v>
      </c>
      <c r="J174" s="77" t="s">
        <v>18254</v>
      </c>
      <c r="K174" s="66"/>
      <c r="L174" s="66"/>
      <c r="M174" s="79" t="str">
        <f>HYPERLINK("http://www.pristavka.com/catalog/thrustmaster/THR90/")</f>
        <v>http://www.pristavka.com/catalog/thrustmaster/THR90/</v>
      </c>
      <c r="N174" s="71">
        <v>69599</v>
      </c>
      <c r="O174" s="66" t="s">
        <v>27</v>
      </c>
      <c r="P174" s="82" t="s">
        <v>936</v>
      </c>
      <c r="Q174" s="84"/>
      <c r="R174" s="84"/>
      <c r="S174" s="84">
        <v>0.73199999999999998</v>
      </c>
      <c r="T174" s="82" t="s">
        <v>937</v>
      </c>
      <c r="U174" s="84" t="s">
        <v>177</v>
      </c>
      <c r="V174" s="54"/>
    </row>
    <row r="175" spans="1:22" s="11" customFormat="1" ht="45" customHeight="1" x14ac:dyDescent="0.2">
      <c r="A175" s="66" t="s">
        <v>864</v>
      </c>
      <c r="B175" s="66" t="s">
        <v>164</v>
      </c>
      <c r="C175" s="66" t="s">
        <v>866</v>
      </c>
      <c r="D175" s="66">
        <v>4160777</v>
      </c>
      <c r="E175" s="68" t="s">
        <v>938</v>
      </c>
      <c r="F175" s="66" t="s">
        <v>939</v>
      </c>
      <c r="G175" s="71">
        <v>6400</v>
      </c>
      <c r="H175" s="73"/>
      <c r="I175" s="75">
        <v>0.2</v>
      </c>
      <c r="J175" s="77" t="s">
        <v>18255</v>
      </c>
      <c r="K175" s="66"/>
      <c r="L175" s="66"/>
      <c r="M175" s="79" t="str">
        <f>HYPERLINK("http://www.pristavka.com/catalog/thrustmaster/THR107/")</f>
        <v>http://www.pristavka.com/catalog/thrustmaster/THR107/</v>
      </c>
      <c r="N175" s="71">
        <v>8499</v>
      </c>
      <c r="O175" s="66" t="s">
        <v>28</v>
      </c>
      <c r="P175" s="82" t="s">
        <v>940</v>
      </c>
      <c r="Q175" s="84"/>
      <c r="R175" s="84"/>
      <c r="S175" s="84">
        <v>0.06</v>
      </c>
      <c r="T175" s="82" t="s">
        <v>941</v>
      </c>
      <c r="U175" s="84"/>
      <c r="V175" s="54"/>
    </row>
    <row r="176" spans="1:22" s="11" customFormat="1" ht="45" customHeight="1" x14ac:dyDescent="0.2">
      <c r="A176" s="66" t="s">
        <v>864</v>
      </c>
      <c r="B176" s="66" t="s">
        <v>617</v>
      </c>
      <c r="C176" s="66" t="s">
        <v>866</v>
      </c>
      <c r="D176" s="66">
        <v>4460190</v>
      </c>
      <c r="E176" s="68" t="s">
        <v>942</v>
      </c>
      <c r="F176" s="66" t="s">
        <v>943</v>
      </c>
      <c r="G176" s="71">
        <v>0</v>
      </c>
      <c r="H176" s="73"/>
      <c r="I176" s="75">
        <v>0.2</v>
      </c>
      <c r="J176" s="77"/>
      <c r="K176" s="66"/>
      <c r="L176" s="66"/>
      <c r="M176" s="79" t="str">
        <f>HYPERLINK("http://www.pristavka.com/catalog/thrustmaster/THR114/")</f>
        <v>http://www.pristavka.com/catalog/thrustmaster/THR114/</v>
      </c>
      <c r="N176" s="71"/>
      <c r="O176" s="66" t="s">
        <v>27</v>
      </c>
      <c r="P176" s="82" t="s">
        <v>944</v>
      </c>
      <c r="Q176" s="84"/>
      <c r="R176" s="84"/>
      <c r="S176" s="84">
        <v>6.3E-2</v>
      </c>
      <c r="T176" s="82" t="s">
        <v>945</v>
      </c>
      <c r="U176" s="84"/>
      <c r="V176" s="54"/>
    </row>
    <row r="177" spans="1:22" s="11" customFormat="1" ht="45" customHeight="1" x14ac:dyDescent="0.2">
      <c r="A177" s="66" t="s">
        <v>864</v>
      </c>
      <c r="B177" s="66" t="s">
        <v>946</v>
      </c>
      <c r="C177" s="66" t="s">
        <v>866</v>
      </c>
      <c r="D177" s="66">
        <v>4460248</v>
      </c>
      <c r="E177" s="68" t="s">
        <v>947</v>
      </c>
      <c r="F177" s="66" t="s">
        <v>948</v>
      </c>
      <c r="G177" s="71">
        <v>18500</v>
      </c>
      <c r="H177" s="73"/>
      <c r="I177" s="75">
        <v>0.2</v>
      </c>
      <c r="J177" s="77"/>
      <c r="K177" s="66"/>
      <c r="L177" s="66"/>
      <c r="M177" s="79" t="str">
        <f>HYPERLINK("https://pristavka.com/catalog/thrustmaster/THR149/")</f>
        <v>https://pristavka.com/catalog/thrustmaster/THR149/</v>
      </c>
      <c r="N177" s="71">
        <v>23699</v>
      </c>
      <c r="O177" s="66" t="s">
        <v>27</v>
      </c>
      <c r="P177" s="82" t="s">
        <v>949</v>
      </c>
      <c r="Q177" s="84"/>
      <c r="R177" s="84"/>
      <c r="S177" s="84">
        <v>8.5000000000000006E-2</v>
      </c>
      <c r="T177" s="82" t="s">
        <v>950</v>
      </c>
      <c r="U177" s="84"/>
      <c r="V177" s="54"/>
    </row>
    <row r="178" spans="1:22" s="11" customFormat="1" ht="45" customHeight="1" x14ac:dyDescent="0.2">
      <c r="A178" s="66" t="s">
        <v>864</v>
      </c>
      <c r="B178" s="66" t="s">
        <v>951</v>
      </c>
      <c r="C178" s="66" t="s">
        <v>866</v>
      </c>
      <c r="D178" s="66">
        <v>4060059</v>
      </c>
      <c r="E178" s="68" t="s">
        <v>952</v>
      </c>
      <c r="F178" s="66" t="s">
        <v>953</v>
      </c>
      <c r="G178" s="71">
        <v>114500</v>
      </c>
      <c r="H178" s="73"/>
      <c r="I178" s="75">
        <v>0.2</v>
      </c>
      <c r="J178" s="77"/>
      <c r="K178" s="66"/>
      <c r="L178" s="66"/>
      <c r="M178" s="79" t="str">
        <f>HYPERLINK("http://www.pristavka.com/catalog/thrustmaster/THR9/")</f>
        <v>http://www.pristavka.com/catalog/thrustmaster/THR9/</v>
      </c>
      <c r="N178" s="71">
        <v>146699</v>
      </c>
      <c r="O178" s="66" t="s">
        <v>27</v>
      </c>
      <c r="P178" s="82" t="s">
        <v>954</v>
      </c>
      <c r="Q178" s="84"/>
      <c r="R178" s="84"/>
      <c r="S178" s="84">
        <v>2.3849999999999998</v>
      </c>
      <c r="T178" s="82" t="s">
        <v>955</v>
      </c>
      <c r="U178" s="84" t="s">
        <v>177</v>
      </c>
      <c r="V178" s="54"/>
    </row>
    <row r="179" spans="1:22" s="11" customFormat="1" ht="45" customHeight="1" x14ac:dyDescent="0.2">
      <c r="A179" s="66" t="s">
        <v>864</v>
      </c>
      <c r="B179" s="66" t="s">
        <v>951</v>
      </c>
      <c r="C179" s="66" t="s">
        <v>866</v>
      </c>
      <c r="D179" s="66">
        <v>4060059</v>
      </c>
      <c r="E179" s="68" t="s">
        <v>956</v>
      </c>
      <c r="F179" s="66" t="s">
        <v>957</v>
      </c>
      <c r="G179" s="71">
        <v>48000</v>
      </c>
      <c r="H179" s="73"/>
      <c r="I179" s="75">
        <v>0.2</v>
      </c>
      <c r="J179" s="77"/>
      <c r="K179" s="66"/>
      <c r="L179" s="66"/>
      <c r="M179" s="79" t="str">
        <f>HYPERLINK("https://pristavka.com/catalog/thrustmaster/THR143/")</f>
        <v>https://pristavka.com/catalog/thrustmaster/THR143/</v>
      </c>
      <c r="N179" s="71">
        <v>61499</v>
      </c>
      <c r="O179" s="66" t="s">
        <v>27</v>
      </c>
      <c r="P179" s="82" t="s">
        <v>958</v>
      </c>
      <c r="Q179" s="84"/>
      <c r="R179" s="84"/>
      <c r="S179" s="84">
        <v>1.39</v>
      </c>
      <c r="T179" s="82" t="s">
        <v>959</v>
      </c>
      <c r="U179" s="84" t="s">
        <v>177</v>
      </c>
      <c r="V179" s="54"/>
    </row>
    <row r="180" spans="1:22" s="11" customFormat="1" ht="45" customHeight="1" x14ac:dyDescent="0.2">
      <c r="A180" s="66" t="s">
        <v>864</v>
      </c>
      <c r="B180" s="66" t="s">
        <v>606</v>
      </c>
      <c r="C180" s="66" t="s">
        <v>866</v>
      </c>
      <c r="D180" s="66">
        <v>4060287</v>
      </c>
      <c r="E180" s="68" t="s">
        <v>960</v>
      </c>
      <c r="F180" s="66" t="s">
        <v>961</v>
      </c>
      <c r="G180" s="71">
        <v>33200</v>
      </c>
      <c r="H180" s="73"/>
      <c r="I180" s="75">
        <v>0.2</v>
      </c>
      <c r="J180" s="77" t="s">
        <v>18256</v>
      </c>
      <c r="K180" s="66"/>
      <c r="L180" s="66"/>
      <c r="M180" s="79" t="str">
        <f>HYPERLINK("https://pristavka.com/catalog/thrustmaster/THR146/")</f>
        <v>https://pristavka.com/catalog/thrustmaster/THR146/</v>
      </c>
      <c r="N180" s="71">
        <v>42599</v>
      </c>
      <c r="O180" s="66" t="s">
        <v>28</v>
      </c>
      <c r="P180" s="82" t="s">
        <v>962</v>
      </c>
      <c r="Q180" s="84"/>
      <c r="R180" s="84"/>
      <c r="S180" s="84">
        <v>1.663</v>
      </c>
      <c r="T180" s="82" t="s">
        <v>963</v>
      </c>
      <c r="U180" s="84"/>
      <c r="V180" s="54"/>
    </row>
    <row r="181" spans="1:22" s="11" customFormat="1" ht="45" customHeight="1" x14ac:dyDescent="0.2">
      <c r="A181" s="66" t="s">
        <v>864</v>
      </c>
      <c r="B181" s="66" t="s">
        <v>606</v>
      </c>
      <c r="C181" s="66" t="s">
        <v>866</v>
      </c>
      <c r="D181" s="66">
        <v>4060286</v>
      </c>
      <c r="E181" s="68" t="s">
        <v>964</v>
      </c>
      <c r="F181" s="66" t="s">
        <v>965</v>
      </c>
      <c r="G181" s="71">
        <v>27300</v>
      </c>
      <c r="H181" s="73"/>
      <c r="I181" s="75">
        <v>0.2</v>
      </c>
      <c r="J181" s="77" t="s">
        <v>18257</v>
      </c>
      <c r="K181" s="66"/>
      <c r="L181" s="66"/>
      <c r="M181" s="79" t="str">
        <f>HYPERLINK("https://pristavka.com/catalog/thrustmaster/THR147/")</f>
        <v>https://pristavka.com/catalog/thrustmaster/THR147/</v>
      </c>
      <c r="N181" s="71">
        <v>34999</v>
      </c>
      <c r="O181" s="66" t="s">
        <v>27</v>
      </c>
      <c r="P181" s="82" t="s">
        <v>966</v>
      </c>
      <c r="Q181" s="84"/>
      <c r="R181" s="84"/>
      <c r="S181" s="84">
        <v>0.67700000000000005</v>
      </c>
      <c r="T181" s="82" t="s">
        <v>967</v>
      </c>
      <c r="U181" s="84"/>
      <c r="V181" s="54"/>
    </row>
    <row r="182" spans="1:22" s="11" customFormat="1" ht="45" customHeight="1" x14ac:dyDescent="0.2">
      <c r="A182" s="66" t="s">
        <v>864</v>
      </c>
      <c r="B182" s="66" t="s">
        <v>606</v>
      </c>
      <c r="C182" s="66" t="s">
        <v>866</v>
      </c>
      <c r="D182" s="66">
        <v>2960782</v>
      </c>
      <c r="E182" s="68" t="s">
        <v>968</v>
      </c>
      <c r="F182" s="66" t="s">
        <v>969</v>
      </c>
      <c r="G182" s="71">
        <v>155100</v>
      </c>
      <c r="H182" s="73"/>
      <c r="I182" s="75">
        <v>0.2</v>
      </c>
      <c r="J182" s="77"/>
      <c r="K182" s="66"/>
      <c r="L182" s="66"/>
      <c r="M182" s="79" t="str">
        <f>HYPERLINK("http://www.pristavka.com/catalog/thrustmaster/THR59/")</f>
        <v>http://www.pristavka.com/catalog/thrustmaster/THR59/</v>
      </c>
      <c r="N182" s="71">
        <v>198799</v>
      </c>
      <c r="O182" s="66" t="s">
        <v>27</v>
      </c>
      <c r="P182" s="82" t="s">
        <v>970</v>
      </c>
      <c r="Q182" s="84"/>
      <c r="R182" s="84"/>
      <c r="S182" s="84">
        <v>4.3849999999999998</v>
      </c>
      <c r="T182" s="82" t="s">
        <v>971</v>
      </c>
      <c r="U182" s="84" t="s">
        <v>177</v>
      </c>
      <c r="V182" s="54"/>
    </row>
    <row r="183" spans="1:22" s="11" customFormat="1" ht="45" customHeight="1" x14ac:dyDescent="0.2">
      <c r="A183" s="66" t="s">
        <v>864</v>
      </c>
      <c r="B183" s="66" t="s">
        <v>606</v>
      </c>
      <c r="C183" s="66" t="s">
        <v>866</v>
      </c>
      <c r="D183" s="66">
        <v>2960778</v>
      </c>
      <c r="E183" s="68" t="s">
        <v>972</v>
      </c>
      <c r="F183" s="66" t="s">
        <v>973</v>
      </c>
      <c r="G183" s="71">
        <v>96000</v>
      </c>
      <c r="H183" s="73"/>
      <c r="I183" s="75">
        <v>0.2</v>
      </c>
      <c r="J183" s="77"/>
      <c r="K183" s="66"/>
      <c r="L183" s="66"/>
      <c r="M183" s="79" t="str">
        <f>HYPERLINK("http://www.pristavka.com/catalog/thrustmaster/THR50/")</f>
        <v>http://www.pristavka.com/catalog/thrustmaster/THR50/</v>
      </c>
      <c r="N183" s="71">
        <v>123099</v>
      </c>
      <c r="O183" s="66" t="s">
        <v>27</v>
      </c>
      <c r="P183" s="82" t="s">
        <v>974</v>
      </c>
      <c r="Q183" s="84"/>
      <c r="R183" s="84"/>
      <c r="S183" s="84">
        <v>2.06</v>
      </c>
      <c r="T183" s="82" t="s">
        <v>975</v>
      </c>
      <c r="U183" s="84"/>
      <c r="V183" s="54"/>
    </row>
    <row r="184" spans="1:22" s="11" customFormat="1" ht="45" customHeight="1" x14ac:dyDescent="0.2">
      <c r="A184" s="66" t="s">
        <v>864</v>
      </c>
      <c r="B184" s="66" t="s">
        <v>617</v>
      </c>
      <c r="C184" s="66" t="s">
        <v>866</v>
      </c>
      <c r="D184" s="66">
        <v>4460217</v>
      </c>
      <c r="E184" s="68" t="s">
        <v>976</v>
      </c>
      <c r="F184" s="66" t="s">
        <v>977</v>
      </c>
      <c r="G184" s="71">
        <v>167000</v>
      </c>
      <c r="H184" s="73"/>
      <c r="I184" s="75">
        <v>0.2</v>
      </c>
      <c r="J184" s="77"/>
      <c r="K184" s="66"/>
      <c r="L184" s="66"/>
      <c r="M184" s="79" t="str">
        <f>HYPERLINK("https://pristavka.com/catalog/thrustmaster/THR137/")</f>
        <v>https://pristavka.com/catalog/thrustmaster/THR137/</v>
      </c>
      <c r="N184" s="71">
        <v>222699</v>
      </c>
      <c r="O184" s="66" t="s">
        <v>27</v>
      </c>
      <c r="P184" s="82" t="s">
        <v>978</v>
      </c>
      <c r="Q184" s="84"/>
      <c r="R184" s="84"/>
      <c r="S184" s="84">
        <v>3.27</v>
      </c>
      <c r="T184" s="82" t="s">
        <v>979</v>
      </c>
      <c r="U184" s="84"/>
      <c r="V184" s="54"/>
    </row>
    <row r="185" spans="1:22" s="11" customFormat="1" ht="45" customHeight="1" x14ac:dyDescent="0.2">
      <c r="A185" s="66" t="s">
        <v>864</v>
      </c>
      <c r="B185" s="66" t="s">
        <v>606</v>
      </c>
      <c r="C185" s="66" t="s">
        <v>866</v>
      </c>
      <c r="D185" s="66">
        <v>2960842</v>
      </c>
      <c r="E185" s="68" t="s">
        <v>980</v>
      </c>
      <c r="F185" s="66" t="s">
        <v>981</v>
      </c>
      <c r="G185" s="71">
        <v>107100</v>
      </c>
      <c r="H185" s="73"/>
      <c r="I185" s="75">
        <v>0.2</v>
      </c>
      <c r="J185" s="77"/>
      <c r="K185" s="66"/>
      <c r="L185" s="66"/>
      <c r="M185" s="79" t="str">
        <f>HYPERLINK("http://www.pristavka.com/catalog/thrustmaster/THR117/")</f>
        <v>http://www.pristavka.com/catalog/thrustmaster/THR117/</v>
      </c>
      <c r="N185" s="71">
        <v>137299</v>
      </c>
      <c r="O185" s="66" t="s">
        <v>28</v>
      </c>
      <c r="P185" s="82" t="s">
        <v>982</v>
      </c>
      <c r="Q185" s="84"/>
      <c r="R185" s="84"/>
      <c r="S185" s="84">
        <v>2.319</v>
      </c>
      <c r="T185" s="82" t="s">
        <v>983</v>
      </c>
      <c r="U185" s="84"/>
      <c r="V185" s="54"/>
    </row>
    <row r="186" spans="1:22" s="11" customFormat="1" ht="45" customHeight="1" x14ac:dyDescent="0.2">
      <c r="A186" s="66" t="s">
        <v>864</v>
      </c>
      <c r="B186" s="66" t="s">
        <v>617</v>
      </c>
      <c r="C186" s="66" t="s">
        <v>866</v>
      </c>
      <c r="D186" s="66">
        <v>4460210</v>
      </c>
      <c r="E186" s="68" t="s">
        <v>984</v>
      </c>
      <c r="F186" s="66" t="s">
        <v>985</v>
      </c>
      <c r="G186" s="71">
        <v>295400</v>
      </c>
      <c r="H186" s="73"/>
      <c r="I186" s="75">
        <v>0.2</v>
      </c>
      <c r="J186" s="77"/>
      <c r="K186" s="66"/>
      <c r="L186" s="66"/>
      <c r="M186" s="79" t="str">
        <f>HYPERLINK("https://pristavka.com/catalog/thrustmaster/THR141/")</f>
        <v>https://pristavka.com/catalog/thrustmaster/THR141/</v>
      </c>
      <c r="N186" s="71">
        <v>378699</v>
      </c>
      <c r="O186" s="66" t="s">
        <v>27</v>
      </c>
      <c r="P186" s="82" t="s">
        <v>986</v>
      </c>
      <c r="Q186" s="84"/>
      <c r="R186" s="84"/>
      <c r="S186" s="84">
        <v>9.3000000000000007</v>
      </c>
      <c r="T186" s="82" t="s">
        <v>987</v>
      </c>
      <c r="U186" s="84"/>
      <c r="V186" s="54"/>
    </row>
    <row r="187" spans="1:22" s="11" customFormat="1" ht="45" customHeight="1" x14ac:dyDescent="0.2">
      <c r="A187" s="66" t="s">
        <v>864</v>
      </c>
      <c r="B187" s="66" t="s">
        <v>606</v>
      </c>
      <c r="C187" s="66" t="s">
        <v>866</v>
      </c>
      <c r="D187" s="66">
        <v>4060302</v>
      </c>
      <c r="E187" s="68" t="s">
        <v>988</v>
      </c>
      <c r="F187" s="66" t="s">
        <v>989</v>
      </c>
      <c r="G187" s="71">
        <v>51700</v>
      </c>
      <c r="H187" s="73"/>
      <c r="I187" s="75">
        <v>0.2</v>
      </c>
      <c r="J187" s="77" t="s">
        <v>18258</v>
      </c>
      <c r="K187" s="66"/>
      <c r="L187" s="66"/>
      <c r="M187" s="79" t="str">
        <f>HYPERLINK("https://pristavka.com/catalog/thrustmaster/THR145/")</f>
        <v>https://pristavka.com/catalog/thrustmaster/THR145/</v>
      </c>
      <c r="N187" s="71">
        <v>66299</v>
      </c>
      <c r="O187" s="66" t="s">
        <v>27</v>
      </c>
      <c r="P187" s="82" t="s">
        <v>990</v>
      </c>
      <c r="Q187" s="84"/>
      <c r="R187" s="84"/>
      <c r="S187" s="84">
        <v>2.5649999999999999</v>
      </c>
      <c r="T187" s="82" t="s">
        <v>991</v>
      </c>
      <c r="U187" s="84"/>
      <c r="V187" s="54"/>
    </row>
    <row r="188" spans="1:22" s="11" customFormat="1" ht="45" customHeight="1" x14ac:dyDescent="0.2">
      <c r="A188" s="66" t="s">
        <v>864</v>
      </c>
      <c r="B188" s="66" t="s">
        <v>992</v>
      </c>
      <c r="C188" s="66" t="s">
        <v>866</v>
      </c>
      <c r="D188" s="66">
        <v>4060210</v>
      </c>
      <c r="E188" s="68" t="s">
        <v>993</v>
      </c>
      <c r="F188" s="66" t="s">
        <v>994</v>
      </c>
      <c r="G188" s="71">
        <v>84900</v>
      </c>
      <c r="H188" s="73"/>
      <c r="I188" s="75">
        <v>0.2</v>
      </c>
      <c r="J188" s="77"/>
      <c r="K188" s="66"/>
      <c r="L188" s="66"/>
      <c r="M188" s="79" t="str">
        <f>HYPERLINK("http://www.pristavka.com/catalog/thrustmaster/THR127/")</f>
        <v>http://www.pristavka.com/catalog/thrustmaster/THR127/</v>
      </c>
      <c r="N188" s="71">
        <v>108899</v>
      </c>
      <c r="O188" s="66" t="s">
        <v>28</v>
      </c>
      <c r="P188" s="82" t="s">
        <v>995</v>
      </c>
      <c r="Q188" s="84"/>
      <c r="R188" s="84"/>
      <c r="S188" s="84">
        <v>3.7890000000000001</v>
      </c>
      <c r="T188" s="82" t="s">
        <v>996</v>
      </c>
      <c r="U188" s="84"/>
      <c r="V188" s="54"/>
    </row>
    <row r="189" spans="1:22" s="11" customFormat="1" ht="45" customHeight="1" x14ac:dyDescent="0.2">
      <c r="A189" s="66" t="s">
        <v>864</v>
      </c>
      <c r="B189" s="66" t="s">
        <v>160</v>
      </c>
      <c r="C189" s="66" t="s">
        <v>866</v>
      </c>
      <c r="D189" s="66">
        <v>4160781</v>
      </c>
      <c r="E189" s="68" t="s">
        <v>997</v>
      </c>
      <c r="F189" s="66" t="s">
        <v>998</v>
      </c>
      <c r="G189" s="71">
        <v>147700</v>
      </c>
      <c r="H189" s="73"/>
      <c r="I189" s="75">
        <v>0.2</v>
      </c>
      <c r="J189" s="77"/>
      <c r="K189" s="66"/>
      <c r="L189" s="66"/>
      <c r="M189" s="79" t="str">
        <f>HYPERLINK("https://pristavka.com/catalog/thrustmaster/THR134/")</f>
        <v>https://pristavka.com/catalog/thrustmaster/THR134/</v>
      </c>
      <c r="N189" s="71">
        <v>184599</v>
      </c>
      <c r="O189" s="66" t="s">
        <v>27</v>
      </c>
      <c r="P189" s="82" t="s">
        <v>999</v>
      </c>
      <c r="Q189" s="84"/>
      <c r="R189" s="84"/>
      <c r="S189" s="84">
        <v>4.7</v>
      </c>
      <c r="T189" s="82" t="s">
        <v>1000</v>
      </c>
      <c r="U189" s="84" t="s">
        <v>177</v>
      </c>
      <c r="V189" s="54"/>
    </row>
    <row r="190" spans="1:22" s="11" customFormat="1" ht="45" customHeight="1" x14ac:dyDescent="0.2">
      <c r="A190" s="66" t="s">
        <v>864</v>
      </c>
      <c r="B190" s="66" t="s">
        <v>617</v>
      </c>
      <c r="C190" s="66" t="s">
        <v>866</v>
      </c>
      <c r="D190" s="66">
        <v>4460184</v>
      </c>
      <c r="E190" s="68" t="s">
        <v>1001</v>
      </c>
      <c r="F190" s="66" t="s">
        <v>1002</v>
      </c>
      <c r="G190" s="71">
        <v>147700</v>
      </c>
      <c r="H190" s="73"/>
      <c r="I190" s="75">
        <v>0.2</v>
      </c>
      <c r="J190" s="77"/>
      <c r="K190" s="66"/>
      <c r="L190" s="66"/>
      <c r="M190" s="79" t="str">
        <f>HYPERLINK("https://pristavka.com/catalog/thrustmaster/THR133/")</f>
        <v>https://pristavka.com/catalog/thrustmaster/THR133/</v>
      </c>
      <c r="N190" s="71">
        <v>184599</v>
      </c>
      <c r="O190" s="66" t="s">
        <v>27</v>
      </c>
      <c r="P190" s="82" t="s">
        <v>1003</v>
      </c>
      <c r="Q190" s="84"/>
      <c r="R190" s="84"/>
      <c r="S190" s="84">
        <v>4.6180000000000003</v>
      </c>
      <c r="T190" s="82" t="s">
        <v>1000</v>
      </c>
      <c r="U190" s="84" t="s">
        <v>177</v>
      </c>
      <c r="V190" s="54"/>
    </row>
    <row r="191" spans="1:22" s="11" customFormat="1" ht="45" customHeight="1" x14ac:dyDescent="0.2">
      <c r="A191" s="66" t="s">
        <v>864</v>
      </c>
      <c r="B191" s="66" t="s">
        <v>1004</v>
      </c>
      <c r="C191" s="66" t="s">
        <v>866</v>
      </c>
      <c r="D191" s="66">
        <v>4160783</v>
      </c>
      <c r="E191" s="68" t="s">
        <v>1005</v>
      </c>
      <c r="F191" s="66" t="s">
        <v>1006</v>
      </c>
      <c r="G191" s="71">
        <v>238600</v>
      </c>
      <c r="H191" s="73"/>
      <c r="I191" s="75">
        <v>0.2</v>
      </c>
      <c r="J191" s="77"/>
      <c r="K191" s="66"/>
      <c r="L191" s="66"/>
      <c r="M191" s="79" t="str">
        <f>HYPERLINK("https://pristavka.com/catalog/thrustmaster/THR140/")</f>
        <v>https://pristavka.com/catalog/thrustmaster/THR140/</v>
      </c>
      <c r="N191" s="71">
        <v>298199</v>
      </c>
      <c r="O191" s="66" t="s">
        <v>27</v>
      </c>
      <c r="P191" s="82" t="s">
        <v>1007</v>
      </c>
      <c r="Q191" s="84"/>
      <c r="R191" s="84"/>
      <c r="S191" s="84">
        <v>8.31</v>
      </c>
      <c r="T191" s="82" t="s">
        <v>1008</v>
      </c>
      <c r="U191" s="84" t="s">
        <v>177</v>
      </c>
      <c r="V191" s="54"/>
    </row>
    <row r="192" spans="1:22" s="11" customFormat="1" ht="45" customHeight="1" x14ac:dyDescent="0.2">
      <c r="A192" s="66" t="s">
        <v>864</v>
      </c>
      <c r="B192" s="66" t="s">
        <v>617</v>
      </c>
      <c r="C192" s="66" t="s">
        <v>866</v>
      </c>
      <c r="D192" s="66">
        <v>4460182</v>
      </c>
      <c r="E192" s="68" t="s">
        <v>1009</v>
      </c>
      <c r="F192" s="66" t="s">
        <v>1010</v>
      </c>
      <c r="G192" s="71">
        <v>238600</v>
      </c>
      <c r="H192" s="73"/>
      <c r="I192" s="75">
        <v>0.2</v>
      </c>
      <c r="J192" s="77"/>
      <c r="K192" s="66"/>
      <c r="L192" s="66"/>
      <c r="M192" s="79" t="str">
        <f>HYPERLINK("https://pristavka.com/catalog/thrustmaster/THR132/")</f>
        <v>https://pristavka.com/catalog/thrustmaster/THR132/</v>
      </c>
      <c r="N192" s="71">
        <v>298199</v>
      </c>
      <c r="O192" s="66" t="s">
        <v>27</v>
      </c>
      <c r="P192" s="82" t="s">
        <v>1011</v>
      </c>
      <c r="Q192" s="84"/>
      <c r="R192" s="84"/>
      <c r="S192" s="84">
        <v>8.31</v>
      </c>
      <c r="T192" s="82" t="s">
        <v>1008</v>
      </c>
      <c r="U192" s="84" t="s">
        <v>177</v>
      </c>
      <c r="V192" s="54"/>
    </row>
    <row r="193" spans="1:22" s="11" customFormat="1" ht="45" customHeight="1" x14ac:dyDescent="0.2">
      <c r="A193" s="66" t="s">
        <v>864</v>
      </c>
      <c r="B193" s="66" t="s">
        <v>1004</v>
      </c>
      <c r="C193" s="66" t="s">
        <v>866</v>
      </c>
      <c r="D193" s="66">
        <v>4160652</v>
      </c>
      <c r="E193" s="68" t="s">
        <v>1012</v>
      </c>
      <c r="F193" s="66" t="s">
        <v>1013</v>
      </c>
      <c r="G193" s="71">
        <v>340800</v>
      </c>
      <c r="H193" s="73"/>
      <c r="I193" s="75">
        <v>0.2</v>
      </c>
      <c r="J193" s="77"/>
      <c r="K193" s="66"/>
      <c r="L193" s="66"/>
      <c r="M193" s="79" t="str">
        <f>HYPERLINK("http://www.pristavka.com/catalog/thrustmaster/THR62/")</f>
        <v>http://www.pristavka.com/catalog/thrustmaster/THR62/</v>
      </c>
      <c r="N193" s="71">
        <v>425999</v>
      </c>
      <c r="O193" s="66" t="s">
        <v>27</v>
      </c>
      <c r="P193" s="82" t="s">
        <v>1014</v>
      </c>
      <c r="Q193" s="84"/>
      <c r="R193" s="84"/>
      <c r="S193" s="84">
        <v>10</v>
      </c>
      <c r="T193" s="82" t="s">
        <v>1015</v>
      </c>
      <c r="U193" s="84" t="s">
        <v>177</v>
      </c>
      <c r="V193" s="54"/>
    </row>
    <row r="194" spans="1:22" s="11" customFormat="1" ht="45" customHeight="1" x14ac:dyDescent="0.2">
      <c r="A194" s="66" t="s">
        <v>864</v>
      </c>
      <c r="B194" s="66" t="s">
        <v>1004</v>
      </c>
      <c r="C194" s="66" t="s">
        <v>866</v>
      </c>
      <c r="D194" s="66">
        <v>4160681</v>
      </c>
      <c r="E194" s="68" t="s">
        <v>1016</v>
      </c>
      <c r="F194" s="66" t="s">
        <v>1017</v>
      </c>
      <c r="G194" s="71">
        <v>287800</v>
      </c>
      <c r="H194" s="73"/>
      <c r="I194" s="75">
        <v>0.2</v>
      </c>
      <c r="J194" s="77"/>
      <c r="K194" s="66"/>
      <c r="L194" s="66"/>
      <c r="M194" s="79" t="str">
        <f>HYPERLINK("http://www.pristavka.com/catalog/thrustmaster/THR56/")</f>
        <v>http://www.pristavka.com/catalog/thrustmaster/THR56/</v>
      </c>
      <c r="N194" s="71">
        <v>359699</v>
      </c>
      <c r="O194" s="66" t="s">
        <v>27</v>
      </c>
      <c r="P194" s="82" t="s">
        <v>1018</v>
      </c>
      <c r="Q194" s="84"/>
      <c r="R194" s="84"/>
      <c r="S194" s="84">
        <v>10.1</v>
      </c>
      <c r="T194" s="82" t="s">
        <v>1019</v>
      </c>
      <c r="U194" s="84"/>
      <c r="V194" s="54"/>
    </row>
    <row r="195" spans="1:22" s="58" customFormat="1" ht="45" customHeight="1" x14ac:dyDescent="0.2">
      <c r="A195" s="86" t="s">
        <v>864</v>
      </c>
      <c r="B195" s="86" t="s">
        <v>160</v>
      </c>
      <c r="C195" s="86" t="s">
        <v>866</v>
      </c>
      <c r="D195" s="86">
        <v>4160853</v>
      </c>
      <c r="E195" s="88" t="s">
        <v>1020</v>
      </c>
      <c r="F195" s="86" t="s">
        <v>1021</v>
      </c>
      <c r="G195" s="90">
        <v>299200</v>
      </c>
      <c r="H195" s="92"/>
      <c r="I195" s="94">
        <v>0.2</v>
      </c>
      <c r="J195" s="77"/>
      <c r="K195" s="86" t="s">
        <v>61</v>
      </c>
      <c r="L195" s="86"/>
      <c r="M195" s="79" t="str">
        <f>HYPERLINK("https://pristavka.com/catalog/thrustmaster/THR155/")</f>
        <v>https://pristavka.com/catalog/thrustmaster/THR155/</v>
      </c>
      <c r="N195" s="90">
        <v>373899</v>
      </c>
      <c r="O195" s="86" t="s">
        <v>27</v>
      </c>
      <c r="P195" s="97" t="s">
        <v>1022</v>
      </c>
      <c r="Q195" s="99"/>
      <c r="R195" s="99"/>
      <c r="S195" s="99">
        <v>12.2</v>
      </c>
      <c r="T195" s="97" t="s">
        <v>1023</v>
      </c>
      <c r="U195" s="99" t="s">
        <v>177</v>
      </c>
      <c r="V195" s="60"/>
    </row>
    <row r="196" spans="1:22" s="11" customFormat="1" ht="45" customHeight="1" x14ac:dyDescent="0.2">
      <c r="A196" s="66" t="s">
        <v>864</v>
      </c>
      <c r="B196" s="66" t="s">
        <v>160</v>
      </c>
      <c r="C196" s="66" t="s">
        <v>866</v>
      </c>
      <c r="D196" s="66">
        <v>4160672</v>
      </c>
      <c r="E196" s="68" t="s">
        <v>1024</v>
      </c>
      <c r="F196" s="66" t="s">
        <v>1025</v>
      </c>
      <c r="G196" s="71">
        <v>83300</v>
      </c>
      <c r="H196" s="73"/>
      <c r="I196" s="75">
        <v>0.2</v>
      </c>
      <c r="J196" s="77" t="s">
        <v>18259</v>
      </c>
      <c r="K196" s="66"/>
      <c r="L196" s="66"/>
      <c r="M196" s="79" t="str">
        <f>HYPERLINK("http://www.pristavka.com/catalog/thrustmaster/THR78/")</f>
        <v>http://www.pristavka.com/catalog/thrustmaster/THR78/</v>
      </c>
      <c r="N196" s="71">
        <v>104099</v>
      </c>
      <c r="O196" s="66" t="s">
        <v>27</v>
      </c>
      <c r="P196" s="82" t="s">
        <v>1026</v>
      </c>
      <c r="Q196" s="84"/>
      <c r="R196" s="84"/>
      <c r="S196" s="84">
        <v>4.3</v>
      </c>
      <c r="T196" s="82" t="s">
        <v>1027</v>
      </c>
      <c r="U196" s="84" t="s">
        <v>177</v>
      </c>
      <c r="V196" s="54"/>
    </row>
    <row r="197" spans="1:22" s="11" customFormat="1" ht="45" customHeight="1" x14ac:dyDescent="0.2">
      <c r="A197" s="66" t="s">
        <v>864</v>
      </c>
      <c r="B197" s="66" t="s">
        <v>606</v>
      </c>
      <c r="C197" s="66" t="s">
        <v>866</v>
      </c>
      <c r="D197" s="66">
        <v>2960886</v>
      </c>
      <c r="E197" s="68" t="s">
        <v>1028</v>
      </c>
      <c r="F197" s="66" t="s">
        <v>1029</v>
      </c>
      <c r="G197" s="71">
        <v>621000</v>
      </c>
      <c r="H197" s="73"/>
      <c r="I197" s="75">
        <v>0.2</v>
      </c>
      <c r="J197" s="77" t="s">
        <v>18260</v>
      </c>
      <c r="K197" s="66"/>
      <c r="L197" s="66"/>
      <c r="M197" s="79" t="str">
        <f>HYPERLINK("https://pristavka.com/catalog/thrustmaster/THR142/")</f>
        <v>https://pristavka.com/catalog/thrustmaster/THR142/</v>
      </c>
      <c r="N197" s="71">
        <v>757299</v>
      </c>
      <c r="O197" s="66" t="s">
        <v>28</v>
      </c>
      <c r="P197" s="82" t="s">
        <v>1030</v>
      </c>
      <c r="Q197" s="84"/>
      <c r="R197" s="84"/>
      <c r="S197" s="84">
        <v>13.3</v>
      </c>
      <c r="T197" s="82" t="s">
        <v>1031</v>
      </c>
      <c r="U197" s="84" t="s">
        <v>177</v>
      </c>
      <c r="V197" s="54"/>
    </row>
    <row r="198" spans="1:22" s="11" customFormat="1" ht="45" customHeight="1" x14ac:dyDescent="0.2">
      <c r="A198" s="66" t="s">
        <v>864</v>
      </c>
      <c r="B198" s="66" t="s">
        <v>160</v>
      </c>
      <c r="C198" s="66" t="s">
        <v>866</v>
      </c>
      <c r="D198" s="66">
        <v>4160823</v>
      </c>
      <c r="E198" s="68" t="s">
        <v>1032</v>
      </c>
      <c r="F198" s="66" t="s">
        <v>1033</v>
      </c>
      <c r="G198" s="71">
        <v>492300</v>
      </c>
      <c r="H198" s="73"/>
      <c r="I198" s="75">
        <v>0.2</v>
      </c>
      <c r="J198" s="77"/>
      <c r="K198" s="66"/>
      <c r="L198" s="66"/>
      <c r="M198" s="79" t="str">
        <f>HYPERLINK("http://www.pristavka.com/catalog/thrustmaster/THR121/")</f>
        <v>http://www.pristavka.com/catalog/thrustmaster/THR121/</v>
      </c>
      <c r="N198" s="71">
        <v>615299</v>
      </c>
      <c r="O198" s="66" t="s">
        <v>27</v>
      </c>
      <c r="P198" s="82" t="s">
        <v>1034</v>
      </c>
      <c r="Q198" s="84"/>
      <c r="R198" s="84"/>
      <c r="S198" s="84">
        <v>11.5</v>
      </c>
      <c r="T198" s="82" t="s">
        <v>1035</v>
      </c>
      <c r="U198" s="84" t="s">
        <v>177</v>
      </c>
      <c r="V198" s="54"/>
    </row>
    <row r="199" spans="1:22" s="11" customFormat="1" ht="45" customHeight="1" x14ac:dyDescent="0.2">
      <c r="A199" s="66" t="s">
        <v>864</v>
      </c>
      <c r="B199" s="66" t="s">
        <v>606</v>
      </c>
      <c r="C199" s="66" t="s">
        <v>866</v>
      </c>
      <c r="D199" s="66">
        <v>2960798</v>
      </c>
      <c r="E199" s="68" t="s">
        <v>1036</v>
      </c>
      <c r="F199" s="66" t="s">
        <v>1037</v>
      </c>
      <c r="G199" s="71">
        <v>388200</v>
      </c>
      <c r="H199" s="73"/>
      <c r="I199" s="75">
        <v>0.2</v>
      </c>
      <c r="J199" s="77" t="s">
        <v>18261</v>
      </c>
      <c r="K199" s="66"/>
      <c r="L199" s="66"/>
      <c r="M199" s="79" t="str">
        <f>HYPERLINK("http://www.pristavka.com/catalog/thrustmaster/THR82/")</f>
        <v>http://www.pristavka.com/catalog/thrustmaster/THR82/</v>
      </c>
      <c r="N199" s="71">
        <v>473299</v>
      </c>
      <c r="O199" s="66" t="s">
        <v>28</v>
      </c>
      <c r="P199" s="82" t="s">
        <v>1038</v>
      </c>
      <c r="Q199" s="84"/>
      <c r="R199" s="84"/>
      <c r="S199" s="84">
        <v>11</v>
      </c>
      <c r="T199" s="82" t="s">
        <v>1039</v>
      </c>
      <c r="U199" s="84" t="s">
        <v>177</v>
      </c>
      <c r="V199" s="54"/>
    </row>
    <row r="200" spans="1:22" s="11" customFormat="1" ht="45" customHeight="1" x14ac:dyDescent="0.2">
      <c r="A200" s="66" t="s">
        <v>864</v>
      </c>
      <c r="B200" s="66" t="s">
        <v>865</v>
      </c>
      <c r="C200" s="66" t="s">
        <v>866</v>
      </c>
      <c r="D200" s="66">
        <v>4060162</v>
      </c>
      <c r="E200" s="68" t="s">
        <v>1040</v>
      </c>
      <c r="F200" s="66" t="s">
        <v>1041</v>
      </c>
      <c r="G200" s="71">
        <v>45800</v>
      </c>
      <c r="H200" s="73"/>
      <c r="I200" s="75">
        <v>0.2</v>
      </c>
      <c r="J200" s="77" t="s">
        <v>18262</v>
      </c>
      <c r="K200" s="66"/>
      <c r="L200" s="66"/>
      <c r="M200" s="79" t="str">
        <f>HYPERLINK("http://www.pristavka.com/catalog/thrustmaster/THR124/")</f>
        <v>http://www.pristavka.com/catalog/thrustmaster/THR124/</v>
      </c>
      <c r="N200" s="71">
        <v>58699</v>
      </c>
      <c r="O200" s="66" t="s">
        <v>28</v>
      </c>
      <c r="P200" s="82" t="s">
        <v>1042</v>
      </c>
      <c r="Q200" s="84"/>
      <c r="R200" s="84"/>
      <c r="S200" s="84">
        <v>2.6850000000000001</v>
      </c>
      <c r="T200" s="82" t="s">
        <v>1043</v>
      </c>
      <c r="U200" s="84"/>
      <c r="V200" s="54"/>
    </row>
    <row r="201" spans="1:22" s="11" customFormat="1" ht="45" customHeight="1" x14ac:dyDescent="0.2">
      <c r="A201" s="66" t="s">
        <v>864</v>
      </c>
      <c r="B201" s="66" t="s">
        <v>617</v>
      </c>
      <c r="C201" s="66" t="s">
        <v>866</v>
      </c>
      <c r="D201" s="66">
        <v>4460209</v>
      </c>
      <c r="E201" s="68" t="s">
        <v>1044</v>
      </c>
      <c r="F201" s="66" t="s">
        <v>1045</v>
      </c>
      <c r="G201" s="71">
        <v>243700</v>
      </c>
      <c r="H201" s="73"/>
      <c r="I201" s="75">
        <v>0.2</v>
      </c>
      <c r="J201" s="77"/>
      <c r="K201" s="66"/>
      <c r="L201" s="66"/>
      <c r="M201" s="79" t="str">
        <f>HYPERLINK("https://pristavka.com/catalog/thrustmaster/THR136/")</f>
        <v>https://pristavka.com/catalog/thrustmaster/THR136/</v>
      </c>
      <c r="N201" s="71">
        <v>312399</v>
      </c>
      <c r="O201" s="66" t="s">
        <v>28</v>
      </c>
      <c r="P201" s="82" t="s">
        <v>1046</v>
      </c>
      <c r="Q201" s="84"/>
      <c r="R201" s="84"/>
      <c r="S201" s="84">
        <v>7.7</v>
      </c>
      <c r="T201" s="82" t="s">
        <v>987</v>
      </c>
      <c r="U201" s="84"/>
      <c r="V201" s="54"/>
    </row>
    <row r="202" spans="1:22" s="11" customFormat="1" ht="45" customHeight="1" x14ac:dyDescent="0.2">
      <c r="A202" s="66" t="s">
        <v>1047</v>
      </c>
      <c r="B202" s="66" t="s">
        <v>230</v>
      </c>
      <c r="C202" s="66" t="s">
        <v>161</v>
      </c>
      <c r="D202" s="66" t="s">
        <v>1048</v>
      </c>
      <c r="E202" s="68" t="s">
        <v>1049</v>
      </c>
      <c r="F202" s="66" t="s">
        <v>1050</v>
      </c>
      <c r="G202" s="71">
        <v>27300</v>
      </c>
      <c r="H202" s="73"/>
      <c r="I202" s="75">
        <v>0.2</v>
      </c>
      <c r="J202" s="77" t="s">
        <v>18263</v>
      </c>
      <c r="K202" s="66"/>
      <c r="L202" s="66"/>
      <c r="M202" s="79" t="str">
        <f>HYPERLINK("http://www.pristavka.com/catalog/hori/HR94/")</f>
        <v>http://www.pristavka.com/catalog/hori/HR94/</v>
      </c>
      <c r="N202" s="71">
        <v>37899</v>
      </c>
      <c r="O202" s="66" t="s">
        <v>27</v>
      </c>
      <c r="P202" s="82" t="s">
        <v>1051</v>
      </c>
      <c r="Q202" s="84"/>
      <c r="R202" s="84"/>
      <c r="S202" s="84">
        <v>0.34</v>
      </c>
      <c r="T202" s="82" t="s">
        <v>1052</v>
      </c>
      <c r="U202" s="84" t="s">
        <v>177</v>
      </c>
      <c r="V202" s="54"/>
    </row>
    <row r="203" spans="1:22" s="11" customFormat="1" ht="45" customHeight="1" x14ac:dyDescent="0.2">
      <c r="A203" s="66" t="s">
        <v>1047</v>
      </c>
      <c r="B203" s="66" t="s">
        <v>230</v>
      </c>
      <c r="C203" s="66" t="s">
        <v>161</v>
      </c>
      <c r="D203" s="66" t="s">
        <v>1053</v>
      </c>
      <c r="E203" s="68" t="s">
        <v>1054</v>
      </c>
      <c r="F203" s="66" t="s">
        <v>1055</v>
      </c>
      <c r="G203" s="71">
        <v>32000</v>
      </c>
      <c r="H203" s="73"/>
      <c r="I203" s="75">
        <v>0.2</v>
      </c>
      <c r="J203" s="77" t="s">
        <v>18199</v>
      </c>
      <c r="K203" s="66"/>
      <c r="L203" s="66"/>
      <c r="M203" s="79" t="str">
        <f>HYPERLINK("http://www.pristavka.com/catalog/hori/HR98/")</f>
        <v>http://www.pristavka.com/catalog/hori/HR98/</v>
      </c>
      <c r="N203" s="71">
        <v>42599</v>
      </c>
      <c r="O203" s="66" t="s">
        <v>27</v>
      </c>
      <c r="P203" s="82" t="s">
        <v>1056</v>
      </c>
      <c r="Q203" s="84"/>
      <c r="R203" s="84"/>
      <c r="S203" s="84">
        <v>0.32</v>
      </c>
      <c r="T203" s="82" t="s">
        <v>1052</v>
      </c>
      <c r="U203" s="84" t="s">
        <v>177</v>
      </c>
      <c r="V203" s="54"/>
    </row>
    <row r="204" spans="1:22" s="11" customFormat="1" ht="45" customHeight="1" x14ac:dyDescent="0.2">
      <c r="A204" s="66" t="s">
        <v>1057</v>
      </c>
      <c r="B204" s="66" t="s">
        <v>26</v>
      </c>
      <c r="C204" s="66" t="s">
        <v>26</v>
      </c>
      <c r="D204" s="66" t="s">
        <v>26</v>
      </c>
      <c r="E204" s="68" t="s">
        <v>1058</v>
      </c>
      <c r="F204" s="66" t="s">
        <v>1059</v>
      </c>
      <c r="G204" s="71">
        <v>0</v>
      </c>
      <c r="H204" s="73"/>
      <c r="I204" s="75">
        <v>0.2</v>
      </c>
      <c r="J204" s="77"/>
      <c r="K204" s="66"/>
      <c r="L204" s="66"/>
      <c r="M204" s="96"/>
      <c r="N204" s="71"/>
      <c r="O204" s="66" t="s">
        <v>28</v>
      </c>
      <c r="P204" s="82" t="s">
        <v>1060</v>
      </c>
      <c r="Q204" s="84"/>
      <c r="R204" s="84"/>
      <c r="S204" s="84">
        <v>32</v>
      </c>
      <c r="T204" s="82" t="s">
        <v>1061</v>
      </c>
      <c r="U204" s="84"/>
      <c r="V204" s="54"/>
    </row>
    <row r="206" spans="1:22" x14ac:dyDescent="0.2">
      <c r="A206" s="2" t="s">
        <v>14</v>
      </c>
      <c r="B206" s="2"/>
      <c r="C206" s="2"/>
      <c r="D206" s="2"/>
      <c r="E206" s="2"/>
      <c r="F206" s="2"/>
      <c r="G206" s="2"/>
      <c r="H206" s="2"/>
      <c r="I206" s="47"/>
      <c r="J206" s="47"/>
      <c r="K206" s="47"/>
      <c r="L206" s="47"/>
      <c r="M206" s="47"/>
      <c r="N206" s="47"/>
      <c r="O206" s="47"/>
    </row>
    <row r="207" spans="1:22" x14ac:dyDescent="0.2">
      <c r="A207" s="2" t="s">
        <v>12</v>
      </c>
      <c r="B207" s="2"/>
      <c r="C207" s="2"/>
      <c r="D207" s="2"/>
      <c r="E207" s="2"/>
      <c r="F207" s="2"/>
      <c r="G207" s="2"/>
      <c r="H207" s="2"/>
      <c r="I207" s="47"/>
      <c r="J207" s="47"/>
      <c r="K207" s="47"/>
      <c r="L207" s="47"/>
      <c r="M207" s="47"/>
      <c r="N207" s="47"/>
      <c r="O207" s="47"/>
    </row>
    <row r="208" spans="1:22" x14ac:dyDescent="0.2">
      <c r="A208" s="2" t="s">
        <v>13</v>
      </c>
      <c r="B208" s="2"/>
      <c r="C208" s="2"/>
      <c r="D208" s="2"/>
      <c r="E208" s="2"/>
      <c r="F208" s="2"/>
      <c r="G208" s="2"/>
      <c r="H208" s="2"/>
      <c r="I208" s="47"/>
      <c r="J208" s="47"/>
      <c r="K208" s="47"/>
      <c r="L208" s="47"/>
      <c r="M208" s="47"/>
      <c r="N208" s="47"/>
      <c r="O208" s="47"/>
    </row>
    <row r="209" spans="1:15" x14ac:dyDescent="0.2">
      <c r="A209" s="2" t="s">
        <v>159</v>
      </c>
      <c r="B209" s="2"/>
      <c r="C209" s="2"/>
      <c r="D209" s="2"/>
      <c r="E209" s="2"/>
      <c r="F209" s="2"/>
      <c r="G209" s="2"/>
      <c r="H209" s="2"/>
      <c r="I209" s="47"/>
      <c r="J209" s="47"/>
      <c r="K209" s="47"/>
      <c r="L209" s="47"/>
      <c r="M209" s="47"/>
      <c r="N209" s="47"/>
      <c r="O209" s="47"/>
    </row>
    <row r="210" spans="1:15" x14ac:dyDescent="0.2">
      <c r="A210" s="2" t="s">
        <v>9</v>
      </c>
      <c r="B210" s="2"/>
      <c r="C210" s="2"/>
      <c r="D210" s="2"/>
      <c r="E210" s="2"/>
      <c r="F210" s="2"/>
      <c r="G210" s="2"/>
      <c r="H210" s="2"/>
      <c r="I210" s="47"/>
      <c r="J210" s="47"/>
      <c r="K210" s="47"/>
      <c r="L210" s="47"/>
      <c r="M210" s="47"/>
      <c r="N210" s="47"/>
      <c r="O210" s="47"/>
    </row>
    <row r="211" spans="1:15" x14ac:dyDescent="0.2">
      <c r="A211" s="2"/>
      <c r="B211" s="2"/>
      <c r="C211" s="2"/>
      <c r="D211" s="2"/>
      <c r="E211" s="2"/>
      <c r="F211" s="2"/>
      <c r="G211" s="2"/>
      <c r="H211" s="2"/>
      <c r="I211" s="47"/>
      <c r="J211" s="47"/>
      <c r="K211" s="47"/>
      <c r="L211" s="47"/>
      <c r="M211" s="47"/>
      <c r="N211" s="47"/>
      <c r="O211" s="47"/>
    </row>
    <row r="212" spans="1:15" x14ac:dyDescent="0.2">
      <c r="A212" s="2"/>
      <c r="B212" s="2"/>
      <c r="C212" s="2"/>
      <c r="D212" s="2"/>
      <c r="E212" s="2"/>
      <c r="F212" s="2"/>
      <c r="G212" s="2"/>
      <c r="H212" s="2"/>
      <c r="I212" s="47"/>
      <c r="J212" s="47"/>
      <c r="K212" s="47"/>
      <c r="L212" s="47"/>
      <c r="M212" s="47"/>
      <c r="N212" s="47"/>
      <c r="O212" s="47"/>
    </row>
    <row r="213" spans="1:15" x14ac:dyDescent="0.2">
      <c r="A213" s="2"/>
      <c r="B213" s="2"/>
      <c r="C213" s="2"/>
      <c r="D213" s="2"/>
      <c r="E213" s="2"/>
      <c r="F213" s="2"/>
      <c r="G213" s="2"/>
      <c r="H213" s="2"/>
      <c r="I213" s="47"/>
      <c r="J213" s="47"/>
      <c r="K213" s="47"/>
      <c r="L213" s="47"/>
      <c r="M213" s="47"/>
      <c r="N213" s="47"/>
      <c r="O213" s="47"/>
    </row>
  </sheetData>
  <autoFilter ref="A8:O204" xr:uid="{00000000-0009-0000-0000-000002000000}"/>
  <pageMargins left="0.7" right="0.7" top="0.75" bottom="0.75" header="0.3" footer="0.3"/>
  <pageSetup paperSize="9" orientation="portrait" r:id="rId1"/>
  <drawing r:id="rId2"/>
  <legacyDrawing r:id="rId3"/>
  <mc:AlternateContent xmlns:mc="http://schemas.openxmlformats.org/markup-compatibility/2006">
    <mc:Choice Requires="x14">
      <controls>
        <mc:AlternateContent xmlns:mc="http://schemas.openxmlformats.org/markup-compatibility/2006">
          <mc:Choice Requires="x14">
            <control shapeId="2052" r:id="rId4" name="Button 4">
              <controlPr locked="0" defaultSize="0" autoFill="0" autoPict="0" macro="[0]!Clear">
                <anchor moveWithCells="1" sizeWithCells="1">
                  <from>
                    <xdr:col>6</xdr:col>
                    <xdr:colOff>30480</xdr:colOff>
                    <xdr:row>0</xdr:row>
                    <xdr:rowOff>99060</xdr:rowOff>
                  </from>
                  <to>
                    <xdr:col>7</xdr:col>
                    <xdr:colOff>502920</xdr:colOff>
                    <xdr:row>2</xdr:row>
                    <xdr:rowOff>99060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53" r:id="rId5" name="Button 5">
              <controlPr locked="0" defaultSize="0" autoFill="0" autoPict="0" macro="[0]!Clear">
                <anchor moveWithCells="1" sizeWithCells="1">
                  <from>
                    <xdr:col>6</xdr:col>
                    <xdr:colOff>30480</xdr:colOff>
                    <xdr:row>0</xdr:row>
                    <xdr:rowOff>99060</xdr:rowOff>
                  </from>
                  <to>
                    <xdr:col>7</xdr:col>
                    <xdr:colOff>502920</xdr:colOff>
                    <xdr:row>2</xdr:row>
                    <xdr:rowOff>99060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2054" r:id="rId6" name="Button 6">
              <controlPr locked="0" defaultSize="0" autoFill="0" autoPict="0" macro="[0]!Clear">
                <anchor moveWithCells="1" sizeWithCells="1">
                  <from>
                    <xdr:col>6</xdr:col>
                    <xdr:colOff>30480</xdr:colOff>
                    <xdr:row>0</xdr:row>
                    <xdr:rowOff>99060</xdr:rowOff>
                  </from>
                  <to>
                    <xdr:col>7</xdr:col>
                    <xdr:colOff>502920</xdr:colOff>
                    <xdr:row>2</xdr:row>
                    <xdr:rowOff>99060</xdr:rowOff>
                  </to>
                </anchor>
              </controlPr>
            </control>
          </mc:Choice>
        </mc:AlternateContent>
      </controls>
    </mc:Choice>
  </mc:AlternateContent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sheetPr codeName="Лист8"/>
  <dimension ref="A1:V4557"/>
  <sheetViews>
    <sheetView showGridLines="0" workbookViewId="0">
      <pane ySplit="8" topLeftCell="A9" activePane="bottomLeft" state="frozen"/>
      <selection pane="bottomLeft"/>
    </sheetView>
  </sheetViews>
  <sheetFormatPr defaultColWidth="9.109375" defaultRowHeight="10.199999999999999" x14ac:dyDescent="0.2"/>
  <cols>
    <col min="1" max="2" width="10" style="12" customWidth="1"/>
    <col min="3" max="4" width="15.44140625" style="12" customWidth="1"/>
    <col min="5" max="5" width="30.88671875" style="24" customWidth="1"/>
    <col min="6" max="6" width="9.109375" style="12" customWidth="1"/>
    <col min="7" max="7" width="9.109375" style="29" customWidth="1"/>
    <col min="8" max="8" width="7.6640625" style="32" customWidth="1"/>
    <col min="9" max="9" width="10" style="12" customWidth="1"/>
    <col min="10" max="10" width="12.6640625" style="43" customWidth="1"/>
    <col min="11" max="11" width="12.6640625" style="12" customWidth="1"/>
    <col min="12" max="12" width="14.109375" style="12" customWidth="1"/>
    <col min="13" max="13" width="25.6640625" style="29" customWidth="1"/>
    <col min="14" max="14" width="12.6640625" style="12" customWidth="1"/>
    <col min="15" max="15" width="8.6640625" style="12" customWidth="1"/>
    <col min="16" max="16" width="12.6640625" style="47" customWidth="1"/>
    <col min="17" max="21" width="15.6640625" style="47" customWidth="1"/>
    <col min="22" max="22" width="9.109375" style="47"/>
    <col min="23" max="16384" width="9.109375" style="2"/>
  </cols>
  <sheetData>
    <row r="1" spans="1:22" ht="12.75" customHeight="1" x14ac:dyDescent="0.2"/>
    <row r="2" spans="1:22" s="1" customFormat="1" ht="12.75" customHeight="1" x14ac:dyDescent="0.25">
      <c r="A2" s="13"/>
      <c r="B2" s="13"/>
      <c r="C2" s="13"/>
      <c r="D2" s="13"/>
      <c r="E2" s="25"/>
      <c r="F2" s="17"/>
      <c r="G2" s="30"/>
      <c r="H2" s="33"/>
      <c r="I2" s="13"/>
      <c r="J2" s="43"/>
      <c r="K2" s="13"/>
      <c r="L2" s="12"/>
      <c r="M2" s="30"/>
      <c r="N2" s="13"/>
      <c r="O2" s="13"/>
      <c r="P2" s="51"/>
      <c r="Q2" s="51"/>
      <c r="R2" s="51"/>
      <c r="S2" s="51"/>
      <c r="T2" s="51"/>
      <c r="U2" s="51"/>
      <c r="V2" s="51"/>
    </row>
    <row r="3" spans="1:22" s="10" customFormat="1" ht="12.75" customHeight="1" x14ac:dyDescent="0.3">
      <c r="A3" s="12"/>
      <c r="B3" s="12"/>
      <c r="C3" s="12"/>
      <c r="D3" s="12"/>
      <c r="E3" s="24"/>
      <c r="F3" s="12"/>
      <c r="G3" s="29"/>
      <c r="H3" s="32"/>
      <c r="I3" s="12"/>
      <c r="J3" s="43"/>
      <c r="K3" s="12"/>
      <c r="L3" s="12"/>
      <c r="M3" s="29"/>
      <c r="N3" s="12"/>
      <c r="O3" s="12"/>
      <c r="P3" s="47"/>
      <c r="Q3" s="47"/>
      <c r="R3" s="47"/>
      <c r="S3" s="47"/>
      <c r="T3" s="47"/>
      <c r="U3" s="47"/>
      <c r="V3" s="47"/>
    </row>
    <row r="4" spans="1:22" s="10" customFormat="1" ht="12.75" customHeight="1" x14ac:dyDescent="0.3">
      <c r="A4" s="27" t="s">
        <v>8</v>
      </c>
      <c r="B4" s="15"/>
      <c r="C4" s="12"/>
      <c r="D4" s="12"/>
      <c r="E4" s="18"/>
      <c r="F4" s="19"/>
      <c r="G4" s="41"/>
      <c r="H4" s="7"/>
      <c r="I4" s="12"/>
      <c r="J4" s="43"/>
      <c r="K4" s="15"/>
      <c r="L4" s="12"/>
      <c r="M4" s="12"/>
      <c r="N4" s="12"/>
      <c r="O4" s="12"/>
      <c r="P4" s="47"/>
      <c r="Q4" s="47"/>
      <c r="R4" s="47"/>
      <c r="S4" s="47"/>
      <c r="T4" s="47"/>
      <c r="U4" s="47"/>
      <c r="V4" s="47"/>
    </row>
    <row r="5" spans="1:22" s="10" customFormat="1" ht="12.75" customHeight="1" x14ac:dyDescent="0.3">
      <c r="A5" s="12"/>
      <c r="B5" s="16"/>
      <c r="C5" s="12"/>
      <c r="D5" s="12"/>
      <c r="E5" s="18"/>
      <c r="F5" s="12"/>
      <c r="G5" s="42"/>
      <c r="H5" s="7"/>
      <c r="I5" s="12"/>
      <c r="J5" s="43"/>
      <c r="K5" s="15"/>
      <c r="L5" s="12"/>
      <c r="M5" s="12"/>
      <c r="N5" s="12"/>
      <c r="O5" s="12"/>
      <c r="P5" s="47"/>
      <c r="Q5" s="47"/>
      <c r="R5" s="47"/>
      <c r="S5" s="47"/>
      <c r="T5" s="47"/>
      <c r="U5" s="47"/>
      <c r="V5" s="47"/>
    </row>
    <row r="6" spans="1:22" s="10" customFormat="1" ht="12.75" customHeight="1" x14ac:dyDescent="0.3">
      <c r="A6" s="12"/>
      <c r="B6" s="12"/>
      <c r="C6" s="12"/>
      <c r="D6" s="12"/>
      <c r="E6" s="18"/>
      <c r="F6" s="20"/>
      <c r="G6" s="9"/>
      <c r="H6" s="8"/>
      <c r="I6" s="22"/>
      <c r="J6" s="44"/>
      <c r="K6" s="21"/>
      <c r="L6" s="12"/>
      <c r="M6" s="12"/>
      <c r="N6" s="12"/>
      <c r="O6" s="12"/>
      <c r="P6" s="47"/>
      <c r="Q6" s="47"/>
      <c r="R6" s="47"/>
      <c r="S6" s="47"/>
      <c r="T6" s="47"/>
      <c r="U6" s="47"/>
      <c r="V6" s="47"/>
    </row>
    <row r="7" spans="1:22" s="3" customFormat="1" ht="12.75" customHeight="1" x14ac:dyDescent="0.2">
      <c r="A7" s="14"/>
      <c r="B7" s="14"/>
      <c r="C7" s="14"/>
      <c r="D7" s="14"/>
      <c r="E7" s="26"/>
      <c r="F7" s="14"/>
      <c r="G7" s="31"/>
      <c r="H7" s="34"/>
      <c r="I7" s="14"/>
      <c r="J7" s="43"/>
      <c r="K7" s="14"/>
      <c r="L7" s="14"/>
      <c r="M7" s="31"/>
      <c r="N7" s="23"/>
      <c r="O7" s="14"/>
      <c r="P7" s="52"/>
      <c r="Q7" s="52"/>
      <c r="R7" s="52"/>
      <c r="S7" s="52"/>
      <c r="T7" s="52"/>
      <c r="U7" s="52"/>
      <c r="V7" s="52"/>
    </row>
    <row r="8" spans="1:22" s="4" customFormat="1" ht="24" customHeight="1" x14ac:dyDescent="0.2">
      <c r="A8" s="5" t="s">
        <v>3</v>
      </c>
      <c r="B8" s="5" t="s">
        <v>2</v>
      </c>
      <c r="C8" s="5" t="s">
        <v>11</v>
      </c>
      <c r="D8" s="5" t="s">
        <v>15</v>
      </c>
      <c r="E8" s="5" t="s">
        <v>10</v>
      </c>
      <c r="F8" s="5" t="s">
        <v>0</v>
      </c>
      <c r="G8" s="39" t="s">
        <v>19</v>
      </c>
      <c r="H8" s="6" t="s">
        <v>20</v>
      </c>
      <c r="I8" s="46" t="s">
        <v>18</v>
      </c>
      <c r="J8" s="48" t="s">
        <v>21</v>
      </c>
      <c r="K8" s="46" t="s">
        <v>1</v>
      </c>
      <c r="L8" s="46" t="s">
        <v>5</v>
      </c>
      <c r="M8" s="49" t="s">
        <v>7</v>
      </c>
      <c r="N8" s="46" t="s">
        <v>22</v>
      </c>
      <c r="O8" s="50" t="s">
        <v>6</v>
      </c>
      <c r="P8" s="50" t="s">
        <v>4</v>
      </c>
      <c r="Q8" s="53" t="s">
        <v>16</v>
      </c>
      <c r="R8" s="53" t="s">
        <v>17</v>
      </c>
      <c r="S8" s="53" t="s">
        <v>23</v>
      </c>
      <c r="T8" s="56" t="s">
        <v>24</v>
      </c>
      <c r="U8" s="56" t="s">
        <v>25</v>
      </c>
      <c r="V8" s="57"/>
    </row>
    <row r="9" spans="1:22" s="11" customFormat="1" ht="45" customHeight="1" x14ac:dyDescent="0.2">
      <c r="A9" s="66" t="s">
        <v>1062</v>
      </c>
      <c r="B9" s="66" t="s">
        <v>26</v>
      </c>
      <c r="C9" s="66" t="s">
        <v>1062</v>
      </c>
      <c r="D9" s="66" t="s">
        <v>1063</v>
      </c>
      <c r="E9" s="68" t="s">
        <v>1064</v>
      </c>
      <c r="F9" s="66" t="s">
        <v>1065</v>
      </c>
      <c r="G9" s="70">
        <v>11568</v>
      </c>
      <c r="H9" s="73"/>
      <c r="I9" s="75">
        <v>0.2</v>
      </c>
      <c r="J9" s="77"/>
      <c r="K9" s="66"/>
      <c r="L9" s="66"/>
      <c r="M9" s="78" t="str">
        <f>HYPERLINK("http://www.pristavka.com/catalog/ABYstyle/ABY755/")</f>
        <v>http://www.pristavka.com/catalog/ABYstyle/ABY755/</v>
      </c>
      <c r="N9" s="71">
        <v>18999</v>
      </c>
      <c r="O9" s="66" t="s">
        <v>27</v>
      </c>
      <c r="P9" s="81" t="s">
        <v>1066</v>
      </c>
      <c r="Q9" s="66" t="s">
        <v>1067</v>
      </c>
      <c r="R9" s="66" t="s">
        <v>1068</v>
      </c>
      <c r="S9" s="66">
        <v>0.153</v>
      </c>
      <c r="T9" s="82" t="s">
        <v>1069</v>
      </c>
      <c r="U9" s="84"/>
      <c r="V9" s="54"/>
    </row>
    <row r="10" spans="1:22" s="11" customFormat="1" ht="45" customHeight="1" x14ac:dyDescent="0.2">
      <c r="A10" s="66" t="s">
        <v>1062</v>
      </c>
      <c r="B10" s="66" t="s">
        <v>26</v>
      </c>
      <c r="C10" s="66" t="s">
        <v>1062</v>
      </c>
      <c r="D10" s="66" t="s">
        <v>1070</v>
      </c>
      <c r="E10" s="68" t="s">
        <v>1071</v>
      </c>
      <c r="F10" s="66" t="s">
        <v>1072</v>
      </c>
      <c r="G10" s="71">
        <v>5124</v>
      </c>
      <c r="H10" s="73"/>
      <c r="I10" s="75">
        <v>0.2</v>
      </c>
      <c r="J10" s="77"/>
      <c r="K10" s="66"/>
      <c r="L10" s="66"/>
      <c r="M10" s="79" t="str">
        <f>HYPERLINK("http://www.pristavka.com/catalog/ABYstyle/ABY754/")</f>
        <v>http://www.pristavka.com/catalog/ABYstyle/ABY754/</v>
      </c>
      <c r="N10" s="71">
        <v>8399</v>
      </c>
      <c r="O10" s="66" t="s">
        <v>27</v>
      </c>
      <c r="P10" s="82" t="s">
        <v>1073</v>
      </c>
      <c r="Q10" s="84" t="s">
        <v>1074</v>
      </c>
      <c r="R10" s="84" t="s">
        <v>1075</v>
      </c>
      <c r="S10" s="84">
        <v>6.2E-2</v>
      </c>
      <c r="T10" s="82" t="s">
        <v>1076</v>
      </c>
      <c r="U10" s="84"/>
      <c r="V10" s="54"/>
    </row>
    <row r="11" spans="1:22" s="11" customFormat="1" ht="45" customHeight="1" x14ac:dyDescent="0.2">
      <c r="A11" s="66" t="s">
        <v>1062</v>
      </c>
      <c r="B11" s="66" t="s">
        <v>26</v>
      </c>
      <c r="C11" s="66" t="s">
        <v>1062</v>
      </c>
      <c r="D11" s="66" t="s">
        <v>1077</v>
      </c>
      <c r="E11" s="68" t="s">
        <v>1078</v>
      </c>
      <c r="F11" s="66" t="s">
        <v>1079</v>
      </c>
      <c r="G11" s="71">
        <v>4802</v>
      </c>
      <c r="H11" s="73"/>
      <c r="I11" s="75">
        <v>0.2</v>
      </c>
      <c r="J11" s="77"/>
      <c r="K11" s="66"/>
      <c r="L11" s="66"/>
      <c r="M11" s="79" t="str">
        <f>HYPERLINK("http://www.pristavka.com/catalog/ABYstyle/ABY798/")</f>
        <v>http://www.pristavka.com/catalog/ABYstyle/ABY798/</v>
      </c>
      <c r="N11" s="71">
        <v>7899</v>
      </c>
      <c r="O11" s="66" t="s">
        <v>27</v>
      </c>
      <c r="P11" s="82" t="s">
        <v>1080</v>
      </c>
      <c r="Q11" s="84" t="s">
        <v>1074</v>
      </c>
      <c r="R11" s="84" t="s">
        <v>1075</v>
      </c>
      <c r="S11" s="84">
        <v>6.2E-2</v>
      </c>
      <c r="T11" s="82" t="s">
        <v>1081</v>
      </c>
      <c r="U11" s="84"/>
      <c r="V11" s="54"/>
    </row>
    <row r="12" spans="1:22" s="11" customFormat="1" ht="45" customHeight="1" x14ac:dyDescent="0.2">
      <c r="A12" s="66" t="s">
        <v>1062</v>
      </c>
      <c r="B12" s="66" t="s">
        <v>26</v>
      </c>
      <c r="C12" s="66" t="s">
        <v>1062</v>
      </c>
      <c r="D12" s="66" t="s">
        <v>1082</v>
      </c>
      <c r="E12" s="68" t="s">
        <v>1083</v>
      </c>
      <c r="F12" s="66" t="s">
        <v>1084</v>
      </c>
      <c r="G12" s="71">
        <v>4802</v>
      </c>
      <c r="H12" s="73"/>
      <c r="I12" s="75">
        <v>0.2</v>
      </c>
      <c r="J12" s="77"/>
      <c r="K12" s="66"/>
      <c r="L12" s="66"/>
      <c r="M12" s="79" t="str">
        <f>HYPERLINK("http://www.pristavka.com/catalog/ABYstyle/ABY769/")</f>
        <v>http://www.pristavka.com/catalog/ABYstyle/ABY769/</v>
      </c>
      <c r="N12" s="71">
        <v>7899</v>
      </c>
      <c r="O12" s="66" t="s">
        <v>27</v>
      </c>
      <c r="P12" s="82" t="s">
        <v>1085</v>
      </c>
      <c r="Q12" s="84" t="s">
        <v>1086</v>
      </c>
      <c r="R12" s="84" t="s">
        <v>1068</v>
      </c>
      <c r="S12" s="84">
        <v>6.0999999999999999E-2</v>
      </c>
      <c r="T12" s="82" t="s">
        <v>1081</v>
      </c>
      <c r="U12" s="84"/>
      <c r="V12" s="54"/>
    </row>
    <row r="13" spans="1:22" s="11" customFormat="1" ht="45" customHeight="1" x14ac:dyDescent="0.2">
      <c r="A13" s="66" t="s">
        <v>1062</v>
      </c>
      <c r="B13" s="66" t="s">
        <v>26</v>
      </c>
      <c r="C13" s="66" t="s">
        <v>1062</v>
      </c>
      <c r="D13" s="66" t="s">
        <v>1087</v>
      </c>
      <c r="E13" s="68" t="s">
        <v>1088</v>
      </c>
      <c r="F13" s="66" t="s">
        <v>1089</v>
      </c>
      <c r="G13" s="71">
        <v>4802</v>
      </c>
      <c r="H13" s="73"/>
      <c r="I13" s="75">
        <v>0.2</v>
      </c>
      <c r="J13" s="77"/>
      <c r="K13" s="66"/>
      <c r="L13" s="66"/>
      <c r="M13" s="79" t="str">
        <f>HYPERLINK("http://www.pristavka.com/catalog/ABYstyle/ABY768/")</f>
        <v>http://www.pristavka.com/catalog/ABYstyle/ABY768/</v>
      </c>
      <c r="N13" s="71">
        <v>7899</v>
      </c>
      <c r="O13" s="66" t="s">
        <v>27</v>
      </c>
      <c r="P13" s="82" t="s">
        <v>1090</v>
      </c>
      <c r="Q13" s="84" t="s">
        <v>1091</v>
      </c>
      <c r="R13" s="84" t="s">
        <v>1068</v>
      </c>
      <c r="S13" s="84">
        <v>6.0999999999999999E-2</v>
      </c>
      <c r="T13" s="82" t="s">
        <v>1081</v>
      </c>
      <c r="U13" s="84"/>
      <c r="V13" s="54"/>
    </row>
    <row r="14" spans="1:22" s="11" customFormat="1" ht="45" customHeight="1" x14ac:dyDescent="0.2">
      <c r="A14" s="66" t="s">
        <v>1062</v>
      </c>
      <c r="B14" s="66" t="s">
        <v>26</v>
      </c>
      <c r="C14" s="66" t="s">
        <v>1062</v>
      </c>
      <c r="D14" s="66" t="s">
        <v>1092</v>
      </c>
      <c r="E14" s="68" t="s">
        <v>1093</v>
      </c>
      <c r="F14" s="66" t="s">
        <v>1094</v>
      </c>
      <c r="G14" s="71">
        <v>4802</v>
      </c>
      <c r="H14" s="73"/>
      <c r="I14" s="75">
        <v>0.2</v>
      </c>
      <c r="J14" s="77"/>
      <c r="K14" s="66"/>
      <c r="L14" s="66"/>
      <c r="M14" s="79" t="str">
        <f>HYPERLINK("http://www.pristavka.com/catalog/ABYstyle/ABY734/")</f>
        <v>http://www.pristavka.com/catalog/ABYstyle/ABY734/</v>
      </c>
      <c r="N14" s="71">
        <v>7899</v>
      </c>
      <c r="O14" s="66" t="s">
        <v>27</v>
      </c>
      <c r="P14" s="82" t="s">
        <v>1095</v>
      </c>
      <c r="Q14" s="84" t="s">
        <v>1096</v>
      </c>
      <c r="R14" s="84" t="s">
        <v>1068</v>
      </c>
      <c r="S14" s="84">
        <v>6.2E-2</v>
      </c>
      <c r="T14" s="82" t="s">
        <v>1097</v>
      </c>
      <c r="U14" s="84"/>
      <c r="V14" s="54"/>
    </row>
    <row r="15" spans="1:22" s="11" customFormat="1" ht="45" customHeight="1" x14ac:dyDescent="0.2">
      <c r="A15" s="66" t="s">
        <v>1062</v>
      </c>
      <c r="B15" s="66" t="s">
        <v>26</v>
      </c>
      <c r="C15" s="66" t="s">
        <v>1062</v>
      </c>
      <c r="D15" s="66" t="s">
        <v>1098</v>
      </c>
      <c r="E15" s="68" t="s">
        <v>1099</v>
      </c>
      <c r="F15" s="66" t="s">
        <v>1100</v>
      </c>
      <c r="G15" s="71">
        <v>4802</v>
      </c>
      <c r="H15" s="73"/>
      <c r="I15" s="75">
        <v>0.2</v>
      </c>
      <c r="J15" s="77"/>
      <c r="K15" s="66"/>
      <c r="L15" s="66"/>
      <c r="M15" s="79" t="str">
        <f>HYPERLINK("http://www.pristavka.com/catalog/ABYstyle/ABY732/")</f>
        <v>http://www.pristavka.com/catalog/ABYstyle/ABY732/</v>
      </c>
      <c r="N15" s="71">
        <v>7899</v>
      </c>
      <c r="O15" s="66" t="s">
        <v>27</v>
      </c>
      <c r="P15" s="82" t="s">
        <v>1101</v>
      </c>
      <c r="Q15" s="84" t="s">
        <v>1102</v>
      </c>
      <c r="R15" s="84" t="s">
        <v>1103</v>
      </c>
      <c r="S15" s="84">
        <v>6.2E-2</v>
      </c>
      <c r="T15" s="82" t="s">
        <v>1097</v>
      </c>
      <c r="U15" s="84"/>
      <c r="V15" s="54"/>
    </row>
    <row r="16" spans="1:22" s="11" customFormat="1" ht="45" customHeight="1" x14ac:dyDescent="0.2">
      <c r="A16" s="66" t="s">
        <v>1062</v>
      </c>
      <c r="B16" s="66" t="s">
        <v>26</v>
      </c>
      <c r="C16" s="66" t="s">
        <v>1062</v>
      </c>
      <c r="D16" s="66" t="s">
        <v>1104</v>
      </c>
      <c r="E16" s="68" t="s">
        <v>1105</v>
      </c>
      <c r="F16" s="66" t="s">
        <v>1106</v>
      </c>
      <c r="G16" s="71">
        <v>4802</v>
      </c>
      <c r="H16" s="73"/>
      <c r="I16" s="75">
        <v>0.2</v>
      </c>
      <c r="J16" s="77"/>
      <c r="K16" s="66"/>
      <c r="L16" s="66"/>
      <c r="M16" s="79" t="str">
        <f>HYPERLINK("http://www.pristavka.com/catalog/ABYstyle/ABY733/")</f>
        <v>http://www.pristavka.com/catalog/ABYstyle/ABY733/</v>
      </c>
      <c r="N16" s="71">
        <v>7899</v>
      </c>
      <c r="O16" s="66" t="s">
        <v>27</v>
      </c>
      <c r="P16" s="82" t="s">
        <v>1107</v>
      </c>
      <c r="Q16" s="84" t="s">
        <v>1102</v>
      </c>
      <c r="R16" s="84" t="s">
        <v>1103</v>
      </c>
      <c r="S16" s="84">
        <v>6.2E-2</v>
      </c>
      <c r="T16" s="82" t="s">
        <v>1097</v>
      </c>
      <c r="U16" s="84"/>
      <c r="V16" s="54"/>
    </row>
    <row r="17" spans="1:22" s="11" customFormat="1" ht="45" customHeight="1" x14ac:dyDescent="0.2">
      <c r="A17" s="66" t="s">
        <v>1062</v>
      </c>
      <c r="B17" s="66" t="s">
        <v>26</v>
      </c>
      <c r="C17" s="66" t="s">
        <v>1062</v>
      </c>
      <c r="D17" s="66" t="s">
        <v>1108</v>
      </c>
      <c r="E17" s="68" t="s">
        <v>1109</v>
      </c>
      <c r="F17" s="66" t="s">
        <v>1110</v>
      </c>
      <c r="G17" s="71">
        <v>5124</v>
      </c>
      <c r="H17" s="73"/>
      <c r="I17" s="75">
        <v>0.2</v>
      </c>
      <c r="J17" s="77"/>
      <c r="K17" s="66"/>
      <c r="L17" s="66"/>
      <c r="M17" s="79" t="str">
        <f>HYPERLINK("http://www.pristavka.com/catalog/ABYstyle/ABY752/")</f>
        <v>http://www.pristavka.com/catalog/ABYstyle/ABY752/</v>
      </c>
      <c r="N17" s="71">
        <v>8399</v>
      </c>
      <c r="O17" s="66" t="s">
        <v>27</v>
      </c>
      <c r="P17" s="82" t="s">
        <v>1111</v>
      </c>
      <c r="Q17" s="84" t="s">
        <v>1112</v>
      </c>
      <c r="R17" s="84" t="s">
        <v>1068</v>
      </c>
      <c r="S17" s="84">
        <v>6.2E-2</v>
      </c>
      <c r="T17" s="82" t="s">
        <v>1076</v>
      </c>
      <c r="U17" s="84"/>
      <c r="V17" s="54"/>
    </row>
    <row r="18" spans="1:22" s="11" customFormat="1" ht="45" customHeight="1" x14ac:dyDescent="0.2">
      <c r="A18" s="66" t="s">
        <v>1062</v>
      </c>
      <c r="B18" s="66" t="s">
        <v>26</v>
      </c>
      <c r="C18" s="66" t="s">
        <v>1062</v>
      </c>
      <c r="D18" s="66" t="s">
        <v>1113</v>
      </c>
      <c r="E18" s="68" t="s">
        <v>1114</v>
      </c>
      <c r="F18" s="66" t="s">
        <v>1115</v>
      </c>
      <c r="G18" s="71">
        <v>4802</v>
      </c>
      <c r="H18" s="73"/>
      <c r="I18" s="75">
        <v>0.2</v>
      </c>
      <c r="J18" s="77"/>
      <c r="K18" s="66"/>
      <c r="L18" s="66"/>
      <c r="M18" s="79" t="str">
        <f>HYPERLINK("http://www.pristavka.com/catalog/ABYstyle/ABY730/")</f>
        <v>http://www.pristavka.com/catalog/ABYstyle/ABY730/</v>
      </c>
      <c r="N18" s="71">
        <v>7899</v>
      </c>
      <c r="O18" s="66" t="s">
        <v>27</v>
      </c>
      <c r="P18" s="82" t="s">
        <v>1116</v>
      </c>
      <c r="Q18" s="84" t="s">
        <v>1117</v>
      </c>
      <c r="R18" s="84" t="s">
        <v>1068</v>
      </c>
      <c r="S18" s="84">
        <v>6.2E-2</v>
      </c>
      <c r="T18" s="82" t="s">
        <v>1097</v>
      </c>
      <c r="U18" s="84"/>
      <c r="V18" s="54"/>
    </row>
    <row r="19" spans="1:22" s="11" customFormat="1" ht="45" customHeight="1" x14ac:dyDescent="0.2">
      <c r="A19" s="66" t="s">
        <v>1062</v>
      </c>
      <c r="B19" s="66" t="s">
        <v>26</v>
      </c>
      <c r="C19" s="66" t="s">
        <v>1062</v>
      </c>
      <c r="D19" s="66" t="s">
        <v>1118</v>
      </c>
      <c r="E19" s="68" t="s">
        <v>1119</v>
      </c>
      <c r="F19" s="66" t="s">
        <v>1120</v>
      </c>
      <c r="G19" s="71">
        <v>4802</v>
      </c>
      <c r="H19" s="73"/>
      <c r="I19" s="75">
        <v>0.2</v>
      </c>
      <c r="J19" s="77"/>
      <c r="K19" s="66"/>
      <c r="L19" s="66"/>
      <c r="M19" s="79" t="str">
        <f>HYPERLINK("http://www.pristavka.com/catalog/ABYstyle/ABY731/")</f>
        <v>http://www.pristavka.com/catalog/ABYstyle/ABY731/</v>
      </c>
      <c r="N19" s="71">
        <v>7899</v>
      </c>
      <c r="O19" s="66" t="s">
        <v>27</v>
      </c>
      <c r="P19" s="82" t="s">
        <v>1121</v>
      </c>
      <c r="Q19" s="84" t="s">
        <v>1122</v>
      </c>
      <c r="R19" s="84" t="s">
        <v>1068</v>
      </c>
      <c r="S19" s="84">
        <v>0.06</v>
      </c>
      <c r="T19" s="82" t="s">
        <v>1097</v>
      </c>
      <c r="U19" s="84"/>
      <c r="V19" s="54"/>
    </row>
    <row r="20" spans="1:22" s="11" customFormat="1" ht="45" customHeight="1" x14ac:dyDescent="0.2">
      <c r="A20" s="66" t="s">
        <v>1062</v>
      </c>
      <c r="B20" s="66" t="s">
        <v>26</v>
      </c>
      <c r="C20" s="66" t="s">
        <v>1062</v>
      </c>
      <c r="D20" s="66" t="s">
        <v>1123</v>
      </c>
      <c r="E20" s="68" t="s">
        <v>1124</v>
      </c>
      <c r="F20" s="66" t="s">
        <v>1125</v>
      </c>
      <c r="G20" s="71">
        <v>4802</v>
      </c>
      <c r="H20" s="73"/>
      <c r="I20" s="75">
        <v>0.2</v>
      </c>
      <c r="J20" s="77"/>
      <c r="K20" s="66"/>
      <c r="L20" s="66"/>
      <c r="M20" s="79" t="str">
        <f>HYPERLINK("http://www.pristavka.com/catalog/ABYstyle/ABY729/")</f>
        <v>http://www.pristavka.com/catalog/ABYstyle/ABY729/</v>
      </c>
      <c r="N20" s="71">
        <v>7899</v>
      </c>
      <c r="O20" s="66" t="s">
        <v>27</v>
      </c>
      <c r="P20" s="82" t="s">
        <v>1126</v>
      </c>
      <c r="Q20" s="84" t="s">
        <v>1122</v>
      </c>
      <c r="R20" s="84" t="s">
        <v>1068</v>
      </c>
      <c r="S20" s="84">
        <v>6.2E-2</v>
      </c>
      <c r="T20" s="82" t="s">
        <v>1097</v>
      </c>
      <c r="U20" s="84"/>
      <c r="V20" s="54"/>
    </row>
    <row r="21" spans="1:22" s="11" customFormat="1" ht="45" customHeight="1" x14ac:dyDescent="0.2">
      <c r="A21" s="66" t="s">
        <v>1062</v>
      </c>
      <c r="B21" s="66" t="s">
        <v>26</v>
      </c>
      <c r="C21" s="66" t="s">
        <v>1062</v>
      </c>
      <c r="D21" s="66" t="s">
        <v>1127</v>
      </c>
      <c r="E21" s="68" t="s">
        <v>1128</v>
      </c>
      <c r="F21" s="66" t="s">
        <v>1129</v>
      </c>
      <c r="G21" s="71">
        <v>4802</v>
      </c>
      <c r="H21" s="73"/>
      <c r="I21" s="75">
        <v>0.2</v>
      </c>
      <c r="J21" s="77"/>
      <c r="K21" s="66"/>
      <c r="L21" s="66"/>
      <c r="M21" s="79" t="str">
        <f>HYPERLINK("http://www.pristavka.com/catalog/ABYstyle/ABY728/")</f>
        <v>http://www.pristavka.com/catalog/ABYstyle/ABY728/</v>
      </c>
      <c r="N21" s="71">
        <v>7899</v>
      </c>
      <c r="O21" s="66" t="s">
        <v>27</v>
      </c>
      <c r="P21" s="82" t="s">
        <v>1130</v>
      </c>
      <c r="Q21" s="84" t="s">
        <v>1122</v>
      </c>
      <c r="R21" s="84" t="s">
        <v>1068</v>
      </c>
      <c r="S21" s="84">
        <v>0.06</v>
      </c>
      <c r="T21" s="82" t="s">
        <v>1097</v>
      </c>
      <c r="U21" s="84"/>
      <c r="V21" s="54"/>
    </row>
    <row r="22" spans="1:22" s="11" customFormat="1" ht="45" customHeight="1" x14ac:dyDescent="0.2">
      <c r="A22" s="66" t="s">
        <v>1062</v>
      </c>
      <c r="B22" s="66" t="s">
        <v>26</v>
      </c>
      <c r="C22" s="66" t="s">
        <v>1062</v>
      </c>
      <c r="D22" s="66" t="s">
        <v>1131</v>
      </c>
      <c r="E22" s="68" t="s">
        <v>1132</v>
      </c>
      <c r="F22" s="66" t="s">
        <v>1133</v>
      </c>
      <c r="G22" s="71">
        <v>5124</v>
      </c>
      <c r="H22" s="73"/>
      <c r="I22" s="75">
        <v>0.2</v>
      </c>
      <c r="J22" s="77"/>
      <c r="K22" s="66"/>
      <c r="L22" s="66"/>
      <c r="M22" s="79" t="str">
        <f>HYPERLINK("http://www.pristavka.com/catalog/ABYstyle/ABY669/")</f>
        <v>http://www.pristavka.com/catalog/ABYstyle/ABY669/</v>
      </c>
      <c r="N22" s="71">
        <v>8399</v>
      </c>
      <c r="O22" s="66" t="s">
        <v>27</v>
      </c>
      <c r="P22" s="82" t="s">
        <v>1134</v>
      </c>
      <c r="Q22" s="84" t="s">
        <v>1067</v>
      </c>
      <c r="R22" s="84" t="s">
        <v>1068</v>
      </c>
      <c r="S22" s="84">
        <v>6.2E-2</v>
      </c>
      <c r="T22" s="82" t="s">
        <v>1135</v>
      </c>
      <c r="U22" s="84"/>
      <c r="V22" s="54"/>
    </row>
    <row r="23" spans="1:22" s="11" customFormat="1" ht="45" customHeight="1" x14ac:dyDescent="0.2">
      <c r="A23" s="66" t="s">
        <v>1062</v>
      </c>
      <c r="B23" s="66" t="s">
        <v>26</v>
      </c>
      <c r="C23" s="66" t="s">
        <v>1062</v>
      </c>
      <c r="D23" s="66" t="s">
        <v>1136</v>
      </c>
      <c r="E23" s="68" t="s">
        <v>1137</v>
      </c>
      <c r="F23" s="66" t="s">
        <v>1138</v>
      </c>
      <c r="G23" s="71">
        <v>4479</v>
      </c>
      <c r="H23" s="73"/>
      <c r="I23" s="75">
        <v>0.2</v>
      </c>
      <c r="J23" s="77"/>
      <c r="K23" s="66"/>
      <c r="L23" s="66"/>
      <c r="M23" s="79" t="str">
        <f>HYPERLINK("http://www.pristavka.com/catalog/ABYstyle/ABY658/")</f>
        <v>http://www.pristavka.com/catalog/ABYstyle/ABY658/</v>
      </c>
      <c r="N23" s="71">
        <v>7399</v>
      </c>
      <c r="O23" s="66" t="s">
        <v>27</v>
      </c>
      <c r="P23" s="82" t="s">
        <v>1139</v>
      </c>
      <c r="Q23" s="84" t="s">
        <v>1067</v>
      </c>
      <c r="R23" s="84" t="s">
        <v>1068</v>
      </c>
      <c r="S23" s="84">
        <v>6.0999999999999999E-2</v>
      </c>
      <c r="T23" s="82" t="s">
        <v>1081</v>
      </c>
      <c r="U23" s="84"/>
      <c r="V23" s="54"/>
    </row>
    <row r="24" spans="1:22" s="11" customFormat="1" ht="45" customHeight="1" x14ac:dyDescent="0.2">
      <c r="A24" s="66" t="s">
        <v>1062</v>
      </c>
      <c r="B24" s="66" t="s">
        <v>26</v>
      </c>
      <c r="C24" s="66" t="s">
        <v>1062</v>
      </c>
      <c r="D24" s="66" t="s">
        <v>1140</v>
      </c>
      <c r="E24" s="68" t="s">
        <v>1141</v>
      </c>
      <c r="F24" s="66" t="s">
        <v>1142</v>
      </c>
      <c r="G24" s="71">
        <v>5124</v>
      </c>
      <c r="H24" s="73"/>
      <c r="I24" s="75">
        <v>0.2</v>
      </c>
      <c r="J24" s="77"/>
      <c r="K24" s="66"/>
      <c r="L24" s="66"/>
      <c r="M24" s="79" t="str">
        <f>HYPERLINK("http://www.pristavka.com/catalog/ABYstyle/ABY750/")</f>
        <v>http://www.pristavka.com/catalog/ABYstyle/ABY750/</v>
      </c>
      <c r="N24" s="71">
        <v>8399</v>
      </c>
      <c r="O24" s="66" t="s">
        <v>27</v>
      </c>
      <c r="P24" s="82" t="s">
        <v>1143</v>
      </c>
      <c r="Q24" s="84" t="s">
        <v>1067</v>
      </c>
      <c r="R24" s="84" t="s">
        <v>1068</v>
      </c>
      <c r="S24" s="84">
        <v>6.0999999999999999E-2</v>
      </c>
      <c r="T24" s="82" t="s">
        <v>1076</v>
      </c>
      <c r="U24" s="84"/>
      <c r="V24" s="54"/>
    </row>
    <row r="25" spans="1:22" s="11" customFormat="1" ht="45" customHeight="1" x14ac:dyDescent="0.2">
      <c r="A25" s="66" t="s">
        <v>1062</v>
      </c>
      <c r="B25" s="66" t="s">
        <v>26</v>
      </c>
      <c r="C25" s="66" t="s">
        <v>1062</v>
      </c>
      <c r="D25" s="66" t="s">
        <v>1144</v>
      </c>
      <c r="E25" s="68" t="s">
        <v>1145</v>
      </c>
      <c r="F25" s="66" t="s">
        <v>1146</v>
      </c>
      <c r="G25" s="71">
        <v>22523</v>
      </c>
      <c r="H25" s="73"/>
      <c r="I25" s="75">
        <v>0.2</v>
      </c>
      <c r="J25" s="77"/>
      <c r="K25" s="66"/>
      <c r="L25" s="66"/>
      <c r="M25" s="79" t="str">
        <f>HYPERLINK("http://www.pristavka.com/catalog/ABYstyle/ABY655/")</f>
        <v>http://www.pristavka.com/catalog/ABYstyle/ABY655/</v>
      </c>
      <c r="N25" s="71">
        <v>36999</v>
      </c>
      <c r="O25" s="66" t="s">
        <v>27</v>
      </c>
      <c r="P25" s="82" t="s">
        <v>1147</v>
      </c>
      <c r="Q25" s="84" t="s">
        <v>1148</v>
      </c>
      <c r="R25" s="84" t="s">
        <v>1068</v>
      </c>
      <c r="S25" s="84">
        <v>1.2749999999999999</v>
      </c>
      <c r="T25" s="82" t="s">
        <v>1149</v>
      </c>
      <c r="U25" s="84"/>
      <c r="V25" s="54"/>
    </row>
    <row r="26" spans="1:22" s="11" customFormat="1" ht="45" customHeight="1" x14ac:dyDescent="0.2">
      <c r="A26" s="66" t="s">
        <v>1062</v>
      </c>
      <c r="B26" s="66" t="s">
        <v>26</v>
      </c>
      <c r="C26" s="66" t="s">
        <v>1062</v>
      </c>
      <c r="D26" s="66" t="s">
        <v>1150</v>
      </c>
      <c r="E26" s="68" t="s">
        <v>1151</v>
      </c>
      <c r="F26" s="66" t="s">
        <v>1152</v>
      </c>
      <c r="G26" s="71">
        <v>5446</v>
      </c>
      <c r="H26" s="73"/>
      <c r="I26" s="75">
        <v>0.2</v>
      </c>
      <c r="J26" s="77"/>
      <c r="K26" s="66"/>
      <c r="L26" s="66"/>
      <c r="M26" s="79" t="str">
        <f>HYPERLINK("http://www.pristavka.com/catalog/ABYstyle/ABY783/")</f>
        <v>http://www.pristavka.com/catalog/ABYstyle/ABY783/</v>
      </c>
      <c r="N26" s="71">
        <v>8999</v>
      </c>
      <c r="O26" s="66" t="s">
        <v>27</v>
      </c>
      <c r="P26" s="82" t="s">
        <v>1153</v>
      </c>
      <c r="Q26" s="84" t="s">
        <v>1068</v>
      </c>
      <c r="R26" s="84" t="s">
        <v>1068</v>
      </c>
      <c r="S26" s="84">
        <v>0.39800000000000002</v>
      </c>
      <c r="T26" s="82" t="s">
        <v>1154</v>
      </c>
      <c r="U26" s="84"/>
      <c r="V26" s="54"/>
    </row>
    <row r="27" spans="1:22" s="11" customFormat="1" ht="45" customHeight="1" x14ac:dyDescent="0.2">
      <c r="A27" s="66" t="s">
        <v>1062</v>
      </c>
      <c r="B27" s="66" t="s">
        <v>1155</v>
      </c>
      <c r="C27" s="66" t="s">
        <v>1062</v>
      </c>
      <c r="D27" s="66" t="s">
        <v>1156</v>
      </c>
      <c r="E27" s="68" t="s">
        <v>1157</v>
      </c>
      <c r="F27" s="66" t="s">
        <v>1158</v>
      </c>
      <c r="G27" s="71">
        <v>5768</v>
      </c>
      <c r="H27" s="73"/>
      <c r="I27" s="75">
        <v>0.2</v>
      </c>
      <c r="J27" s="77"/>
      <c r="K27" s="66"/>
      <c r="L27" s="66"/>
      <c r="M27" s="79" t="str">
        <f>HYPERLINK("http://www.pristavka.com/catalog/abystyle/ABY421/")</f>
        <v>http://www.pristavka.com/catalog/abystyle/ABY421/</v>
      </c>
      <c r="N27" s="71">
        <v>9499</v>
      </c>
      <c r="O27" s="66" t="s">
        <v>27</v>
      </c>
      <c r="P27" s="82" t="s">
        <v>1159</v>
      </c>
      <c r="Q27" s="84" t="s">
        <v>1096</v>
      </c>
      <c r="R27" s="84" t="s">
        <v>1068</v>
      </c>
      <c r="S27" s="84">
        <v>0.41</v>
      </c>
      <c r="T27" s="82" t="s">
        <v>1160</v>
      </c>
      <c r="U27" s="84"/>
      <c r="V27" s="54"/>
    </row>
    <row r="28" spans="1:22" s="11" customFormat="1" ht="45" customHeight="1" x14ac:dyDescent="0.2">
      <c r="A28" s="66" t="s">
        <v>1062</v>
      </c>
      <c r="B28" s="66" t="s">
        <v>1155</v>
      </c>
      <c r="C28" s="66" t="s">
        <v>1062</v>
      </c>
      <c r="D28" s="66" t="s">
        <v>1161</v>
      </c>
      <c r="E28" s="68" t="s">
        <v>1162</v>
      </c>
      <c r="F28" s="66" t="s">
        <v>1163</v>
      </c>
      <c r="G28" s="71">
        <v>5446</v>
      </c>
      <c r="H28" s="73"/>
      <c r="I28" s="75">
        <v>0.2</v>
      </c>
      <c r="J28" s="77"/>
      <c r="K28" s="66"/>
      <c r="L28" s="66"/>
      <c r="M28" s="79" t="str">
        <f>HYPERLINK("http://www.pristavka.com/catalog/abystyle/ABY469/")</f>
        <v>http://www.pristavka.com/catalog/abystyle/ABY469/</v>
      </c>
      <c r="N28" s="71">
        <v>8999</v>
      </c>
      <c r="O28" s="66" t="s">
        <v>28</v>
      </c>
      <c r="P28" s="82" t="s">
        <v>1164</v>
      </c>
      <c r="Q28" s="84" t="s">
        <v>1165</v>
      </c>
      <c r="R28" s="84" t="s">
        <v>1068</v>
      </c>
      <c r="S28" s="84">
        <v>0.40899999999999997</v>
      </c>
      <c r="T28" s="82" t="s">
        <v>1166</v>
      </c>
      <c r="U28" s="84"/>
      <c r="V28" s="54"/>
    </row>
    <row r="29" spans="1:22" s="11" customFormat="1" ht="45" customHeight="1" x14ac:dyDescent="0.2">
      <c r="A29" s="66" t="s">
        <v>1062</v>
      </c>
      <c r="B29" s="66" t="s">
        <v>26</v>
      </c>
      <c r="C29" s="66" t="s">
        <v>1062</v>
      </c>
      <c r="D29" s="66" t="s">
        <v>1167</v>
      </c>
      <c r="E29" s="68" t="s">
        <v>1168</v>
      </c>
      <c r="F29" s="66" t="s">
        <v>1169</v>
      </c>
      <c r="G29" s="71">
        <v>6413</v>
      </c>
      <c r="H29" s="73"/>
      <c r="I29" s="75">
        <v>0.2</v>
      </c>
      <c r="J29" s="77"/>
      <c r="K29" s="66"/>
      <c r="L29" s="66"/>
      <c r="M29" s="79" t="str">
        <f>HYPERLINK("http://www.pristavka.com/catalog/ABYstyle/ABY739/")</f>
        <v>http://www.pristavka.com/catalog/ABYstyle/ABY739/</v>
      </c>
      <c r="N29" s="71">
        <v>10599</v>
      </c>
      <c r="O29" s="66" t="s">
        <v>27</v>
      </c>
      <c r="P29" s="82" t="s">
        <v>1170</v>
      </c>
      <c r="Q29" s="84" t="s">
        <v>1096</v>
      </c>
      <c r="R29" s="84" t="s">
        <v>1068</v>
      </c>
      <c r="S29" s="84">
        <v>7.3999999999999996E-2</v>
      </c>
      <c r="T29" s="82" t="s">
        <v>1171</v>
      </c>
      <c r="U29" s="84"/>
      <c r="V29" s="54"/>
    </row>
    <row r="30" spans="1:22" s="11" customFormat="1" ht="45" customHeight="1" x14ac:dyDescent="0.2">
      <c r="A30" s="66" t="s">
        <v>1062</v>
      </c>
      <c r="B30" s="66" t="s">
        <v>26</v>
      </c>
      <c r="C30" s="66" t="s">
        <v>1062</v>
      </c>
      <c r="D30" s="66" t="s">
        <v>1172</v>
      </c>
      <c r="E30" s="68" t="s">
        <v>1173</v>
      </c>
      <c r="F30" s="66" t="s">
        <v>1174</v>
      </c>
      <c r="G30" s="71">
        <v>5768</v>
      </c>
      <c r="H30" s="73"/>
      <c r="I30" s="75">
        <v>0.2</v>
      </c>
      <c r="J30" s="77"/>
      <c r="K30" s="66"/>
      <c r="L30" s="66"/>
      <c r="M30" s="79" t="str">
        <f>HYPERLINK("http://www.pristavka.com/catalog/ABYstyle/ABY780/")</f>
        <v>http://www.pristavka.com/catalog/ABYstyle/ABY780/</v>
      </c>
      <c r="N30" s="71">
        <v>9499</v>
      </c>
      <c r="O30" s="66" t="s">
        <v>28</v>
      </c>
      <c r="P30" s="82" t="s">
        <v>1175</v>
      </c>
      <c r="Q30" s="84" t="s">
        <v>1148</v>
      </c>
      <c r="R30" s="84" t="s">
        <v>1068</v>
      </c>
      <c r="S30" s="84">
        <v>7.9000000000000001E-2</v>
      </c>
      <c r="T30" s="82" t="s">
        <v>1176</v>
      </c>
      <c r="U30" s="84"/>
      <c r="V30" s="54"/>
    </row>
    <row r="31" spans="1:22" s="11" customFormat="1" ht="45" customHeight="1" x14ac:dyDescent="0.2">
      <c r="A31" s="66" t="s">
        <v>1062</v>
      </c>
      <c r="B31" s="66" t="s">
        <v>26</v>
      </c>
      <c r="C31" s="66" t="s">
        <v>1062</v>
      </c>
      <c r="D31" s="66" t="s">
        <v>1177</v>
      </c>
      <c r="E31" s="68" t="s">
        <v>1178</v>
      </c>
      <c r="F31" s="66" t="s">
        <v>1179</v>
      </c>
      <c r="G31" s="71">
        <v>3771</v>
      </c>
      <c r="H31" s="73"/>
      <c r="I31" s="75">
        <v>0.2</v>
      </c>
      <c r="J31" s="77"/>
      <c r="K31" s="66"/>
      <c r="L31" s="66"/>
      <c r="M31" s="79" t="str">
        <f>HYPERLINK("http://www.pristavka.com/catalog/abystyle/ABY524/")</f>
        <v>http://www.pristavka.com/catalog/abystyle/ABY524/</v>
      </c>
      <c r="N31" s="71">
        <v>6299</v>
      </c>
      <c r="O31" s="66" t="s">
        <v>28</v>
      </c>
      <c r="P31" s="82" t="s">
        <v>1180</v>
      </c>
      <c r="Q31" s="84" t="s">
        <v>1181</v>
      </c>
      <c r="R31" s="84" t="s">
        <v>1068</v>
      </c>
      <c r="S31" s="84">
        <v>0.03</v>
      </c>
      <c r="T31" s="82" t="s">
        <v>1182</v>
      </c>
      <c r="U31" s="84"/>
      <c r="V31" s="54"/>
    </row>
    <row r="32" spans="1:22" s="11" customFormat="1" ht="45" customHeight="1" x14ac:dyDescent="0.2">
      <c r="A32" s="66" t="s">
        <v>1062</v>
      </c>
      <c r="B32" s="66" t="s">
        <v>26</v>
      </c>
      <c r="C32" s="66" t="s">
        <v>1062</v>
      </c>
      <c r="D32" s="66" t="s">
        <v>1183</v>
      </c>
      <c r="E32" s="68" t="s">
        <v>1184</v>
      </c>
      <c r="F32" s="66" t="s">
        <v>1185</v>
      </c>
      <c r="G32" s="71">
        <v>4802</v>
      </c>
      <c r="H32" s="73"/>
      <c r="I32" s="75">
        <v>0.2</v>
      </c>
      <c r="J32" s="77"/>
      <c r="K32" s="66"/>
      <c r="L32" s="66"/>
      <c r="M32" s="79" t="str">
        <f>HYPERLINK("http://www.pristavka.com/catalog/abystyle/ABY526/")</f>
        <v>http://www.pristavka.com/catalog/abystyle/ABY526/</v>
      </c>
      <c r="N32" s="71">
        <v>7899</v>
      </c>
      <c r="O32" s="66" t="s">
        <v>27</v>
      </c>
      <c r="P32" s="82" t="s">
        <v>1186</v>
      </c>
      <c r="Q32" s="84" t="s">
        <v>1096</v>
      </c>
      <c r="R32" s="84" t="s">
        <v>1068</v>
      </c>
      <c r="S32" s="84">
        <v>2.9000000000000001E-2</v>
      </c>
      <c r="T32" s="82" t="s">
        <v>1187</v>
      </c>
      <c r="U32" s="84"/>
      <c r="V32" s="54"/>
    </row>
    <row r="33" spans="1:22" s="11" customFormat="1" ht="45" customHeight="1" x14ac:dyDescent="0.2">
      <c r="A33" s="66" t="s">
        <v>1062</v>
      </c>
      <c r="B33" s="66" t="s">
        <v>26</v>
      </c>
      <c r="C33" s="66" t="s">
        <v>1062</v>
      </c>
      <c r="D33" s="66" t="s">
        <v>1188</v>
      </c>
      <c r="E33" s="68" t="s">
        <v>1189</v>
      </c>
      <c r="F33" s="66" t="s">
        <v>1190</v>
      </c>
      <c r="G33" s="71">
        <v>3835</v>
      </c>
      <c r="H33" s="73"/>
      <c r="I33" s="75">
        <v>0.2</v>
      </c>
      <c r="J33" s="77"/>
      <c r="K33" s="66"/>
      <c r="L33" s="66"/>
      <c r="M33" s="79" t="str">
        <f>HYPERLINK("http://www.pristavka.com/catalog/abystyle/ABY337/")</f>
        <v>http://www.pristavka.com/catalog/abystyle/ABY337/</v>
      </c>
      <c r="N33" s="71">
        <v>6299</v>
      </c>
      <c r="O33" s="66" t="s">
        <v>27</v>
      </c>
      <c r="P33" s="82" t="s">
        <v>1191</v>
      </c>
      <c r="Q33" s="84" t="s">
        <v>1096</v>
      </c>
      <c r="R33" s="84" t="s">
        <v>1068</v>
      </c>
      <c r="S33" s="84">
        <v>3.2000000000000001E-2</v>
      </c>
      <c r="T33" s="82" t="s">
        <v>1192</v>
      </c>
      <c r="U33" s="84"/>
      <c r="V33" s="54"/>
    </row>
    <row r="34" spans="1:22" s="11" customFormat="1" ht="45" customHeight="1" x14ac:dyDescent="0.2">
      <c r="A34" s="66" t="s">
        <v>1062</v>
      </c>
      <c r="B34" s="66" t="s">
        <v>26</v>
      </c>
      <c r="C34" s="66" t="s">
        <v>1062</v>
      </c>
      <c r="D34" s="66" t="s">
        <v>1193</v>
      </c>
      <c r="E34" s="68" t="s">
        <v>1194</v>
      </c>
      <c r="F34" s="66" t="s">
        <v>1195</v>
      </c>
      <c r="G34" s="71">
        <v>2530</v>
      </c>
      <c r="H34" s="73"/>
      <c r="I34" s="75">
        <v>0.2</v>
      </c>
      <c r="J34" s="77"/>
      <c r="K34" s="66"/>
      <c r="L34" s="66"/>
      <c r="M34" s="79" t="str">
        <f>HYPERLINK("http://www.pristavka.com/catalog/abystyle/ABY350/")</f>
        <v>http://www.pristavka.com/catalog/abystyle/ABY350/</v>
      </c>
      <c r="N34" s="71">
        <v>4299</v>
      </c>
      <c r="O34" s="66" t="s">
        <v>28</v>
      </c>
      <c r="P34" s="82" t="s">
        <v>1196</v>
      </c>
      <c r="Q34" s="84" t="s">
        <v>1122</v>
      </c>
      <c r="R34" s="84" t="s">
        <v>1068</v>
      </c>
      <c r="S34" s="84">
        <v>3.2000000000000001E-2</v>
      </c>
      <c r="T34" s="82" t="s">
        <v>1192</v>
      </c>
      <c r="U34" s="84"/>
      <c r="V34" s="54"/>
    </row>
    <row r="35" spans="1:22" s="11" customFormat="1" ht="45" customHeight="1" x14ac:dyDescent="0.2">
      <c r="A35" s="66" t="s">
        <v>1062</v>
      </c>
      <c r="B35" s="66" t="s">
        <v>26</v>
      </c>
      <c r="C35" s="66" t="s">
        <v>1062</v>
      </c>
      <c r="D35" s="66" t="s">
        <v>1197</v>
      </c>
      <c r="E35" s="68" t="s">
        <v>1198</v>
      </c>
      <c r="F35" s="66" t="s">
        <v>1199</v>
      </c>
      <c r="G35" s="71">
        <v>4157</v>
      </c>
      <c r="H35" s="73"/>
      <c r="I35" s="75">
        <v>0.2</v>
      </c>
      <c r="J35" s="77"/>
      <c r="K35" s="66"/>
      <c r="L35" s="66"/>
      <c r="M35" s="79" t="str">
        <f>HYPERLINK("http://www.pristavka.com/catalog/ABYstyle/ABY680/")</f>
        <v>http://www.pristavka.com/catalog/ABYstyle/ABY680/</v>
      </c>
      <c r="N35" s="71">
        <v>6899</v>
      </c>
      <c r="O35" s="66" t="s">
        <v>28</v>
      </c>
      <c r="P35" s="82" t="s">
        <v>1200</v>
      </c>
      <c r="Q35" s="84" t="s">
        <v>1201</v>
      </c>
      <c r="R35" s="84" t="s">
        <v>1068</v>
      </c>
      <c r="S35" s="84">
        <v>3.1E-2</v>
      </c>
      <c r="T35" s="82" t="s">
        <v>1187</v>
      </c>
      <c r="U35" s="84"/>
      <c r="V35" s="54"/>
    </row>
    <row r="36" spans="1:22" s="11" customFormat="1" ht="45" customHeight="1" x14ac:dyDescent="0.2">
      <c r="A36" s="66" t="s">
        <v>1062</v>
      </c>
      <c r="B36" s="66" t="s">
        <v>26</v>
      </c>
      <c r="C36" s="66" t="s">
        <v>1062</v>
      </c>
      <c r="D36" s="66" t="s">
        <v>1202</v>
      </c>
      <c r="E36" s="68" t="s">
        <v>1203</v>
      </c>
      <c r="F36" s="66" t="s">
        <v>1204</v>
      </c>
      <c r="G36" s="71">
        <v>4157</v>
      </c>
      <c r="H36" s="73"/>
      <c r="I36" s="75">
        <v>0.2</v>
      </c>
      <c r="J36" s="77"/>
      <c r="K36" s="66"/>
      <c r="L36" s="66"/>
      <c r="M36" s="79" t="str">
        <f>HYPERLINK("http://www.pristavka.com/catalog/ABYstyle/ABY681/")</f>
        <v>http://www.pristavka.com/catalog/ABYstyle/ABY681/</v>
      </c>
      <c r="N36" s="71">
        <v>6899</v>
      </c>
      <c r="O36" s="66" t="s">
        <v>28</v>
      </c>
      <c r="P36" s="82" t="s">
        <v>1205</v>
      </c>
      <c r="Q36" s="84" t="s">
        <v>1206</v>
      </c>
      <c r="R36" s="84" t="s">
        <v>1068</v>
      </c>
      <c r="S36" s="84">
        <v>2.9000000000000001E-2</v>
      </c>
      <c r="T36" s="82" t="s">
        <v>1076</v>
      </c>
      <c r="U36" s="84"/>
      <c r="V36" s="54"/>
    </row>
    <row r="37" spans="1:22" s="11" customFormat="1" ht="45" customHeight="1" x14ac:dyDescent="0.2">
      <c r="A37" s="66" t="s">
        <v>1062</v>
      </c>
      <c r="B37" s="66" t="s">
        <v>26</v>
      </c>
      <c r="C37" s="66" t="s">
        <v>1062</v>
      </c>
      <c r="D37" s="66" t="s">
        <v>1207</v>
      </c>
      <c r="E37" s="68" t="s">
        <v>1208</v>
      </c>
      <c r="F37" s="66" t="s">
        <v>1209</v>
      </c>
      <c r="G37" s="71">
        <v>5446</v>
      </c>
      <c r="H37" s="73"/>
      <c r="I37" s="75">
        <v>0.2</v>
      </c>
      <c r="J37" s="77"/>
      <c r="K37" s="66"/>
      <c r="L37" s="66"/>
      <c r="M37" s="79" t="str">
        <f>HYPERLINK("http://www.pristavka.com/catalog/ABYstyle/ABY717/")</f>
        <v>http://www.pristavka.com/catalog/ABYstyle/ABY717/</v>
      </c>
      <c r="N37" s="71">
        <v>8999</v>
      </c>
      <c r="O37" s="66" t="s">
        <v>27</v>
      </c>
      <c r="P37" s="82" t="s">
        <v>1210</v>
      </c>
      <c r="Q37" s="84" t="s">
        <v>1211</v>
      </c>
      <c r="R37" s="84" t="s">
        <v>1212</v>
      </c>
      <c r="S37" s="84">
        <v>0.375</v>
      </c>
      <c r="T37" s="82" t="s">
        <v>1213</v>
      </c>
      <c r="U37" s="84"/>
      <c r="V37" s="54"/>
    </row>
    <row r="38" spans="1:22" s="11" customFormat="1" ht="45" customHeight="1" x14ac:dyDescent="0.2">
      <c r="A38" s="66" t="s">
        <v>1062</v>
      </c>
      <c r="B38" s="66" t="s">
        <v>26</v>
      </c>
      <c r="C38" s="66" t="s">
        <v>1062</v>
      </c>
      <c r="D38" s="66" t="s">
        <v>1214</v>
      </c>
      <c r="E38" s="68" t="s">
        <v>1215</v>
      </c>
      <c r="F38" s="66" t="s">
        <v>1216</v>
      </c>
      <c r="G38" s="71">
        <v>6090</v>
      </c>
      <c r="H38" s="73"/>
      <c r="I38" s="75">
        <v>0.2</v>
      </c>
      <c r="J38" s="77"/>
      <c r="K38" s="66"/>
      <c r="L38" s="66"/>
      <c r="M38" s="79" t="str">
        <f>HYPERLINK("http://www.pristavka.com/catalog/ABYstyle/ABY758/")</f>
        <v>http://www.pristavka.com/catalog/ABYstyle/ABY758/</v>
      </c>
      <c r="N38" s="71">
        <v>9999</v>
      </c>
      <c r="O38" s="66" t="s">
        <v>27</v>
      </c>
      <c r="P38" s="82" t="s">
        <v>1217</v>
      </c>
      <c r="Q38" s="84" t="s">
        <v>1074</v>
      </c>
      <c r="R38" s="84" t="s">
        <v>1075</v>
      </c>
      <c r="S38" s="84">
        <v>0.39300000000000002</v>
      </c>
      <c r="T38" s="82" t="s">
        <v>1218</v>
      </c>
      <c r="U38" s="84"/>
      <c r="V38" s="54"/>
    </row>
    <row r="39" spans="1:22" s="11" customFormat="1" ht="45" customHeight="1" x14ac:dyDescent="0.2">
      <c r="A39" s="66" t="s">
        <v>1062</v>
      </c>
      <c r="B39" s="66" t="s">
        <v>26</v>
      </c>
      <c r="C39" s="66" t="s">
        <v>1062</v>
      </c>
      <c r="D39" s="66" t="s">
        <v>1219</v>
      </c>
      <c r="E39" s="68" t="s">
        <v>1220</v>
      </c>
      <c r="F39" s="66" t="s">
        <v>1221</v>
      </c>
      <c r="G39" s="71">
        <v>9313</v>
      </c>
      <c r="H39" s="73"/>
      <c r="I39" s="75">
        <v>0.2</v>
      </c>
      <c r="J39" s="77"/>
      <c r="K39" s="66"/>
      <c r="L39" s="66"/>
      <c r="M39" s="79" t="str">
        <f>HYPERLINK("http://www.pristavka.com/catalog/ABYstyle/ABY635/")</f>
        <v>http://www.pristavka.com/catalog/ABYstyle/ABY635/</v>
      </c>
      <c r="N39" s="71">
        <v>15299</v>
      </c>
      <c r="O39" s="66" t="s">
        <v>27</v>
      </c>
      <c r="P39" s="82" t="s">
        <v>1222</v>
      </c>
      <c r="Q39" s="84" t="s">
        <v>1223</v>
      </c>
      <c r="R39" s="84"/>
      <c r="S39" s="84">
        <v>0.36699999999999999</v>
      </c>
      <c r="T39" s="82" t="s">
        <v>1218</v>
      </c>
      <c r="U39" s="84"/>
      <c r="V39" s="54"/>
    </row>
    <row r="40" spans="1:22" s="11" customFormat="1" ht="45" customHeight="1" x14ac:dyDescent="0.2">
      <c r="A40" s="66" t="s">
        <v>1062</v>
      </c>
      <c r="B40" s="66" t="s">
        <v>26</v>
      </c>
      <c r="C40" s="66" t="s">
        <v>1062</v>
      </c>
      <c r="D40" s="66" t="s">
        <v>1224</v>
      </c>
      <c r="E40" s="68" t="s">
        <v>1225</v>
      </c>
      <c r="F40" s="66" t="s">
        <v>1226</v>
      </c>
      <c r="G40" s="71">
        <v>5446</v>
      </c>
      <c r="H40" s="73"/>
      <c r="I40" s="75">
        <v>0.2</v>
      </c>
      <c r="J40" s="77"/>
      <c r="K40" s="66"/>
      <c r="L40" s="66"/>
      <c r="M40" s="79" t="str">
        <f>HYPERLINK("http://www.pristavka.com/catalog/ABYstyle/ABY722/")</f>
        <v>http://www.pristavka.com/catalog/ABYstyle/ABY722/</v>
      </c>
      <c r="N40" s="71">
        <v>8999</v>
      </c>
      <c r="O40" s="66" t="s">
        <v>27</v>
      </c>
      <c r="P40" s="82" t="s">
        <v>1227</v>
      </c>
      <c r="Q40" s="84" t="s">
        <v>1228</v>
      </c>
      <c r="R40" s="84" t="s">
        <v>1229</v>
      </c>
      <c r="S40" s="84">
        <v>0.39500000000000002</v>
      </c>
      <c r="T40" s="82" t="s">
        <v>1230</v>
      </c>
      <c r="U40" s="84"/>
      <c r="V40" s="54"/>
    </row>
    <row r="41" spans="1:22" s="11" customFormat="1" ht="45" customHeight="1" x14ac:dyDescent="0.2">
      <c r="A41" s="66" t="s">
        <v>1062</v>
      </c>
      <c r="B41" s="66" t="s">
        <v>1155</v>
      </c>
      <c r="C41" s="66" t="s">
        <v>1062</v>
      </c>
      <c r="D41" s="66" t="s">
        <v>1231</v>
      </c>
      <c r="E41" s="68" t="s">
        <v>1232</v>
      </c>
      <c r="F41" s="66" t="s">
        <v>1233</v>
      </c>
      <c r="G41" s="71">
        <v>8990</v>
      </c>
      <c r="H41" s="73"/>
      <c r="I41" s="75">
        <v>0.2</v>
      </c>
      <c r="J41" s="77"/>
      <c r="K41" s="66"/>
      <c r="L41" s="66"/>
      <c r="M41" s="79" t="str">
        <f>HYPERLINK("http://www.pristavka.com/catalog/abystyle/ABY380/")</f>
        <v>http://www.pristavka.com/catalog/abystyle/ABY380/</v>
      </c>
      <c r="N41" s="71">
        <v>14799</v>
      </c>
      <c r="O41" s="66" t="s">
        <v>27</v>
      </c>
      <c r="P41" s="82" t="s">
        <v>1234</v>
      </c>
      <c r="Q41" s="84" t="s">
        <v>1148</v>
      </c>
      <c r="R41" s="84" t="s">
        <v>1068</v>
      </c>
      <c r="S41" s="84">
        <v>0.38</v>
      </c>
      <c r="T41" s="82" t="s">
        <v>1235</v>
      </c>
      <c r="U41" s="84"/>
      <c r="V41" s="54"/>
    </row>
    <row r="42" spans="1:22" s="11" customFormat="1" ht="45" customHeight="1" x14ac:dyDescent="0.2">
      <c r="A42" s="66" t="s">
        <v>1062</v>
      </c>
      <c r="B42" s="66" t="s">
        <v>26</v>
      </c>
      <c r="C42" s="66" t="s">
        <v>1062</v>
      </c>
      <c r="D42" s="66" t="s">
        <v>1236</v>
      </c>
      <c r="E42" s="68" t="s">
        <v>1237</v>
      </c>
      <c r="F42" s="66" t="s">
        <v>1238</v>
      </c>
      <c r="G42" s="71">
        <v>5446</v>
      </c>
      <c r="H42" s="73"/>
      <c r="I42" s="75">
        <v>0.2</v>
      </c>
      <c r="J42" s="77"/>
      <c r="K42" s="66"/>
      <c r="L42" s="66"/>
      <c r="M42" s="79" t="str">
        <f>HYPERLINK("http://www.pristavka.com/catalog/ABYstyle/ABY719/")</f>
        <v>http://www.pristavka.com/catalog/ABYstyle/ABY719/</v>
      </c>
      <c r="N42" s="71">
        <v>8999</v>
      </c>
      <c r="O42" s="66" t="s">
        <v>28</v>
      </c>
      <c r="P42" s="82" t="s">
        <v>1239</v>
      </c>
      <c r="Q42" s="84" t="s">
        <v>1240</v>
      </c>
      <c r="R42" s="84" t="s">
        <v>70</v>
      </c>
      <c r="S42" s="84">
        <v>0.39500000000000002</v>
      </c>
      <c r="T42" s="82" t="s">
        <v>1230</v>
      </c>
      <c r="U42" s="84"/>
      <c r="V42" s="54"/>
    </row>
    <row r="43" spans="1:22" s="11" customFormat="1" ht="45" customHeight="1" x14ac:dyDescent="0.2">
      <c r="A43" s="66" t="s">
        <v>1062</v>
      </c>
      <c r="B43" s="66" t="s">
        <v>26</v>
      </c>
      <c r="C43" s="66" t="s">
        <v>1062</v>
      </c>
      <c r="D43" s="66" t="s">
        <v>1241</v>
      </c>
      <c r="E43" s="68" t="s">
        <v>1242</v>
      </c>
      <c r="F43" s="66" t="s">
        <v>1243</v>
      </c>
      <c r="G43" s="71">
        <v>2224</v>
      </c>
      <c r="H43" s="73"/>
      <c r="I43" s="75">
        <v>0.2</v>
      </c>
      <c r="J43" s="77"/>
      <c r="K43" s="66"/>
      <c r="L43" s="66"/>
      <c r="M43" s="79" t="str">
        <f>HYPERLINK("http://www.pristavka.com/catalog/abystyle/ABY542/")</f>
        <v>http://www.pristavka.com/catalog/abystyle/ABY542/</v>
      </c>
      <c r="N43" s="71">
        <v>3699</v>
      </c>
      <c r="O43" s="66" t="s">
        <v>27</v>
      </c>
      <c r="P43" s="82" t="s">
        <v>1244</v>
      </c>
      <c r="Q43" s="84" t="s">
        <v>1096</v>
      </c>
      <c r="R43" s="84" t="s">
        <v>1068</v>
      </c>
      <c r="S43" s="84">
        <v>1.4E-2</v>
      </c>
      <c r="T43" s="82" t="s">
        <v>1245</v>
      </c>
      <c r="U43" s="84"/>
      <c r="V43" s="54"/>
    </row>
    <row r="44" spans="1:22" s="11" customFormat="1" ht="45" customHeight="1" x14ac:dyDescent="0.2">
      <c r="A44" s="66" t="s">
        <v>1062</v>
      </c>
      <c r="B44" s="66" t="s">
        <v>26</v>
      </c>
      <c r="C44" s="66" t="s">
        <v>1062</v>
      </c>
      <c r="D44" s="66" t="s">
        <v>1246</v>
      </c>
      <c r="E44" s="68" t="s">
        <v>1247</v>
      </c>
      <c r="F44" s="66" t="s">
        <v>1248</v>
      </c>
      <c r="G44" s="71">
        <v>3835</v>
      </c>
      <c r="H44" s="73"/>
      <c r="I44" s="75">
        <v>0.2</v>
      </c>
      <c r="J44" s="77"/>
      <c r="K44" s="66"/>
      <c r="L44" s="66"/>
      <c r="M44" s="79" t="str">
        <f>HYPERLINK("http://www.pristavka.com/catalog/ABYstyle/ABY643/")</f>
        <v>http://www.pristavka.com/catalog/ABYstyle/ABY643/</v>
      </c>
      <c r="N44" s="71">
        <v>6299</v>
      </c>
      <c r="O44" s="66" t="s">
        <v>28</v>
      </c>
      <c r="P44" s="82" t="s">
        <v>1249</v>
      </c>
      <c r="Q44" s="84" t="s">
        <v>1250</v>
      </c>
      <c r="R44" s="84" t="s">
        <v>1068</v>
      </c>
      <c r="S44" s="84">
        <v>1.6E-2</v>
      </c>
      <c r="T44" s="82" t="s">
        <v>1251</v>
      </c>
      <c r="U44" s="84"/>
      <c r="V44" s="54"/>
    </row>
    <row r="45" spans="1:22" s="11" customFormat="1" ht="45" customHeight="1" x14ac:dyDescent="0.2">
      <c r="A45" s="66" t="s">
        <v>1062</v>
      </c>
      <c r="B45" s="66" t="s">
        <v>26</v>
      </c>
      <c r="C45" s="66" t="s">
        <v>1062</v>
      </c>
      <c r="D45" s="66" t="s">
        <v>1252</v>
      </c>
      <c r="E45" s="68" t="s">
        <v>1253</v>
      </c>
      <c r="F45" s="66" t="s">
        <v>1254</v>
      </c>
      <c r="G45" s="71">
        <v>3835</v>
      </c>
      <c r="H45" s="73"/>
      <c r="I45" s="75">
        <v>0.2</v>
      </c>
      <c r="J45" s="77"/>
      <c r="K45" s="66"/>
      <c r="L45" s="66"/>
      <c r="M45" s="79" t="str">
        <f>HYPERLINK("http://www.pristavka.com/catalog/ABYstyle/ABY616/")</f>
        <v>http://www.pristavka.com/catalog/ABYstyle/ABY616/</v>
      </c>
      <c r="N45" s="71">
        <v>6299</v>
      </c>
      <c r="O45" s="66" t="s">
        <v>28</v>
      </c>
      <c r="P45" s="82" t="s">
        <v>1255</v>
      </c>
      <c r="Q45" s="84" t="s">
        <v>1256</v>
      </c>
      <c r="R45" s="84" t="s">
        <v>1257</v>
      </c>
      <c r="S45" s="84">
        <v>1.7000000000000001E-2</v>
      </c>
      <c r="T45" s="82" t="s">
        <v>1251</v>
      </c>
      <c r="U45" s="84"/>
      <c r="V45" s="54"/>
    </row>
    <row r="46" spans="1:22" s="11" customFormat="1" ht="45" customHeight="1" x14ac:dyDescent="0.2">
      <c r="A46" s="66" t="s">
        <v>1062</v>
      </c>
      <c r="B46" s="66" t="s">
        <v>26</v>
      </c>
      <c r="C46" s="66" t="s">
        <v>1062</v>
      </c>
      <c r="D46" s="66" t="s">
        <v>1258</v>
      </c>
      <c r="E46" s="68" t="s">
        <v>1259</v>
      </c>
      <c r="F46" s="66" t="s">
        <v>1260</v>
      </c>
      <c r="G46" s="71">
        <v>5124</v>
      </c>
      <c r="H46" s="73"/>
      <c r="I46" s="75">
        <v>0.2</v>
      </c>
      <c r="J46" s="77"/>
      <c r="K46" s="66"/>
      <c r="L46" s="66"/>
      <c r="M46" s="79" t="str">
        <f>HYPERLINK("http://www.pristavka.com/catalog/ABYstyle/ABY657/")</f>
        <v>http://www.pristavka.com/catalog/ABYstyle/ABY657/</v>
      </c>
      <c r="N46" s="71">
        <v>8399</v>
      </c>
      <c r="O46" s="66" t="s">
        <v>28</v>
      </c>
      <c r="P46" s="82" t="s">
        <v>1261</v>
      </c>
      <c r="Q46" s="84" t="s">
        <v>1262</v>
      </c>
      <c r="R46" s="84" t="s">
        <v>1263</v>
      </c>
      <c r="S46" s="84">
        <v>0.104</v>
      </c>
      <c r="T46" s="82" t="s">
        <v>1264</v>
      </c>
      <c r="U46" s="84"/>
      <c r="V46" s="54"/>
    </row>
    <row r="47" spans="1:22" s="11" customFormat="1" ht="45" customHeight="1" x14ac:dyDescent="0.2">
      <c r="A47" s="66" t="s">
        <v>1062</v>
      </c>
      <c r="B47" s="66" t="s">
        <v>26</v>
      </c>
      <c r="C47" s="66" t="s">
        <v>1062</v>
      </c>
      <c r="D47" s="66" t="s">
        <v>1265</v>
      </c>
      <c r="E47" s="68" t="s">
        <v>1266</v>
      </c>
      <c r="F47" s="66" t="s">
        <v>1267</v>
      </c>
      <c r="G47" s="71">
        <v>5446</v>
      </c>
      <c r="H47" s="73"/>
      <c r="I47" s="75">
        <v>0.2</v>
      </c>
      <c r="J47" s="77"/>
      <c r="K47" s="66"/>
      <c r="L47" s="66"/>
      <c r="M47" s="79" t="str">
        <f>HYPERLINK("http://www.pristavka.com/catalog/abystyle/ABY433/")</f>
        <v>http://www.pristavka.com/catalog/abystyle/ABY433/</v>
      </c>
      <c r="N47" s="71">
        <v>8999</v>
      </c>
      <c r="O47" s="66" t="s">
        <v>27</v>
      </c>
      <c r="P47" s="82" t="s">
        <v>1268</v>
      </c>
      <c r="Q47" s="84" t="s">
        <v>1068</v>
      </c>
      <c r="R47" s="84" t="s">
        <v>1068</v>
      </c>
      <c r="S47" s="84">
        <v>0.11</v>
      </c>
      <c r="T47" s="82" t="s">
        <v>1269</v>
      </c>
      <c r="U47" s="84"/>
      <c r="V47" s="54"/>
    </row>
    <row r="48" spans="1:22" s="11" customFormat="1" ht="45" customHeight="1" x14ac:dyDescent="0.2">
      <c r="A48" s="66" t="s">
        <v>1062</v>
      </c>
      <c r="B48" s="66" t="s">
        <v>26</v>
      </c>
      <c r="C48" s="66" t="s">
        <v>1062</v>
      </c>
      <c r="D48" s="66" t="s">
        <v>1270</v>
      </c>
      <c r="E48" s="68" t="s">
        <v>1271</v>
      </c>
      <c r="F48" s="66" t="s">
        <v>1272</v>
      </c>
      <c r="G48" s="71">
        <v>6413</v>
      </c>
      <c r="H48" s="73"/>
      <c r="I48" s="75">
        <v>0.2</v>
      </c>
      <c r="J48" s="77"/>
      <c r="K48" s="66"/>
      <c r="L48" s="66"/>
      <c r="M48" s="79" t="str">
        <f>HYPERLINK("http://www.pristavka.com/catalog/ABYstyle/ABY617/")</f>
        <v>http://www.pristavka.com/catalog/ABYstyle/ABY617/</v>
      </c>
      <c r="N48" s="71">
        <v>10599</v>
      </c>
      <c r="O48" s="66" t="s">
        <v>28</v>
      </c>
      <c r="P48" s="82" t="s">
        <v>1273</v>
      </c>
      <c r="Q48" s="84" t="s">
        <v>1223</v>
      </c>
      <c r="R48" s="84"/>
      <c r="S48" s="84">
        <v>0.122</v>
      </c>
      <c r="T48" s="82" t="s">
        <v>1274</v>
      </c>
      <c r="U48" s="84"/>
      <c r="V48" s="54"/>
    </row>
    <row r="49" spans="1:22" s="11" customFormat="1" ht="45" customHeight="1" x14ac:dyDescent="0.2">
      <c r="A49" s="66" t="s">
        <v>1062</v>
      </c>
      <c r="B49" s="66" t="s">
        <v>26</v>
      </c>
      <c r="C49" s="66" t="s">
        <v>1062</v>
      </c>
      <c r="D49" s="66" t="s">
        <v>1275</v>
      </c>
      <c r="E49" s="68" t="s">
        <v>1276</v>
      </c>
      <c r="F49" s="66" t="s">
        <v>1277</v>
      </c>
      <c r="G49" s="71">
        <v>6090</v>
      </c>
      <c r="H49" s="73"/>
      <c r="I49" s="75">
        <v>0.2</v>
      </c>
      <c r="J49" s="77"/>
      <c r="K49" s="66"/>
      <c r="L49" s="66"/>
      <c r="M49" s="79" t="str">
        <f>HYPERLINK("http://www.pristavka.com/catalog/ABYstyle/ABY743/")</f>
        <v>http://www.pristavka.com/catalog/ABYstyle/ABY743/</v>
      </c>
      <c r="N49" s="71">
        <v>9999</v>
      </c>
      <c r="O49" s="66" t="s">
        <v>27</v>
      </c>
      <c r="P49" s="82" t="s">
        <v>1278</v>
      </c>
      <c r="Q49" s="84" t="s">
        <v>1112</v>
      </c>
      <c r="R49" s="84" t="s">
        <v>1068</v>
      </c>
      <c r="S49" s="84">
        <v>9.7000000000000003E-2</v>
      </c>
      <c r="T49" s="82" t="s">
        <v>1279</v>
      </c>
      <c r="U49" s="84"/>
      <c r="V49" s="54"/>
    </row>
    <row r="50" spans="1:22" s="11" customFormat="1" ht="45" customHeight="1" x14ac:dyDescent="0.2">
      <c r="A50" s="66" t="s">
        <v>1062</v>
      </c>
      <c r="B50" s="66" t="s">
        <v>26</v>
      </c>
      <c r="C50" s="66" t="s">
        <v>1062</v>
      </c>
      <c r="D50" s="66" t="s">
        <v>1280</v>
      </c>
      <c r="E50" s="68" t="s">
        <v>1281</v>
      </c>
      <c r="F50" s="66" t="s">
        <v>1282</v>
      </c>
      <c r="G50" s="71">
        <v>6413</v>
      </c>
      <c r="H50" s="73"/>
      <c r="I50" s="75">
        <v>0.2</v>
      </c>
      <c r="J50" s="77"/>
      <c r="K50" s="66"/>
      <c r="L50" s="66"/>
      <c r="M50" s="79" t="str">
        <f>HYPERLINK("http://www.pristavka.com/catalog/ABYstyle/ABY615/")</f>
        <v>http://www.pristavka.com/catalog/ABYstyle/ABY615/</v>
      </c>
      <c r="N50" s="71">
        <v>10599</v>
      </c>
      <c r="O50" s="66" t="s">
        <v>28</v>
      </c>
      <c r="P50" s="82" t="s">
        <v>1283</v>
      </c>
      <c r="Q50" s="84" t="s">
        <v>1068</v>
      </c>
      <c r="R50" s="84" t="s">
        <v>1068</v>
      </c>
      <c r="S50" s="84">
        <v>0.12</v>
      </c>
      <c r="T50" s="82" t="s">
        <v>1274</v>
      </c>
      <c r="U50" s="84"/>
      <c r="V50" s="54"/>
    </row>
    <row r="51" spans="1:22" s="11" customFormat="1" ht="45" customHeight="1" x14ac:dyDescent="0.2">
      <c r="A51" s="66" t="s">
        <v>1062</v>
      </c>
      <c r="B51" s="66" t="s">
        <v>26</v>
      </c>
      <c r="C51" s="66" t="s">
        <v>1062</v>
      </c>
      <c r="D51" s="66" t="s">
        <v>1284</v>
      </c>
      <c r="E51" s="68" t="s">
        <v>1285</v>
      </c>
      <c r="F51" s="66" t="s">
        <v>1286</v>
      </c>
      <c r="G51" s="71">
        <v>5446</v>
      </c>
      <c r="H51" s="73"/>
      <c r="I51" s="75">
        <v>0.2</v>
      </c>
      <c r="J51" s="77"/>
      <c r="K51" s="66"/>
      <c r="L51" s="66"/>
      <c r="M51" s="79" t="str">
        <f>HYPERLINK("http://www.pristavka.com/catalog/ABYstyle/ABY767/")</f>
        <v>http://www.pristavka.com/catalog/ABYstyle/ABY767/</v>
      </c>
      <c r="N51" s="71">
        <v>8999</v>
      </c>
      <c r="O51" s="66" t="s">
        <v>27</v>
      </c>
      <c r="P51" s="82" t="s">
        <v>1287</v>
      </c>
      <c r="Q51" s="84" t="s">
        <v>1086</v>
      </c>
      <c r="R51" s="84" t="s">
        <v>1068</v>
      </c>
      <c r="S51" s="84">
        <v>0.122</v>
      </c>
      <c r="T51" s="82" t="s">
        <v>1288</v>
      </c>
      <c r="U51" s="84"/>
      <c r="V51" s="54"/>
    </row>
    <row r="52" spans="1:22" s="11" customFormat="1" ht="45" customHeight="1" x14ac:dyDescent="0.2">
      <c r="A52" s="66" t="s">
        <v>1062</v>
      </c>
      <c r="B52" s="66" t="s">
        <v>26</v>
      </c>
      <c r="C52" s="66" t="s">
        <v>1062</v>
      </c>
      <c r="D52" s="66" t="s">
        <v>1289</v>
      </c>
      <c r="E52" s="68" t="s">
        <v>1290</v>
      </c>
      <c r="F52" s="66" t="s">
        <v>1291</v>
      </c>
      <c r="G52" s="71">
        <v>6413</v>
      </c>
      <c r="H52" s="73"/>
      <c r="I52" s="75">
        <v>0.2</v>
      </c>
      <c r="J52" s="77"/>
      <c r="K52" s="66"/>
      <c r="L52" s="66"/>
      <c r="M52" s="79" t="str">
        <f>HYPERLINK("http://www.pristavka.com/catalog/ABYstyle/ABY618/")</f>
        <v>http://www.pristavka.com/catalog/ABYstyle/ABY618/</v>
      </c>
      <c r="N52" s="71">
        <v>10599</v>
      </c>
      <c r="O52" s="66" t="s">
        <v>27</v>
      </c>
      <c r="P52" s="82" t="s">
        <v>1292</v>
      </c>
      <c r="Q52" s="84" t="s">
        <v>1096</v>
      </c>
      <c r="R52" s="84" t="s">
        <v>1068</v>
      </c>
      <c r="S52" s="84">
        <v>0.115</v>
      </c>
      <c r="T52" s="82" t="s">
        <v>1274</v>
      </c>
      <c r="U52" s="84"/>
      <c r="V52" s="54"/>
    </row>
    <row r="53" spans="1:22" s="11" customFormat="1" ht="45" customHeight="1" x14ac:dyDescent="0.2">
      <c r="A53" s="66" t="s">
        <v>1062</v>
      </c>
      <c r="B53" s="66" t="s">
        <v>26</v>
      </c>
      <c r="C53" s="66" t="s">
        <v>1062</v>
      </c>
      <c r="D53" s="66" t="s">
        <v>1293</v>
      </c>
      <c r="E53" s="68" t="s">
        <v>1294</v>
      </c>
      <c r="F53" s="66" t="s">
        <v>1295</v>
      </c>
      <c r="G53" s="71">
        <v>5124</v>
      </c>
      <c r="H53" s="73"/>
      <c r="I53" s="75">
        <v>0.2</v>
      </c>
      <c r="J53" s="77"/>
      <c r="K53" s="66"/>
      <c r="L53" s="66"/>
      <c r="M53" s="79" t="str">
        <f>HYPERLINK("http://www.pristavka.com/catalog/ABYstyle/ABY654/")</f>
        <v>http://www.pristavka.com/catalog/ABYstyle/ABY654/</v>
      </c>
      <c r="N53" s="71">
        <v>8399</v>
      </c>
      <c r="O53" s="66" t="s">
        <v>28</v>
      </c>
      <c r="P53" s="82" t="s">
        <v>1296</v>
      </c>
      <c r="Q53" s="84" t="s">
        <v>1297</v>
      </c>
      <c r="R53" s="84" t="s">
        <v>1298</v>
      </c>
      <c r="S53" s="84">
        <v>0.105</v>
      </c>
      <c r="T53" s="82" t="s">
        <v>1264</v>
      </c>
      <c r="U53" s="84"/>
      <c r="V53" s="54"/>
    </row>
    <row r="54" spans="1:22" s="11" customFormat="1" ht="45" customHeight="1" x14ac:dyDescent="0.2">
      <c r="A54" s="66" t="s">
        <v>1062</v>
      </c>
      <c r="B54" s="66" t="s">
        <v>1155</v>
      </c>
      <c r="C54" s="66" t="s">
        <v>1062</v>
      </c>
      <c r="D54" s="66" t="s">
        <v>1299</v>
      </c>
      <c r="E54" s="68" t="s">
        <v>1300</v>
      </c>
      <c r="F54" s="66" t="s">
        <v>1301</v>
      </c>
      <c r="G54" s="71">
        <v>13501</v>
      </c>
      <c r="H54" s="73"/>
      <c r="I54" s="75">
        <v>0.2</v>
      </c>
      <c r="J54" s="77"/>
      <c r="K54" s="66"/>
      <c r="L54" s="66"/>
      <c r="M54" s="79" t="str">
        <f>HYPERLINK("http://www.pristavka.com/catalog/abystyle/ABY132/")</f>
        <v>http://www.pristavka.com/catalog/abystyle/ABY132/</v>
      </c>
      <c r="N54" s="71">
        <v>22199</v>
      </c>
      <c r="O54" s="66" t="s">
        <v>27</v>
      </c>
      <c r="P54" s="82" t="s">
        <v>1302</v>
      </c>
      <c r="Q54" s="84" t="s">
        <v>1102</v>
      </c>
      <c r="R54" s="84" t="s">
        <v>1303</v>
      </c>
      <c r="S54" s="84">
        <v>0.44400000000000001</v>
      </c>
      <c r="T54" s="82" t="s">
        <v>1304</v>
      </c>
      <c r="U54" s="84"/>
      <c r="V54" s="54"/>
    </row>
    <row r="55" spans="1:22" s="11" customFormat="1" ht="45" customHeight="1" x14ac:dyDescent="0.2">
      <c r="A55" s="66" t="s">
        <v>1062</v>
      </c>
      <c r="B55" s="66" t="s">
        <v>26</v>
      </c>
      <c r="C55" s="66" t="s">
        <v>1062</v>
      </c>
      <c r="D55" s="66" t="s">
        <v>1305</v>
      </c>
      <c r="E55" s="68" t="s">
        <v>1306</v>
      </c>
      <c r="F55" s="66" t="s">
        <v>1307</v>
      </c>
      <c r="G55" s="71">
        <v>18979</v>
      </c>
      <c r="H55" s="73"/>
      <c r="I55" s="75">
        <v>0.2</v>
      </c>
      <c r="J55" s="77"/>
      <c r="K55" s="66"/>
      <c r="L55" s="66"/>
      <c r="M55" s="79" t="str">
        <f>HYPERLINK("http://www.pristavka.com/catalog/ABYstyle/ABY735/")</f>
        <v>http://www.pristavka.com/catalog/ABYstyle/ABY735/</v>
      </c>
      <c r="N55" s="71">
        <v>31199</v>
      </c>
      <c r="O55" s="66" t="s">
        <v>27</v>
      </c>
      <c r="P55" s="82" t="s">
        <v>1308</v>
      </c>
      <c r="Q55" s="84" t="s">
        <v>1102</v>
      </c>
      <c r="R55" s="84" t="s">
        <v>1103</v>
      </c>
      <c r="S55" s="84">
        <v>0.77</v>
      </c>
      <c r="T55" s="82" t="s">
        <v>1309</v>
      </c>
      <c r="U55" s="84"/>
      <c r="V55" s="54"/>
    </row>
    <row r="56" spans="1:22" s="11" customFormat="1" ht="45" customHeight="1" x14ac:dyDescent="0.2">
      <c r="A56" s="66" t="s">
        <v>1062</v>
      </c>
      <c r="B56" s="66" t="s">
        <v>26</v>
      </c>
      <c r="C56" s="66" t="s">
        <v>1062</v>
      </c>
      <c r="D56" s="66" t="s">
        <v>1310</v>
      </c>
      <c r="E56" s="68" t="s">
        <v>1311</v>
      </c>
      <c r="F56" s="66" t="s">
        <v>1312</v>
      </c>
      <c r="G56" s="71">
        <v>15112</v>
      </c>
      <c r="H56" s="73"/>
      <c r="I56" s="75">
        <v>0.2</v>
      </c>
      <c r="J56" s="77"/>
      <c r="K56" s="66"/>
      <c r="L56" s="66"/>
      <c r="M56" s="79" t="str">
        <f>HYPERLINK("http://www.pristavka.com/catalog/ABYstyle/ABY775/")</f>
        <v>http://www.pristavka.com/catalog/ABYstyle/ABY775/</v>
      </c>
      <c r="N56" s="71">
        <v>24799</v>
      </c>
      <c r="O56" s="66" t="s">
        <v>27</v>
      </c>
      <c r="P56" s="82" t="s">
        <v>1313</v>
      </c>
      <c r="Q56" s="84" t="s">
        <v>1314</v>
      </c>
      <c r="R56" s="84" t="s">
        <v>1315</v>
      </c>
      <c r="S56" s="84">
        <v>0.248</v>
      </c>
      <c r="T56" s="82" t="s">
        <v>1316</v>
      </c>
      <c r="U56" s="84"/>
      <c r="V56" s="54"/>
    </row>
    <row r="57" spans="1:22" s="11" customFormat="1" ht="45" customHeight="1" x14ac:dyDescent="0.2">
      <c r="A57" s="66" t="s">
        <v>1062</v>
      </c>
      <c r="B57" s="66" t="s">
        <v>26</v>
      </c>
      <c r="C57" s="66" t="s">
        <v>1062</v>
      </c>
      <c r="D57" s="66" t="s">
        <v>1317</v>
      </c>
      <c r="E57" s="68" t="s">
        <v>1318</v>
      </c>
      <c r="F57" s="66" t="s">
        <v>1319</v>
      </c>
      <c r="G57" s="71">
        <v>12535</v>
      </c>
      <c r="H57" s="73"/>
      <c r="I57" s="75">
        <v>0.2</v>
      </c>
      <c r="J57" s="77"/>
      <c r="K57" s="66"/>
      <c r="L57" s="66"/>
      <c r="M57" s="79" t="str">
        <f>HYPERLINK("http://www.pristavka.com/catalog/ABYstyle/ABY771/")</f>
        <v>http://www.pristavka.com/catalog/ABYstyle/ABY771/</v>
      </c>
      <c r="N57" s="71">
        <v>20599</v>
      </c>
      <c r="O57" s="66" t="s">
        <v>27</v>
      </c>
      <c r="P57" s="82" t="s">
        <v>1320</v>
      </c>
      <c r="Q57" s="84" t="s">
        <v>1321</v>
      </c>
      <c r="R57" s="84" t="s">
        <v>1322</v>
      </c>
      <c r="S57" s="84">
        <v>0.438</v>
      </c>
      <c r="T57" s="82" t="s">
        <v>1323</v>
      </c>
      <c r="U57" s="84"/>
      <c r="V57" s="54"/>
    </row>
    <row r="58" spans="1:22" s="11" customFormat="1" ht="45" customHeight="1" x14ac:dyDescent="0.2">
      <c r="A58" s="66" t="s">
        <v>1062</v>
      </c>
      <c r="B58" s="66" t="s">
        <v>26</v>
      </c>
      <c r="C58" s="66" t="s">
        <v>1062</v>
      </c>
      <c r="D58" s="66" t="s">
        <v>1324</v>
      </c>
      <c r="E58" s="68" t="s">
        <v>1325</v>
      </c>
      <c r="F58" s="66" t="s">
        <v>1326</v>
      </c>
      <c r="G58" s="71">
        <v>12535</v>
      </c>
      <c r="H58" s="73"/>
      <c r="I58" s="75">
        <v>0.2</v>
      </c>
      <c r="J58" s="77"/>
      <c r="K58" s="66"/>
      <c r="L58" s="66"/>
      <c r="M58" s="79" t="str">
        <f>HYPERLINK("http://www.pristavka.com/catalog/ABYstyle/ABY772/")</f>
        <v>http://www.pristavka.com/catalog/ABYstyle/ABY772/</v>
      </c>
      <c r="N58" s="71">
        <v>20599</v>
      </c>
      <c r="O58" s="66" t="s">
        <v>27</v>
      </c>
      <c r="P58" s="82" t="s">
        <v>1327</v>
      </c>
      <c r="Q58" s="84" t="s">
        <v>1328</v>
      </c>
      <c r="R58" s="84" t="s">
        <v>1315</v>
      </c>
      <c r="S58" s="84">
        <v>0.39600000000000002</v>
      </c>
      <c r="T58" s="82" t="s">
        <v>1329</v>
      </c>
      <c r="U58" s="84"/>
      <c r="V58" s="54"/>
    </row>
    <row r="59" spans="1:22" s="11" customFormat="1" ht="45" customHeight="1" x14ac:dyDescent="0.2">
      <c r="A59" s="66" t="s">
        <v>1062</v>
      </c>
      <c r="B59" s="66" t="s">
        <v>26</v>
      </c>
      <c r="C59" s="66" t="s">
        <v>1062</v>
      </c>
      <c r="D59" s="66" t="s">
        <v>1330</v>
      </c>
      <c r="E59" s="68" t="s">
        <v>1331</v>
      </c>
      <c r="F59" s="66" t="s">
        <v>1332</v>
      </c>
      <c r="G59" s="71">
        <v>6941</v>
      </c>
      <c r="H59" s="73"/>
      <c r="I59" s="75">
        <v>0.2</v>
      </c>
      <c r="J59" s="77"/>
      <c r="K59" s="66"/>
      <c r="L59" s="66"/>
      <c r="M59" s="79" t="str">
        <f>HYPERLINK("http://www.pristavka.com/catalog/abystyle/ABY333/")</f>
        <v>http://www.pristavka.com/catalog/abystyle/ABY333/</v>
      </c>
      <c r="N59" s="71">
        <v>11599</v>
      </c>
      <c r="O59" s="66" t="s">
        <v>28</v>
      </c>
      <c r="P59" s="82" t="s">
        <v>1333</v>
      </c>
      <c r="Q59" s="84" t="s">
        <v>1334</v>
      </c>
      <c r="R59" s="84" t="s">
        <v>1068</v>
      </c>
      <c r="S59" s="84">
        <v>7.0000000000000007E-2</v>
      </c>
      <c r="T59" s="82" t="s">
        <v>1335</v>
      </c>
      <c r="U59" s="84"/>
      <c r="V59" s="54"/>
    </row>
    <row r="60" spans="1:22" s="11" customFormat="1" ht="45" customHeight="1" x14ac:dyDescent="0.2">
      <c r="A60" s="66" t="s">
        <v>1062</v>
      </c>
      <c r="B60" s="66" t="s">
        <v>1155</v>
      </c>
      <c r="C60" s="66" t="s">
        <v>1062</v>
      </c>
      <c r="D60" s="66" t="s">
        <v>1336</v>
      </c>
      <c r="E60" s="68" t="s">
        <v>1337</v>
      </c>
      <c r="F60" s="66" t="s">
        <v>1338</v>
      </c>
      <c r="G60" s="71">
        <v>10601</v>
      </c>
      <c r="H60" s="73"/>
      <c r="I60" s="75">
        <v>0.2</v>
      </c>
      <c r="J60" s="77"/>
      <c r="K60" s="66"/>
      <c r="L60" s="66"/>
      <c r="M60" s="79" t="str">
        <f>HYPERLINK("http://www.pristavka.com/catalog/ABYstyle/ABY264/")</f>
        <v>http://www.pristavka.com/catalog/ABYstyle/ABY264/</v>
      </c>
      <c r="N60" s="71">
        <v>17399</v>
      </c>
      <c r="O60" s="66" t="s">
        <v>27</v>
      </c>
      <c r="P60" s="82" t="s">
        <v>1339</v>
      </c>
      <c r="Q60" s="84" t="s">
        <v>1068</v>
      </c>
      <c r="R60" s="84" t="s">
        <v>1068</v>
      </c>
      <c r="S60" s="84">
        <v>0.55000000000000004</v>
      </c>
      <c r="T60" s="82" t="s">
        <v>1340</v>
      </c>
      <c r="U60" s="84"/>
      <c r="V60" s="54"/>
    </row>
    <row r="61" spans="1:22" s="11" customFormat="1" ht="45" customHeight="1" x14ac:dyDescent="0.2">
      <c r="A61" s="66" t="s">
        <v>1062</v>
      </c>
      <c r="B61" s="66" t="s">
        <v>1155</v>
      </c>
      <c r="C61" s="66" t="s">
        <v>1062</v>
      </c>
      <c r="D61" s="66" t="s">
        <v>1341</v>
      </c>
      <c r="E61" s="68" t="s">
        <v>1342</v>
      </c>
      <c r="F61" s="66" t="s">
        <v>1343</v>
      </c>
      <c r="G61" s="71">
        <v>10924</v>
      </c>
      <c r="H61" s="73"/>
      <c r="I61" s="75">
        <v>0.2</v>
      </c>
      <c r="J61" s="77"/>
      <c r="K61" s="66"/>
      <c r="L61" s="66"/>
      <c r="M61" s="79" t="str">
        <f>HYPERLINK("http://www.pristavka.com/catalog/abystyle/ABY70/")</f>
        <v>http://www.pristavka.com/catalog/abystyle/ABY70/</v>
      </c>
      <c r="N61" s="71">
        <v>17999</v>
      </c>
      <c r="O61" s="66" t="s">
        <v>27</v>
      </c>
      <c r="P61" s="82" t="s">
        <v>1344</v>
      </c>
      <c r="Q61" s="84" t="s">
        <v>1102</v>
      </c>
      <c r="R61" s="84" t="s">
        <v>1303</v>
      </c>
      <c r="S61" s="84">
        <v>0.54500000000000004</v>
      </c>
      <c r="T61" s="82" t="s">
        <v>1345</v>
      </c>
      <c r="U61" s="84"/>
      <c r="V61" s="54"/>
    </row>
    <row r="62" spans="1:22" s="11" customFormat="1" ht="45" customHeight="1" x14ac:dyDescent="0.2">
      <c r="A62" s="66" t="s">
        <v>1062</v>
      </c>
      <c r="B62" s="66" t="s">
        <v>1155</v>
      </c>
      <c r="C62" s="66" t="s">
        <v>1062</v>
      </c>
      <c r="D62" s="66" t="s">
        <v>1346</v>
      </c>
      <c r="E62" s="68" t="s">
        <v>1347</v>
      </c>
      <c r="F62" s="66" t="s">
        <v>1348</v>
      </c>
      <c r="G62" s="71">
        <v>12212</v>
      </c>
      <c r="H62" s="73"/>
      <c r="I62" s="75">
        <v>0.2</v>
      </c>
      <c r="J62" s="77"/>
      <c r="K62" s="66"/>
      <c r="L62" s="66"/>
      <c r="M62" s="79" t="str">
        <f>HYPERLINK("http://www.pristavka.com/catalog/ABYstyle/ABY75/")</f>
        <v>http://www.pristavka.com/catalog/ABYstyle/ABY75/</v>
      </c>
      <c r="N62" s="71">
        <v>20099</v>
      </c>
      <c r="O62" s="66" t="s">
        <v>27</v>
      </c>
      <c r="P62" s="82" t="s">
        <v>1349</v>
      </c>
      <c r="Q62" s="84" t="s">
        <v>1165</v>
      </c>
      <c r="R62" s="84" t="s">
        <v>1068</v>
      </c>
      <c r="S62" s="84">
        <v>0.5</v>
      </c>
      <c r="T62" s="82" t="s">
        <v>1350</v>
      </c>
      <c r="U62" s="84"/>
      <c r="V62" s="54"/>
    </row>
    <row r="63" spans="1:22" s="11" customFormat="1" ht="45" customHeight="1" x14ac:dyDescent="0.2">
      <c r="A63" s="66" t="s">
        <v>1062</v>
      </c>
      <c r="B63" s="66" t="s">
        <v>26</v>
      </c>
      <c r="C63" s="66" t="s">
        <v>1062</v>
      </c>
      <c r="D63" s="66" t="s">
        <v>1351</v>
      </c>
      <c r="E63" s="68" t="s">
        <v>1352</v>
      </c>
      <c r="F63" s="66" t="s">
        <v>1353</v>
      </c>
      <c r="G63" s="71">
        <v>6090</v>
      </c>
      <c r="H63" s="73"/>
      <c r="I63" s="75">
        <v>0.2</v>
      </c>
      <c r="J63" s="77"/>
      <c r="K63" s="66"/>
      <c r="L63" s="66"/>
      <c r="M63" s="79" t="str">
        <f>HYPERLINK("http://www.pristavka.com/catalog/ABYstyle/ABY630/")</f>
        <v>http://www.pristavka.com/catalog/ABYstyle/ABY630/</v>
      </c>
      <c r="N63" s="71">
        <v>9999</v>
      </c>
      <c r="O63" s="66" t="s">
        <v>27</v>
      </c>
      <c r="P63" s="82" t="s">
        <v>1354</v>
      </c>
      <c r="Q63" s="84" t="s">
        <v>1223</v>
      </c>
      <c r="R63" s="84"/>
      <c r="S63" s="84">
        <v>0.36</v>
      </c>
      <c r="T63" s="82" t="s">
        <v>1355</v>
      </c>
      <c r="U63" s="84"/>
      <c r="V63" s="54"/>
    </row>
    <row r="64" spans="1:22" s="11" customFormat="1" ht="45" customHeight="1" x14ac:dyDescent="0.2">
      <c r="A64" s="66" t="s">
        <v>1062</v>
      </c>
      <c r="B64" s="66" t="s">
        <v>26</v>
      </c>
      <c r="C64" s="66" t="s">
        <v>1062</v>
      </c>
      <c r="D64" s="66" t="s">
        <v>1356</v>
      </c>
      <c r="E64" s="68" t="s">
        <v>1357</v>
      </c>
      <c r="F64" s="66" t="s">
        <v>1358</v>
      </c>
      <c r="G64" s="71">
        <v>6090</v>
      </c>
      <c r="H64" s="73"/>
      <c r="I64" s="75">
        <v>0.2</v>
      </c>
      <c r="J64" s="77"/>
      <c r="K64" s="66"/>
      <c r="L64" s="66"/>
      <c r="M64" s="79" t="str">
        <f>HYPERLINK("http://www.pristavka.com/catalog/ABYstyle/ABY646/")</f>
        <v>http://www.pristavka.com/catalog/ABYstyle/ABY646/</v>
      </c>
      <c r="N64" s="71">
        <v>9999</v>
      </c>
      <c r="O64" s="66" t="s">
        <v>28</v>
      </c>
      <c r="P64" s="82" t="s">
        <v>1359</v>
      </c>
      <c r="Q64" s="84" t="s">
        <v>1096</v>
      </c>
      <c r="R64" s="84" t="s">
        <v>1068</v>
      </c>
      <c r="S64" s="84">
        <v>0.35399999999999998</v>
      </c>
      <c r="T64" s="82" t="s">
        <v>1355</v>
      </c>
      <c r="U64" s="84"/>
      <c r="V64" s="54"/>
    </row>
    <row r="65" spans="1:22" s="11" customFormat="1" ht="45" customHeight="1" x14ac:dyDescent="0.2">
      <c r="A65" s="66" t="s">
        <v>1062</v>
      </c>
      <c r="B65" s="66" t="s">
        <v>26</v>
      </c>
      <c r="C65" s="66" t="s">
        <v>1062</v>
      </c>
      <c r="D65" s="66" t="s">
        <v>1360</v>
      </c>
      <c r="E65" s="68" t="s">
        <v>1361</v>
      </c>
      <c r="F65" s="66" t="s">
        <v>1362</v>
      </c>
      <c r="G65" s="71">
        <v>5768</v>
      </c>
      <c r="H65" s="73"/>
      <c r="I65" s="75">
        <v>0.2</v>
      </c>
      <c r="J65" s="77"/>
      <c r="K65" s="66"/>
      <c r="L65" s="66"/>
      <c r="M65" s="79" t="str">
        <f>HYPERLINK("http://www.pristavka.com/catalog/ABYstyle/ABY633/")</f>
        <v>http://www.pristavka.com/catalog/ABYstyle/ABY633/</v>
      </c>
      <c r="N65" s="71">
        <v>9499</v>
      </c>
      <c r="O65" s="66" t="s">
        <v>27</v>
      </c>
      <c r="P65" s="82" t="s">
        <v>1363</v>
      </c>
      <c r="Q65" s="84" t="s">
        <v>1096</v>
      </c>
      <c r="R65" s="84" t="s">
        <v>1068</v>
      </c>
      <c r="S65" s="84">
        <v>0.34899999999999998</v>
      </c>
      <c r="T65" s="82" t="s">
        <v>1355</v>
      </c>
      <c r="U65" s="84"/>
      <c r="V65" s="54"/>
    </row>
    <row r="66" spans="1:22" s="11" customFormat="1" ht="45" customHeight="1" x14ac:dyDescent="0.2">
      <c r="A66" s="66" t="s">
        <v>1062</v>
      </c>
      <c r="B66" s="66" t="s">
        <v>26</v>
      </c>
      <c r="C66" s="66" t="s">
        <v>1062</v>
      </c>
      <c r="D66" s="66" t="s">
        <v>1364</v>
      </c>
      <c r="E66" s="68" t="s">
        <v>1365</v>
      </c>
      <c r="F66" s="66" t="s">
        <v>1366</v>
      </c>
      <c r="G66" s="71">
        <v>6090</v>
      </c>
      <c r="H66" s="73"/>
      <c r="I66" s="75">
        <v>0.2</v>
      </c>
      <c r="J66" s="77"/>
      <c r="K66" s="66"/>
      <c r="L66" s="66"/>
      <c r="M66" s="79" t="str">
        <f>HYPERLINK("http://www.pristavka.com/catalog/ABYstyle/ABY632/")</f>
        <v>http://www.pristavka.com/catalog/ABYstyle/ABY632/</v>
      </c>
      <c r="N66" s="71">
        <v>9999</v>
      </c>
      <c r="O66" s="66" t="s">
        <v>28</v>
      </c>
      <c r="P66" s="82" t="s">
        <v>1367</v>
      </c>
      <c r="Q66" s="84" t="s">
        <v>1068</v>
      </c>
      <c r="R66" s="84" t="s">
        <v>1068</v>
      </c>
      <c r="S66" s="84">
        <v>0.34399999999999997</v>
      </c>
      <c r="T66" s="82" t="s">
        <v>1355</v>
      </c>
      <c r="U66" s="84"/>
      <c r="V66" s="54"/>
    </row>
    <row r="67" spans="1:22" s="11" customFormat="1" ht="45" customHeight="1" x14ac:dyDescent="0.2">
      <c r="A67" s="66" t="s">
        <v>1062</v>
      </c>
      <c r="B67" s="66" t="s">
        <v>1155</v>
      </c>
      <c r="C67" s="66" t="s">
        <v>1062</v>
      </c>
      <c r="D67" s="66" t="s">
        <v>1368</v>
      </c>
      <c r="E67" s="68" t="s">
        <v>1369</v>
      </c>
      <c r="F67" s="66" t="s">
        <v>1370</v>
      </c>
      <c r="G67" s="71">
        <v>6090</v>
      </c>
      <c r="H67" s="73"/>
      <c r="I67" s="75">
        <v>0.2</v>
      </c>
      <c r="J67" s="77"/>
      <c r="K67" s="66"/>
      <c r="L67" s="66"/>
      <c r="M67" s="79" t="str">
        <f>HYPERLINK("http://www.pristavka.com/catalog/abystyle/ABY415/")</f>
        <v>http://www.pristavka.com/catalog/abystyle/ABY415/</v>
      </c>
      <c r="N67" s="71">
        <v>9999</v>
      </c>
      <c r="O67" s="66" t="s">
        <v>28</v>
      </c>
      <c r="P67" s="82" t="s">
        <v>1371</v>
      </c>
      <c r="Q67" s="84" t="s">
        <v>1068</v>
      </c>
      <c r="R67" s="84" t="s">
        <v>1068</v>
      </c>
      <c r="S67" s="84">
        <v>0.5</v>
      </c>
      <c r="T67" s="82" t="s">
        <v>1372</v>
      </c>
      <c r="U67" s="84"/>
      <c r="V67" s="54"/>
    </row>
    <row r="68" spans="1:22" s="11" customFormat="1" ht="45" customHeight="1" x14ac:dyDescent="0.2">
      <c r="A68" s="66" t="s">
        <v>1062</v>
      </c>
      <c r="B68" s="66" t="s">
        <v>1155</v>
      </c>
      <c r="C68" s="66" t="s">
        <v>1062</v>
      </c>
      <c r="D68" s="66" t="s">
        <v>1373</v>
      </c>
      <c r="E68" s="68" t="s">
        <v>1374</v>
      </c>
      <c r="F68" s="66" t="s">
        <v>1375</v>
      </c>
      <c r="G68" s="71">
        <v>6090</v>
      </c>
      <c r="H68" s="73"/>
      <c r="I68" s="75">
        <v>0.2</v>
      </c>
      <c r="J68" s="77"/>
      <c r="K68" s="66"/>
      <c r="L68" s="66"/>
      <c r="M68" s="79" t="str">
        <f>HYPERLINK("http://www.pristavka.com/catalog/abystyle/ABY414/")</f>
        <v>http://www.pristavka.com/catalog/abystyle/ABY414/</v>
      </c>
      <c r="N68" s="71">
        <v>9999</v>
      </c>
      <c r="O68" s="66" t="s">
        <v>27</v>
      </c>
      <c r="P68" s="82" t="s">
        <v>1376</v>
      </c>
      <c r="Q68" s="84" t="s">
        <v>1068</v>
      </c>
      <c r="R68" s="84" t="s">
        <v>1068</v>
      </c>
      <c r="S68" s="84">
        <v>0.5</v>
      </c>
      <c r="T68" s="82" t="s">
        <v>1372</v>
      </c>
      <c r="U68" s="84"/>
      <c r="V68" s="54"/>
    </row>
    <row r="69" spans="1:22" s="11" customFormat="1" ht="45" customHeight="1" x14ac:dyDescent="0.2">
      <c r="A69" s="66" t="s">
        <v>1062</v>
      </c>
      <c r="B69" s="66" t="s">
        <v>26</v>
      </c>
      <c r="C69" s="66" t="s">
        <v>1062</v>
      </c>
      <c r="D69" s="66" t="s">
        <v>1377</v>
      </c>
      <c r="E69" s="68" t="s">
        <v>1378</v>
      </c>
      <c r="F69" s="66" t="s">
        <v>1379</v>
      </c>
      <c r="G69" s="71">
        <v>8024</v>
      </c>
      <c r="H69" s="73"/>
      <c r="I69" s="75">
        <v>0.2</v>
      </c>
      <c r="J69" s="77"/>
      <c r="K69" s="66"/>
      <c r="L69" s="66"/>
      <c r="M69" s="79" t="str">
        <f>HYPERLINK("http://www.pristavka.com/catalog/ABYstyle/ABY628/")</f>
        <v>http://www.pristavka.com/catalog/ABYstyle/ABY628/</v>
      </c>
      <c r="N69" s="71">
        <v>13199</v>
      </c>
      <c r="O69" s="66" t="s">
        <v>28</v>
      </c>
      <c r="P69" s="82" t="s">
        <v>1380</v>
      </c>
      <c r="Q69" s="84" t="s">
        <v>1068</v>
      </c>
      <c r="R69" s="84" t="s">
        <v>1068</v>
      </c>
      <c r="S69" s="84">
        <v>0.53</v>
      </c>
      <c r="T69" s="82" t="s">
        <v>1381</v>
      </c>
      <c r="U69" s="84"/>
      <c r="V69" s="54"/>
    </row>
    <row r="70" spans="1:22" s="11" customFormat="1" ht="45" customHeight="1" x14ac:dyDescent="0.2">
      <c r="A70" s="66" t="s">
        <v>1062</v>
      </c>
      <c r="B70" s="66" t="s">
        <v>26</v>
      </c>
      <c r="C70" s="66" t="s">
        <v>1062</v>
      </c>
      <c r="D70" s="66" t="s">
        <v>1382</v>
      </c>
      <c r="E70" s="68" t="s">
        <v>1383</v>
      </c>
      <c r="F70" s="66" t="s">
        <v>1384</v>
      </c>
      <c r="G70" s="71">
        <v>6090</v>
      </c>
      <c r="H70" s="73"/>
      <c r="I70" s="75">
        <v>0.2</v>
      </c>
      <c r="J70" s="77"/>
      <c r="K70" s="66"/>
      <c r="L70" s="66"/>
      <c r="M70" s="79" t="str">
        <f>HYPERLINK("http://www.pristavka.com/catalog/ABYstyle/ABY631/")</f>
        <v>http://www.pristavka.com/catalog/ABYstyle/ABY631/</v>
      </c>
      <c r="N70" s="71">
        <v>9999</v>
      </c>
      <c r="O70" s="66" t="s">
        <v>27</v>
      </c>
      <c r="P70" s="82" t="s">
        <v>1385</v>
      </c>
      <c r="Q70" s="84" t="s">
        <v>1068</v>
      </c>
      <c r="R70" s="84" t="s">
        <v>1068</v>
      </c>
      <c r="S70" s="84">
        <v>0.38900000000000001</v>
      </c>
      <c r="T70" s="82" t="s">
        <v>1355</v>
      </c>
      <c r="U70" s="84"/>
      <c r="V70" s="54"/>
    </row>
    <row r="71" spans="1:22" s="11" customFormat="1" ht="45" customHeight="1" x14ac:dyDescent="0.2">
      <c r="A71" s="66" t="s">
        <v>1062</v>
      </c>
      <c r="B71" s="66" t="s">
        <v>26</v>
      </c>
      <c r="C71" s="66" t="s">
        <v>1062</v>
      </c>
      <c r="D71" s="66" t="s">
        <v>1386</v>
      </c>
      <c r="E71" s="68" t="s">
        <v>1387</v>
      </c>
      <c r="F71" s="66" t="s">
        <v>1388</v>
      </c>
      <c r="G71" s="71">
        <v>6090</v>
      </c>
      <c r="H71" s="73"/>
      <c r="I71" s="75">
        <v>0.2</v>
      </c>
      <c r="J71" s="77"/>
      <c r="K71" s="66"/>
      <c r="L71" s="66"/>
      <c r="M71" s="79" t="str">
        <f>HYPERLINK("http://www.pristavka.com/catalog/ABYstyle/ABY634/")</f>
        <v>http://www.pristavka.com/catalog/ABYstyle/ABY634/</v>
      </c>
      <c r="N71" s="71">
        <v>9999</v>
      </c>
      <c r="O71" s="66" t="s">
        <v>28</v>
      </c>
      <c r="P71" s="82" t="s">
        <v>1389</v>
      </c>
      <c r="Q71" s="84" t="s">
        <v>1390</v>
      </c>
      <c r="R71" s="84" t="s">
        <v>1391</v>
      </c>
      <c r="S71" s="84">
        <v>0.36899999999999999</v>
      </c>
      <c r="T71" s="82" t="s">
        <v>1355</v>
      </c>
      <c r="U71" s="84"/>
      <c r="V71" s="54"/>
    </row>
    <row r="72" spans="1:22" s="11" customFormat="1" ht="45" customHeight="1" x14ac:dyDescent="0.2">
      <c r="A72" s="66" t="s">
        <v>1062</v>
      </c>
      <c r="B72" s="66" t="s">
        <v>26</v>
      </c>
      <c r="C72" s="66" t="s">
        <v>1062</v>
      </c>
      <c r="D72" s="66" t="s">
        <v>1392</v>
      </c>
      <c r="E72" s="68" t="s">
        <v>1393</v>
      </c>
      <c r="F72" s="66" t="s">
        <v>1394</v>
      </c>
      <c r="G72" s="71">
        <v>9313</v>
      </c>
      <c r="H72" s="73"/>
      <c r="I72" s="75">
        <v>0.2</v>
      </c>
      <c r="J72" s="77"/>
      <c r="K72" s="66"/>
      <c r="L72" s="66"/>
      <c r="M72" s="79" t="str">
        <f>HYPERLINK("http://www.pristavka.com/catalog/ABYstyle/ABY747/")</f>
        <v>http://www.pristavka.com/catalog/ABYstyle/ABY747/</v>
      </c>
      <c r="N72" s="71">
        <v>15299</v>
      </c>
      <c r="O72" s="66" t="s">
        <v>27</v>
      </c>
      <c r="P72" s="82" t="s">
        <v>1395</v>
      </c>
      <c r="Q72" s="84" t="s">
        <v>1396</v>
      </c>
      <c r="R72" s="84" t="s">
        <v>859</v>
      </c>
      <c r="S72" s="84">
        <v>0.47499999999999998</v>
      </c>
      <c r="T72" s="82" t="s">
        <v>1397</v>
      </c>
      <c r="U72" s="84"/>
      <c r="V72" s="54"/>
    </row>
    <row r="73" spans="1:22" s="11" customFormat="1" ht="45" customHeight="1" x14ac:dyDescent="0.2">
      <c r="A73" s="66" t="s">
        <v>1062</v>
      </c>
      <c r="B73" s="66" t="s">
        <v>26</v>
      </c>
      <c r="C73" s="66" t="s">
        <v>1062</v>
      </c>
      <c r="D73" s="66" t="s">
        <v>1398</v>
      </c>
      <c r="E73" s="68" t="s">
        <v>1399</v>
      </c>
      <c r="F73" s="66" t="s">
        <v>1400</v>
      </c>
      <c r="G73" s="71">
        <v>6090</v>
      </c>
      <c r="H73" s="73"/>
      <c r="I73" s="75">
        <v>0.2</v>
      </c>
      <c r="J73" s="77"/>
      <c r="K73" s="66"/>
      <c r="L73" s="66"/>
      <c r="M73" s="79" t="str">
        <f>HYPERLINK("http://www.pristavka.com/catalog/ABYstyle/ABY756/")</f>
        <v>http://www.pristavka.com/catalog/ABYstyle/ABY756/</v>
      </c>
      <c r="N73" s="71">
        <v>9999</v>
      </c>
      <c r="O73" s="66" t="s">
        <v>27</v>
      </c>
      <c r="P73" s="82" t="s">
        <v>1401</v>
      </c>
      <c r="Q73" s="84" t="s">
        <v>1211</v>
      </c>
      <c r="R73" s="84" t="s">
        <v>1212</v>
      </c>
      <c r="S73" s="84">
        <v>0.35699999999999998</v>
      </c>
      <c r="T73" s="82" t="s">
        <v>1402</v>
      </c>
      <c r="U73" s="84"/>
      <c r="V73" s="54"/>
    </row>
    <row r="74" spans="1:22" s="11" customFormat="1" ht="45" customHeight="1" x14ac:dyDescent="0.2">
      <c r="A74" s="66" t="s">
        <v>1062</v>
      </c>
      <c r="B74" s="66" t="s">
        <v>26</v>
      </c>
      <c r="C74" s="66" t="s">
        <v>1062</v>
      </c>
      <c r="D74" s="66" t="s">
        <v>1403</v>
      </c>
      <c r="E74" s="68" t="s">
        <v>1404</v>
      </c>
      <c r="F74" s="66" t="s">
        <v>1405</v>
      </c>
      <c r="G74" s="71">
        <v>5446</v>
      </c>
      <c r="H74" s="73"/>
      <c r="I74" s="75">
        <v>0.2</v>
      </c>
      <c r="J74" s="77"/>
      <c r="K74" s="66"/>
      <c r="L74" s="66"/>
      <c r="M74" s="79" t="str">
        <f>HYPERLINK("http://www.pristavka.com/catalog/ABYstyle/ABY741/")</f>
        <v>http://www.pristavka.com/catalog/ABYstyle/ABY741/</v>
      </c>
      <c r="N74" s="71">
        <v>8999</v>
      </c>
      <c r="O74" s="66" t="s">
        <v>27</v>
      </c>
      <c r="P74" s="82" t="s">
        <v>1406</v>
      </c>
      <c r="Q74" s="84" t="s">
        <v>1096</v>
      </c>
      <c r="R74" s="84" t="s">
        <v>1068</v>
      </c>
      <c r="S74" s="84">
        <v>0.36</v>
      </c>
      <c r="T74" s="82" t="s">
        <v>1355</v>
      </c>
      <c r="U74" s="84"/>
      <c r="V74" s="54"/>
    </row>
    <row r="75" spans="1:22" s="11" customFormat="1" ht="45" customHeight="1" x14ac:dyDescent="0.2">
      <c r="A75" s="66" t="s">
        <v>1062</v>
      </c>
      <c r="B75" s="66" t="s">
        <v>26</v>
      </c>
      <c r="C75" s="66" t="s">
        <v>1062</v>
      </c>
      <c r="D75" s="66" t="s">
        <v>1407</v>
      </c>
      <c r="E75" s="68" t="s">
        <v>1408</v>
      </c>
      <c r="F75" s="66" t="s">
        <v>1409</v>
      </c>
      <c r="G75" s="71">
        <v>5446</v>
      </c>
      <c r="H75" s="73"/>
      <c r="I75" s="75">
        <v>0.2</v>
      </c>
      <c r="J75" s="77"/>
      <c r="K75" s="66"/>
      <c r="L75" s="66"/>
      <c r="M75" s="79" t="str">
        <f>HYPERLINK("http://www.pristavka.com/catalog/ABYstyle/ABY700/")</f>
        <v>http://www.pristavka.com/catalog/ABYstyle/ABY700/</v>
      </c>
      <c r="N75" s="71">
        <v>8999</v>
      </c>
      <c r="O75" s="66" t="s">
        <v>27</v>
      </c>
      <c r="P75" s="82" t="s">
        <v>1410</v>
      </c>
      <c r="Q75" s="84" t="s">
        <v>1262</v>
      </c>
      <c r="R75" s="84" t="s">
        <v>1263</v>
      </c>
      <c r="S75" s="84">
        <v>0.35399999999999998</v>
      </c>
      <c r="T75" s="82" t="s">
        <v>1355</v>
      </c>
      <c r="U75" s="84"/>
      <c r="V75" s="54"/>
    </row>
    <row r="76" spans="1:22" s="11" customFormat="1" ht="45" customHeight="1" x14ac:dyDescent="0.2">
      <c r="A76" s="66" t="s">
        <v>1062</v>
      </c>
      <c r="B76" s="66" t="s">
        <v>26</v>
      </c>
      <c r="C76" s="66" t="s">
        <v>1062</v>
      </c>
      <c r="D76" s="66" t="s">
        <v>1411</v>
      </c>
      <c r="E76" s="68" t="s">
        <v>1412</v>
      </c>
      <c r="F76" s="66" t="s">
        <v>1413</v>
      </c>
      <c r="G76" s="71">
        <v>5446</v>
      </c>
      <c r="H76" s="73"/>
      <c r="I76" s="75">
        <v>0.2</v>
      </c>
      <c r="J76" s="77"/>
      <c r="K76" s="66"/>
      <c r="L76" s="66"/>
      <c r="M76" s="79" t="str">
        <f>HYPERLINK("http://www.pristavka.com/catalog/ABYstyle/ABY699/")</f>
        <v>http://www.pristavka.com/catalog/ABYstyle/ABY699/</v>
      </c>
      <c r="N76" s="71">
        <v>8999</v>
      </c>
      <c r="O76" s="66" t="s">
        <v>28</v>
      </c>
      <c r="P76" s="82" t="s">
        <v>1414</v>
      </c>
      <c r="Q76" s="84" t="s">
        <v>1262</v>
      </c>
      <c r="R76" s="84" t="s">
        <v>1263</v>
      </c>
      <c r="S76" s="84">
        <v>0.36399999999999999</v>
      </c>
      <c r="T76" s="82" t="s">
        <v>1355</v>
      </c>
      <c r="U76" s="84"/>
      <c r="V76" s="54"/>
    </row>
    <row r="77" spans="1:22" s="11" customFormat="1" ht="45" customHeight="1" x14ac:dyDescent="0.2">
      <c r="A77" s="66" t="s">
        <v>1062</v>
      </c>
      <c r="B77" s="66" t="s">
        <v>26</v>
      </c>
      <c r="C77" s="66" t="s">
        <v>1062</v>
      </c>
      <c r="D77" s="66" t="s">
        <v>1415</v>
      </c>
      <c r="E77" s="68" t="s">
        <v>1416</v>
      </c>
      <c r="F77" s="66" t="s">
        <v>1417</v>
      </c>
      <c r="G77" s="71">
        <v>5446</v>
      </c>
      <c r="H77" s="73"/>
      <c r="I77" s="75">
        <v>0.2</v>
      </c>
      <c r="J77" s="77"/>
      <c r="K77" s="66"/>
      <c r="L77" s="66"/>
      <c r="M77" s="79" t="str">
        <f>HYPERLINK("http://www.pristavka.com/catalog/ABYstyle/ABY487/")</f>
        <v>http://www.pristavka.com/catalog/ABYstyle/ABY487/</v>
      </c>
      <c r="N77" s="71">
        <v>8999</v>
      </c>
      <c r="O77" s="66" t="s">
        <v>28</v>
      </c>
      <c r="P77" s="82" t="s">
        <v>1418</v>
      </c>
      <c r="Q77" s="84" t="s">
        <v>1419</v>
      </c>
      <c r="R77" s="84" t="s">
        <v>1420</v>
      </c>
      <c r="S77" s="84">
        <v>0.35599999999999998</v>
      </c>
      <c r="T77" s="82" t="s">
        <v>1421</v>
      </c>
      <c r="U77" s="84"/>
      <c r="V77" s="54"/>
    </row>
    <row r="78" spans="1:22" s="11" customFormat="1" ht="45" customHeight="1" x14ac:dyDescent="0.2">
      <c r="A78" s="66" t="s">
        <v>1062</v>
      </c>
      <c r="B78" s="66" t="s">
        <v>26</v>
      </c>
      <c r="C78" s="66" t="s">
        <v>1062</v>
      </c>
      <c r="D78" s="66" t="s">
        <v>1422</v>
      </c>
      <c r="E78" s="68" t="s">
        <v>1423</v>
      </c>
      <c r="F78" s="66" t="s">
        <v>1424</v>
      </c>
      <c r="G78" s="71">
        <v>5446</v>
      </c>
      <c r="H78" s="73"/>
      <c r="I78" s="75">
        <v>0.2</v>
      </c>
      <c r="J78" s="77"/>
      <c r="K78" s="66"/>
      <c r="L78" s="66"/>
      <c r="M78" s="79" t="str">
        <f>HYPERLINK("http://www.pristavka.com/catalog/ABYstyle/ABY431/")</f>
        <v>http://www.pristavka.com/catalog/ABYstyle/ABY431/</v>
      </c>
      <c r="N78" s="71">
        <v>8999</v>
      </c>
      <c r="O78" s="66" t="s">
        <v>28</v>
      </c>
      <c r="P78" s="82" t="s">
        <v>1425</v>
      </c>
      <c r="Q78" s="84" t="s">
        <v>1426</v>
      </c>
      <c r="R78" s="84" t="s">
        <v>1068</v>
      </c>
      <c r="S78" s="84">
        <v>0.37</v>
      </c>
      <c r="T78" s="82" t="s">
        <v>1421</v>
      </c>
      <c r="U78" s="84"/>
      <c r="V78" s="54"/>
    </row>
    <row r="79" spans="1:22" s="11" customFormat="1" ht="45" customHeight="1" x14ac:dyDescent="0.2">
      <c r="A79" s="66" t="s">
        <v>1062</v>
      </c>
      <c r="B79" s="66" t="s">
        <v>26</v>
      </c>
      <c r="C79" s="66" t="s">
        <v>1062</v>
      </c>
      <c r="D79" s="66" t="s">
        <v>1427</v>
      </c>
      <c r="E79" s="68" t="s">
        <v>1428</v>
      </c>
      <c r="F79" s="66" t="s">
        <v>1429</v>
      </c>
      <c r="G79" s="71">
        <v>5446</v>
      </c>
      <c r="H79" s="73"/>
      <c r="I79" s="75">
        <v>0.2</v>
      </c>
      <c r="J79" s="77"/>
      <c r="K79" s="66"/>
      <c r="L79" s="66"/>
      <c r="M79" s="79" t="str">
        <f>HYPERLINK("http://www.pristavka.com/catalog/ABYstyle/ABY703/")</f>
        <v>http://www.pristavka.com/catalog/ABYstyle/ABY703/</v>
      </c>
      <c r="N79" s="71">
        <v>8999</v>
      </c>
      <c r="O79" s="66" t="s">
        <v>27</v>
      </c>
      <c r="P79" s="82" t="s">
        <v>1430</v>
      </c>
      <c r="Q79" s="84" t="s">
        <v>1431</v>
      </c>
      <c r="R79" s="84" t="s">
        <v>58</v>
      </c>
      <c r="S79" s="84">
        <v>0.373</v>
      </c>
      <c r="T79" s="82" t="s">
        <v>1355</v>
      </c>
      <c r="U79" s="84"/>
      <c r="V79" s="54"/>
    </row>
    <row r="80" spans="1:22" s="11" customFormat="1" ht="45" customHeight="1" x14ac:dyDescent="0.2">
      <c r="A80" s="66" t="s">
        <v>1062</v>
      </c>
      <c r="B80" s="66" t="s">
        <v>26</v>
      </c>
      <c r="C80" s="66" t="s">
        <v>1062</v>
      </c>
      <c r="D80" s="66" t="s">
        <v>1432</v>
      </c>
      <c r="E80" s="68" t="s">
        <v>1433</v>
      </c>
      <c r="F80" s="66" t="s">
        <v>1434</v>
      </c>
      <c r="G80" s="71">
        <v>7057</v>
      </c>
      <c r="H80" s="73"/>
      <c r="I80" s="75">
        <v>0.2</v>
      </c>
      <c r="J80" s="77"/>
      <c r="K80" s="66"/>
      <c r="L80" s="66"/>
      <c r="M80" s="79" t="str">
        <f>HYPERLINK("http://www.pristavka.com/catalog/ABYstyle/ABY713/")</f>
        <v>http://www.pristavka.com/catalog/ABYstyle/ABY713/</v>
      </c>
      <c r="N80" s="71">
        <v>11599</v>
      </c>
      <c r="O80" s="66" t="s">
        <v>28</v>
      </c>
      <c r="P80" s="82" t="s">
        <v>1435</v>
      </c>
      <c r="Q80" s="84" t="s">
        <v>1436</v>
      </c>
      <c r="R80" s="84" t="s">
        <v>1068</v>
      </c>
      <c r="S80" s="84">
        <v>0.53900000000000003</v>
      </c>
      <c r="T80" s="82" t="s">
        <v>1437</v>
      </c>
      <c r="U80" s="84"/>
      <c r="V80" s="54"/>
    </row>
    <row r="81" spans="1:22" s="11" customFormat="1" ht="45" customHeight="1" x14ac:dyDescent="0.2">
      <c r="A81" s="66" t="s">
        <v>1062</v>
      </c>
      <c r="B81" s="66" t="s">
        <v>1155</v>
      </c>
      <c r="C81" s="66" t="s">
        <v>1062</v>
      </c>
      <c r="D81" s="66" t="s">
        <v>1438</v>
      </c>
      <c r="E81" s="68" t="s">
        <v>1439</v>
      </c>
      <c r="F81" s="66" t="s">
        <v>1440</v>
      </c>
      <c r="G81" s="71">
        <v>5446</v>
      </c>
      <c r="H81" s="73"/>
      <c r="I81" s="75">
        <v>0.2</v>
      </c>
      <c r="J81" s="77"/>
      <c r="K81" s="66"/>
      <c r="L81" s="66"/>
      <c r="M81" s="79" t="str">
        <f>HYPERLINK("http://www.pristavka.com/catalog/ABYstyle/ABY571/")</f>
        <v>http://www.pristavka.com/catalog/ABYstyle/ABY571/</v>
      </c>
      <c r="N81" s="71">
        <v>8999</v>
      </c>
      <c r="O81" s="66" t="s">
        <v>27</v>
      </c>
      <c r="P81" s="82" t="s">
        <v>1441</v>
      </c>
      <c r="Q81" s="84" t="s">
        <v>1442</v>
      </c>
      <c r="R81" s="84" t="s">
        <v>1068</v>
      </c>
      <c r="S81" s="84">
        <v>0.34200000000000003</v>
      </c>
      <c r="T81" s="82" t="s">
        <v>1443</v>
      </c>
      <c r="U81" s="84"/>
      <c r="V81" s="54"/>
    </row>
    <row r="82" spans="1:22" s="11" customFormat="1" ht="45" customHeight="1" x14ac:dyDescent="0.2">
      <c r="A82" s="66" t="s">
        <v>1062</v>
      </c>
      <c r="B82" s="66" t="s">
        <v>26</v>
      </c>
      <c r="C82" s="66" t="s">
        <v>1062</v>
      </c>
      <c r="D82" s="66" t="s">
        <v>1444</v>
      </c>
      <c r="E82" s="68" t="s">
        <v>1445</v>
      </c>
      <c r="F82" s="66" t="s">
        <v>1446</v>
      </c>
      <c r="G82" s="71">
        <v>6090</v>
      </c>
      <c r="H82" s="73"/>
      <c r="I82" s="75">
        <v>0.2</v>
      </c>
      <c r="J82" s="77"/>
      <c r="K82" s="66"/>
      <c r="L82" s="66"/>
      <c r="M82" s="79" t="str">
        <f>HYPERLINK("http://www.pristavka.com/catalog/ABYstyle/ABY744/")</f>
        <v>http://www.pristavka.com/catalog/ABYstyle/ABY744/</v>
      </c>
      <c r="N82" s="71">
        <v>9999</v>
      </c>
      <c r="O82" s="66" t="s">
        <v>27</v>
      </c>
      <c r="P82" s="82" t="s">
        <v>1447</v>
      </c>
      <c r="Q82" s="84" t="s">
        <v>1148</v>
      </c>
      <c r="R82" s="84" t="s">
        <v>1068</v>
      </c>
      <c r="S82" s="84">
        <v>0.35099999999999998</v>
      </c>
      <c r="T82" s="82" t="s">
        <v>1448</v>
      </c>
      <c r="U82" s="84"/>
      <c r="V82" s="54"/>
    </row>
    <row r="83" spans="1:22" s="11" customFormat="1" ht="45" customHeight="1" x14ac:dyDescent="0.2">
      <c r="A83" s="66" t="s">
        <v>1062</v>
      </c>
      <c r="B83" s="66" t="s">
        <v>26</v>
      </c>
      <c r="C83" s="66" t="s">
        <v>1062</v>
      </c>
      <c r="D83" s="66" t="s">
        <v>1449</v>
      </c>
      <c r="E83" s="68" t="s">
        <v>1450</v>
      </c>
      <c r="F83" s="66" t="s">
        <v>1451</v>
      </c>
      <c r="G83" s="71">
        <v>8024</v>
      </c>
      <c r="H83" s="73"/>
      <c r="I83" s="75">
        <v>0.2</v>
      </c>
      <c r="J83" s="77"/>
      <c r="K83" s="66"/>
      <c r="L83" s="66"/>
      <c r="M83" s="79" t="str">
        <f>HYPERLINK("http://www.pristavka.com/catalog/ABYstyle/ABY746/")</f>
        <v>http://www.pristavka.com/catalog/ABYstyle/ABY746/</v>
      </c>
      <c r="N83" s="71">
        <v>13199</v>
      </c>
      <c r="O83" s="66" t="s">
        <v>27</v>
      </c>
      <c r="P83" s="82" t="s">
        <v>1452</v>
      </c>
      <c r="Q83" s="84" t="s">
        <v>1148</v>
      </c>
      <c r="R83" s="84" t="s">
        <v>1068</v>
      </c>
      <c r="S83" s="84">
        <v>0.53400000000000003</v>
      </c>
      <c r="T83" s="82" t="s">
        <v>1453</v>
      </c>
      <c r="U83" s="84"/>
      <c r="V83" s="54"/>
    </row>
    <row r="84" spans="1:22" s="11" customFormat="1" ht="45" customHeight="1" x14ac:dyDescent="0.2">
      <c r="A84" s="66" t="s">
        <v>1062</v>
      </c>
      <c r="B84" s="66" t="s">
        <v>26</v>
      </c>
      <c r="C84" s="66" t="s">
        <v>1062</v>
      </c>
      <c r="D84" s="66" t="s">
        <v>1454</v>
      </c>
      <c r="E84" s="68" t="s">
        <v>1455</v>
      </c>
      <c r="F84" s="66" t="s">
        <v>1456</v>
      </c>
      <c r="G84" s="71">
        <v>5446</v>
      </c>
      <c r="H84" s="73"/>
      <c r="I84" s="75">
        <v>0.2</v>
      </c>
      <c r="J84" s="77"/>
      <c r="K84" s="66"/>
      <c r="L84" s="66"/>
      <c r="M84" s="79" t="str">
        <f>HYPERLINK("http://www.pristavka.com/catalog/ABYstyle/ABY652/")</f>
        <v>http://www.pristavka.com/catalog/ABYstyle/ABY652/</v>
      </c>
      <c r="N84" s="71">
        <v>8999</v>
      </c>
      <c r="O84" s="66" t="s">
        <v>28</v>
      </c>
      <c r="P84" s="82" t="s">
        <v>1457</v>
      </c>
      <c r="Q84" s="84" t="s">
        <v>1148</v>
      </c>
      <c r="R84" s="84" t="s">
        <v>1068</v>
      </c>
      <c r="S84" s="84">
        <v>0.371</v>
      </c>
      <c r="T84" s="82" t="s">
        <v>1355</v>
      </c>
      <c r="U84" s="84"/>
      <c r="V84" s="54"/>
    </row>
    <row r="85" spans="1:22" s="11" customFormat="1" ht="45" customHeight="1" x14ac:dyDescent="0.2">
      <c r="A85" s="66" t="s">
        <v>1062</v>
      </c>
      <c r="B85" s="66" t="s">
        <v>26</v>
      </c>
      <c r="C85" s="66" t="s">
        <v>1062</v>
      </c>
      <c r="D85" s="66" t="s">
        <v>1458</v>
      </c>
      <c r="E85" s="68" t="s">
        <v>1459</v>
      </c>
      <c r="F85" s="66" t="s">
        <v>1460</v>
      </c>
      <c r="G85" s="71">
        <v>5446</v>
      </c>
      <c r="H85" s="73"/>
      <c r="I85" s="75">
        <v>0.2</v>
      </c>
      <c r="J85" s="77"/>
      <c r="K85" s="66"/>
      <c r="L85" s="66"/>
      <c r="M85" s="79" t="str">
        <f>HYPERLINK("http://www.pristavka.com/catalog/ABYstyle/ABY696/")</f>
        <v>http://www.pristavka.com/catalog/ABYstyle/ABY696/</v>
      </c>
      <c r="N85" s="71">
        <v>8999</v>
      </c>
      <c r="O85" s="66" t="s">
        <v>28</v>
      </c>
      <c r="P85" s="82" t="s">
        <v>1461</v>
      </c>
      <c r="Q85" s="84" t="s">
        <v>1148</v>
      </c>
      <c r="R85" s="84" t="s">
        <v>1068</v>
      </c>
      <c r="S85" s="84">
        <v>0.375</v>
      </c>
      <c r="T85" s="82" t="s">
        <v>1421</v>
      </c>
      <c r="U85" s="84"/>
      <c r="V85" s="54"/>
    </row>
    <row r="86" spans="1:22" s="11" customFormat="1" ht="45" customHeight="1" x14ac:dyDescent="0.2">
      <c r="A86" s="66" t="s">
        <v>1062</v>
      </c>
      <c r="B86" s="66" t="s">
        <v>26</v>
      </c>
      <c r="C86" s="66" t="s">
        <v>1062</v>
      </c>
      <c r="D86" s="66" t="s">
        <v>1462</v>
      </c>
      <c r="E86" s="68" t="s">
        <v>1463</v>
      </c>
      <c r="F86" s="66" t="s">
        <v>1464</v>
      </c>
      <c r="G86" s="71">
        <v>6090</v>
      </c>
      <c r="H86" s="73"/>
      <c r="I86" s="75">
        <v>0.2</v>
      </c>
      <c r="J86" s="77"/>
      <c r="K86" s="66"/>
      <c r="L86" s="66"/>
      <c r="M86" s="79" t="str">
        <f>HYPERLINK("http://www.pristavka.com/catalog/ABYstyle/ABY757/")</f>
        <v>http://www.pristavka.com/catalog/ABYstyle/ABY757/</v>
      </c>
      <c r="N86" s="71">
        <v>9999</v>
      </c>
      <c r="O86" s="66" t="s">
        <v>27</v>
      </c>
      <c r="P86" s="82" t="s">
        <v>1465</v>
      </c>
      <c r="Q86" s="84" t="s">
        <v>1148</v>
      </c>
      <c r="R86" s="84" t="s">
        <v>1068</v>
      </c>
      <c r="S86" s="84">
        <v>0.36399999999999999</v>
      </c>
      <c r="T86" s="82" t="s">
        <v>1355</v>
      </c>
      <c r="U86" s="84"/>
      <c r="V86" s="54"/>
    </row>
    <row r="87" spans="1:22" s="11" customFormat="1" ht="45" customHeight="1" x14ac:dyDescent="0.2">
      <c r="A87" s="66" t="s">
        <v>1062</v>
      </c>
      <c r="B87" s="66" t="s">
        <v>26</v>
      </c>
      <c r="C87" s="66" t="s">
        <v>1062</v>
      </c>
      <c r="D87" s="66" t="s">
        <v>1466</v>
      </c>
      <c r="E87" s="68" t="s">
        <v>1467</v>
      </c>
      <c r="F87" s="66" t="s">
        <v>1468</v>
      </c>
      <c r="G87" s="71">
        <v>5446</v>
      </c>
      <c r="H87" s="73"/>
      <c r="I87" s="75">
        <v>0.2</v>
      </c>
      <c r="J87" s="77"/>
      <c r="K87" s="66"/>
      <c r="L87" s="66"/>
      <c r="M87" s="79" t="str">
        <f>HYPERLINK("http://www.pristavka.com/catalog/ABYstyle/ABY693/")</f>
        <v>http://www.pristavka.com/catalog/ABYstyle/ABY693/</v>
      </c>
      <c r="N87" s="71">
        <v>8999</v>
      </c>
      <c r="O87" s="66" t="s">
        <v>28</v>
      </c>
      <c r="P87" s="82" t="s">
        <v>1469</v>
      </c>
      <c r="Q87" s="84" t="s">
        <v>1240</v>
      </c>
      <c r="R87" s="84" t="s">
        <v>70</v>
      </c>
      <c r="S87" s="84">
        <v>0.33900000000000002</v>
      </c>
      <c r="T87" s="82" t="s">
        <v>1355</v>
      </c>
      <c r="U87" s="84"/>
      <c r="V87" s="54"/>
    </row>
    <row r="88" spans="1:22" s="11" customFormat="1" ht="45" customHeight="1" x14ac:dyDescent="0.2">
      <c r="A88" s="66" t="s">
        <v>1062</v>
      </c>
      <c r="B88" s="66" t="s">
        <v>26</v>
      </c>
      <c r="C88" s="66" t="s">
        <v>1062</v>
      </c>
      <c r="D88" s="66" t="s">
        <v>1470</v>
      </c>
      <c r="E88" s="68" t="s">
        <v>1471</v>
      </c>
      <c r="F88" s="66" t="s">
        <v>1472</v>
      </c>
      <c r="G88" s="71">
        <v>5446</v>
      </c>
      <c r="H88" s="73"/>
      <c r="I88" s="75">
        <v>0.2</v>
      </c>
      <c r="J88" s="77"/>
      <c r="K88" s="66"/>
      <c r="L88" s="66"/>
      <c r="M88" s="79" t="str">
        <f>HYPERLINK("http://www.pristavka.com/catalog/ABYstyle/ABY689/")</f>
        <v>http://www.pristavka.com/catalog/ABYstyle/ABY689/</v>
      </c>
      <c r="N88" s="71">
        <v>8999</v>
      </c>
      <c r="O88" s="66" t="s">
        <v>28</v>
      </c>
      <c r="P88" s="82" t="s">
        <v>1473</v>
      </c>
      <c r="Q88" s="84" t="s">
        <v>1240</v>
      </c>
      <c r="R88" s="84" t="s">
        <v>70</v>
      </c>
      <c r="S88" s="84">
        <v>0.35099999999999998</v>
      </c>
      <c r="T88" s="82" t="s">
        <v>1355</v>
      </c>
      <c r="U88" s="84"/>
      <c r="V88" s="54"/>
    </row>
    <row r="89" spans="1:22" s="11" customFormat="1" ht="45" customHeight="1" x14ac:dyDescent="0.2">
      <c r="A89" s="66" t="s">
        <v>1062</v>
      </c>
      <c r="B89" s="66" t="s">
        <v>26</v>
      </c>
      <c r="C89" s="66" t="s">
        <v>1062</v>
      </c>
      <c r="D89" s="66" t="s">
        <v>1474</v>
      </c>
      <c r="E89" s="68" t="s">
        <v>1475</v>
      </c>
      <c r="F89" s="66" t="s">
        <v>1476</v>
      </c>
      <c r="G89" s="71">
        <v>5446</v>
      </c>
      <c r="H89" s="73"/>
      <c r="I89" s="75">
        <v>0.2</v>
      </c>
      <c r="J89" s="77"/>
      <c r="K89" s="66"/>
      <c r="L89" s="66"/>
      <c r="M89" s="79" t="str">
        <f>HYPERLINK("http://www.pristavka.com/catalog/ABYstyle/ABY511/")</f>
        <v>http://www.pristavka.com/catalog/ABYstyle/ABY511/</v>
      </c>
      <c r="N89" s="71">
        <v>8999</v>
      </c>
      <c r="O89" s="66" t="s">
        <v>27</v>
      </c>
      <c r="P89" s="82" t="s">
        <v>1477</v>
      </c>
      <c r="Q89" s="84" t="s">
        <v>1478</v>
      </c>
      <c r="R89" s="84" t="s">
        <v>58</v>
      </c>
      <c r="S89" s="84">
        <v>0.34499999999999997</v>
      </c>
      <c r="T89" s="82" t="s">
        <v>1479</v>
      </c>
      <c r="U89" s="84"/>
      <c r="V89" s="54"/>
    </row>
    <row r="90" spans="1:22" s="11" customFormat="1" ht="45" customHeight="1" x14ac:dyDescent="0.2">
      <c r="A90" s="66" t="s">
        <v>1062</v>
      </c>
      <c r="B90" s="66" t="s">
        <v>26</v>
      </c>
      <c r="C90" s="66" t="s">
        <v>1062</v>
      </c>
      <c r="D90" s="66" t="s">
        <v>1480</v>
      </c>
      <c r="E90" s="68" t="s">
        <v>1481</v>
      </c>
      <c r="F90" s="66" t="s">
        <v>1482</v>
      </c>
      <c r="G90" s="71">
        <v>5446</v>
      </c>
      <c r="H90" s="73"/>
      <c r="I90" s="75">
        <v>0.2</v>
      </c>
      <c r="J90" s="77"/>
      <c r="K90" s="66"/>
      <c r="L90" s="66"/>
      <c r="M90" s="79" t="str">
        <f>HYPERLINK("http://www.pristavka.com/catalog/ABYstyle/ABY706/")</f>
        <v>http://www.pristavka.com/catalog/ABYstyle/ABY706/</v>
      </c>
      <c r="N90" s="71">
        <v>8999</v>
      </c>
      <c r="O90" s="66" t="s">
        <v>27</v>
      </c>
      <c r="P90" s="82" t="s">
        <v>1483</v>
      </c>
      <c r="Q90" s="84" t="s">
        <v>1478</v>
      </c>
      <c r="R90" s="84" t="s">
        <v>58</v>
      </c>
      <c r="S90" s="84">
        <v>0.371</v>
      </c>
      <c r="T90" s="82" t="s">
        <v>1355</v>
      </c>
      <c r="U90" s="84"/>
      <c r="V90" s="54"/>
    </row>
    <row r="91" spans="1:22" s="11" customFormat="1" ht="45" customHeight="1" x14ac:dyDescent="0.2">
      <c r="A91" s="66" t="s">
        <v>1062</v>
      </c>
      <c r="B91" s="66" t="s">
        <v>26</v>
      </c>
      <c r="C91" s="66" t="s">
        <v>1062</v>
      </c>
      <c r="D91" s="66" t="s">
        <v>1484</v>
      </c>
      <c r="E91" s="68" t="s">
        <v>1485</v>
      </c>
      <c r="F91" s="66" t="s">
        <v>1486</v>
      </c>
      <c r="G91" s="71">
        <v>5446</v>
      </c>
      <c r="H91" s="73"/>
      <c r="I91" s="75">
        <v>0.2</v>
      </c>
      <c r="J91" s="77"/>
      <c r="K91" s="66"/>
      <c r="L91" s="66"/>
      <c r="M91" s="79" t="str">
        <f>HYPERLINK("http://www.pristavka.com/catalog/ABYstyle/ABY688/")</f>
        <v>http://www.pristavka.com/catalog/ABYstyle/ABY688/</v>
      </c>
      <c r="N91" s="71">
        <v>8999</v>
      </c>
      <c r="O91" s="66" t="s">
        <v>27</v>
      </c>
      <c r="P91" s="82" t="s">
        <v>1487</v>
      </c>
      <c r="Q91" s="84" t="s">
        <v>1201</v>
      </c>
      <c r="R91" s="84" t="s">
        <v>1068</v>
      </c>
      <c r="S91" s="84">
        <v>0.376</v>
      </c>
      <c r="T91" s="82" t="s">
        <v>1355</v>
      </c>
      <c r="U91" s="84"/>
      <c r="V91" s="54"/>
    </row>
    <row r="92" spans="1:22" s="11" customFormat="1" ht="45" customHeight="1" x14ac:dyDescent="0.2">
      <c r="A92" s="66" t="s">
        <v>1062</v>
      </c>
      <c r="B92" s="66" t="s">
        <v>26</v>
      </c>
      <c r="C92" s="66" t="s">
        <v>1062</v>
      </c>
      <c r="D92" s="66" t="s">
        <v>1488</v>
      </c>
      <c r="E92" s="68" t="s">
        <v>1489</v>
      </c>
      <c r="F92" s="66" t="s">
        <v>1490</v>
      </c>
      <c r="G92" s="71">
        <v>5446</v>
      </c>
      <c r="H92" s="73"/>
      <c r="I92" s="75">
        <v>0.2</v>
      </c>
      <c r="J92" s="77"/>
      <c r="K92" s="66"/>
      <c r="L92" s="66"/>
      <c r="M92" s="79" t="str">
        <f>HYPERLINK("http://www.pristavka.com/catalog/ABYstyle/ABY692/")</f>
        <v>http://www.pristavka.com/catalog/ABYstyle/ABY692/</v>
      </c>
      <c r="N92" s="71">
        <v>8999</v>
      </c>
      <c r="O92" s="66" t="s">
        <v>27</v>
      </c>
      <c r="P92" s="82" t="s">
        <v>1491</v>
      </c>
      <c r="Q92" s="84" t="s">
        <v>1201</v>
      </c>
      <c r="R92" s="84" t="s">
        <v>1068</v>
      </c>
      <c r="S92" s="84">
        <v>0.371</v>
      </c>
      <c r="T92" s="82" t="s">
        <v>1355</v>
      </c>
      <c r="U92" s="84"/>
      <c r="V92" s="54"/>
    </row>
    <row r="93" spans="1:22" s="11" customFormat="1" ht="45" customHeight="1" x14ac:dyDescent="0.2">
      <c r="A93" s="66" t="s">
        <v>1062</v>
      </c>
      <c r="B93" s="66" t="s">
        <v>26</v>
      </c>
      <c r="C93" s="66" t="s">
        <v>1062</v>
      </c>
      <c r="D93" s="66" t="s">
        <v>1492</v>
      </c>
      <c r="E93" s="68" t="s">
        <v>1493</v>
      </c>
      <c r="F93" s="66" t="s">
        <v>1494</v>
      </c>
      <c r="G93" s="71">
        <v>7057</v>
      </c>
      <c r="H93" s="73"/>
      <c r="I93" s="75">
        <v>0.2</v>
      </c>
      <c r="J93" s="77"/>
      <c r="K93" s="66"/>
      <c r="L93" s="66"/>
      <c r="M93" s="79" t="str">
        <f>HYPERLINK("http://www.pristavka.com/catalog/ABYstyle/ABY712/")</f>
        <v>http://www.pristavka.com/catalog/ABYstyle/ABY712/</v>
      </c>
      <c r="N93" s="71">
        <v>11599</v>
      </c>
      <c r="O93" s="66" t="s">
        <v>28</v>
      </c>
      <c r="P93" s="82" t="s">
        <v>1495</v>
      </c>
      <c r="Q93" s="84" t="s">
        <v>1201</v>
      </c>
      <c r="R93" s="84" t="s">
        <v>1068</v>
      </c>
      <c r="S93" s="84">
        <v>0.54700000000000004</v>
      </c>
      <c r="T93" s="82" t="s">
        <v>1437</v>
      </c>
      <c r="U93" s="84"/>
      <c r="V93" s="54"/>
    </row>
    <row r="94" spans="1:22" s="11" customFormat="1" ht="45" customHeight="1" x14ac:dyDescent="0.2">
      <c r="A94" s="66" t="s">
        <v>1062</v>
      </c>
      <c r="B94" s="66" t="s">
        <v>26</v>
      </c>
      <c r="C94" s="66" t="s">
        <v>1062</v>
      </c>
      <c r="D94" s="66" t="s">
        <v>1496</v>
      </c>
      <c r="E94" s="68" t="s">
        <v>1497</v>
      </c>
      <c r="F94" s="66" t="s">
        <v>1498</v>
      </c>
      <c r="G94" s="71">
        <v>5446</v>
      </c>
      <c r="H94" s="73"/>
      <c r="I94" s="75">
        <v>0.2</v>
      </c>
      <c r="J94" s="77"/>
      <c r="K94" s="66"/>
      <c r="L94" s="66"/>
      <c r="M94" s="79" t="str">
        <f>HYPERLINK("http://www.pristavka.com/catalog/ABYstyle/ABY512/")</f>
        <v>http://www.pristavka.com/catalog/ABYstyle/ABY512/</v>
      </c>
      <c r="N94" s="71">
        <v>8999</v>
      </c>
      <c r="O94" s="66" t="s">
        <v>27</v>
      </c>
      <c r="P94" s="82" t="s">
        <v>1499</v>
      </c>
      <c r="Q94" s="84" t="s">
        <v>1206</v>
      </c>
      <c r="R94" s="84" t="s">
        <v>1068</v>
      </c>
      <c r="S94" s="84">
        <v>0.35</v>
      </c>
      <c r="T94" s="82" t="s">
        <v>1500</v>
      </c>
      <c r="U94" s="84"/>
      <c r="V94" s="54"/>
    </row>
    <row r="95" spans="1:22" s="11" customFormat="1" ht="45" customHeight="1" x14ac:dyDescent="0.2">
      <c r="A95" s="66" t="s">
        <v>1062</v>
      </c>
      <c r="B95" s="66" t="s">
        <v>26</v>
      </c>
      <c r="C95" s="66" t="s">
        <v>1062</v>
      </c>
      <c r="D95" s="66" t="s">
        <v>1501</v>
      </c>
      <c r="E95" s="68" t="s">
        <v>1502</v>
      </c>
      <c r="F95" s="66" t="s">
        <v>1503</v>
      </c>
      <c r="G95" s="71">
        <v>5446</v>
      </c>
      <c r="H95" s="73"/>
      <c r="I95" s="75">
        <v>0.2</v>
      </c>
      <c r="J95" s="77"/>
      <c r="K95" s="66"/>
      <c r="L95" s="66"/>
      <c r="M95" s="79" t="str">
        <f>HYPERLINK("http://www.pristavka.com/catalog/ABYstyle/ABY701/")</f>
        <v>http://www.pristavka.com/catalog/ABYstyle/ABY701/</v>
      </c>
      <c r="N95" s="71">
        <v>8999</v>
      </c>
      <c r="O95" s="66" t="s">
        <v>27</v>
      </c>
      <c r="P95" s="82" t="s">
        <v>1504</v>
      </c>
      <c r="Q95" s="84" t="s">
        <v>1505</v>
      </c>
      <c r="R95" s="84" t="s">
        <v>1068</v>
      </c>
      <c r="S95" s="84">
        <v>0.35499999999999998</v>
      </c>
      <c r="T95" s="82" t="s">
        <v>1355</v>
      </c>
      <c r="U95" s="84"/>
      <c r="V95" s="54"/>
    </row>
    <row r="96" spans="1:22" s="11" customFormat="1" ht="45" customHeight="1" x14ac:dyDescent="0.2">
      <c r="A96" s="66" t="s">
        <v>1062</v>
      </c>
      <c r="B96" s="66" t="s">
        <v>26</v>
      </c>
      <c r="C96" s="66" t="s">
        <v>1062</v>
      </c>
      <c r="D96" s="66" t="s">
        <v>1506</v>
      </c>
      <c r="E96" s="68" t="s">
        <v>1507</v>
      </c>
      <c r="F96" s="66" t="s">
        <v>1508</v>
      </c>
      <c r="G96" s="71">
        <v>5446</v>
      </c>
      <c r="H96" s="73"/>
      <c r="I96" s="75">
        <v>0.2</v>
      </c>
      <c r="J96" s="77"/>
      <c r="K96" s="66"/>
      <c r="L96" s="66"/>
      <c r="M96" s="79" t="str">
        <f>HYPERLINK("http://www.pristavka.com/catalog/ABYstyle/ABY702/")</f>
        <v>http://www.pristavka.com/catalog/ABYstyle/ABY702/</v>
      </c>
      <c r="N96" s="71">
        <v>8999</v>
      </c>
      <c r="O96" s="66" t="s">
        <v>27</v>
      </c>
      <c r="P96" s="82" t="s">
        <v>1509</v>
      </c>
      <c r="Q96" s="84" t="s">
        <v>1505</v>
      </c>
      <c r="R96" s="84" t="s">
        <v>1068</v>
      </c>
      <c r="S96" s="84">
        <v>0.36899999999999999</v>
      </c>
      <c r="T96" s="82" t="s">
        <v>1355</v>
      </c>
      <c r="U96" s="84"/>
      <c r="V96" s="54"/>
    </row>
    <row r="97" spans="1:22" s="11" customFormat="1" ht="45" customHeight="1" x14ac:dyDescent="0.2">
      <c r="A97" s="66" t="s">
        <v>1062</v>
      </c>
      <c r="B97" s="66" t="s">
        <v>26</v>
      </c>
      <c r="C97" s="66" t="s">
        <v>1062</v>
      </c>
      <c r="D97" s="66" t="s">
        <v>1510</v>
      </c>
      <c r="E97" s="68" t="s">
        <v>1511</v>
      </c>
      <c r="F97" s="66" t="s">
        <v>1512</v>
      </c>
      <c r="G97" s="71">
        <v>5446</v>
      </c>
      <c r="H97" s="73"/>
      <c r="I97" s="75">
        <v>0.2</v>
      </c>
      <c r="J97" s="77"/>
      <c r="K97" s="66"/>
      <c r="L97" s="66"/>
      <c r="M97" s="79" t="str">
        <f>HYPERLINK("http://www.pristavka.com/catalog/ABYstyle/ABY690/")</f>
        <v>http://www.pristavka.com/catalog/ABYstyle/ABY690/</v>
      </c>
      <c r="N97" s="71">
        <v>8999</v>
      </c>
      <c r="O97" s="66" t="s">
        <v>27</v>
      </c>
      <c r="P97" s="82" t="s">
        <v>1513</v>
      </c>
      <c r="Q97" s="84" t="s">
        <v>1068</v>
      </c>
      <c r="R97" s="84" t="s">
        <v>1068</v>
      </c>
      <c r="S97" s="84">
        <v>0.36899999999999999</v>
      </c>
      <c r="T97" s="82" t="s">
        <v>1355</v>
      </c>
      <c r="U97" s="84"/>
      <c r="V97" s="54"/>
    </row>
    <row r="98" spans="1:22" s="11" customFormat="1" ht="45" customHeight="1" x14ac:dyDescent="0.2">
      <c r="A98" s="66" t="s">
        <v>1062</v>
      </c>
      <c r="B98" s="66" t="s">
        <v>26</v>
      </c>
      <c r="C98" s="66" t="s">
        <v>1062</v>
      </c>
      <c r="D98" s="66" t="s">
        <v>1514</v>
      </c>
      <c r="E98" s="68" t="s">
        <v>1515</v>
      </c>
      <c r="F98" s="66" t="s">
        <v>1516</v>
      </c>
      <c r="G98" s="71">
        <v>5446</v>
      </c>
      <c r="H98" s="73"/>
      <c r="I98" s="75">
        <v>0.2</v>
      </c>
      <c r="J98" s="77"/>
      <c r="K98" s="66"/>
      <c r="L98" s="66"/>
      <c r="M98" s="79" t="str">
        <f>HYPERLINK("http://www.pristavka.com/catalog/ABYstyle/ABY691/")</f>
        <v>http://www.pristavka.com/catalog/ABYstyle/ABY691/</v>
      </c>
      <c r="N98" s="71">
        <v>8999</v>
      </c>
      <c r="O98" s="66" t="s">
        <v>27</v>
      </c>
      <c r="P98" s="82" t="s">
        <v>1517</v>
      </c>
      <c r="Q98" s="84" t="s">
        <v>1068</v>
      </c>
      <c r="R98" s="84" t="s">
        <v>1068</v>
      </c>
      <c r="S98" s="84">
        <v>0.34899999999999998</v>
      </c>
      <c r="T98" s="82" t="s">
        <v>1355</v>
      </c>
      <c r="U98" s="84"/>
      <c r="V98" s="54"/>
    </row>
    <row r="99" spans="1:22" s="11" customFormat="1" ht="45" customHeight="1" x14ac:dyDescent="0.2">
      <c r="A99" s="66" t="s">
        <v>1062</v>
      </c>
      <c r="B99" s="66" t="s">
        <v>26</v>
      </c>
      <c r="C99" s="66" t="s">
        <v>1062</v>
      </c>
      <c r="D99" s="66" t="s">
        <v>1518</v>
      </c>
      <c r="E99" s="68" t="s">
        <v>1519</v>
      </c>
      <c r="F99" s="66" t="s">
        <v>1520</v>
      </c>
      <c r="G99" s="71">
        <v>9313</v>
      </c>
      <c r="H99" s="73"/>
      <c r="I99" s="75">
        <v>0.2</v>
      </c>
      <c r="J99" s="77"/>
      <c r="K99" s="66"/>
      <c r="L99" s="66"/>
      <c r="M99" s="79" t="str">
        <f>HYPERLINK("http://www.pristavka.com/catalog/ABYstyle/ABY751/")</f>
        <v>http://www.pristavka.com/catalog/ABYstyle/ABY751/</v>
      </c>
      <c r="N99" s="71">
        <v>15299</v>
      </c>
      <c r="O99" s="66" t="s">
        <v>27</v>
      </c>
      <c r="P99" s="82" t="s">
        <v>1521</v>
      </c>
      <c r="Q99" s="84" t="s">
        <v>1522</v>
      </c>
      <c r="R99" s="84" t="s">
        <v>1068</v>
      </c>
      <c r="S99" s="84">
        <v>0.505</v>
      </c>
      <c r="T99" s="82" t="s">
        <v>1397</v>
      </c>
      <c r="U99" s="84"/>
      <c r="V99" s="54"/>
    </row>
    <row r="100" spans="1:22" s="11" customFormat="1" ht="45" customHeight="1" x14ac:dyDescent="0.2">
      <c r="A100" s="66" t="s">
        <v>1062</v>
      </c>
      <c r="B100" s="66" t="s">
        <v>26</v>
      </c>
      <c r="C100" s="66" t="s">
        <v>1062</v>
      </c>
      <c r="D100" s="66" t="s">
        <v>1523</v>
      </c>
      <c r="E100" s="68" t="s">
        <v>1524</v>
      </c>
      <c r="F100" s="66" t="s">
        <v>1525</v>
      </c>
      <c r="G100" s="71">
        <v>5446</v>
      </c>
      <c r="H100" s="73"/>
      <c r="I100" s="75">
        <v>0.2</v>
      </c>
      <c r="J100" s="77"/>
      <c r="K100" s="66"/>
      <c r="L100" s="66"/>
      <c r="M100" s="79" t="str">
        <f>HYPERLINK("http://www.pristavka.com/catalog/ABYstyle/ABY695/")</f>
        <v>http://www.pristavka.com/catalog/ABYstyle/ABY695/</v>
      </c>
      <c r="N100" s="71">
        <v>8999</v>
      </c>
      <c r="O100" s="66" t="s">
        <v>28</v>
      </c>
      <c r="P100" s="82" t="s">
        <v>1526</v>
      </c>
      <c r="Q100" s="84" t="s">
        <v>1297</v>
      </c>
      <c r="R100" s="84" t="s">
        <v>1298</v>
      </c>
      <c r="S100" s="84">
        <v>0.37</v>
      </c>
      <c r="T100" s="82" t="s">
        <v>1527</v>
      </c>
      <c r="U100" s="84"/>
      <c r="V100" s="54"/>
    </row>
    <row r="101" spans="1:22" s="11" customFormat="1" ht="45" customHeight="1" x14ac:dyDescent="0.2">
      <c r="A101" s="66" t="s">
        <v>1062</v>
      </c>
      <c r="B101" s="66" t="s">
        <v>26</v>
      </c>
      <c r="C101" s="66" t="s">
        <v>1062</v>
      </c>
      <c r="D101" s="66" t="s">
        <v>1528</v>
      </c>
      <c r="E101" s="68" t="s">
        <v>1529</v>
      </c>
      <c r="F101" s="66" t="s">
        <v>1530</v>
      </c>
      <c r="G101" s="71">
        <v>9313</v>
      </c>
      <c r="H101" s="73"/>
      <c r="I101" s="75">
        <v>0.2</v>
      </c>
      <c r="J101" s="77"/>
      <c r="K101" s="66"/>
      <c r="L101" s="66"/>
      <c r="M101" s="79" t="str">
        <f>HYPERLINK("http://www.pristavka.com/catalog/ABYstyle/ABY644/")</f>
        <v>http://www.pristavka.com/catalog/ABYstyle/ABY644/</v>
      </c>
      <c r="N101" s="71">
        <v>15299</v>
      </c>
      <c r="O101" s="66" t="s">
        <v>28</v>
      </c>
      <c r="P101" s="82" t="s">
        <v>1531</v>
      </c>
      <c r="Q101" s="84" t="s">
        <v>1390</v>
      </c>
      <c r="R101" s="84" t="s">
        <v>1391</v>
      </c>
      <c r="S101" s="84">
        <v>0.73099999999999998</v>
      </c>
      <c r="T101" s="82" t="s">
        <v>1532</v>
      </c>
      <c r="U101" s="84"/>
      <c r="V101" s="54"/>
    </row>
    <row r="102" spans="1:22" s="11" customFormat="1" ht="45" customHeight="1" x14ac:dyDescent="0.2">
      <c r="A102" s="66" t="s">
        <v>1062</v>
      </c>
      <c r="B102" s="66" t="s">
        <v>26</v>
      </c>
      <c r="C102" s="66" t="s">
        <v>1062</v>
      </c>
      <c r="D102" s="66" t="s">
        <v>1533</v>
      </c>
      <c r="E102" s="68" t="s">
        <v>1534</v>
      </c>
      <c r="F102" s="66" t="s">
        <v>1535</v>
      </c>
      <c r="G102" s="71">
        <v>9313</v>
      </c>
      <c r="H102" s="73"/>
      <c r="I102" s="75">
        <v>0.2</v>
      </c>
      <c r="J102" s="77"/>
      <c r="K102" s="66"/>
      <c r="L102" s="66"/>
      <c r="M102" s="79" t="str">
        <f>HYPERLINK("http://www.pristavka.com/catalog/ABYstyle/ABY627/")</f>
        <v>http://www.pristavka.com/catalog/ABYstyle/ABY627/</v>
      </c>
      <c r="N102" s="71">
        <v>15299</v>
      </c>
      <c r="O102" s="66" t="s">
        <v>27</v>
      </c>
      <c r="P102" s="82" t="s">
        <v>1536</v>
      </c>
      <c r="Q102" s="84" t="s">
        <v>1068</v>
      </c>
      <c r="R102" s="84" t="s">
        <v>1068</v>
      </c>
      <c r="S102" s="84">
        <v>0.55000000000000004</v>
      </c>
      <c r="T102" s="82" t="s">
        <v>1381</v>
      </c>
      <c r="U102" s="84"/>
      <c r="V102" s="54"/>
    </row>
    <row r="103" spans="1:22" s="11" customFormat="1" ht="45" customHeight="1" x14ac:dyDescent="0.2">
      <c r="A103" s="66" t="s">
        <v>1062</v>
      </c>
      <c r="B103" s="66" t="s">
        <v>26</v>
      </c>
      <c r="C103" s="66" t="s">
        <v>1062</v>
      </c>
      <c r="D103" s="66" t="s">
        <v>1537</v>
      </c>
      <c r="E103" s="68" t="s">
        <v>1538</v>
      </c>
      <c r="F103" s="66" t="s">
        <v>1539</v>
      </c>
      <c r="G103" s="71">
        <v>8346</v>
      </c>
      <c r="H103" s="73"/>
      <c r="I103" s="75">
        <v>0.2</v>
      </c>
      <c r="J103" s="77"/>
      <c r="K103" s="66"/>
      <c r="L103" s="66"/>
      <c r="M103" s="79" t="str">
        <f>HYPERLINK("http://www.pristavka.com/catalog/ABYstyle/ABY782/")</f>
        <v>http://www.pristavka.com/catalog/ABYstyle/ABY782/</v>
      </c>
      <c r="N103" s="71">
        <v>13699</v>
      </c>
      <c r="O103" s="66" t="s">
        <v>27</v>
      </c>
      <c r="P103" s="82" t="s">
        <v>1540</v>
      </c>
      <c r="Q103" s="84" t="s">
        <v>1396</v>
      </c>
      <c r="R103" s="84" t="s">
        <v>859</v>
      </c>
      <c r="S103" s="84">
        <v>0.70699999999999996</v>
      </c>
      <c r="T103" s="82" t="s">
        <v>1437</v>
      </c>
      <c r="U103" s="84"/>
      <c r="V103" s="54"/>
    </row>
    <row r="104" spans="1:22" s="11" customFormat="1" ht="45" customHeight="1" x14ac:dyDescent="0.2">
      <c r="A104" s="66" t="s">
        <v>1062</v>
      </c>
      <c r="B104" s="66" t="s">
        <v>26</v>
      </c>
      <c r="C104" s="66" t="s">
        <v>1062</v>
      </c>
      <c r="D104" s="66" t="s">
        <v>1541</v>
      </c>
      <c r="E104" s="68" t="s">
        <v>1542</v>
      </c>
      <c r="F104" s="66" t="s">
        <v>1543</v>
      </c>
      <c r="G104" s="71">
        <v>6307</v>
      </c>
      <c r="H104" s="73"/>
      <c r="I104" s="75">
        <v>0.2</v>
      </c>
      <c r="J104" s="77"/>
      <c r="K104" s="66"/>
      <c r="L104" s="66"/>
      <c r="M104" s="79" t="str">
        <f>HYPERLINK("http://www.pristavka.com/catalog/abystyle/ABY439/")</f>
        <v>http://www.pristavka.com/catalog/abystyle/ABY439/</v>
      </c>
      <c r="N104" s="71">
        <v>10599</v>
      </c>
      <c r="O104" s="66" t="s">
        <v>27</v>
      </c>
      <c r="P104" s="82" t="s">
        <v>1544</v>
      </c>
      <c r="Q104" s="84" t="s">
        <v>1545</v>
      </c>
      <c r="R104" s="84" t="s">
        <v>1068</v>
      </c>
      <c r="S104" s="84">
        <v>0.52300000000000002</v>
      </c>
      <c r="T104" s="82" t="s">
        <v>1381</v>
      </c>
      <c r="U104" s="84"/>
      <c r="V104" s="54"/>
    </row>
    <row r="105" spans="1:22" s="11" customFormat="1" ht="45" customHeight="1" x14ac:dyDescent="0.2">
      <c r="A105" s="66" t="s">
        <v>1062</v>
      </c>
      <c r="B105" s="66" t="s">
        <v>26</v>
      </c>
      <c r="C105" s="66" t="s">
        <v>1062</v>
      </c>
      <c r="D105" s="66" t="s">
        <v>1546</v>
      </c>
      <c r="E105" s="68" t="s">
        <v>1547</v>
      </c>
      <c r="F105" s="66" t="s">
        <v>1548</v>
      </c>
      <c r="G105" s="71">
        <v>10924</v>
      </c>
      <c r="H105" s="73"/>
      <c r="I105" s="75">
        <v>0.2</v>
      </c>
      <c r="J105" s="77"/>
      <c r="K105" s="66"/>
      <c r="L105" s="66"/>
      <c r="M105" s="79" t="str">
        <f>HYPERLINK("http://www.pristavka.com/catalog/ABYstyle/ABY637/")</f>
        <v>http://www.pristavka.com/catalog/ABYstyle/ABY637/</v>
      </c>
      <c r="N105" s="71">
        <v>17999</v>
      </c>
      <c r="O105" s="66" t="s">
        <v>28</v>
      </c>
      <c r="P105" s="82" t="s">
        <v>1549</v>
      </c>
      <c r="Q105" s="84" t="s">
        <v>1096</v>
      </c>
      <c r="R105" s="84" t="s">
        <v>1068</v>
      </c>
      <c r="S105" s="84">
        <v>0.20100000000000001</v>
      </c>
      <c r="T105" s="82" t="s">
        <v>1550</v>
      </c>
      <c r="U105" s="84"/>
      <c r="V105" s="54"/>
    </row>
    <row r="106" spans="1:22" s="11" customFormat="1" ht="45" customHeight="1" x14ac:dyDescent="0.2">
      <c r="A106" s="66" t="s">
        <v>1062</v>
      </c>
      <c r="B106" s="66" t="s">
        <v>26</v>
      </c>
      <c r="C106" s="66" t="s">
        <v>1062</v>
      </c>
      <c r="D106" s="66" t="s">
        <v>1551</v>
      </c>
      <c r="E106" s="68" t="s">
        <v>1552</v>
      </c>
      <c r="F106" s="66" t="s">
        <v>1553</v>
      </c>
      <c r="G106" s="71">
        <v>2895</v>
      </c>
      <c r="H106" s="73"/>
      <c r="I106" s="75">
        <v>0.2</v>
      </c>
      <c r="J106" s="77"/>
      <c r="K106" s="66"/>
      <c r="L106" s="66"/>
      <c r="M106" s="79" t="str">
        <f>HYPERLINK("http://www.pristavka.com/catalog/ABYstyle/ABY796/")</f>
        <v>http://www.pristavka.com/catalog/ABYstyle/ABY796/</v>
      </c>
      <c r="N106" s="71">
        <v>4799</v>
      </c>
      <c r="O106" s="66" t="s">
        <v>27</v>
      </c>
      <c r="P106" s="82" t="s">
        <v>1554</v>
      </c>
      <c r="Q106" s="84" t="s">
        <v>1419</v>
      </c>
      <c r="R106" s="84" t="s">
        <v>1420</v>
      </c>
      <c r="S106" s="84">
        <v>0.02</v>
      </c>
      <c r="T106" s="82" t="s">
        <v>1555</v>
      </c>
      <c r="U106" s="84"/>
      <c r="V106" s="54"/>
    </row>
    <row r="107" spans="1:22" s="11" customFormat="1" ht="45" customHeight="1" x14ac:dyDescent="0.2">
      <c r="A107" s="66" t="s">
        <v>1062</v>
      </c>
      <c r="B107" s="66" t="s">
        <v>26</v>
      </c>
      <c r="C107" s="66" t="s">
        <v>1062</v>
      </c>
      <c r="D107" s="66" t="s">
        <v>1556</v>
      </c>
      <c r="E107" s="68" t="s">
        <v>1557</v>
      </c>
      <c r="F107" s="66" t="s">
        <v>1558</v>
      </c>
      <c r="G107" s="71">
        <v>2895</v>
      </c>
      <c r="H107" s="73"/>
      <c r="I107" s="75">
        <v>0.2</v>
      </c>
      <c r="J107" s="77"/>
      <c r="K107" s="66"/>
      <c r="L107" s="66"/>
      <c r="M107" s="79" t="str">
        <f>HYPERLINK("http://www.pristavka.com/catalog/ABYstyle/ABY797/")</f>
        <v>http://www.pristavka.com/catalog/ABYstyle/ABY797/</v>
      </c>
      <c r="N107" s="71">
        <v>4799</v>
      </c>
      <c r="O107" s="66" t="s">
        <v>27</v>
      </c>
      <c r="P107" s="82" t="s">
        <v>1559</v>
      </c>
      <c r="Q107" s="84" t="s">
        <v>1442</v>
      </c>
      <c r="R107" s="84" t="s">
        <v>1068</v>
      </c>
      <c r="S107" s="84">
        <v>0.02</v>
      </c>
      <c r="T107" s="82" t="s">
        <v>1555</v>
      </c>
      <c r="U107" s="84"/>
      <c r="V107" s="54"/>
    </row>
    <row r="108" spans="1:22" s="11" customFormat="1" ht="45" customHeight="1" x14ac:dyDescent="0.2">
      <c r="A108" s="66" t="s">
        <v>1062</v>
      </c>
      <c r="B108" s="66" t="s">
        <v>26</v>
      </c>
      <c r="C108" s="66" t="s">
        <v>1062</v>
      </c>
      <c r="D108" s="66" t="s">
        <v>1560</v>
      </c>
      <c r="E108" s="68" t="s">
        <v>1561</v>
      </c>
      <c r="F108" s="66" t="s">
        <v>1562</v>
      </c>
      <c r="G108" s="71">
        <v>2895</v>
      </c>
      <c r="H108" s="73"/>
      <c r="I108" s="75">
        <v>0.2</v>
      </c>
      <c r="J108" s="77"/>
      <c r="K108" s="66"/>
      <c r="L108" s="66"/>
      <c r="M108" s="79" t="str">
        <f>HYPERLINK("http://www.pristavka.com/catalog/ABYstyle/ABY766/")</f>
        <v>http://www.pristavka.com/catalog/ABYstyle/ABY766/</v>
      </c>
      <c r="N108" s="71">
        <v>4799</v>
      </c>
      <c r="O108" s="66" t="s">
        <v>27</v>
      </c>
      <c r="P108" s="82" t="s">
        <v>1563</v>
      </c>
      <c r="Q108" s="84" t="s">
        <v>1068</v>
      </c>
      <c r="R108" s="84" t="s">
        <v>1068</v>
      </c>
      <c r="S108" s="84">
        <v>1.2E-2</v>
      </c>
      <c r="T108" s="82" t="s">
        <v>1564</v>
      </c>
      <c r="U108" s="84"/>
      <c r="V108" s="54"/>
    </row>
    <row r="109" spans="1:22" s="11" customFormat="1" ht="45" customHeight="1" x14ac:dyDescent="0.2">
      <c r="A109" s="66" t="s">
        <v>1062</v>
      </c>
      <c r="B109" s="66" t="s">
        <v>26</v>
      </c>
      <c r="C109" s="66" t="s">
        <v>1062</v>
      </c>
      <c r="D109" s="66" t="s">
        <v>1565</v>
      </c>
      <c r="E109" s="68" t="s">
        <v>1566</v>
      </c>
      <c r="F109" s="66" t="s">
        <v>1567</v>
      </c>
      <c r="G109" s="71">
        <v>2895</v>
      </c>
      <c r="H109" s="73"/>
      <c r="I109" s="75">
        <v>0.2</v>
      </c>
      <c r="J109" s="77"/>
      <c r="K109" s="66"/>
      <c r="L109" s="66"/>
      <c r="M109" s="79" t="str">
        <f>HYPERLINK("http://www.pristavka.com/catalog/ABYstyle/ABY795/")</f>
        <v>http://www.pristavka.com/catalog/ABYstyle/ABY795/</v>
      </c>
      <c r="N109" s="71">
        <v>4799</v>
      </c>
      <c r="O109" s="66" t="s">
        <v>27</v>
      </c>
      <c r="P109" s="82" t="s">
        <v>1568</v>
      </c>
      <c r="Q109" s="84" t="s">
        <v>1165</v>
      </c>
      <c r="R109" s="84" t="s">
        <v>1068</v>
      </c>
      <c r="S109" s="84">
        <v>1.2E-2</v>
      </c>
      <c r="T109" s="82" t="s">
        <v>1564</v>
      </c>
      <c r="U109" s="84"/>
      <c r="V109" s="54"/>
    </row>
    <row r="110" spans="1:22" s="11" customFormat="1" ht="45" customHeight="1" x14ac:dyDescent="0.2">
      <c r="A110" s="66" t="s">
        <v>1062</v>
      </c>
      <c r="B110" s="66" t="s">
        <v>26</v>
      </c>
      <c r="C110" s="66" t="s">
        <v>1062</v>
      </c>
      <c r="D110" s="66" t="s">
        <v>1569</v>
      </c>
      <c r="E110" s="68" t="s">
        <v>1570</v>
      </c>
      <c r="F110" s="66" t="s">
        <v>1571</v>
      </c>
      <c r="G110" s="71">
        <v>2868</v>
      </c>
      <c r="H110" s="73"/>
      <c r="I110" s="75">
        <v>0.2</v>
      </c>
      <c r="J110" s="77"/>
      <c r="K110" s="66"/>
      <c r="L110" s="66"/>
      <c r="M110" s="79" t="str">
        <f>HYPERLINK("http://www.pristavka.com/catalog/ABYstyle/ABY668/")</f>
        <v>http://www.pristavka.com/catalog/ABYstyle/ABY668/</v>
      </c>
      <c r="N110" s="71">
        <v>4799</v>
      </c>
      <c r="O110" s="66" t="s">
        <v>28</v>
      </c>
      <c r="P110" s="82" t="s">
        <v>1572</v>
      </c>
      <c r="Q110" s="84" t="s">
        <v>1201</v>
      </c>
      <c r="R110" s="84" t="s">
        <v>1068</v>
      </c>
      <c r="S110" s="84">
        <v>1.6E-2</v>
      </c>
      <c r="T110" s="82" t="s">
        <v>1573</v>
      </c>
      <c r="U110" s="84"/>
      <c r="V110" s="54"/>
    </row>
    <row r="111" spans="1:22" s="11" customFormat="1" ht="45" customHeight="1" x14ac:dyDescent="0.2">
      <c r="A111" s="66" t="s">
        <v>1062</v>
      </c>
      <c r="B111" s="66" t="s">
        <v>26</v>
      </c>
      <c r="C111" s="66" t="s">
        <v>1062</v>
      </c>
      <c r="D111" s="66" t="s">
        <v>1574</v>
      </c>
      <c r="E111" s="68" t="s">
        <v>1575</v>
      </c>
      <c r="F111" s="66" t="s">
        <v>1576</v>
      </c>
      <c r="G111" s="71">
        <v>2868</v>
      </c>
      <c r="H111" s="73"/>
      <c r="I111" s="75">
        <v>0.2</v>
      </c>
      <c r="J111" s="77"/>
      <c r="K111" s="66"/>
      <c r="L111" s="66"/>
      <c r="M111" s="79" t="str">
        <f>HYPERLINK("http://www.pristavka.com/catalog/ABYstyle/ABY667/")</f>
        <v>http://www.pristavka.com/catalog/ABYstyle/ABY667/</v>
      </c>
      <c r="N111" s="71">
        <v>4799</v>
      </c>
      <c r="O111" s="66" t="s">
        <v>28</v>
      </c>
      <c r="P111" s="82" t="s">
        <v>1577</v>
      </c>
      <c r="Q111" s="84" t="s">
        <v>1206</v>
      </c>
      <c r="R111" s="84" t="s">
        <v>1068</v>
      </c>
      <c r="S111" s="84">
        <v>0.02</v>
      </c>
      <c r="T111" s="82" t="s">
        <v>1578</v>
      </c>
      <c r="U111" s="84"/>
      <c r="V111" s="54"/>
    </row>
    <row r="112" spans="1:22" s="11" customFormat="1" ht="45" customHeight="1" x14ac:dyDescent="0.2">
      <c r="A112" s="66" t="s">
        <v>1062</v>
      </c>
      <c r="B112" s="66" t="s">
        <v>26</v>
      </c>
      <c r="C112" s="66" t="s">
        <v>1062</v>
      </c>
      <c r="D112" s="66" t="s">
        <v>1579</v>
      </c>
      <c r="E112" s="68" t="s">
        <v>1580</v>
      </c>
      <c r="F112" s="66" t="s">
        <v>1581</v>
      </c>
      <c r="G112" s="71">
        <v>15435</v>
      </c>
      <c r="H112" s="73"/>
      <c r="I112" s="75">
        <v>0.2</v>
      </c>
      <c r="J112" s="77"/>
      <c r="K112" s="66"/>
      <c r="L112" s="66"/>
      <c r="M112" s="79" t="str">
        <f>HYPERLINK("http://www.pristavka.com/catalog/ABYstyle/ABY748/")</f>
        <v>http://www.pristavka.com/catalog/ABYstyle/ABY748/</v>
      </c>
      <c r="N112" s="71">
        <v>25399</v>
      </c>
      <c r="O112" s="66" t="s">
        <v>28</v>
      </c>
      <c r="P112" s="82" t="s">
        <v>1582</v>
      </c>
      <c r="Q112" s="84" t="s">
        <v>1522</v>
      </c>
      <c r="R112" s="84" t="s">
        <v>1068</v>
      </c>
      <c r="S112" s="84">
        <v>0.7</v>
      </c>
      <c r="T112" s="82" t="s">
        <v>1583</v>
      </c>
      <c r="U112" s="84"/>
      <c r="V112" s="54"/>
    </row>
    <row r="113" spans="1:22" s="11" customFormat="1" ht="45" customHeight="1" x14ac:dyDescent="0.2">
      <c r="A113" s="66" t="s">
        <v>1062</v>
      </c>
      <c r="B113" s="66" t="s">
        <v>1155</v>
      </c>
      <c r="C113" s="66" t="s">
        <v>1062</v>
      </c>
      <c r="D113" s="66" t="s">
        <v>1584</v>
      </c>
      <c r="E113" s="68" t="s">
        <v>1585</v>
      </c>
      <c r="F113" s="66" t="s">
        <v>1586</v>
      </c>
      <c r="G113" s="71">
        <v>11890</v>
      </c>
      <c r="H113" s="73"/>
      <c r="I113" s="75">
        <v>0.2</v>
      </c>
      <c r="J113" s="77"/>
      <c r="K113" s="66"/>
      <c r="L113" s="66"/>
      <c r="M113" s="79" t="str">
        <f>HYPERLINK("http://www.pristavka.com/catalog/ABYstyle/ABY586/")</f>
        <v>http://www.pristavka.com/catalog/ABYstyle/ABY586/</v>
      </c>
      <c r="N113" s="71">
        <v>19499</v>
      </c>
      <c r="O113" s="66" t="s">
        <v>27</v>
      </c>
      <c r="P113" s="82" t="s">
        <v>1587</v>
      </c>
      <c r="Q113" s="84" t="s">
        <v>1588</v>
      </c>
      <c r="R113" s="84" t="s">
        <v>58</v>
      </c>
      <c r="S113" s="84">
        <v>1.0760000000000001</v>
      </c>
      <c r="T113" s="82" t="s">
        <v>1589</v>
      </c>
      <c r="U113" s="84"/>
      <c r="V113" s="54"/>
    </row>
    <row r="114" spans="1:22" s="11" customFormat="1" ht="45" customHeight="1" x14ac:dyDescent="0.2">
      <c r="A114" s="66" t="s">
        <v>1062</v>
      </c>
      <c r="B114" s="66" t="s">
        <v>26</v>
      </c>
      <c r="C114" s="66" t="s">
        <v>1062</v>
      </c>
      <c r="D114" s="66" t="s">
        <v>1590</v>
      </c>
      <c r="E114" s="68" t="s">
        <v>1591</v>
      </c>
      <c r="F114" s="66" t="s">
        <v>1592</v>
      </c>
      <c r="G114" s="71">
        <v>13824</v>
      </c>
      <c r="H114" s="73"/>
      <c r="I114" s="75">
        <v>0.2</v>
      </c>
      <c r="J114" s="77"/>
      <c r="K114" s="66"/>
      <c r="L114" s="66"/>
      <c r="M114" s="79" t="str">
        <f>HYPERLINK("http://www.pristavka.com/catalog/ABYstyle/ABY799/")</f>
        <v>http://www.pristavka.com/catalog/ABYstyle/ABY799/</v>
      </c>
      <c r="N114" s="71">
        <v>22699</v>
      </c>
      <c r="O114" s="66" t="s">
        <v>27</v>
      </c>
      <c r="P114" s="82" t="s">
        <v>1593</v>
      </c>
      <c r="Q114" s="84" t="s">
        <v>1594</v>
      </c>
      <c r="R114" s="84" t="s">
        <v>1075</v>
      </c>
      <c r="S114" s="84">
        <v>0.54400000000000004</v>
      </c>
      <c r="T114" s="82" t="s">
        <v>1595</v>
      </c>
      <c r="U114" s="84"/>
      <c r="V114" s="54"/>
    </row>
    <row r="115" spans="1:22" s="11" customFormat="1" ht="45" customHeight="1" x14ac:dyDescent="0.2">
      <c r="A115" s="66" t="s">
        <v>1062</v>
      </c>
      <c r="B115" s="66" t="s">
        <v>26</v>
      </c>
      <c r="C115" s="66" t="s">
        <v>1062</v>
      </c>
      <c r="D115" s="66" t="s">
        <v>1596</v>
      </c>
      <c r="E115" s="68" t="s">
        <v>1597</v>
      </c>
      <c r="F115" s="66" t="s">
        <v>1598</v>
      </c>
      <c r="G115" s="71">
        <v>12857</v>
      </c>
      <c r="H115" s="73"/>
      <c r="I115" s="75">
        <v>0.2</v>
      </c>
      <c r="J115" s="77"/>
      <c r="K115" s="66"/>
      <c r="L115" s="66"/>
      <c r="M115" s="79" t="str">
        <f>HYPERLINK("http://www.pristavka.com/catalog/ABYstyle/ABY787/")</f>
        <v>http://www.pristavka.com/catalog/ABYstyle/ABY787/</v>
      </c>
      <c r="N115" s="71">
        <v>21099</v>
      </c>
      <c r="O115" s="66" t="s">
        <v>27</v>
      </c>
      <c r="P115" s="82" t="s">
        <v>1599</v>
      </c>
      <c r="Q115" s="84" t="s">
        <v>1600</v>
      </c>
      <c r="R115" s="84" t="s">
        <v>1303</v>
      </c>
      <c r="S115" s="84">
        <v>0.70399999999999996</v>
      </c>
      <c r="T115" s="82" t="s">
        <v>1601</v>
      </c>
      <c r="U115" s="84"/>
      <c r="V115" s="54"/>
    </row>
    <row r="116" spans="1:22" s="11" customFormat="1" ht="45" customHeight="1" x14ac:dyDescent="0.2">
      <c r="A116" s="66" t="s">
        <v>1062</v>
      </c>
      <c r="B116" s="66" t="s">
        <v>26</v>
      </c>
      <c r="C116" s="66" t="s">
        <v>1062</v>
      </c>
      <c r="D116" s="66" t="s">
        <v>1602</v>
      </c>
      <c r="E116" s="68" t="s">
        <v>1603</v>
      </c>
      <c r="F116" s="66" t="s">
        <v>1604</v>
      </c>
      <c r="G116" s="71">
        <v>12857</v>
      </c>
      <c r="H116" s="73"/>
      <c r="I116" s="75">
        <v>0.2</v>
      </c>
      <c r="J116" s="77"/>
      <c r="K116" s="66"/>
      <c r="L116" s="66"/>
      <c r="M116" s="79" t="str">
        <f>HYPERLINK("http://www.pristavka.com/catalog/ABYstyle/ABY801/")</f>
        <v>http://www.pristavka.com/catalog/ABYstyle/ABY801/</v>
      </c>
      <c r="N116" s="71">
        <v>21099</v>
      </c>
      <c r="O116" s="66" t="s">
        <v>27</v>
      </c>
      <c r="P116" s="82" t="s">
        <v>1605</v>
      </c>
      <c r="Q116" s="84" t="s">
        <v>1600</v>
      </c>
      <c r="R116" s="84" t="s">
        <v>1303</v>
      </c>
      <c r="S116" s="84">
        <v>1.0640000000000001</v>
      </c>
      <c r="T116" s="82" t="s">
        <v>1606</v>
      </c>
      <c r="U116" s="84"/>
      <c r="V116" s="54"/>
    </row>
    <row r="117" spans="1:22" s="11" customFormat="1" ht="45" customHeight="1" x14ac:dyDescent="0.2">
      <c r="A117" s="66" t="s">
        <v>1062</v>
      </c>
      <c r="B117" s="66" t="s">
        <v>26</v>
      </c>
      <c r="C117" s="66" t="s">
        <v>1062</v>
      </c>
      <c r="D117" s="66" t="s">
        <v>1607</v>
      </c>
      <c r="E117" s="68" t="s">
        <v>1608</v>
      </c>
      <c r="F117" s="66" t="s">
        <v>1609</v>
      </c>
      <c r="G117" s="71">
        <v>10601</v>
      </c>
      <c r="H117" s="73"/>
      <c r="I117" s="75">
        <v>0.2</v>
      </c>
      <c r="J117" s="77"/>
      <c r="K117" s="66"/>
      <c r="L117" s="66"/>
      <c r="M117" s="79" t="str">
        <f>HYPERLINK("http://www.pristavka.com/catalog/ABYstyle/ABY784/")</f>
        <v>http://www.pristavka.com/catalog/ABYstyle/ABY784/</v>
      </c>
      <c r="N117" s="71">
        <v>17399</v>
      </c>
      <c r="O117" s="66" t="s">
        <v>28</v>
      </c>
      <c r="P117" s="82" t="s">
        <v>1610</v>
      </c>
      <c r="Q117" s="84" t="s">
        <v>1611</v>
      </c>
      <c r="R117" s="84" t="s">
        <v>1612</v>
      </c>
      <c r="S117" s="84">
        <v>0.57999999999999996</v>
      </c>
      <c r="T117" s="82" t="s">
        <v>1613</v>
      </c>
      <c r="U117" s="84"/>
      <c r="V117" s="54"/>
    </row>
    <row r="118" spans="1:22" s="11" customFormat="1" ht="45" customHeight="1" x14ac:dyDescent="0.2">
      <c r="A118" s="66" t="s">
        <v>1062</v>
      </c>
      <c r="B118" s="66" t="s">
        <v>26</v>
      </c>
      <c r="C118" s="66" t="s">
        <v>1062</v>
      </c>
      <c r="D118" s="66" t="s">
        <v>1614</v>
      </c>
      <c r="E118" s="68" t="s">
        <v>1615</v>
      </c>
      <c r="F118" s="66" t="s">
        <v>1616</v>
      </c>
      <c r="G118" s="71">
        <v>13824</v>
      </c>
      <c r="H118" s="73"/>
      <c r="I118" s="75">
        <v>0.2</v>
      </c>
      <c r="J118" s="77"/>
      <c r="K118" s="66"/>
      <c r="L118" s="66"/>
      <c r="M118" s="79" t="str">
        <f>HYPERLINK("http://www.pristavka.com/catalog/ABYstyle/ABY785/")</f>
        <v>http://www.pristavka.com/catalog/ABYstyle/ABY785/</v>
      </c>
      <c r="N118" s="71">
        <v>22699</v>
      </c>
      <c r="O118" s="66" t="s">
        <v>28</v>
      </c>
      <c r="P118" s="82" t="s">
        <v>1617</v>
      </c>
      <c r="Q118" s="84" t="s">
        <v>1102</v>
      </c>
      <c r="R118" s="84" t="s">
        <v>1103</v>
      </c>
      <c r="S118" s="84">
        <v>0.67</v>
      </c>
      <c r="T118" s="82" t="s">
        <v>1618</v>
      </c>
      <c r="U118" s="84"/>
      <c r="V118" s="54"/>
    </row>
    <row r="119" spans="1:22" s="11" customFormat="1" ht="45" customHeight="1" x14ac:dyDescent="0.2">
      <c r="A119" s="66" t="s">
        <v>1062</v>
      </c>
      <c r="B119" s="66" t="s">
        <v>26</v>
      </c>
      <c r="C119" s="66" t="s">
        <v>1062</v>
      </c>
      <c r="D119" s="66" t="s">
        <v>1619</v>
      </c>
      <c r="E119" s="68" t="s">
        <v>1620</v>
      </c>
      <c r="F119" s="66" t="s">
        <v>1621</v>
      </c>
      <c r="G119" s="71">
        <v>13824</v>
      </c>
      <c r="H119" s="73"/>
      <c r="I119" s="75">
        <v>0.2</v>
      </c>
      <c r="J119" s="77"/>
      <c r="K119" s="66"/>
      <c r="L119" s="66"/>
      <c r="M119" s="79" t="str">
        <f>HYPERLINK("http://www.pristavka.com/catalog/ABYstyle/ABY789/")</f>
        <v>http://www.pristavka.com/catalog/ABYstyle/ABY789/</v>
      </c>
      <c r="N119" s="71">
        <v>22699</v>
      </c>
      <c r="O119" s="66" t="s">
        <v>27</v>
      </c>
      <c r="P119" s="82" t="s">
        <v>1622</v>
      </c>
      <c r="Q119" s="84" t="s">
        <v>1102</v>
      </c>
      <c r="R119" s="84" t="s">
        <v>1103</v>
      </c>
      <c r="S119" s="84">
        <v>0.58299999999999996</v>
      </c>
      <c r="T119" s="82" t="s">
        <v>1595</v>
      </c>
      <c r="U119" s="84"/>
      <c r="V119" s="54"/>
    </row>
    <row r="120" spans="1:22" s="11" customFormat="1" ht="45" customHeight="1" x14ac:dyDescent="0.2">
      <c r="A120" s="66" t="s">
        <v>1062</v>
      </c>
      <c r="B120" s="66" t="s">
        <v>26</v>
      </c>
      <c r="C120" s="66" t="s">
        <v>1062</v>
      </c>
      <c r="D120" s="66" t="s">
        <v>1623</v>
      </c>
      <c r="E120" s="68" t="s">
        <v>1624</v>
      </c>
      <c r="F120" s="66" t="s">
        <v>1625</v>
      </c>
      <c r="G120" s="71">
        <v>12857</v>
      </c>
      <c r="H120" s="73"/>
      <c r="I120" s="75">
        <v>0.2</v>
      </c>
      <c r="J120" s="77"/>
      <c r="K120" s="66"/>
      <c r="L120" s="66"/>
      <c r="M120" s="79" t="str">
        <f>HYPERLINK("http://www.pristavka.com/catalog/ABYstyle/ABY800/")</f>
        <v>http://www.pristavka.com/catalog/ABYstyle/ABY800/</v>
      </c>
      <c r="N120" s="71">
        <v>21099</v>
      </c>
      <c r="O120" s="66" t="s">
        <v>27</v>
      </c>
      <c r="P120" s="82" t="s">
        <v>1626</v>
      </c>
      <c r="Q120" s="84" t="s">
        <v>1102</v>
      </c>
      <c r="R120" s="84" t="s">
        <v>1103</v>
      </c>
      <c r="S120" s="84">
        <v>1.081</v>
      </c>
      <c r="T120" s="82" t="s">
        <v>1606</v>
      </c>
      <c r="U120" s="84"/>
      <c r="V120" s="54"/>
    </row>
    <row r="121" spans="1:22" s="11" customFormat="1" ht="45" customHeight="1" x14ac:dyDescent="0.2">
      <c r="A121" s="66" t="s">
        <v>1062</v>
      </c>
      <c r="B121" s="66" t="s">
        <v>26</v>
      </c>
      <c r="C121" s="66" t="s">
        <v>1062</v>
      </c>
      <c r="D121" s="66" t="s">
        <v>1627</v>
      </c>
      <c r="E121" s="68" t="s">
        <v>1628</v>
      </c>
      <c r="F121" s="66" t="s">
        <v>1629</v>
      </c>
      <c r="G121" s="71">
        <v>12857</v>
      </c>
      <c r="H121" s="73"/>
      <c r="I121" s="75">
        <v>0.2</v>
      </c>
      <c r="J121" s="77"/>
      <c r="K121" s="66"/>
      <c r="L121" s="66"/>
      <c r="M121" s="79" t="str">
        <f>HYPERLINK("http://www.pristavka.com/catalog/abystyle/ABY538/")</f>
        <v>http://www.pristavka.com/catalog/abystyle/ABY538/</v>
      </c>
      <c r="N121" s="71">
        <v>21099</v>
      </c>
      <c r="O121" s="66" t="s">
        <v>27</v>
      </c>
      <c r="P121" s="82" t="s">
        <v>1630</v>
      </c>
      <c r="Q121" s="84" t="s">
        <v>1631</v>
      </c>
      <c r="R121" s="84" t="s">
        <v>1632</v>
      </c>
      <c r="S121" s="84">
        <v>0.7</v>
      </c>
      <c r="T121" s="82" t="s">
        <v>1633</v>
      </c>
      <c r="U121" s="84"/>
      <c r="V121" s="54"/>
    </row>
    <row r="122" spans="1:22" s="11" customFormat="1" ht="45" customHeight="1" x14ac:dyDescent="0.2">
      <c r="A122" s="66" t="s">
        <v>1062</v>
      </c>
      <c r="B122" s="66" t="s">
        <v>26</v>
      </c>
      <c r="C122" s="66" t="s">
        <v>1062</v>
      </c>
      <c r="D122" s="66" t="s">
        <v>1634</v>
      </c>
      <c r="E122" s="68" t="s">
        <v>1635</v>
      </c>
      <c r="F122" s="66" t="s">
        <v>1636</v>
      </c>
      <c r="G122" s="71">
        <v>12857</v>
      </c>
      <c r="H122" s="73"/>
      <c r="I122" s="75">
        <v>0.2</v>
      </c>
      <c r="J122" s="77"/>
      <c r="K122" s="66"/>
      <c r="L122" s="66"/>
      <c r="M122" s="79" t="str">
        <f>HYPERLINK("http://www.pristavka.com/catalog/ABYstyle/ABY788/")</f>
        <v>http://www.pristavka.com/catalog/ABYstyle/ABY788/</v>
      </c>
      <c r="N122" s="71">
        <v>21099</v>
      </c>
      <c r="O122" s="66" t="s">
        <v>28</v>
      </c>
      <c r="P122" s="82" t="s">
        <v>1637</v>
      </c>
      <c r="Q122" s="84" t="s">
        <v>1631</v>
      </c>
      <c r="R122" s="84" t="s">
        <v>1632</v>
      </c>
      <c r="S122" s="84">
        <v>0.70699999999999996</v>
      </c>
      <c r="T122" s="82" t="s">
        <v>1638</v>
      </c>
      <c r="U122" s="84"/>
      <c r="V122" s="54"/>
    </row>
    <row r="123" spans="1:22" s="11" customFormat="1" ht="45" customHeight="1" x14ac:dyDescent="0.2">
      <c r="A123" s="66" t="s">
        <v>1062</v>
      </c>
      <c r="B123" s="66" t="s">
        <v>26</v>
      </c>
      <c r="C123" s="66" t="s">
        <v>1062</v>
      </c>
      <c r="D123" s="66" t="s">
        <v>1639</v>
      </c>
      <c r="E123" s="68" t="s">
        <v>1640</v>
      </c>
      <c r="F123" s="66" t="s">
        <v>1641</v>
      </c>
      <c r="G123" s="71">
        <v>12212</v>
      </c>
      <c r="H123" s="73"/>
      <c r="I123" s="75">
        <v>0.2</v>
      </c>
      <c r="J123" s="77"/>
      <c r="K123" s="66"/>
      <c r="L123" s="66"/>
      <c r="M123" s="79" t="str">
        <f>HYPERLINK("http://www.pristavka.com/catalog/ABYstyle/ABY723/")</f>
        <v>http://www.pristavka.com/catalog/ABYstyle/ABY723/</v>
      </c>
      <c r="N123" s="71">
        <v>20099</v>
      </c>
      <c r="O123" s="66" t="s">
        <v>27</v>
      </c>
      <c r="P123" s="82" t="s">
        <v>1642</v>
      </c>
      <c r="Q123" s="84" t="s">
        <v>1148</v>
      </c>
      <c r="R123" s="84" t="s">
        <v>1068</v>
      </c>
      <c r="S123" s="84">
        <v>0.61</v>
      </c>
      <c r="T123" s="82" t="s">
        <v>1643</v>
      </c>
      <c r="U123" s="84"/>
      <c r="V123" s="54"/>
    </row>
    <row r="124" spans="1:22" s="11" customFormat="1" ht="45" customHeight="1" x14ac:dyDescent="0.2">
      <c r="A124" s="66" t="s">
        <v>1062</v>
      </c>
      <c r="B124" s="66" t="s">
        <v>26</v>
      </c>
      <c r="C124" s="66" t="s">
        <v>1062</v>
      </c>
      <c r="D124" s="66" t="s">
        <v>1644</v>
      </c>
      <c r="E124" s="68" t="s">
        <v>1645</v>
      </c>
      <c r="F124" s="66" t="s">
        <v>1646</v>
      </c>
      <c r="G124" s="71">
        <v>13824</v>
      </c>
      <c r="H124" s="73"/>
      <c r="I124" s="75">
        <v>0.2</v>
      </c>
      <c r="J124" s="77"/>
      <c r="K124" s="66"/>
      <c r="L124" s="66"/>
      <c r="M124" s="79" t="str">
        <f>HYPERLINK("http://www.pristavka.com/catalog/ABYstyle/ABY790/")</f>
        <v>http://www.pristavka.com/catalog/ABYstyle/ABY790/</v>
      </c>
      <c r="N124" s="71">
        <v>22699</v>
      </c>
      <c r="O124" s="66" t="s">
        <v>28</v>
      </c>
      <c r="P124" s="82" t="s">
        <v>1647</v>
      </c>
      <c r="Q124" s="84" t="s">
        <v>1396</v>
      </c>
      <c r="R124" s="84" t="s">
        <v>859</v>
      </c>
      <c r="S124" s="84">
        <v>0.95199999999999996</v>
      </c>
      <c r="T124" s="82" t="s">
        <v>1648</v>
      </c>
      <c r="U124" s="84"/>
      <c r="V124" s="54"/>
    </row>
    <row r="125" spans="1:22" s="11" customFormat="1" ht="45" customHeight="1" x14ac:dyDescent="0.2">
      <c r="A125" s="66" t="s">
        <v>1062</v>
      </c>
      <c r="B125" s="66" t="s">
        <v>26</v>
      </c>
      <c r="C125" s="66" t="s">
        <v>1062</v>
      </c>
      <c r="D125" s="66" t="s">
        <v>1649</v>
      </c>
      <c r="E125" s="68" t="s">
        <v>1650</v>
      </c>
      <c r="F125" s="66" t="s">
        <v>1651</v>
      </c>
      <c r="G125" s="71">
        <v>12212</v>
      </c>
      <c r="H125" s="73"/>
      <c r="I125" s="75">
        <v>0.2</v>
      </c>
      <c r="J125" s="77"/>
      <c r="K125" s="66"/>
      <c r="L125" s="66"/>
      <c r="M125" s="79" t="str">
        <f>HYPERLINK("http://www.pristavka.com/catalog/ABYstyle/ABY724/")</f>
        <v>http://www.pristavka.com/catalog/ABYstyle/ABY724/</v>
      </c>
      <c r="N125" s="71">
        <v>20099</v>
      </c>
      <c r="O125" s="66" t="s">
        <v>27</v>
      </c>
      <c r="P125" s="82" t="s">
        <v>1652</v>
      </c>
      <c r="Q125" s="84" t="s">
        <v>1522</v>
      </c>
      <c r="R125" s="84" t="s">
        <v>1068</v>
      </c>
      <c r="S125" s="84">
        <v>0.40200000000000002</v>
      </c>
      <c r="T125" s="82" t="s">
        <v>1653</v>
      </c>
      <c r="U125" s="84"/>
      <c r="V125" s="54"/>
    </row>
    <row r="126" spans="1:22" s="11" customFormat="1" ht="45" customHeight="1" x14ac:dyDescent="0.2">
      <c r="A126" s="66" t="s">
        <v>1062</v>
      </c>
      <c r="B126" s="66" t="s">
        <v>26</v>
      </c>
      <c r="C126" s="66" t="s">
        <v>1062</v>
      </c>
      <c r="D126" s="66" t="s">
        <v>1654</v>
      </c>
      <c r="E126" s="68" t="s">
        <v>1655</v>
      </c>
      <c r="F126" s="66" t="s">
        <v>1656</v>
      </c>
      <c r="G126" s="71">
        <v>10924</v>
      </c>
      <c r="H126" s="73"/>
      <c r="I126" s="75">
        <v>0.2</v>
      </c>
      <c r="J126" s="77"/>
      <c r="K126" s="66"/>
      <c r="L126" s="66"/>
      <c r="M126" s="79" t="str">
        <f>HYPERLINK("http://www.pristavka.com/catalog/ABYstyle/ABY642/")</f>
        <v>http://www.pristavka.com/catalog/ABYstyle/ABY642/</v>
      </c>
      <c r="N126" s="71">
        <v>17999</v>
      </c>
      <c r="O126" s="66" t="s">
        <v>27</v>
      </c>
      <c r="P126" s="82" t="s">
        <v>1657</v>
      </c>
      <c r="Q126" s="84" t="s">
        <v>1068</v>
      </c>
      <c r="R126" s="84" t="s">
        <v>1068</v>
      </c>
      <c r="S126" s="84">
        <v>0.33300000000000002</v>
      </c>
      <c r="T126" s="82" t="s">
        <v>1658</v>
      </c>
      <c r="U126" s="84"/>
      <c r="V126" s="54"/>
    </row>
    <row r="127" spans="1:22" s="11" customFormat="1" ht="45" customHeight="1" x14ac:dyDescent="0.2">
      <c r="A127" s="66" t="s">
        <v>1062</v>
      </c>
      <c r="B127" s="66" t="s">
        <v>26</v>
      </c>
      <c r="C127" s="66" t="s">
        <v>1062</v>
      </c>
      <c r="D127" s="66" t="s">
        <v>1659</v>
      </c>
      <c r="E127" s="68" t="s">
        <v>1660</v>
      </c>
      <c r="F127" s="66" t="s">
        <v>1661</v>
      </c>
      <c r="G127" s="71">
        <v>8346</v>
      </c>
      <c r="H127" s="73"/>
      <c r="I127" s="75">
        <v>0.2</v>
      </c>
      <c r="J127" s="77"/>
      <c r="K127" s="66"/>
      <c r="L127" s="66"/>
      <c r="M127" s="79" t="str">
        <f>HYPERLINK("http://www.pristavka.com/catalog/ABYstyle/ABY792/")</f>
        <v>http://www.pristavka.com/catalog/ABYstyle/ABY792/</v>
      </c>
      <c r="N127" s="71">
        <v>13699</v>
      </c>
      <c r="O127" s="66" t="s">
        <v>27</v>
      </c>
      <c r="P127" s="82" t="s">
        <v>1662</v>
      </c>
      <c r="Q127" s="84" t="s">
        <v>1148</v>
      </c>
      <c r="R127" s="84" t="s">
        <v>1068</v>
      </c>
      <c r="S127" s="84">
        <v>0.79600000000000004</v>
      </c>
      <c r="T127" s="82" t="s">
        <v>1663</v>
      </c>
      <c r="U127" s="84"/>
      <c r="V127" s="54"/>
    </row>
    <row r="128" spans="1:22" s="11" customFormat="1" ht="45" customHeight="1" x14ac:dyDescent="0.2">
      <c r="A128" s="66" t="s">
        <v>1062</v>
      </c>
      <c r="B128" s="66" t="s">
        <v>26</v>
      </c>
      <c r="C128" s="66" t="s">
        <v>1062</v>
      </c>
      <c r="D128" s="66" t="s">
        <v>1664</v>
      </c>
      <c r="E128" s="68" t="s">
        <v>1665</v>
      </c>
      <c r="F128" s="66" t="s">
        <v>1666</v>
      </c>
      <c r="G128" s="71">
        <v>10601</v>
      </c>
      <c r="H128" s="73"/>
      <c r="I128" s="75">
        <v>0.2</v>
      </c>
      <c r="J128" s="77"/>
      <c r="K128" s="66"/>
      <c r="L128" s="66"/>
      <c r="M128" s="79" t="str">
        <f>HYPERLINK("http://www.pristavka.com/catalog/ABYstyle/ABY793/")</f>
        <v>http://www.pristavka.com/catalog/ABYstyle/ABY793/</v>
      </c>
      <c r="N128" s="71">
        <v>17399</v>
      </c>
      <c r="O128" s="66" t="s">
        <v>27</v>
      </c>
      <c r="P128" s="82" t="s">
        <v>1667</v>
      </c>
      <c r="Q128" s="84" t="s">
        <v>1148</v>
      </c>
      <c r="R128" s="84" t="s">
        <v>1068</v>
      </c>
      <c r="S128" s="84">
        <v>0.56299999999999994</v>
      </c>
      <c r="T128" s="82" t="s">
        <v>1668</v>
      </c>
      <c r="U128" s="84"/>
      <c r="V128" s="54"/>
    </row>
    <row r="129" spans="1:22" s="11" customFormat="1" ht="45" customHeight="1" x14ac:dyDescent="0.2">
      <c r="A129" s="66" t="s">
        <v>1062</v>
      </c>
      <c r="B129" s="66" t="s">
        <v>26</v>
      </c>
      <c r="C129" s="66" t="s">
        <v>1062</v>
      </c>
      <c r="D129" s="66" t="s">
        <v>1669</v>
      </c>
      <c r="E129" s="68" t="s">
        <v>1670</v>
      </c>
      <c r="F129" s="66" t="s">
        <v>1671</v>
      </c>
      <c r="G129" s="71">
        <v>10279</v>
      </c>
      <c r="H129" s="73"/>
      <c r="I129" s="75">
        <v>0.2</v>
      </c>
      <c r="J129" s="77"/>
      <c r="K129" s="66"/>
      <c r="L129" s="66"/>
      <c r="M129" s="79" t="str">
        <f>HYPERLINK("http://www.pristavka.com/catalog/ABYstyle/ABY779/")</f>
        <v>http://www.pristavka.com/catalog/ABYstyle/ABY779/</v>
      </c>
      <c r="N129" s="71">
        <v>16899</v>
      </c>
      <c r="O129" s="66" t="s">
        <v>27</v>
      </c>
      <c r="P129" s="82" t="s">
        <v>1672</v>
      </c>
      <c r="Q129" s="84" t="s">
        <v>1068</v>
      </c>
      <c r="R129" s="84" t="s">
        <v>1068</v>
      </c>
      <c r="S129" s="84">
        <v>0.73</v>
      </c>
      <c r="T129" s="82" t="s">
        <v>1673</v>
      </c>
      <c r="U129" s="84"/>
      <c r="V129" s="54"/>
    </row>
    <row r="130" spans="1:22" s="11" customFormat="1" ht="45" customHeight="1" x14ac:dyDescent="0.2">
      <c r="A130" s="66" t="s">
        <v>1062</v>
      </c>
      <c r="B130" s="66" t="s">
        <v>26</v>
      </c>
      <c r="C130" s="66" t="s">
        <v>1062</v>
      </c>
      <c r="D130" s="66" t="s">
        <v>1674</v>
      </c>
      <c r="E130" s="68" t="s">
        <v>1675</v>
      </c>
      <c r="F130" s="66" t="s">
        <v>1676</v>
      </c>
      <c r="G130" s="71">
        <v>12212</v>
      </c>
      <c r="H130" s="73"/>
      <c r="I130" s="75">
        <v>0.2</v>
      </c>
      <c r="J130" s="77"/>
      <c r="K130" s="66"/>
      <c r="L130" s="66"/>
      <c r="M130" s="79" t="str">
        <f>HYPERLINK("http://www.pristavka.com/catalog/ABYstyle/ABY622/")</f>
        <v>http://www.pristavka.com/catalog/ABYstyle/ABY622/</v>
      </c>
      <c r="N130" s="71">
        <v>20099</v>
      </c>
      <c r="O130" s="66" t="s">
        <v>27</v>
      </c>
      <c r="P130" s="82" t="s">
        <v>1677</v>
      </c>
      <c r="Q130" s="84" t="s">
        <v>1068</v>
      </c>
      <c r="R130" s="84" t="s">
        <v>1068</v>
      </c>
      <c r="S130" s="84">
        <v>0.70899999999999996</v>
      </c>
      <c r="T130" s="82" t="s">
        <v>1678</v>
      </c>
      <c r="U130" s="84"/>
      <c r="V130" s="54"/>
    </row>
    <row r="131" spans="1:22" s="11" customFormat="1" ht="45" customHeight="1" x14ac:dyDescent="0.2">
      <c r="A131" s="66" t="s">
        <v>1062</v>
      </c>
      <c r="B131" s="66" t="s">
        <v>26</v>
      </c>
      <c r="C131" s="66" t="s">
        <v>1062</v>
      </c>
      <c r="D131" s="66" t="s">
        <v>1679</v>
      </c>
      <c r="E131" s="68" t="s">
        <v>1680</v>
      </c>
      <c r="F131" s="66" t="s">
        <v>1681</v>
      </c>
      <c r="G131" s="71">
        <v>19946</v>
      </c>
      <c r="H131" s="73"/>
      <c r="I131" s="75">
        <v>0.2</v>
      </c>
      <c r="J131" s="77"/>
      <c r="K131" s="66"/>
      <c r="L131" s="66"/>
      <c r="M131" s="79" t="str">
        <f>HYPERLINK("http://www.pristavka.com/catalog/ABYstyle/ABY742/")</f>
        <v>http://www.pristavka.com/catalog/ABYstyle/ABY742/</v>
      </c>
      <c r="N131" s="71">
        <v>32699</v>
      </c>
      <c r="O131" s="66" t="s">
        <v>27</v>
      </c>
      <c r="P131" s="82" t="s">
        <v>1682</v>
      </c>
      <c r="Q131" s="84" t="s">
        <v>1102</v>
      </c>
      <c r="R131" s="84" t="s">
        <v>1103</v>
      </c>
      <c r="S131" s="84">
        <v>0.76</v>
      </c>
      <c r="T131" s="82" t="s">
        <v>1683</v>
      </c>
      <c r="U131" s="84"/>
      <c r="V131" s="54"/>
    </row>
    <row r="132" spans="1:22" s="11" customFormat="1" ht="45" customHeight="1" x14ac:dyDescent="0.2">
      <c r="A132" s="66" t="s">
        <v>1062</v>
      </c>
      <c r="B132" s="66" t="s">
        <v>26</v>
      </c>
      <c r="C132" s="66" t="s">
        <v>1062</v>
      </c>
      <c r="D132" s="66" t="s">
        <v>1684</v>
      </c>
      <c r="E132" s="68" t="s">
        <v>1685</v>
      </c>
      <c r="F132" s="66" t="s">
        <v>1686</v>
      </c>
      <c r="G132" s="71">
        <v>5446</v>
      </c>
      <c r="H132" s="73"/>
      <c r="I132" s="75">
        <v>0.2</v>
      </c>
      <c r="J132" s="77"/>
      <c r="K132" s="66"/>
      <c r="L132" s="66"/>
      <c r="M132" s="79" t="str">
        <f>HYPERLINK("http://www.pristavka.com/catalog/ABYstyle/ABY794/")</f>
        <v>http://www.pristavka.com/catalog/ABYstyle/ABY794/</v>
      </c>
      <c r="N132" s="71">
        <v>8999</v>
      </c>
      <c r="O132" s="66" t="s">
        <v>27</v>
      </c>
      <c r="P132" s="82" t="s">
        <v>1687</v>
      </c>
      <c r="Q132" s="84" t="s">
        <v>1068</v>
      </c>
      <c r="R132" s="84" t="s">
        <v>1068</v>
      </c>
      <c r="S132" s="84">
        <v>0.40400000000000003</v>
      </c>
      <c r="T132" s="82" t="s">
        <v>1688</v>
      </c>
      <c r="U132" s="84"/>
      <c r="V132" s="54"/>
    </row>
    <row r="133" spans="1:22" s="11" customFormat="1" ht="45" customHeight="1" x14ac:dyDescent="0.2">
      <c r="A133" s="66" t="s">
        <v>1062</v>
      </c>
      <c r="B133" s="66" t="s">
        <v>26</v>
      </c>
      <c r="C133" s="66" t="s">
        <v>1062</v>
      </c>
      <c r="D133" s="66" t="s">
        <v>1689</v>
      </c>
      <c r="E133" s="68" t="s">
        <v>1690</v>
      </c>
      <c r="F133" s="66" t="s">
        <v>1691</v>
      </c>
      <c r="G133" s="71">
        <v>8024</v>
      </c>
      <c r="H133" s="73"/>
      <c r="I133" s="75">
        <v>0.2</v>
      </c>
      <c r="J133" s="77"/>
      <c r="K133" s="66"/>
      <c r="L133" s="66"/>
      <c r="M133" s="79" t="str">
        <f>HYPERLINK("http://www.pristavka.com/catalog/ABYstyle/ABY639/")</f>
        <v>http://www.pristavka.com/catalog/ABYstyle/ABY639/</v>
      </c>
      <c r="N133" s="71">
        <v>13199</v>
      </c>
      <c r="O133" s="66" t="s">
        <v>27</v>
      </c>
      <c r="P133" s="82" t="s">
        <v>1692</v>
      </c>
      <c r="Q133" s="84" t="s">
        <v>1068</v>
      </c>
      <c r="R133" s="84" t="s">
        <v>1068</v>
      </c>
      <c r="S133" s="84">
        <v>0.22</v>
      </c>
      <c r="T133" s="82" t="s">
        <v>1693</v>
      </c>
      <c r="U133" s="84"/>
      <c r="V133" s="54"/>
    </row>
    <row r="134" spans="1:22" s="11" customFormat="1" ht="45" customHeight="1" x14ac:dyDescent="0.2">
      <c r="A134" s="66" t="s">
        <v>1062</v>
      </c>
      <c r="B134" s="66" t="s">
        <v>26</v>
      </c>
      <c r="C134" s="66" t="s">
        <v>1062</v>
      </c>
      <c r="D134" s="66" t="s">
        <v>1694</v>
      </c>
      <c r="E134" s="68" t="s">
        <v>1695</v>
      </c>
      <c r="F134" s="66" t="s">
        <v>1696</v>
      </c>
      <c r="G134" s="71">
        <v>6413</v>
      </c>
      <c r="H134" s="73"/>
      <c r="I134" s="75">
        <v>0.2</v>
      </c>
      <c r="J134" s="77"/>
      <c r="K134" s="66"/>
      <c r="L134" s="66"/>
      <c r="M134" s="79" t="str">
        <f>HYPERLINK("http://www.pristavka.com/catalog/ABYstyle/ABY726/")</f>
        <v>http://www.pristavka.com/catalog/ABYstyle/ABY726/</v>
      </c>
      <c r="N134" s="71">
        <v>10599</v>
      </c>
      <c r="O134" s="66" t="s">
        <v>27</v>
      </c>
      <c r="P134" s="82" t="s">
        <v>1697</v>
      </c>
      <c r="Q134" s="84" t="s">
        <v>1522</v>
      </c>
      <c r="R134" s="84" t="s">
        <v>1068</v>
      </c>
      <c r="S134" s="84">
        <v>0.16800000000000001</v>
      </c>
      <c r="T134" s="82" t="s">
        <v>1693</v>
      </c>
      <c r="U134" s="84"/>
      <c r="V134" s="54"/>
    </row>
    <row r="135" spans="1:22" s="11" customFormat="1" ht="45" customHeight="1" x14ac:dyDescent="0.2">
      <c r="A135" s="66" t="s">
        <v>1062</v>
      </c>
      <c r="B135" s="66" t="s">
        <v>26</v>
      </c>
      <c r="C135" s="66" t="s">
        <v>1062</v>
      </c>
      <c r="D135" s="66" t="s">
        <v>1698</v>
      </c>
      <c r="E135" s="68" t="s">
        <v>1699</v>
      </c>
      <c r="F135" s="66" t="s">
        <v>1700</v>
      </c>
      <c r="G135" s="71">
        <v>6090</v>
      </c>
      <c r="H135" s="73"/>
      <c r="I135" s="75">
        <v>0.2</v>
      </c>
      <c r="J135" s="77"/>
      <c r="K135" s="66"/>
      <c r="L135" s="66"/>
      <c r="M135" s="79" t="str">
        <f>HYPERLINK("http://www.pristavka.com/catalog/ABYstyle/ABY759/")</f>
        <v>http://www.pristavka.com/catalog/ABYstyle/ABY759/</v>
      </c>
      <c r="N135" s="71">
        <v>9999</v>
      </c>
      <c r="O135" s="66" t="s">
        <v>27</v>
      </c>
      <c r="P135" s="82" t="s">
        <v>1701</v>
      </c>
      <c r="Q135" s="84" t="s">
        <v>1522</v>
      </c>
      <c r="R135" s="84" t="s">
        <v>1068</v>
      </c>
      <c r="S135" s="84">
        <v>0.41199999999999998</v>
      </c>
      <c r="T135" s="82" t="s">
        <v>1402</v>
      </c>
      <c r="U135" s="84"/>
      <c r="V135" s="54"/>
    </row>
    <row r="136" spans="1:22" s="11" customFormat="1" ht="45" customHeight="1" x14ac:dyDescent="0.2">
      <c r="A136" s="66" t="s">
        <v>1062</v>
      </c>
      <c r="B136" s="66" t="s">
        <v>26</v>
      </c>
      <c r="C136" s="66" t="s">
        <v>1062</v>
      </c>
      <c r="D136" s="66" t="s">
        <v>1702</v>
      </c>
      <c r="E136" s="68" t="s">
        <v>1703</v>
      </c>
      <c r="F136" s="66" t="s">
        <v>1704</v>
      </c>
      <c r="G136" s="71">
        <v>20912</v>
      </c>
      <c r="H136" s="73"/>
      <c r="I136" s="75">
        <v>0.2</v>
      </c>
      <c r="J136" s="77"/>
      <c r="K136" s="66"/>
      <c r="L136" s="66"/>
      <c r="M136" s="79" t="str">
        <f>HYPERLINK("http://www.pristavka.com/catalog/abystyle/ABY332/")</f>
        <v>http://www.pristavka.com/catalog/abystyle/ABY332/</v>
      </c>
      <c r="N136" s="71">
        <v>34299</v>
      </c>
      <c r="O136" s="66" t="s">
        <v>28</v>
      </c>
      <c r="P136" s="82" t="s">
        <v>1705</v>
      </c>
      <c r="Q136" s="84" t="s">
        <v>1096</v>
      </c>
      <c r="R136" s="84" t="s">
        <v>1068</v>
      </c>
      <c r="S136" s="84">
        <v>0.35</v>
      </c>
      <c r="T136" s="82" t="s">
        <v>1706</v>
      </c>
      <c r="U136" s="84"/>
      <c r="V136" s="54"/>
    </row>
    <row r="137" spans="1:22" s="11" customFormat="1" ht="45" customHeight="1" x14ac:dyDescent="0.2">
      <c r="A137" s="66" t="s">
        <v>1062</v>
      </c>
      <c r="B137" s="66" t="s">
        <v>1707</v>
      </c>
      <c r="C137" s="66" t="s">
        <v>1062</v>
      </c>
      <c r="D137" s="66" t="s">
        <v>1708</v>
      </c>
      <c r="E137" s="68" t="s">
        <v>1709</v>
      </c>
      <c r="F137" s="66" t="s">
        <v>1710</v>
      </c>
      <c r="G137" s="71">
        <v>30293</v>
      </c>
      <c r="H137" s="73"/>
      <c r="I137" s="75">
        <v>0.2</v>
      </c>
      <c r="J137" s="77"/>
      <c r="K137" s="66"/>
      <c r="L137" s="66"/>
      <c r="M137" s="79" t="str">
        <f>HYPERLINK("http://www.pristavka.com/catalog/ABYstyle/ABY579/")</f>
        <v>http://www.pristavka.com/catalog/ABYstyle/ABY579/</v>
      </c>
      <c r="N137" s="71">
        <v>45999</v>
      </c>
      <c r="O137" s="66" t="s">
        <v>27</v>
      </c>
      <c r="P137" s="82" t="s">
        <v>1711</v>
      </c>
      <c r="Q137" s="84" t="s">
        <v>1096</v>
      </c>
      <c r="R137" s="84" t="s">
        <v>1068</v>
      </c>
      <c r="S137" s="84">
        <v>0.72</v>
      </c>
      <c r="T137" s="82" t="s">
        <v>1712</v>
      </c>
      <c r="U137" s="84"/>
      <c r="V137" s="54"/>
    </row>
    <row r="138" spans="1:22" s="11" customFormat="1" ht="45" customHeight="1" x14ac:dyDescent="0.2">
      <c r="A138" s="66" t="s">
        <v>1062</v>
      </c>
      <c r="B138" s="66" t="s">
        <v>1707</v>
      </c>
      <c r="C138" s="66" t="s">
        <v>1062</v>
      </c>
      <c r="D138" s="66" t="s">
        <v>1713</v>
      </c>
      <c r="E138" s="68" t="s">
        <v>1714</v>
      </c>
      <c r="F138" s="66" t="s">
        <v>1715</v>
      </c>
      <c r="G138" s="71">
        <v>16697</v>
      </c>
      <c r="H138" s="73"/>
      <c r="I138" s="75">
        <v>0.2</v>
      </c>
      <c r="J138" s="77"/>
      <c r="K138" s="66"/>
      <c r="L138" s="66"/>
      <c r="M138" s="79" t="str">
        <f>HYPERLINK("http://www.pristavka.com/catalog/ABYstyle/ABY803/")</f>
        <v>http://www.pristavka.com/catalog/ABYstyle/ABY803/</v>
      </c>
      <c r="N138" s="71">
        <v>25399</v>
      </c>
      <c r="O138" s="66" t="s">
        <v>27</v>
      </c>
      <c r="P138" s="82" t="s">
        <v>1716</v>
      </c>
      <c r="Q138" s="84" t="s">
        <v>1717</v>
      </c>
      <c r="R138" s="84" t="s">
        <v>1315</v>
      </c>
      <c r="S138" s="84">
        <v>0.188</v>
      </c>
      <c r="T138" s="82" t="s">
        <v>1718</v>
      </c>
      <c r="U138" s="84"/>
      <c r="V138" s="54"/>
    </row>
    <row r="139" spans="1:22" s="11" customFormat="1" ht="45" customHeight="1" x14ac:dyDescent="0.2">
      <c r="A139" s="66" t="s">
        <v>1062</v>
      </c>
      <c r="B139" s="66" t="s">
        <v>26</v>
      </c>
      <c r="C139" s="66" t="s">
        <v>1062</v>
      </c>
      <c r="D139" s="66" t="s">
        <v>1719</v>
      </c>
      <c r="E139" s="68" t="s">
        <v>1720</v>
      </c>
      <c r="F139" s="66" t="s">
        <v>1721</v>
      </c>
      <c r="G139" s="71">
        <v>7701</v>
      </c>
      <c r="H139" s="73"/>
      <c r="I139" s="75">
        <v>0.2</v>
      </c>
      <c r="J139" s="77"/>
      <c r="K139" s="66"/>
      <c r="L139" s="66"/>
      <c r="M139" s="79" t="str">
        <f>HYPERLINK("http://www.pristavka.com/catalog/ABYstyle/ABY762/")</f>
        <v>http://www.pristavka.com/catalog/ABYstyle/ABY762/</v>
      </c>
      <c r="N139" s="71">
        <v>12699</v>
      </c>
      <c r="O139" s="66" t="s">
        <v>27</v>
      </c>
      <c r="P139" s="82" t="s">
        <v>1722</v>
      </c>
      <c r="Q139" s="84" t="s">
        <v>1723</v>
      </c>
      <c r="R139" s="84" t="s">
        <v>1315</v>
      </c>
      <c r="S139" s="84">
        <v>0.28199999999999997</v>
      </c>
      <c r="T139" s="82" t="s">
        <v>1724</v>
      </c>
      <c r="U139" s="84"/>
      <c r="V139" s="54"/>
    </row>
    <row r="140" spans="1:22" s="11" customFormat="1" ht="45" customHeight="1" x14ac:dyDescent="0.2">
      <c r="A140" s="66" t="s">
        <v>1062</v>
      </c>
      <c r="B140" s="66" t="s">
        <v>26</v>
      </c>
      <c r="C140" s="66" t="s">
        <v>1062</v>
      </c>
      <c r="D140" s="66" t="s">
        <v>1725</v>
      </c>
      <c r="E140" s="68" t="s">
        <v>1726</v>
      </c>
      <c r="F140" s="66" t="s">
        <v>1727</v>
      </c>
      <c r="G140" s="71">
        <v>7701</v>
      </c>
      <c r="H140" s="73"/>
      <c r="I140" s="75">
        <v>0.2</v>
      </c>
      <c r="J140" s="77"/>
      <c r="K140" s="66"/>
      <c r="L140" s="66"/>
      <c r="M140" s="79" t="str">
        <f>HYPERLINK("http://www.pristavka.com/catalog/ABYstyle/ABY763/")</f>
        <v>http://www.pristavka.com/catalog/ABYstyle/ABY763/</v>
      </c>
      <c r="N140" s="71">
        <v>12699</v>
      </c>
      <c r="O140" s="66" t="s">
        <v>27</v>
      </c>
      <c r="P140" s="82" t="s">
        <v>1728</v>
      </c>
      <c r="Q140" s="84" t="s">
        <v>1723</v>
      </c>
      <c r="R140" s="84" t="s">
        <v>1315</v>
      </c>
      <c r="S140" s="84">
        <v>0.23200000000000001</v>
      </c>
      <c r="T140" s="82" t="s">
        <v>1724</v>
      </c>
      <c r="U140" s="84"/>
      <c r="V140" s="54"/>
    </row>
    <row r="141" spans="1:22" s="11" customFormat="1" ht="45" customHeight="1" x14ac:dyDescent="0.2">
      <c r="A141" s="66" t="s">
        <v>1062</v>
      </c>
      <c r="B141" s="66" t="s">
        <v>26</v>
      </c>
      <c r="C141" s="66" t="s">
        <v>1062</v>
      </c>
      <c r="D141" s="66" t="s">
        <v>1729</v>
      </c>
      <c r="E141" s="68" t="s">
        <v>1730</v>
      </c>
      <c r="F141" s="66" t="s">
        <v>1731</v>
      </c>
      <c r="G141" s="71">
        <v>7701</v>
      </c>
      <c r="H141" s="73"/>
      <c r="I141" s="75">
        <v>0.2</v>
      </c>
      <c r="J141" s="77"/>
      <c r="K141" s="66"/>
      <c r="L141" s="66"/>
      <c r="M141" s="79" t="str">
        <f>HYPERLINK("http://www.pristavka.com/catalog/ABYstyle/ABY761/")</f>
        <v>http://www.pristavka.com/catalog/ABYstyle/ABY761/</v>
      </c>
      <c r="N141" s="71">
        <v>12699</v>
      </c>
      <c r="O141" s="66" t="s">
        <v>27</v>
      </c>
      <c r="P141" s="82" t="s">
        <v>1732</v>
      </c>
      <c r="Q141" s="84" t="s">
        <v>1733</v>
      </c>
      <c r="R141" s="84" t="s">
        <v>1315</v>
      </c>
      <c r="S141" s="84">
        <v>0.18</v>
      </c>
      <c r="T141" s="82" t="s">
        <v>1724</v>
      </c>
      <c r="U141" s="84"/>
      <c r="V141" s="54"/>
    </row>
    <row r="142" spans="1:22" s="11" customFormat="1" ht="45" customHeight="1" x14ac:dyDescent="0.2">
      <c r="A142" s="66" t="s">
        <v>1062</v>
      </c>
      <c r="B142" s="66" t="s">
        <v>26</v>
      </c>
      <c r="C142" s="66" t="s">
        <v>1062</v>
      </c>
      <c r="D142" s="66" t="s">
        <v>1734</v>
      </c>
      <c r="E142" s="68" t="s">
        <v>1735</v>
      </c>
      <c r="F142" s="66" t="s">
        <v>1736</v>
      </c>
      <c r="G142" s="71">
        <v>7701</v>
      </c>
      <c r="H142" s="73"/>
      <c r="I142" s="75">
        <v>0.2</v>
      </c>
      <c r="J142" s="77"/>
      <c r="K142" s="66"/>
      <c r="L142" s="66"/>
      <c r="M142" s="79" t="str">
        <f>HYPERLINK("http://www.pristavka.com/catalog/ABYstyle/ABY764/")</f>
        <v>http://www.pristavka.com/catalog/ABYstyle/ABY764/</v>
      </c>
      <c r="N142" s="71">
        <v>12699</v>
      </c>
      <c r="O142" s="66" t="s">
        <v>27</v>
      </c>
      <c r="P142" s="82" t="s">
        <v>1737</v>
      </c>
      <c r="Q142" s="84" t="s">
        <v>1738</v>
      </c>
      <c r="R142" s="84" t="s">
        <v>1315</v>
      </c>
      <c r="S142" s="84">
        <v>0.20100000000000001</v>
      </c>
      <c r="T142" s="82" t="s">
        <v>1724</v>
      </c>
      <c r="U142" s="84"/>
      <c r="V142" s="54"/>
    </row>
    <row r="143" spans="1:22" s="11" customFormat="1" ht="45" customHeight="1" x14ac:dyDescent="0.2">
      <c r="A143" s="66" t="s">
        <v>1062</v>
      </c>
      <c r="B143" s="66" t="s">
        <v>26</v>
      </c>
      <c r="C143" s="66" t="s">
        <v>1062</v>
      </c>
      <c r="D143" s="66" t="s">
        <v>1739</v>
      </c>
      <c r="E143" s="68" t="s">
        <v>1740</v>
      </c>
      <c r="F143" s="66" t="s">
        <v>1741</v>
      </c>
      <c r="G143" s="71">
        <v>7701</v>
      </c>
      <c r="H143" s="73"/>
      <c r="I143" s="75">
        <v>0.2</v>
      </c>
      <c r="J143" s="77"/>
      <c r="K143" s="66"/>
      <c r="L143" s="66"/>
      <c r="M143" s="79" t="str">
        <f>HYPERLINK("http://www.pristavka.com/catalog/ABYstyle/ABY765/")</f>
        <v>http://www.pristavka.com/catalog/ABYstyle/ABY765/</v>
      </c>
      <c r="N143" s="71">
        <v>12699</v>
      </c>
      <c r="O143" s="66" t="s">
        <v>27</v>
      </c>
      <c r="P143" s="82" t="s">
        <v>1742</v>
      </c>
      <c r="Q143" s="84" t="s">
        <v>1738</v>
      </c>
      <c r="R143" s="84" t="s">
        <v>1315</v>
      </c>
      <c r="S143" s="84">
        <v>0.20300000000000001</v>
      </c>
      <c r="T143" s="82" t="s">
        <v>1743</v>
      </c>
      <c r="U143" s="84"/>
      <c r="V143" s="54"/>
    </row>
    <row r="144" spans="1:22" s="11" customFormat="1" ht="45" customHeight="1" x14ac:dyDescent="0.2">
      <c r="A144" s="66" t="s">
        <v>1062</v>
      </c>
      <c r="B144" s="66" t="s">
        <v>26</v>
      </c>
      <c r="C144" s="66" t="s">
        <v>1062</v>
      </c>
      <c r="D144" s="66" t="s">
        <v>1744</v>
      </c>
      <c r="E144" s="68" t="s">
        <v>1745</v>
      </c>
      <c r="F144" s="66" t="s">
        <v>1746</v>
      </c>
      <c r="G144" s="71">
        <v>24367</v>
      </c>
      <c r="H144" s="73"/>
      <c r="I144" s="75">
        <v>0.2</v>
      </c>
      <c r="J144" s="77"/>
      <c r="K144" s="66"/>
      <c r="L144" s="66"/>
      <c r="M144" s="79" t="str">
        <f>HYPERLINK("http://www.pristavka.com/catalog/ABYstyle/ABY678/")</f>
        <v>http://www.pristavka.com/catalog/ABYstyle/ABY678/</v>
      </c>
      <c r="N144" s="71">
        <v>36999</v>
      </c>
      <c r="O144" s="66" t="s">
        <v>27</v>
      </c>
      <c r="P144" s="82" t="s">
        <v>1747</v>
      </c>
      <c r="Q144" s="84" t="s">
        <v>1068</v>
      </c>
      <c r="R144" s="84" t="s">
        <v>1068</v>
      </c>
      <c r="S144" s="84">
        <v>0.255</v>
      </c>
      <c r="T144" s="82" t="s">
        <v>1748</v>
      </c>
      <c r="U144" s="84"/>
      <c r="V144" s="54"/>
    </row>
    <row r="145" spans="1:22" s="11" customFormat="1" ht="45" customHeight="1" x14ac:dyDescent="0.2">
      <c r="A145" s="66" t="s">
        <v>1062</v>
      </c>
      <c r="B145" s="66" t="s">
        <v>1707</v>
      </c>
      <c r="C145" s="66" t="s">
        <v>1062</v>
      </c>
      <c r="D145" s="66" t="s">
        <v>1749</v>
      </c>
      <c r="E145" s="68" t="s">
        <v>1750</v>
      </c>
      <c r="F145" s="66" t="s">
        <v>1751</v>
      </c>
      <c r="G145" s="71">
        <v>23321</v>
      </c>
      <c r="H145" s="73"/>
      <c r="I145" s="75">
        <v>0.2</v>
      </c>
      <c r="J145" s="77"/>
      <c r="K145" s="66"/>
      <c r="L145" s="66"/>
      <c r="M145" s="79" t="str">
        <f>HYPERLINK("http://www.pristavka.com/catalog/ABYstyle/ABY804/")</f>
        <v>http://www.pristavka.com/catalog/ABYstyle/ABY804/</v>
      </c>
      <c r="N145" s="71">
        <v>35399</v>
      </c>
      <c r="O145" s="66" t="s">
        <v>27</v>
      </c>
      <c r="P145" s="82" t="s">
        <v>1752</v>
      </c>
      <c r="Q145" s="84" t="s">
        <v>1102</v>
      </c>
      <c r="R145" s="84" t="s">
        <v>1103</v>
      </c>
      <c r="S145" s="84">
        <v>0.22</v>
      </c>
      <c r="T145" s="82" t="s">
        <v>1748</v>
      </c>
      <c r="U145" s="84"/>
      <c r="V145" s="54"/>
    </row>
    <row r="146" spans="1:22" s="11" customFormat="1" ht="45" customHeight="1" x14ac:dyDescent="0.2">
      <c r="A146" s="66" t="s">
        <v>1062</v>
      </c>
      <c r="B146" s="66" t="s">
        <v>1707</v>
      </c>
      <c r="C146" s="66" t="s">
        <v>1062</v>
      </c>
      <c r="D146" s="66" t="s">
        <v>1753</v>
      </c>
      <c r="E146" s="68" t="s">
        <v>1754</v>
      </c>
      <c r="F146" s="66" t="s">
        <v>1755</v>
      </c>
      <c r="G146" s="71">
        <v>16079</v>
      </c>
      <c r="H146" s="73"/>
      <c r="I146" s="75">
        <v>0.2</v>
      </c>
      <c r="J146" s="77"/>
      <c r="K146" s="66"/>
      <c r="L146" s="66"/>
      <c r="M146" s="79" t="str">
        <f>HYPERLINK("http://www.pristavka.com/catalog/ABYstyle/ABY577/")</f>
        <v>http://www.pristavka.com/catalog/ABYstyle/ABY577/</v>
      </c>
      <c r="N146" s="71">
        <v>26399</v>
      </c>
      <c r="O146" s="66" t="s">
        <v>27</v>
      </c>
      <c r="P146" s="82" t="s">
        <v>1756</v>
      </c>
      <c r="Q146" s="84" t="s">
        <v>1436</v>
      </c>
      <c r="R146" s="84" t="s">
        <v>1068</v>
      </c>
      <c r="S146" s="84">
        <v>0.27900000000000003</v>
      </c>
      <c r="T146" s="82" t="s">
        <v>1706</v>
      </c>
      <c r="U146" s="84"/>
      <c r="V146" s="54"/>
    </row>
    <row r="147" spans="1:22" s="11" customFormat="1" ht="45" customHeight="1" x14ac:dyDescent="0.2">
      <c r="A147" s="66" t="s">
        <v>1062</v>
      </c>
      <c r="B147" s="66" t="s">
        <v>26</v>
      </c>
      <c r="C147" s="66" t="s">
        <v>1062</v>
      </c>
      <c r="D147" s="66" t="s">
        <v>1757</v>
      </c>
      <c r="E147" s="68" t="s">
        <v>1758</v>
      </c>
      <c r="F147" s="66" t="s">
        <v>1759</v>
      </c>
      <c r="G147" s="71">
        <v>16079</v>
      </c>
      <c r="H147" s="73"/>
      <c r="I147" s="75">
        <v>0.2</v>
      </c>
      <c r="J147" s="77"/>
      <c r="K147" s="66"/>
      <c r="L147" s="66"/>
      <c r="M147" s="79" t="str">
        <f>HYPERLINK("http://www.pristavka.com/catalog/ABYstyle/ABY671/")</f>
        <v>http://www.pristavka.com/catalog/ABYstyle/ABY671/</v>
      </c>
      <c r="N147" s="71">
        <v>26399</v>
      </c>
      <c r="O147" s="66" t="s">
        <v>27</v>
      </c>
      <c r="P147" s="82" t="s">
        <v>1760</v>
      </c>
      <c r="Q147" s="84" t="s">
        <v>1436</v>
      </c>
      <c r="R147" s="84" t="s">
        <v>1068</v>
      </c>
      <c r="S147" s="84">
        <v>0.22</v>
      </c>
      <c r="T147" s="82" t="s">
        <v>1748</v>
      </c>
      <c r="U147" s="84"/>
      <c r="V147" s="54"/>
    </row>
    <row r="148" spans="1:22" s="11" customFormat="1" ht="45" customHeight="1" x14ac:dyDescent="0.2">
      <c r="A148" s="66" t="s">
        <v>1062</v>
      </c>
      <c r="B148" s="66" t="s">
        <v>26</v>
      </c>
      <c r="C148" s="66" t="s">
        <v>1062</v>
      </c>
      <c r="D148" s="66" t="s">
        <v>1761</v>
      </c>
      <c r="E148" s="68" t="s">
        <v>1762</v>
      </c>
      <c r="F148" s="66" t="s">
        <v>1763</v>
      </c>
      <c r="G148" s="71">
        <v>18657</v>
      </c>
      <c r="H148" s="73"/>
      <c r="I148" s="75">
        <v>0.2</v>
      </c>
      <c r="J148" s="77"/>
      <c r="K148" s="66"/>
      <c r="L148" s="66"/>
      <c r="M148" s="79" t="str">
        <f>HYPERLINK("http://www.pristavka.com/catalog/ABYstyle/ABY776/")</f>
        <v>http://www.pristavka.com/catalog/ABYstyle/ABY776/</v>
      </c>
      <c r="N148" s="71">
        <v>30599</v>
      </c>
      <c r="O148" s="66" t="s">
        <v>27</v>
      </c>
      <c r="P148" s="82" t="s">
        <v>1764</v>
      </c>
      <c r="Q148" s="84" t="s">
        <v>1765</v>
      </c>
      <c r="R148" s="84" t="s">
        <v>1765</v>
      </c>
      <c r="S148" s="84">
        <v>0.25900000000000001</v>
      </c>
      <c r="T148" s="82" t="s">
        <v>1766</v>
      </c>
      <c r="U148" s="84"/>
      <c r="V148" s="54"/>
    </row>
    <row r="149" spans="1:22" s="11" customFormat="1" ht="45" customHeight="1" x14ac:dyDescent="0.2">
      <c r="A149" s="66" t="s">
        <v>1062</v>
      </c>
      <c r="B149" s="66" t="s">
        <v>1707</v>
      </c>
      <c r="C149" s="66" t="s">
        <v>1062</v>
      </c>
      <c r="D149" s="66" t="s">
        <v>1767</v>
      </c>
      <c r="E149" s="68" t="s">
        <v>1768</v>
      </c>
      <c r="F149" s="66" t="s">
        <v>1769</v>
      </c>
      <c r="G149" s="71">
        <v>26807</v>
      </c>
      <c r="H149" s="73"/>
      <c r="I149" s="75">
        <v>0.2</v>
      </c>
      <c r="J149" s="77"/>
      <c r="K149" s="66"/>
      <c r="L149" s="66"/>
      <c r="M149" s="79" t="str">
        <f>HYPERLINK("http://www.pristavka.com/catalog/ABYstyle/ABY805/")</f>
        <v>http://www.pristavka.com/catalog/ABYstyle/ABY805/</v>
      </c>
      <c r="N149" s="71">
        <v>40699</v>
      </c>
      <c r="O149" s="66" t="s">
        <v>27</v>
      </c>
      <c r="P149" s="82" t="s">
        <v>1770</v>
      </c>
      <c r="Q149" s="84" t="s">
        <v>1314</v>
      </c>
      <c r="R149" s="84" t="s">
        <v>1315</v>
      </c>
      <c r="S149" s="84">
        <v>0.42599999999999999</v>
      </c>
      <c r="T149" s="82" t="s">
        <v>1771</v>
      </c>
      <c r="U149" s="84"/>
      <c r="V149" s="54"/>
    </row>
    <row r="150" spans="1:22" s="11" customFormat="1" ht="45" customHeight="1" x14ac:dyDescent="0.2">
      <c r="A150" s="66" t="s">
        <v>1062</v>
      </c>
      <c r="B150" s="66" t="s">
        <v>26</v>
      </c>
      <c r="C150" s="66" t="s">
        <v>1062</v>
      </c>
      <c r="D150" s="66" t="s">
        <v>1772</v>
      </c>
      <c r="E150" s="68" t="s">
        <v>1773</v>
      </c>
      <c r="F150" s="66" t="s">
        <v>1774</v>
      </c>
      <c r="G150" s="71">
        <v>16000</v>
      </c>
      <c r="H150" s="73"/>
      <c r="I150" s="75">
        <v>0.2</v>
      </c>
      <c r="J150" s="77"/>
      <c r="K150" s="66"/>
      <c r="L150" s="66"/>
      <c r="M150" s="79" t="str">
        <f>HYPERLINK("http://www.pristavka.com/catalog/ABYstyle/ABY674/")</f>
        <v>http://www.pristavka.com/catalog/ABYstyle/ABY674/</v>
      </c>
      <c r="N150" s="71">
        <v>24299</v>
      </c>
      <c r="O150" s="66" t="s">
        <v>27</v>
      </c>
      <c r="P150" s="82" t="s">
        <v>1775</v>
      </c>
      <c r="Q150" s="84" t="s">
        <v>1068</v>
      </c>
      <c r="R150" s="84" t="s">
        <v>1068</v>
      </c>
      <c r="S150" s="84">
        <v>0.28000000000000003</v>
      </c>
      <c r="T150" s="82" t="s">
        <v>1748</v>
      </c>
      <c r="U150" s="84"/>
      <c r="V150" s="54"/>
    </row>
    <row r="151" spans="1:22" s="11" customFormat="1" ht="45" customHeight="1" x14ac:dyDescent="0.2">
      <c r="A151" s="66" t="s">
        <v>1062</v>
      </c>
      <c r="B151" s="66" t="s">
        <v>26</v>
      </c>
      <c r="C151" s="66" t="s">
        <v>1062</v>
      </c>
      <c r="D151" s="66" t="s">
        <v>1776</v>
      </c>
      <c r="E151" s="68" t="s">
        <v>1777</v>
      </c>
      <c r="F151" s="66" t="s">
        <v>1778</v>
      </c>
      <c r="G151" s="71">
        <v>14790</v>
      </c>
      <c r="H151" s="73"/>
      <c r="I151" s="75">
        <v>0.2</v>
      </c>
      <c r="J151" s="77"/>
      <c r="K151" s="66"/>
      <c r="L151" s="66"/>
      <c r="M151" s="79" t="str">
        <f>HYPERLINK("http://www.pristavka.com/catalog/ABYstyle/ABY675/")</f>
        <v>http://www.pristavka.com/catalog/ABYstyle/ABY675/</v>
      </c>
      <c r="N151" s="71">
        <v>24299</v>
      </c>
      <c r="O151" s="66" t="s">
        <v>27</v>
      </c>
      <c r="P151" s="82" t="s">
        <v>1779</v>
      </c>
      <c r="Q151" s="84" t="s">
        <v>1068</v>
      </c>
      <c r="R151" s="84" t="s">
        <v>1068</v>
      </c>
      <c r="S151" s="84">
        <v>0.34499999999999997</v>
      </c>
      <c r="T151" s="82" t="s">
        <v>1780</v>
      </c>
      <c r="U151" s="84"/>
      <c r="V151" s="54"/>
    </row>
    <row r="152" spans="1:22" s="11" customFormat="1" ht="45" customHeight="1" x14ac:dyDescent="0.2">
      <c r="A152" s="66" t="s">
        <v>1062</v>
      </c>
      <c r="B152" s="66" t="s">
        <v>26</v>
      </c>
      <c r="C152" s="66" t="s">
        <v>1062</v>
      </c>
      <c r="D152" s="66" t="s">
        <v>1781</v>
      </c>
      <c r="E152" s="68" t="s">
        <v>1782</v>
      </c>
      <c r="F152" s="66" t="s">
        <v>1783</v>
      </c>
      <c r="G152" s="71">
        <v>12535</v>
      </c>
      <c r="H152" s="73"/>
      <c r="I152" s="75">
        <v>0.2</v>
      </c>
      <c r="J152" s="77"/>
      <c r="K152" s="66"/>
      <c r="L152" s="66"/>
      <c r="M152" s="79" t="str">
        <f>HYPERLINK("http://www.pristavka.com/catalog/ABYstyle/ABY677/")</f>
        <v>http://www.pristavka.com/catalog/ABYstyle/ABY677/</v>
      </c>
      <c r="N152" s="71">
        <v>20599</v>
      </c>
      <c r="O152" s="66" t="s">
        <v>27</v>
      </c>
      <c r="P152" s="82" t="s">
        <v>1784</v>
      </c>
      <c r="Q152" s="84" t="s">
        <v>1314</v>
      </c>
      <c r="R152" s="84" t="s">
        <v>1315</v>
      </c>
      <c r="S152" s="84">
        <v>0.28000000000000003</v>
      </c>
      <c r="T152" s="82" t="s">
        <v>1785</v>
      </c>
      <c r="U152" s="84"/>
      <c r="V152" s="54"/>
    </row>
    <row r="153" spans="1:22" s="11" customFormat="1" ht="45" customHeight="1" x14ac:dyDescent="0.2">
      <c r="A153" s="66" t="s">
        <v>1062</v>
      </c>
      <c r="B153" s="66" t="s">
        <v>26</v>
      </c>
      <c r="C153" s="66" t="s">
        <v>1062</v>
      </c>
      <c r="D153" s="66" t="s">
        <v>1786</v>
      </c>
      <c r="E153" s="68" t="s">
        <v>1787</v>
      </c>
      <c r="F153" s="66" t="s">
        <v>1788</v>
      </c>
      <c r="G153" s="71">
        <v>19946</v>
      </c>
      <c r="H153" s="73"/>
      <c r="I153" s="75">
        <v>0.2</v>
      </c>
      <c r="J153" s="77"/>
      <c r="K153" s="66"/>
      <c r="L153" s="66"/>
      <c r="M153" s="79" t="str">
        <f>HYPERLINK("http://www.pristavka.com/catalog/ABYstyle/ABY737/")</f>
        <v>http://www.pristavka.com/catalog/ABYstyle/ABY737/</v>
      </c>
      <c r="N153" s="71">
        <v>32699</v>
      </c>
      <c r="O153" s="66" t="s">
        <v>27</v>
      </c>
      <c r="P153" s="82" t="s">
        <v>1789</v>
      </c>
      <c r="Q153" s="84" t="s">
        <v>1117</v>
      </c>
      <c r="R153" s="84" t="s">
        <v>1068</v>
      </c>
      <c r="S153" s="84">
        <v>0.32</v>
      </c>
      <c r="T153" s="82" t="s">
        <v>1790</v>
      </c>
      <c r="U153" s="84"/>
      <c r="V153" s="54"/>
    </row>
    <row r="154" spans="1:22" s="11" customFormat="1" ht="45" customHeight="1" x14ac:dyDescent="0.2">
      <c r="A154" s="66" t="s">
        <v>1062</v>
      </c>
      <c r="B154" s="66" t="s">
        <v>1707</v>
      </c>
      <c r="C154" s="66" t="s">
        <v>1062</v>
      </c>
      <c r="D154" s="66" t="s">
        <v>1791</v>
      </c>
      <c r="E154" s="68" t="s">
        <v>1792</v>
      </c>
      <c r="F154" s="66" t="s">
        <v>1793</v>
      </c>
      <c r="G154" s="71">
        <v>21234</v>
      </c>
      <c r="H154" s="73"/>
      <c r="I154" s="75">
        <v>0.2</v>
      </c>
      <c r="J154" s="77"/>
      <c r="K154" s="66"/>
      <c r="L154" s="66"/>
      <c r="M154" s="79" t="str">
        <f>HYPERLINK("http://www.pristavka.com/catalog/ABYstyle/ABY621/")</f>
        <v>http://www.pristavka.com/catalog/ABYstyle/ABY621/</v>
      </c>
      <c r="N154" s="71">
        <v>34899</v>
      </c>
      <c r="O154" s="66" t="s">
        <v>27</v>
      </c>
      <c r="P154" s="82" t="s">
        <v>1794</v>
      </c>
      <c r="Q154" s="84" t="s">
        <v>1096</v>
      </c>
      <c r="R154" s="84" t="s">
        <v>1068</v>
      </c>
      <c r="S154" s="84">
        <v>0.23599999999999999</v>
      </c>
      <c r="T154" s="82" t="s">
        <v>1748</v>
      </c>
      <c r="U154" s="84"/>
      <c r="V154" s="54"/>
    </row>
    <row r="155" spans="1:22" s="11" customFormat="1" ht="45" customHeight="1" x14ac:dyDescent="0.2">
      <c r="A155" s="66" t="s">
        <v>1062</v>
      </c>
      <c r="B155" s="66" t="s">
        <v>26</v>
      </c>
      <c r="C155" s="66" t="s">
        <v>1062</v>
      </c>
      <c r="D155" s="66" t="s">
        <v>1795</v>
      </c>
      <c r="E155" s="68" t="s">
        <v>1796</v>
      </c>
      <c r="F155" s="66" t="s">
        <v>1797</v>
      </c>
      <c r="G155" s="71">
        <v>25745</v>
      </c>
      <c r="H155" s="73"/>
      <c r="I155" s="75">
        <v>0.2</v>
      </c>
      <c r="J155" s="77"/>
      <c r="K155" s="66"/>
      <c r="L155" s="66"/>
      <c r="M155" s="79" t="str">
        <f>HYPERLINK("http://www.pristavka.com/catalog/ABYstyle/ABY778/")</f>
        <v>http://www.pristavka.com/catalog/ABYstyle/ABY778/</v>
      </c>
      <c r="N155" s="71">
        <v>42299</v>
      </c>
      <c r="O155" s="66" t="s">
        <v>27</v>
      </c>
      <c r="P155" s="82" t="s">
        <v>1798</v>
      </c>
      <c r="Q155" s="84" t="s">
        <v>1297</v>
      </c>
      <c r="R155" s="84" t="s">
        <v>1298</v>
      </c>
      <c r="S155" s="84">
        <v>0.56200000000000006</v>
      </c>
      <c r="T155" s="82" t="s">
        <v>1799</v>
      </c>
      <c r="U155" s="84"/>
      <c r="V155" s="54"/>
    </row>
    <row r="156" spans="1:22" s="11" customFormat="1" ht="45" customHeight="1" x14ac:dyDescent="0.2">
      <c r="A156" s="66" t="s">
        <v>1062</v>
      </c>
      <c r="B156" s="66" t="s">
        <v>26</v>
      </c>
      <c r="C156" s="66" t="s">
        <v>1062</v>
      </c>
      <c r="D156" s="66" t="s">
        <v>1800</v>
      </c>
      <c r="E156" s="68" t="s">
        <v>1801</v>
      </c>
      <c r="F156" s="66" t="s">
        <v>1802</v>
      </c>
      <c r="G156" s="71">
        <v>24367</v>
      </c>
      <c r="H156" s="73"/>
      <c r="I156" s="75">
        <v>0.2</v>
      </c>
      <c r="J156" s="77"/>
      <c r="K156" s="66"/>
      <c r="L156" s="66"/>
      <c r="M156" s="79" t="str">
        <f>HYPERLINK("http://www.pristavka.com/catalog/ABYstyle/ABY649/")</f>
        <v>http://www.pristavka.com/catalog/ABYstyle/ABY649/</v>
      </c>
      <c r="N156" s="71">
        <v>36999</v>
      </c>
      <c r="O156" s="66" t="s">
        <v>27</v>
      </c>
      <c r="P156" s="82" t="s">
        <v>1803</v>
      </c>
      <c r="Q156" s="84" t="s">
        <v>1297</v>
      </c>
      <c r="R156" s="84" t="s">
        <v>1298</v>
      </c>
      <c r="S156" s="84">
        <v>0.47499999999999998</v>
      </c>
      <c r="T156" s="82" t="s">
        <v>1780</v>
      </c>
      <c r="U156" s="84"/>
      <c r="V156" s="54"/>
    </row>
    <row r="157" spans="1:22" s="11" customFormat="1" ht="45" customHeight="1" x14ac:dyDescent="0.2">
      <c r="A157" s="66" t="s">
        <v>1062</v>
      </c>
      <c r="B157" s="66" t="s">
        <v>26</v>
      </c>
      <c r="C157" s="66" t="s">
        <v>1062</v>
      </c>
      <c r="D157" s="66" t="s">
        <v>1804</v>
      </c>
      <c r="E157" s="68" t="s">
        <v>1805</v>
      </c>
      <c r="F157" s="66" t="s">
        <v>1806</v>
      </c>
      <c r="G157" s="71">
        <v>24367</v>
      </c>
      <c r="H157" s="73"/>
      <c r="I157" s="75">
        <v>0.2</v>
      </c>
      <c r="J157" s="77"/>
      <c r="K157" s="66"/>
      <c r="L157" s="66"/>
      <c r="M157" s="79" t="str">
        <f>HYPERLINK("http://www.pristavka.com/catalog/ABYstyle/ABY648/")</f>
        <v>http://www.pristavka.com/catalog/ABYstyle/ABY648/</v>
      </c>
      <c r="N157" s="71">
        <v>36999</v>
      </c>
      <c r="O157" s="66" t="s">
        <v>27</v>
      </c>
      <c r="P157" s="82" t="s">
        <v>1807</v>
      </c>
      <c r="Q157" s="84" t="s">
        <v>1297</v>
      </c>
      <c r="R157" s="84" t="s">
        <v>1298</v>
      </c>
      <c r="S157" s="84">
        <v>0.46500000000000002</v>
      </c>
      <c r="T157" s="82" t="s">
        <v>1780</v>
      </c>
      <c r="U157" s="84"/>
      <c r="V157" s="54"/>
    </row>
    <row r="158" spans="1:22" s="11" customFormat="1" ht="45" customHeight="1" x14ac:dyDescent="0.2">
      <c r="A158" s="66" t="s">
        <v>1062</v>
      </c>
      <c r="B158" s="66" t="s">
        <v>26</v>
      </c>
      <c r="C158" s="66" t="s">
        <v>1062</v>
      </c>
      <c r="D158" s="66" t="s">
        <v>1808</v>
      </c>
      <c r="E158" s="68" t="s">
        <v>1809</v>
      </c>
      <c r="F158" s="66" t="s">
        <v>1810</v>
      </c>
      <c r="G158" s="71">
        <v>25745</v>
      </c>
      <c r="H158" s="73"/>
      <c r="I158" s="75">
        <v>0.2</v>
      </c>
      <c r="J158" s="77"/>
      <c r="K158" s="66"/>
      <c r="L158" s="66"/>
      <c r="M158" s="79" t="str">
        <f>HYPERLINK("http://www.pristavka.com/catalog/ABYstyle/ABY777/")</f>
        <v>http://www.pristavka.com/catalog/ABYstyle/ABY777/</v>
      </c>
      <c r="N158" s="71">
        <v>42299</v>
      </c>
      <c r="O158" s="66" t="s">
        <v>27</v>
      </c>
      <c r="P158" s="82" t="s">
        <v>1811</v>
      </c>
      <c r="Q158" s="84" t="s">
        <v>1297</v>
      </c>
      <c r="R158" s="84" t="s">
        <v>1298</v>
      </c>
      <c r="S158" s="84">
        <v>0.44400000000000001</v>
      </c>
      <c r="T158" s="82" t="s">
        <v>1799</v>
      </c>
      <c r="U158" s="84"/>
      <c r="V158" s="54"/>
    </row>
    <row r="159" spans="1:22" s="11" customFormat="1" ht="45" customHeight="1" x14ac:dyDescent="0.2">
      <c r="A159" s="66" t="s">
        <v>1812</v>
      </c>
      <c r="B159" s="66" t="s">
        <v>1155</v>
      </c>
      <c r="C159" s="66" t="s">
        <v>1812</v>
      </c>
      <c r="D159" s="66">
        <v>5906018029420</v>
      </c>
      <c r="E159" s="68" t="s">
        <v>1813</v>
      </c>
      <c r="F159" s="66" t="s">
        <v>1814</v>
      </c>
      <c r="G159" s="71">
        <v>55458</v>
      </c>
      <c r="H159" s="73"/>
      <c r="I159" s="75">
        <v>0.2</v>
      </c>
      <c r="J159" s="77"/>
      <c r="K159" s="66"/>
      <c r="L159" s="66"/>
      <c r="M159" s="79" t="str">
        <f>HYPERLINK("http://www.pristavka.com/catalog/Alexander/ALX1/")</f>
        <v>http://www.pristavka.com/catalog/Alexander/ALX1/</v>
      </c>
      <c r="N159" s="71">
        <v>79299</v>
      </c>
      <c r="O159" s="66" t="s">
        <v>27</v>
      </c>
      <c r="P159" s="82" t="s">
        <v>1815</v>
      </c>
      <c r="Q159" s="84" t="s">
        <v>1816</v>
      </c>
      <c r="R159" s="84" t="s">
        <v>1816</v>
      </c>
      <c r="S159" s="84">
        <v>3.6179999999999999</v>
      </c>
      <c r="T159" s="82" t="s">
        <v>1817</v>
      </c>
      <c r="U159" s="84"/>
      <c r="V159" s="54"/>
    </row>
    <row r="160" spans="1:22" s="11" customFormat="1" ht="45" customHeight="1" x14ac:dyDescent="0.2">
      <c r="A160" s="66" t="s">
        <v>1812</v>
      </c>
      <c r="B160" s="66" t="s">
        <v>1155</v>
      </c>
      <c r="C160" s="66" t="s">
        <v>1812</v>
      </c>
      <c r="D160" s="66">
        <v>5906018029727</v>
      </c>
      <c r="E160" s="68" t="s">
        <v>1818</v>
      </c>
      <c r="F160" s="66" t="s">
        <v>1819</v>
      </c>
      <c r="G160" s="71">
        <v>55458</v>
      </c>
      <c r="H160" s="73"/>
      <c r="I160" s="75">
        <v>0.2</v>
      </c>
      <c r="J160" s="77"/>
      <c r="K160" s="66"/>
      <c r="L160" s="66"/>
      <c r="M160" s="79" t="str">
        <f>HYPERLINK("http://www.pristavka.com/catalog/Alexander/ALX2/")</f>
        <v>http://www.pristavka.com/catalog/Alexander/ALX2/</v>
      </c>
      <c r="N160" s="71">
        <v>79299</v>
      </c>
      <c r="O160" s="66" t="s">
        <v>27</v>
      </c>
      <c r="P160" s="82" t="s">
        <v>1820</v>
      </c>
      <c r="Q160" s="84" t="s">
        <v>1816</v>
      </c>
      <c r="R160" s="84" t="s">
        <v>1816</v>
      </c>
      <c r="S160" s="84">
        <v>3.9460000000000002</v>
      </c>
      <c r="T160" s="82" t="s">
        <v>1817</v>
      </c>
      <c r="U160" s="84"/>
      <c r="V160" s="54"/>
    </row>
    <row r="161" spans="1:22" s="11" customFormat="1" ht="45" customHeight="1" x14ac:dyDescent="0.2">
      <c r="A161" s="66" t="s">
        <v>1812</v>
      </c>
      <c r="B161" s="66" t="s">
        <v>1155</v>
      </c>
      <c r="C161" s="66" t="s">
        <v>1812</v>
      </c>
      <c r="D161" s="66">
        <v>5906018029437</v>
      </c>
      <c r="E161" s="68" t="s">
        <v>1821</v>
      </c>
      <c r="F161" s="66" t="s">
        <v>1822</v>
      </c>
      <c r="G161" s="71">
        <v>55458</v>
      </c>
      <c r="H161" s="73"/>
      <c r="I161" s="75">
        <v>0.2</v>
      </c>
      <c r="J161" s="77"/>
      <c r="K161" s="66"/>
      <c r="L161" s="66"/>
      <c r="M161" s="79" t="str">
        <f>HYPERLINK("http://www.pristavka.com/catalog/Alexander/ALX3/")</f>
        <v>http://www.pristavka.com/catalog/Alexander/ALX3/</v>
      </c>
      <c r="N161" s="71">
        <v>79299</v>
      </c>
      <c r="O161" s="66" t="s">
        <v>27</v>
      </c>
      <c r="P161" s="82" t="s">
        <v>1823</v>
      </c>
      <c r="Q161" s="84" t="s">
        <v>1816</v>
      </c>
      <c r="R161" s="84" t="s">
        <v>1816</v>
      </c>
      <c r="S161" s="84">
        <v>3.6320000000000001</v>
      </c>
      <c r="T161" s="82" t="s">
        <v>1817</v>
      </c>
      <c r="U161" s="84"/>
      <c r="V161" s="54"/>
    </row>
    <row r="162" spans="1:22" s="11" customFormat="1" ht="45" customHeight="1" x14ac:dyDescent="0.2">
      <c r="A162" s="66" t="s">
        <v>1812</v>
      </c>
      <c r="B162" s="66" t="s">
        <v>1155</v>
      </c>
      <c r="C162" s="66" t="s">
        <v>1812</v>
      </c>
      <c r="D162" s="66">
        <v>5906018029475</v>
      </c>
      <c r="E162" s="68" t="s">
        <v>1824</v>
      </c>
      <c r="F162" s="66" t="s">
        <v>1825</v>
      </c>
      <c r="G162" s="71">
        <v>55458</v>
      </c>
      <c r="H162" s="73"/>
      <c r="I162" s="75">
        <v>0.2</v>
      </c>
      <c r="J162" s="77"/>
      <c r="K162" s="66"/>
      <c r="L162" s="66"/>
      <c r="M162" s="79" t="str">
        <f>HYPERLINK("http://www.pristavka.com/catalog/Alexander/ALX4/")</f>
        <v>http://www.pristavka.com/catalog/Alexander/ALX4/</v>
      </c>
      <c r="N162" s="71">
        <v>79299</v>
      </c>
      <c r="O162" s="66" t="s">
        <v>27</v>
      </c>
      <c r="P162" s="82" t="s">
        <v>1826</v>
      </c>
      <c r="Q162" s="84" t="s">
        <v>1816</v>
      </c>
      <c r="R162" s="84" t="s">
        <v>1816</v>
      </c>
      <c r="S162" s="84">
        <v>3.952</v>
      </c>
      <c r="T162" s="82" t="s">
        <v>1817</v>
      </c>
      <c r="U162" s="84"/>
      <c r="V162" s="54"/>
    </row>
    <row r="163" spans="1:22" s="11" customFormat="1" ht="45" customHeight="1" x14ac:dyDescent="0.2">
      <c r="A163" s="66" t="s">
        <v>1812</v>
      </c>
      <c r="B163" s="66" t="s">
        <v>1155</v>
      </c>
      <c r="C163" s="66" t="s">
        <v>1812</v>
      </c>
      <c r="D163" s="66">
        <v>5906018029949</v>
      </c>
      <c r="E163" s="68" t="s">
        <v>1827</v>
      </c>
      <c r="F163" s="66" t="s">
        <v>1828</v>
      </c>
      <c r="G163" s="71">
        <v>27462</v>
      </c>
      <c r="H163" s="73"/>
      <c r="I163" s="75">
        <v>0.2</v>
      </c>
      <c r="J163" s="77"/>
      <c r="K163" s="66"/>
      <c r="L163" s="66"/>
      <c r="M163" s="79" t="str">
        <f>HYPERLINK("http://www.pristavka.com/catalog/Alexander/ALX5/")</f>
        <v>http://www.pristavka.com/catalog/Alexander/ALX5/</v>
      </c>
      <c r="N163" s="71">
        <v>42299</v>
      </c>
      <c r="O163" s="66" t="s">
        <v>27</v>
      </c>
      <c r="P163" s="82" t="s">
        <v>1829</v>
      </c>
      <c r="Q163" s="84" t="s">
        <v>1816</v>
      </c>
      <c r="R163" s="84" t="s">
        <v>1816</v>
      </c>
      <c r="S163" s="84">
        <v>1.8660000000000001</v>
      </c>
      <c r="T163" s="82" t="s">
        <v>1817</v>
      </c>
      <c r="U163" s="84"/>
      <c r="V163" s="54"/>
    </row>
    <row r="164" spans="1:22" s="11" customFormat="1" ht="45" customHeight="1" x14ac:dyDescent="0.2">
      <c r="A164" s="66" t="s">
        <v>1812</v>
      </c>
      <c r="B164" s="66" t="s">
        <v>1155</v>
      </c>
      <c r="C164" s="66" t="s">
        <v>1812</v>
      </c>
      <c r="D164" s="66">
        <v>5906018029956</v>
      </c>
      <c r="E164" s="68" t="s">
        <v>1830</v>
      </c>
      <c r="F164" s="66" t="s">
        <v>1831</v>
      </c>
      <c r="G164" s="71">
        <v>27462</v>
      </c>
      <c r="H164" s="73"/>
      <c r="I164" s="75">
        <v>0.2</v>
      </c>
      <c r="J164" s="77"/>
      <c r="K164" s="66"/>
      <c r="L164" s="66"/>
      <c r="M164" s="79" t="str">
        <f>HYPERLINK("http://www.pristavka.com/catalog/Alexander/ALX6/")</f>
        <v>http://www.pristavka.com/catalog/Alexander/ALX6/</v>
      </c>
      <c r="N164" s="71">
        <v>42299</v>
      </c>
      <c r="O164" s="66" t="s">
        <v>27</v>
      </c>
      <c r="P164" s="82" t="s">
        <v>1832</v>
      </c>
      <c r="Q164" s="84" t="s">
        <v>1816</v>
      </c>
      <c r="R164" s="84" t="s">
        <v>1816</v>
      </c>
      <c r="S164" s="84">
        <v>1.849</v>
      </c>
      <c r="T164" s="82" t="s">
        <v>1817</v>
      </c>
      <c r="U164" s="84"/>
      <c r="V164" s="54"/>
    </row>
    <row r="165" spans="1:22" s="11" customFormat="1" ht="45" customHeight="1" x14ac:dyDescent="0.2">
      <c r="A165" s="66" t="s">
        <v>1812</v>
      </c>
      <c r="B165" s="66" t="s">
        <v>1155</v>
      </c>
      <c r="C165" s="66" t="s">
        <v>1812</v>
      </c>
      <c r="D165" s="66">
        <v>5906018029963</v>
      </c>
      <c r="E165" s="68" t="s">
        <v>1833</v>
      </c>
      <c r="F165" s="66" t="s">
        <v>1834</v>
      </c>
      <c r="G165" s="71">
        <v>27462</v>
      </c>
      <c r="H165" s="73"/>
      <c r="I165" s="75">
        <v>0.2</v>
      </c>
      <c r="J165" s="77"/>
      <c r="K165" s="66"/>
      <c r="L165" s="66"/>
      <c r="M165" s="79" t="str">
        <f>HYPERLINK("http://www.pristavka.com/catalog/Alexander/ALX7/")</f>
        <v>http://www.pristavka.com/catalog/Alexander/ALX7/</v>
      </c>
      <c r="N165" s="71">
        <v>42299</v>
      </c>
      <c r="O165" s="66" t="s">
        <v>27</v>
      </c>
      <c r="P165" s="82" t="s">
        <v>1835</v>
      </c>
      <c r="Q165" s="84" t="s">
        <v>1816</v>
      </c>
      <c r="R165" s="84" t="s">
        <v>1816</v>
      </c>
      <c r="S165" s="84">
        <v>2.1739999999999999</v>
      </c>
      <c r="T165" s="82" t="s">
        <v>1817</v>
      </c>
      <c r="U165" s="84"/>
      <c r="V165" s="54"/>
    </row>
    <row r="166" spans="1:22" s="11" customFormat="1" ht="45" customHeight="1" x14ac:dyDescent="0.2">
      <c r="A166" s="66" t="s">
        <v>1836</v>
      </c>
      <c r="B166" s="66" t="s">
        <v>1155</v>
      </c>
      <c r="C166" s="66" t="s">
        <v>1836</v>
      </c>
      <c r="D166" s="66">
        <v>840391105164</v>
      </c>
      <c r="E166" s="68" t="s">
        <v>1837</v>
      </c>
      <c r="F166" s="66" t="s">
        <v>1838</v>
      </c>
      <c r="G166" s="71">
        <v>3291</v>
      </c>
      <c r="H166" s="73"/>
      <c r="I166" s="75">
        <v>0.2</v>
      </c>
      <c r="J166" s="77"/>
      <c r="K166" s="66"/>
      <c r="L166" s="66"/>
      <c r="M166" s="79" t="str">
        <f>HYPERLINK("http://www.pristavka.com/catalog/Aquarius/AQ7/")</f>
        <v>http://www.pristavka.com/catalog/Aquarius/AQ7/</v>
      </c>
      <c r="N166" s="71">
        <v>4799</v>
      </c>
      <c r="O166" s="66" t="s">
        <v>28</v>
      </c>
      <c r="P166" s="82" t="s">
        <v>1839</v>
      </c>
      <c r="Q166" s="84" t="s">
        <v>1223</v>
      </c>
      <c r="R166" s="84" t="s">
        <v>1840</v>
      </c>
      <c r="S166" s="84">
        <v>8.7999999999999995E-2</v>
      </c>
      <c r="T166" s="82" t="s">
        <v>1841</v>
      </c>
      <c r="U166" s="84"/>
      <c r="V166" s="54"/>
    </row>
    <row r="167" spans="1:22" s="11" customFormat="1" ht="45" customHeight="1" x14ac:dyDescent="0.2">
      <c r="A167" s="66" t="s">
        <v>1842</v>
      </c>
      <c r="B167" s="66" t="s">
        <v>1155</v>
      </c>
      <c r="C167" s="66" t="s">
        <v>1842</v>
      </c>
      <c r="D167" s="66" t="s">
        <v>1843</v>
      </c>
      <c r="E167" s="68" t="s">
        <v>1844</v>
      </c>
      <c r="F167" s="66" t="s">
        <v>1843</v>
      </c>
      <c r="G167" s="71">
        <v>238</v>
      </c>
      <c r="H167" s="73"/>
      <c r="I167" s="75">
        <v>0.2</v>
      </c>
      <c r="J167" s="77"/>
      <c r="K167" s="66"/>
      <c r="L167" s="66"/>
      <c r="M167" s="79" t="str">
        <f>HYPERLINK("http://www.pristavka.com/catalog/Artplays/ARTM230/")</f>
        <v>http://www.pristavka.com/catalog/Artplays/ARTM230/</v>
      </c>
      <c r="N167" s="71">
        <v>499</v>
      </c>
      <c r="O167" s="66" t="s">
        <v>27</v>
      </c>
      <c r="P167" s="82" t="s">
        <v>1845</v>
      </c>
      <c r="Q167" s="84" t="s">
        <v>1117</v>
      </c>
      <c r="R167" s="84" t="s">
        <v>1068</v>
      </c>
      <c r="S167" s="84">
        <v>4.2000000000000003E-2</v>
      </c>
      <c r="T167" s="82" t="s">
        <v>1846</v>
      </c>
      <c r="U167" s="84" t="s">
        <v>177</v>
      </c>
      <c r="V167" s="54"/>
    </row>
    <row r="168" spans="1:22" s="11" customFormat="1" ht="45" customHeight="1" x14ac:dyDescent="0.2">
      <c r="A168" s="66" t="s">
        <v>1842</v>
      </c>
      <c r="B168" s="66" t="s">
        <v>1155</v>
      </c>
      <c r="C168" s="66" t="s">
        <v>1842</v>
      </c>
      <c r="D168" s="66" t="s">
        <v>1847</v>
      </c>
      <c r="E168" s="68" t="s">
        <v>1848</v>
      </c>
      <c r="F168" s="66" t="s">
        <v>1847</v>
      </c>
      <c r="G168" s="71">
        <v>238</v>
      </c>
      <c r="H168" s="73"/>
      <c r="I168" s="75">
        <v>0.2</v>
      </c>
      <c r="J168" s="77"/>
      <c r="K168" s="66"/>
      <c r="L168" s="66"/>
      <c r="M168" s="79" t="str">
        <f>HYPERLINK("http://www.pristavka.com/catalog/Artplays/ARTM252/")</f>
        <v>http://www.pristavka.com/catalog/Artplays/ARTM252/</v>
      </c>
      <c r="N168" s="71">
        <v>499</v>
      </c>
      <c r="O168" s="66" t="s">
        <v>27</v>
      </c>
      <c r="P168" s="82" t="s">
        <v>1849</v>
      </c>
      <c r="Q168" s="84" t="s">
        <v>1522</v>
      </c>
      <c r="R168" s="84" t="s">
        <v>1068</v>
      </c>
      <c r="S168" s="84">
        <v>4.2000000000000003E-2</v>
      </c>
      <c r="T168" s="82" t="s">
        <v>1846</v>
      </c>
      <c r="U168" s="84" t="s">
        <v>177</v>
      </c>
      <c r="V168" s="54"/>
    </row>
    <row r="169" spans="1:22" s="11" customFormat="1" ht="45" customHeight="1" x14ac:dyDescent="0.2">
      <c r="A169" s="66" t="s">
        <v>1842</v>
      </c>
      <c r="B169" s="66" t="s">
        <v>1155</v>
      </c>
      <c r="C169" s="66" t="s">
        <v>1842</v>
      </c>
      <c r="D169" s="66" t="s">
        <v>1850</v>
      </c>
      <c r="E169" s="68" t="s">
        <v>1851</v>
      </c>
      <c r="F169" s="66" t="s">
        <v>1850</v>
      </c>
      <c r="G169" s="71">
        <v>238</v>
      </c>
      <c r="H169" s="73"/>
      <c r="I169" s="75">
        <v>0.2</v>
      </c>
      <c r="J169" s="77"/>
      <c r="K169" s="66"/>
      <c r="L169" s="66"/>
      <c r="M169" s="79" t="str">
        <f>HYPERLINK("http://www.pristavka.com/catalog/Artplays/ARTM197/")</f>
        <v>http://www.pristavka.com/catalog/Artplays/ARTM197/</v>
      </c>
      <c r="N169" s="71">
        <v>499</v>
      </c>
      <c r="O169" s="66" t="s">
        <v>27</v>
      </c>
      <c r="P169" s="82" t="s">
        <v>1852</v>
      </c>
      <c r="Q169" s="84" t="s">
        <v>1091</v>
      </c>
      <c r="R169" s="84" t="s">
        <v>1068</v>
      </c>
      <c r="S169" s="84">
        <v>4.3999999999999997E-2</v>
      </c>
      <c r="T169" s="82" t="s">
        <v>1846</v>
      </c>
      <c r="U169" s="84" t="s">
        <v>177</v>
      </c>
      <c r="V169" s="54"/>
    </row>
    <row r="170" spans="1:22" s="11" customFormat="1" ht="45" customHeight="1" x14ac:dyDescent="0.2">
      <c r="A170" s="66" t="s">
        <v>1842</v>
      </c>
      <c r="B170" s="66" t="s">
        <v>1155</v>
      </c>
      <c r="C170" s="66" t="s">
        <v>1842</v>
      </c>
      <c r="D170" s="66" t="s">
        <v>1853</v>
      </c>
      <c r="E170" s="68" t="s">
        <v>1854</v>
      </c>
      <c r="F170" s="66" t="s">
        <v>1853</v>
      </c>
      <c r="G170" s="71">
        <v>407</v>
      </c>
      <c r="H170" s="73"/>
      <c r="I170" s="75">
        <v>0.2</v>
      </c>
      <c r="J170" s="77"/>
      <c r="K170" s="66"/>
      <c r="L170" s="66"/>
      <c r="M170" s="79" t="str">
        <f>HYPERLINK("http://www.pristavka.com/catalog/Artplays/ ARTM7/")</f>
        <v>http://www.pristavka.com/catalog/Artplays/ ARTM7/</v>
      </c>
      <c r="N170" s="71">
        <v>699</v>
      </c>
      <c r="O170" s="66" t="s">
        <v>27</v>
      </c>
      <c r="P170" s="82" t="s">
        <v>1855</v>
      </c>
      <c r="Q170" s="84" t="s">
        <v>1522</v>
      </c>
      <c r="R170" s="84" t="s">
        <v>1068</v>
      </c>
      <c r="S170" s="84">
        <v>1.9E-2</v>
      </c>
      <c r="T170" s="82" t="s">
        <v>1856</v>
      </c>
      <c r="U170" s="84" t="s">
        <v>177</v>
      </c>
      <c r="V170" s="54"/>
    </row>
    <row r="171" spans="1:22" s="11" customFormat="1" ht="45" customHeight="1" x14ac:dyDescent="0.2">
      <c r="A171" s="66" t="s">
        <v>1842</v>
      </c>
      <c r="B171" s="66" t="s">
        <v>1155</v>
      </c>
      <c r="C171" s="66" t="s">
        <v>1842</v>
      </c>
      <c r="D171" s="66" t="s">
        <v>1857</v>
      </c>
      <c r="E171" s="68" t="s">
        <v>1858</v>
      </c>
      <c r="F171" s="66" t="s">
        <v>1857</v>
      </c>
      <c r="G171" s="71">
        <v>407</v>
      </c>
      <c r="H171" s="73"/>
      <c r="I171" s="75">
        <v>0.2</v>
      </c>
      <c r="J171" s="77"/>
      <c r="K171" s="66"/>
      <c r="L171" s="66"/>
      <c r="M171" s="79" t="str">
        <f>HYPERLINK("http://www.pristavka.com/catalog/Artplays/ ARTM6/")</f>
        <v>http://www.pristavka.com/catalog/Artplays/ ARTM6/</v>
      </c>
      <c r="N171" s="71">
        <v>699</v>
      </c>
      <c r="O171" s="66" t="s">
        <v>27</v>
      </c>
      <c r="P171" s="82" t="s">
        <v>1859</v>
      </c>
      <c r="Q171" s="84" t="s">
        <v>1522</v>
      </c>
      <c r="R171" s="84" t="s">
        <v>1068</v>
      </c>
      <c r="S171" s="84">
        <v>1.9E-2</v>
      </c>
      <c r="T171" s="82" t="s">
        <v>1856</v>
      </c>
      <c r="U171" s="84" t="s">
        <v>177</v>
      </c>
      <c r="V171" s="54"/>
    </row>
    <row r="172" spans="1:22" s="11" customFormat="1" ht="45" customHeight="1" x14ac:dyDescent="0.2">
      <c r="A172" s="66" t="s">
        <v>1842</v>
      </c>
      <c r="B172" s="66" t="s">
        <v>1155</v>
      </c>
      <c r="C172" s="66" t="s">
        <v>1842</v>
      </c>
      <c r="D172" s="66" t="s">
        <v>1860</v>
      </c>
      <c r="E172" s="68" t="s">
        <v>1861</v>
      </c>
      <c r="F172" s="66" t="s">
        <v>1860</v>
      </c>
      <c r="G172" s="71">
        <v>407</v>
      </c>
      <c r="H172" s="73"/>
      <c r="I172" s="75">
        <v>0.2</v>
      </c>
      <c r="J172" s="77"/>
      <c r="K172" s="66"/>
      <c r="L172" s="66"/>
      <c r="M172" s="79" t="str">
        <f>HYPERLINK("http://www.pristavka.com/catalog/Artplays/ARTM175/")</f>
        <v>http://www.pristavka.com/catalog/Artplays/ARTM175/</v>
      </c>
      <c r="N172" s="71">
        <v>699</v>
      </c>
      <c r="O172" s="66" t="s">
        <v>27</v>
      </c>
      <c r="P172" s="82" t="s">
        <v>1862</v>
      </c>
      <c r="Q172" s="84" t="s">
        <v>1522</v>
      </c>
      <c r="R172" s="84" t="s">
        <v>1068</v>
      </c>
      <c r="S172" s="84">
        <v>1.9E-2</v>
      </c>
      <c r="T172" s="82" t="s">
        <v>1856</v>
      </c>
      <c r="U172" s="84" t="s">
        <v>177</v>
      </c>
      <c r="V172" s="54"/>
    </row>
    <row r="173" spans="1:22" s="11" customFormat="1" ht="45" customHeight="1" x14ac:dyDescent="0.2">
      <c r="A173" s="66" t="s">
        <v>1842</v>
      </c>
      <c r="B173" s="66" t="s">
        <v>1155</v>
      </c>
      <c r="C173" s="66" t="s">
        <v>1842</v>
      </c>
      <c r="D173" s="66" t="s">
        <v>1863</v>
      </c>
      <c r="E173" s="68" t="s">
        <v>1864</v>
      </c>
      <c r="F173" s="66" t="s">
        <v>1863</v>
      </c>
      <c r="G173" s="71">
        <v>660</v>
      </c>
      <c r="H173" s="73"/>
      <c r="I173" s="75">
        <v>0.2</v>
      </c>
      <c r="J173" s="77"/>
      <c r="K173" s="66"/>
      <c r="L173" s="66"/>
      <c r="M173" s="79" t="str">
        <f>HYPERLINK("http://www.pristavka.com/catalog/Artplays/ARTM206/")</f>
        <v>http://www.pristavka.com/catalog/Artplays/ARTM206/</v>
      </c>
      <c r="N173" s="71">
        <v>1399</v>
      </c>
      <c r="O173" s="66" t="s">
        <v>27</v>
      </c>
      <c r="P173" s="82" t="s">
        <v>1865</v>
      </c>
      <c r="Q173" s="84" t="s">
        <v>1091</v>
      </c>
      <c r="R173" s="84" t="s">
        <v>1068</v>
      </c>
      <c r="S173" s="84">
        <v>0.02</v>
      </c>
      <c r="T173" s="82" t="s">
        <v>1866</v>
      </c>
      <c r="U173" s="84" t="s">
        <v>177</v>
      </c>
      <c r="V173" s="54"/>
    </row>
    <row r="174" spans="1:22" s="11" customFormat="1" ht="45" customHeight="1" x14ac:dyDescent="0.2">
      <c r="A174" s="66" t="s">
        <v>1842</v>
      </c>
      <c r="B174" s="66" t="s">
        <v>1155</v>
      </c>
      <c r="C174" s="66" t="s">
        <v>1842</v>
      </c>
      <c r="D174" s="66" t="s">
        <v>1867</v>
      </c>
      <c r="E174" s="68" t="s">
        <v>1868</v>
      </c>
      <c r="F174" s="66" t="s">
        <v>1867</v>
      </c>
      <c r="G174" s="71">
        <v>660</v>
      </c>
      <c r="H174" s="73"/>
      <c r="I174" s="75">
        <v>0.2</v>
      </c>
      <c r="J174" s="77"/>
      <c r="K174" s="66"/>
      <c r="L174" s="66"/>
      <c r="M174" s="79" t="str">
        <f>HYPERLINK("http://www.pristavka.com/catalog/Artplays/ARTM205/")</f>
        <v>http://www.pristavka.com/catalog/Artplays/ARTM205/</v>
      </c>
      <c r="N174" s="71">
        <v>1399</v>
      </c>
      <c r="O174" s="66" t="s">
        <v>27</v>
      </c>
      <c r="P174" s="82" t="s">
        <v>1869</v>
      </c>
      <c r="Q174" s="84" t="s">
        <v>1091</v>
      </c>
      <c r="R174" s="84" t="s">
        <v>1068</v>
      </c>
      <c r="S174" s="84">
        <v>0.02</v>
      </c>
      <c r="T174" s="82" t="s">
        <v>1866</v>
      </c>
      <c r="U174" s="84" t="s">
        <v>177</v>
      </c>
      <c r="V174" s="54"/>
    </row>
    <row r="175" spans="1:22" s="11" customFormat="1" ht="45" customHeight="1" x14ac:dyDescent="0.2">
      <c r="A175" s="66" t="s">
        <v>1842</v>
      </c>
      <c r="B175" s="66" t="s">
        <v>1155</v>
      </c>
      <c r="C175" s="66" t="s">
        <v>1842</v>
      </c>
      <c r="D175" s="66" t="s">
        <v>1870</v>
      </c>
      <c r="E175" s="68" t="s">
        <v>1871</v>
      </c>
      <c r="F175" s="66" t="s">
        <v>1870</v>
      </c>
      <c r="G175" s="71">
        <v>660</v>
      </c>
      <c r="H175" s="73"/>
      <c r="I175" s="75">
        <v>0.2</v>
      </c>
      <c r="J175" s="77"/>
      <c r="K175" s="66"/>
      <c r="L175" s="66"/>
      <c r="M175" s="79" t="str">
        <f>HYPERLINK("http://www.pristavka.com/catalog/Artplays/ARTM238/")</f>
        <v>http://www.pristavka.com/catalog/Artplays/ARTM238/</v>
      </c>
      <c r="N175" s="71">
        <v>1399</v>
      </c>
      <c r="O175" s="66" t="s">
        <v>27</v>
      </c>
      <c r="P175" s="82" t="s">
        <v>1872</v>
      </c>
      <c r="Q175" s="84" t="s">
        <v>1117</v>
      </c>
      <c r="R175" s="84" t="s">
        <v>1068</v>
      </c>
      <c r="S175" s="84">
        <v>1.7000000000000001E-2</v>
      </c>
      <c r="T175" s="82" t="s">
        <v>1866</v>
      </c>
      <c r="U175" s="84" t="s">
        <v>177</v>
      </c>
      <c r="V175" s="54"/>
    </row>
    <row r="176" spans="1:22" s="11" customFormat="1" ht="45" customHeight="1" x14ac:dyDescent="0.2">
      <c r="A176" s="66" t="s">
        <v>1842</v>
      </c>
      <c r="B176" s="66" t="s">
        <v>1155</v>
      </c>
      <c r="C176" s="66" t="s">
        <v>1842</v>
      </c>
      <c r="D176" s="66" t="s">
        <v>1873</v>
      </c>
      <c r="E176" s="68" t="s">
        <v>1874</v>
      </c>
      <c r="F176" s="66" t="s">
        <v>1873</v>
      </c>
      <c r="G176" s="71">
        <v>660</v>
      </c>
      <c r="H176" s="73"/>
      <c r="I176" s="75">
        <v>0.2</v>
      </c>
      <c r="J176" s="77"/>
      <c r="K176" s="66"/>
      <c r="L176" s="66"/>
      <c r="M176" s="79" t="str">
        <f>HYPERLINK("http://www.pristavka.com/catalog/Artplays/ARTM239/")</f>
        <v>http://www.pristavka.com/catalog/Artplays/ARTM239/</v>
      </c>
      <c r="N176" s="71">
        <v>1399</v>
      </c>
      <c r="O176" s="66" t="s">
        <v>27</v>
      </c>
      <c r="P176" s="82" t="s">
        <v>1875</v>
      </c>
      <c r="Q176" s="84" t="s">
        <v>1117</v>
      </c>
      <c r="R176" s="84" t="s">
        <v>1068</v>
      </c>
      <c r="S176" s="84">
        <v>1.9E-2</v>
      </c>
      <c r="T176" s="82" t="s">
        <v>1866</v>
      </c>
      <c r="U176" s="84" t="s">
        <v>177</v>
      </c>
      <c r="V176" s="54"/>
    </row>
    <row r="177" spans="1:22" s="11" customFormat="1" ht="45" customHeight="1" x14ac:dyDescent="0.2">
      <c r="A177" s="66" t="s">
        <v>1842</v>
      </c>
      <c r="B177" s="66" t="s">
        <v>1155</v>
      </c>
      <c r="C177" s="66" t="s">
        <v>1842</v>
      </c>
      <c r="D177" s="66" t="s">
        <v>1876</v>
      </c>
      <c r="E177" s="68" t="s">
        <v>1877</v>
      </c>
      <c r="F177" s="66" t="s">
        <v>1876</v>
      </c>
      <c r="G177" s="71">
        <v>1437</v>
      </c>
      <c r="H177" s="73"/>
      <c r="I177" s="75">
        <v>0.2</v>
      </c>
      <c r="J177" s="77"/>
      <c r="K177" s="66"/>
      <c r="L177" s="66"/>
      <c r="M177" s="79" t="str">
        <f>HYPERLINK("http://www.pristavka.com/catalog/Artplays/ARTM245/")</f>
        <v>http://www.pristavka.com/catalog/Artplays/ARTM245/</v>
      </c>
      <c r="N177" s="71">
        <v>2299</v>
      </c>
      <c r="O177" s="66" t="s">
        <v>27</v>
      </c>
      <c r="P177" s="82" t="s">
        <v>1878</v>
      </c>
      <c r="Q177" s="84" t="s">
        <v>1522</v>
      </c>
      <c r="R177" s="84" t="s">
        <v>1068</v>
      </c>
      <c r="S177" s="84">
        <v>6.8000000000000005E-2</v>
      </c>
      <c r="T177" s="82" t="s">
        <v>1879</v>
      </c>
      <c r="U177" s="84" t="s">
        <v>177</v>
      </c>
      <c r="V177" s="54"/>
    </row>
    <row r="178" spans="1:22" s="11" customFormat="1" ht="45" customHeight="1" x14ac:dyDescent="0.2">
      <c r="A178" s="66" t="s">
        <v>1842</v>
      </c>
      <c r="B178" s="66" t="s">
        <v>1155</v>
      </c>
      <c r="C178" s="66" t="s">
        <v>1842</v>
      </c>
      <c r="D178" s="66" t="s">
        <v>1880</v>
      </c>
      <c r="E178" s="68" t="s">
        <v>1881</v>
      </c>
      <c r="F178" s="66" t="s">
        <v>1880</v>
      </c>
      <c r="G178" s="71">
        <v>1437</v>
      </c>
      <c r="H178" s="73"/>
      <c r="I178" s="75">
        <v>0.2</v>
      </c>
      <c r="J178" s="77"/>
      <c r="K178" s="66"/>
      <c r="L178" s="66"/>
      <c r="M178" s="79" t="str">
        <f>HYPERLINK("http://www.pristavka.com/catalog/Artplays/ARTM181/")</f>
        <v>http://www.pristavka.com/catalog/Artplays/ARTM181/</v>
      </c>
      <c r="N178" s="71">
        <v>2299</v>
      </c>
      <c r="O178" s="66" t="s">
        <v>27</v>
      </c>
      <c r="P178" s="82" t="s">
        <v>1882</v>
      </c>
      <c r="Q178" s="84" t="s">
        <v>1091</v>
      </c>
      <c r="R178" s="84" t="s">
        <v>1068</v>
      </c>
      <c r="S178" s="84">
        <v>6.8000000000000005E-2</v>
      </c>
      <c r="T178" s="82" t="s">
        <v>1879</v>
      </c>
      <c r="U178" s="84" t="s">
        <v>177</v>
      </c>
      <c r="V178" s="54"/>
    </row>
    <row r="179" spans="1:22" s="11" customFormat="1" ht="45" customHeight="1" x14ac:dyDescent="0.2">
      <c r="A179" s="66" t="s">
        <v>1842</v>
      </c>
      <c r="B179" s="66" t="s">
        <v>1155</v>
      </c>
      <c r="C179" s="66" t="s">
        <v>1842</v>
      </c>
      <c r="D179" s="66" t="s">
        <v>1883</v>
      </c>
      <c r="E179" s="68" t="s">
        <v>1884</v>
      </c>
      <c r="F179" s="66" t="s">
        <v>1883</v>
      </c>
      <c r="G179" s="71">
        <v>79</v>
      </c>
      <c r="H179" s="73"/>
      <c r="I179" s="75">
        <v>0.2</v>
      </c>
      <c r="J179" s="77"/>
      <c r="K179" s="66"/>
      <c r="L179" s="66"/>
      <c r="M179" s="79" t="str">
        <f>HYPERLINK("http://www.pristavka.com/catalog/Artplays/ ARTM139/")</f>
        <v>http://www.pristavka.com/catalog/Artplays/ ARTM139/</v>
      </c>
      <c r="N179" s="71">
        <v>199</v>
      </c>
      <c r="O179" s="66" t="s">
        <v>27</v>
      </c>
      <c r="P179" s="82" t="s">
        <v>1885</v>
      </c>
      <c r="Q179" s="84" t="s">
        <v>1522</v>
      </c>
      <c r="R179" s="84" t="s">
        <v>1068</v>
      </c>
      <c r="S179" s="84">
        <v>4.0000000000000001E-3</v>
      </c>
      <c r="T179" s="82" t="s">
        <v>1886</v>
      </c>
      <c r="U179" s="84" t="s">
        <v>177</v>
      </c>
      <c r="V179" s="54"/>
    </row>
    <row r="180" spans="1:22" s="11" customFormat="1" ht="45" customHeight="1" x14ac:dyDescent="0.2">
      <c r="A180" s="66" t="s">
        <v>1842</v>
      </c>
      <c r="B180" s="66" t="s">
        <v>1155</v>
      </c>
      <c r="C180" s="66" t="s">
        <v>1842</v>
      </c>
      <c r="D180" s="66" t="s">
        <v>1887</v>
      </c>
      <c r="E180" s="68" t="s">
        <v>1888</v>
      </c>
      <c r="F180" s="66" t="s">
        <v>1887</v>
      </c>
      <c r="G180" s="71">
        <v>79</v>
      </c>
      <c r="H180" s="73"/>
      <c r="I180" s="75">
        <v>0.2</v>
      </c>
      <c r="J180" s="77"/>
      <c r="K180" s="66"/>
      <c r="L180" s="66"/>
      <c r="M180" s="79" t="str">
        <f>HYPERLINK("http://www.pristavka.com/catalog/Artplays/ ARTM140/")</f>
        <v>http://www.pristavka.com/catalog/Artplays/ ARTM140/</v>
      </c>
      <c r="N180" s="71">
        <v>199</v>
      </c>
      <c r="O180" s="66" t="s">
        <v>27</v>
      </c>
      <c r="P180" s="82" t="s">
        <v>1889</v>
      </c>
      <c r="Q180" s="84" t="s">
        <v>1522</v>
      </c>
      <c r="R180" s="84" t="s">
        <v>1068</v>
      </c>
      <c r="S180" s="84">
        <v>5.0000000000000001E-3</v>
      </c>
      <c r="T180" s="82" t="s">
        <v>1890</v>
      </c>
      <c r="U180" s="84" t="s">
        <v>177</v>
      </c>
      <c r="V180" s="54"/>
    </row>
    <row r="181" spans="1:22" s="11" customFormat="1" ht="45" customHeight="1" x14ac:dyDescent="0.2">
      <c r="A181" s="66" t="s">
        <v>1842</v>
      </c>
      <c r="B181" s="66" t="s">
        <v>1155</v>
      </c>
      <c r="C181" s="66" t="s">
        <v>1842</v>
      </c>
      <c r="D181" s="66" t="s">
        <v>1891</v>
      </c>
      <c r="E181" s="68" t="s">
        <v>1892</v>
      </c>
      <c r="F181" s="66" t="s">
        <v>1891</v>
      </c>
      <c r="G181" s="71">
        <v>79</v>
      </c>
      <c r="H181" s="73"/>
      <c r="I181" s="75">
        <v>0.2</v>
      </c>
      <c r="J181" s="77"/>
      <c r="K181" s="66"/>
      <c r="L181" s="66"/>
      <c r="M181" s="79" t="str">
        <f>HYPERLINK("http://www.pristavka.com/catalog/Artplays/ ARTM141/")</f>
        <v>http://www.pristavka.com/catalog/Artplays/ ARTM141/</v>
      </c>
      <c r="N181" s="71">
        <v>199</v>
      </c>
      <c r="O181" s="66" t="s">
        <v>27</v>
      </c>
      <c r="P181" s="82" t="s">
        <v>1893</v>
      </c>
      <c r="Q181" s="84" t="s">
        <v>1522</v>
      </c>
      <c r="R181" s="84" t="s">
        <v>1068</v>
      </c>
      <c r="S181" s="84">
        <v>5.0000000000000001E-3</v>
      </c>
      <c r="T181" s="82" t="s">
        <v>1890</v>
      </c>
      <c r="U181" s="84" t="s">
        <v>177</v>
      </c>
      <c r="V181" s="54"/>
    </row>
    <row r="182" spans="1:22" s="11" customFormat="1" ht="45" customHeight="1" x14ac:dyDescent="0.2">
      <c r="A182" s="66" t="s">
        <v>1842</v>
      </c>
      <c r="B182" s="66" t="s">
        <v>1155</v>
      </c>
      <c r="C182" s="66" t="s">
        <v>1842</v>
      </c>
      <c r="D182" s="66" t="s">
        <v>1894</v>
      </c>
      <c r="E182" s="68" t="s">
        <v>1895</v>
      </c>
      <c r="F182" s="66" t="s">
        <v>1894</v>
      </c>
      <c r="G182" s="71">
        <v>132</v>
      </c>
      <c r="H182" s="73"/>
      <c r="I182" s="75">
        <v>0.2</v>
      </c>
      <c r="J182" s="77"/>
      <c r="K182" s="66"/>
      <c r="L182" s="66"/>
      <c r="M182" s="79" t="str">
        <f>HYPERLINK("http://www.pristavka.com/catalog/Artplays/ARTM149/")</f>
        <v>http://www.pristavka.com/catalog/Artplays/ARTM149/</v>
      </c>
      <c r="N182" s="71">
        <v>299</v>
      </c>
      <c r="O182" s="66" t="s">
        <v>27</v>
      </c>
      <c r="P182" s="82" t="s">
        <v>1896</v>
      </c>
      <c r="Q182" s="84" t="s">
        <v>1522</v>
      </c>
      <c r="R182" s="84" t="s">
        <v>1068</v>
      </c>
      <c r="S182" s="84">
        <v>5.0000000000000001E-3</v>
      </c>
      <c r="T182" s="82" t="s">
        <v>1897</v>
      </c>
      <c r="U182" s="84" t="s">
        <v>177</v>
      </c>
      <c r="V182" s="54"/>
    </row>
    <row r="183" spans="1:22" s="11" customFormat="1" ht="45" customHeight="1" x14ac:dyDescent="0.2">
      <c r="A183" s="66" t="s">
        <v>1842</v>
      </c>
      <c r="B183" s="66" t="s">
        <v>1155</v>
      </c>
      <c r="C183" s="66" t="s">
        <v>1842</v>
      </c>
      <c r="D183" s="66" t="s">
        <v>1898</v>
      </c>
      <c r="E183" s="68" t="s">
        <v>1899</v>
      </c>
      <c r="F183" s="66" t="s">
        <v>1898</v>
      </c>
      <c r="G183" s="71">
        <v>740</v>
      </c>
      <c r="H183" s="73"/>
      <c r="I183" s="75">
        <v>0.2</v>
      </c>
      <c r="J183" s="77"/>
      <c r="K183" s="66"/>
      <c r="L183" s="66"/>
      <c r="M183" s="79" t="str">
        <f>HYPERLINK("http://www.pristavka.com/catalog/Artplays/ARTM249/")</f>
        <v>http://www.pristavka.com/catalog/Artplays/ARTM249/</v>
      </c>
      <c r="N183" s="71">
        <v>1499</v>
      </c>
      <c r="O183" s="66" t="s">
        <v>27</v>
      </c>
      <c r="P183" s="82" t="s">
        <v>1900</v>
      </c>
      <c r="Q183" s="84" t="s">
        <v>1522</v>
      </c>
      <c r="R183" s="84" t="s">
        <v>1068</v>
      </c>
      <c r="S183" s="84">
        <v>5.1999999999999998E-2</v>
      </c>
      <c r="T183" s="82" t="s">
        <v>1901</v>
      </c>
      <c r="U183" s="84" t="s">
        <v>177</v>
      </c>
      <c r="V183" s="54"/>
    </row>
    <row r="184" spans="1:22" s="11" customFormat="1" ht="45" customHeight="1" x14ac:dyDescent="0.2">
      <c r="A184" s="66" t="s">
        <v>1842</v>
      </c>
      <c r="B184" s="66" t="s">
        <v>1155</v>
      </c>
      <c r="C184" s="66" t="s">
        <v>1842</v>
      </c>
      <c r="D184" s="66" t="s">
        <v>1902</v>
      </c>
      <c r="E184" s="68" t="s">
        <v>1903</v>
      </c>
      <c r="F184" s="66" t="s">
        <v>1902</v>
      </c>
      <c r="G184" s="71">
        <v>924</v>
      </c>
      <c r="H184" s="73"/>
      <c r="I184" s="75">
        <v>0.2</v>
      </c>
      <c r="J184" s="77"/>
      <c r="K184" s="66"/>
      <c r="L184" s="66"/>
      <c r="M184" s="79" t="str">
        <f>HYPERLINK("http://www.pristavka.com/catalog/Artplays/ARTM3/")</f>
        <v>http://www.pristavka.com/catalog/Artplays/ARTM3/</v>
      </c>
      <c r="N184" s="71">
        <v>1899</v>
      </c>
      <c r="O184" s="66" t="s">
        <v>27</v>
      </c>
      <c r="P184" s="82" t="s">
        <v>1904</v>
      </c>
      <c r="Q184" s="84" t="s">
        <v>1522</v>
      </c>
      <c r="R184" s="84" t="s">
        <v>1068</v>
      </c>
      <c r="S184" s="84">
        <v>0.33500000000000002</v>
      </c>
      <c r="T184" s="82" t="s">
        <v>1905</v>
      </c>
      <c r="U184" s="84" t="s">
        <v>177</v>
      </c>
      <c r="V184" s="54"/>
    </row>
    <row r="185" spans="1:22" s="11" customFormat="1" ht="45" customHeight="1" x14ac:dyDescent="0.2">
      <c r="A185" s="66" t="s">
        <v>1842</v>
      </c>
      <c r="B185" s="66" t="s">
        <v>1155</v>
      </c>
      <c r="C185" s="66" t="s">
        <v>1842</v>
      </c>
      <c r="D185" s="66" t="s">
        <v>1906</v>
      </c>
      <c r="E185" s="68" t="s">
        <v>1907</v>
      </c>
      <c r="F185" s="66" t="s">
        <v>1906</v>
      </c>
      <c r="G185" s="71">
        <v>792</v>
      </c>
      <c r="H185" s="73"/>
      <c r="I185" s="75">
        <v>0.2</v>
      </c>
      <c r="J185" s="77"/>
      <c r="K185" s="66"/>
      <c r="L185" s="66"/>
      <c r="M185" s="79" t="str">
        <f>HYPERLINK("http://www.pristavka.com/catalog/Artplays/ARTM174/")</f>
        <v>http://www.pristavka.com/catalog/Artplays/ARTM174/</v>
      </c>
      <c r="N185" s="71">
        <v>1599</v>
      </c>
      <c r="O185" s="66" t="s">
        <v>27</v>
      </c>
      <c r="P185" s="82" t="s">
        <v>1908</v>
      </c>
      <c r="Q185" s="84" t="s">
        <v>1522</v>
      </c>
      <c r="R185" s="84" t="s">
        <v>1068</v>
      </c>
      <c r="S185" s="84">
        <v>0.36099999999999999</v>
      </c>
      <c r="T185" s="82" t="s">
        <v>1905</v>
      </c>
      <c r="U185" s="84" t="s">
        <v>177</v>
      </c>
      <c r="V185" s="54"/>
    </row>
    <row r="186" spans="1:22" s="11" customFormat="1" ht="45" customHeight="1" x14ac:dyDescent="0.2">
      <c r="A186" s="66" t="s">
        <v>1842</v>
      </c>
      <c r="B186" s="66" t="s">
        <v>1155</v>
      </c>
      <c r="C186" s="66" t="s">
        <v>1842</v>
      </c>
      <c r="D186" s="66" t="s">
        <v>1909</v>
      </c>
      <c r="E186" s="68" t="s">
        <v>1910</v>
      </c>
      <c r="F186" s="66" t="s">
        <v>1909</v>
      </c>
      <c r="G186" s="71">
        <v>1056</v>
      </c>
      <c r="H186" s="73"/>
      <c r="I186" s="75">
        <v>0.2</v>
      </c>
      <c r="J186" s="77"/>
      <c r="K186" s="66"/>
      <c r="L186" s="66"/>
      <c r="M186" s="79" t="str">
        <f>HYPERLINK("http://www.pristavka.com/catalog/Artplays/ARTM2/")</f>
        <v>http://www.pristavka.com/catalog/Artplays/ARTM2/</v>
      </c>
      <c r="N186" s="71">
        <v>2199</v>
      </c>
      <c r="O186" s="66" t="s">
        <v>27</v>
      </c>
      <c r="P186" s="82" t="s">
        <v>1911</v>
      </c>
      <c r="Q186" s="84" t="s">
        <v>1522</v>
      </c>
      <c r="R186" s="84" t="s">
        <v>1068</v>
      </c>
      <c r="S186" s="84">
        <v>0.34300000000000003</v>
      </c>
      <c r="T186" s="82" t="s">
        <v>1905</v>
      </c>
      <c r="U186" s="84" t="s">
        <v>177</v>
      </c>
      <c r="V186" s="54"/>
    </row>
    <row r="187" spans="1:22" s="11" customFormat="1" ht="45" customHeight="1" x14ac:dyDescent="0.2">
      <c r="A187" s="66" t="s">
        <v>1842</v>
      </c>
      <c r="B187" s="66" t="s">
        <v>1155</v>
      </c>
      <c r="C187" s="66" t="s">
        <v>1842</v>
      </c>
      <c r="D187" s="66" t="s">
        <v>1912</v>
      </c>
      <c r="E187" s="68" t="s">
        <v>1913</v>
      </c>
      <c r="F187" s="66" t="s">
        <v>1912</v>
      </c>
      <c r="G187" s="71">
        <v>1056</v>
      </c>
      <c r="H187" s="73"/>
      <c r="I187" s="75">
        <v>0.2</v>
      </c>
      <c r="J187" s="77"/>
      <c r="K187" s="66"/>
      <c r="L187" s="66"/>
      <c r="M187" s="79" t="str">
        <f>HYPERLINK("http://www.pristavka.com/catalog/Artplays/ARTM5/")</f>
        <v>http://www.pristavka.com/catalog/Artplays/ARTM5/</v>
      </c>
      <c r="N187" s="71">
        <v>2199</v>
      </c>
      <c r="O187" s="66" t="s">
        <v>27</v>
      </c>
      <c r="P187" s="82" t="s">
        <v>1914</v>
      </c>
      <c r="Q187" s="84" t="s">
        <v>1522</v>
      </c>
      <c r="R187" s="84" t="s">
        <v>1068</v>
      </c>
      <c r="S187" s="84">
        <v>0.33200000000000002</v>
      </c>
      <c r="T187" s="82" t="s">
        <v>1905</v>
      </c>
      <c r="U187" s="84" t="s">
        <v>177</v>
      </c>
      <c r="V187" s="54"/>
    </row>
    <row r="188" spans="1:22" s="11" customFormat="1" ht="45" customHeight="1" x14ac:dyDescent="0.2">
      <c r="A188" s="66" t="s">
        <v>1842</v>
      </c>
      <c r="B188" s="66" t="s">
        <v>1155</v>
      </c>
      <c r="C188" s="66" t="s">
        <v>1842</v>
      </c>
      <c r="D188" s="66" t="s">
        <v>1915</v>
      </c>
      <c r="E188" s="68" t="s">
        <v>1916</v>
      </c>
      <c r="F188" s="66" t="s">
        <v>1915</v>
      </c>
      <c r="G188" s="71">
        <v>924</v>
      </c>
      <c r="H188" s="73"/>
      <c r="I188" s="75">
        <v>0.2</v>
      </c>
      <c r="J188" s="77"/>
      <c r="K188" s="66"/>
      <c r="L188" s="66"/>
      <c r="M188" s="79" t="str">
        <f>HYPERLINK("http://www.pristavka.com/catalog/Artplays/ARTM173/")</f>
        <v>http://www.pristavka.com/catalog/Artplays/ARTM173/</v>
      </c>
      <c r="N188" s="71">
        <v>1899</v>
      </c>
      <c r="O188" s="66" t="s">
        <v>27</v>
      </c>
      <c r="P188" s="82" t="s">
        <v>1917</v>
      </c>
      <c r="Q188" s="84" t="s">
        <v>1522</v>
      </c>
      <c r="R188" s="84" t="s">
        <v>1068</v>
      </c>
      <c r="S188" s="84">
        <v>0.36</v>
      </c>
      <c r="T188" s="82" t="s">
        <v>1905</v>
      </c>
      <c r="U188" s="84" t="s">
        <v>177</v>
      </c>
      <c r="V188" s="54"/>
    </row>
    <row r="189" spans="1:22" s="11" customFormat="1" ht="45" customHeight="1" x14ac:dyDescent="0.2">
      <c r="A189" s="66" t="s">
        <v>1842</v>
      </c>
      <c r="B189" s="66" t="s">
        <v>1155</v>
      </c>
      <c r="C189" s="66" t="s">
        <v>1842</v>
      </c>
      <c r="D189" s="66" t="s">
        <v>1918</v>
      </c>
      <c r="E189" s="68" t="s">
        <v>1919</v>
      </c>
      <c r="F189" s="66" t="s">
        <v>1918</v>
      </c>
      <c r="G189" s="71">
        <v>687</v>
      </c>
      <c r="H189" s="73"/>
      <c r="I189" s="75">
        <v>0.2</v>
      </c>
      <c r="J189" s="77"/>
      <c r="K189" s="66"/>
      <c r="L189" s="66"/>
      <c r="M189" s="79" t="str">
        <f>HYPERLINK("http://www.pristavka.com/catalog/Artplays/ARTM250/")</f>
        <v>http://www.pristavka.com/catalog/Artplays/ARTM250/</v>
      </c>
      <c r="N189" s="71">
        <v>1399</v>
      </c>
      <c r="O189" s="66" t="s">
        <v>27</v>
      </c>
      <c r="P189" s="82" t="s">
        <v>1920</v>
      </c>
      <c r="Q189" s="84" t="s">
        <v>1522</v>
      </c>
      <c r="R189" s="84" t="s">
        <v>1068</v>
      </c>
      <c r="S189" s="84">
        <v>9.1999999999999998E-2</v>
      </c>
      <c r="T189" s="82" t="s">
        <v>1921</v>
      </c>
      <c r="U189" s="84" t="s">
        <v>177</v>
      </c>
      <c r="V189" s="54"/>
    </row>
    <row r="190" spans="1:22" s="11" customFormat="1" ht="45" customHeight="1" x14ac:dyDescent="0.2">
      <c r="A190" s="66" t="s">
        <v>1842</v>
      </c>
      <c r="B190" s="66" t="s">
        <v>1155</v>
      </c>
      <c r="C190" s="66" t="s">
        <v>1842</v>
      </c>
      <c r="D190" s="66" t="s">
        <v>1922</v>
      </c>
      <c r="E190" s="68" t="s">
        <v>1923</v>
      </c>
      <c r="F190" s="66" t="s">
        <v>1922</v>
      </c>
      <c r="G190" s="71">
        <v>687</v>
      </c>
      <c r="H190" s="73"/>
      <c r="I190" s="75">
        <v>0.2</v>
      </c>
      <c r="J190" s="77"/>
      <c r="K190" s="66"/>
      <c r="L190" s="66"/>
      <c r="M190" s="79" t="str">
        <f>HYPERLINK("http://www.pristavka.com/catalog/Artplays/ARTM251/")</f>
        <v>http://www.pristavka.com/catalog/Artplays/ARTM251/</v>
      </c>
      <c r="N190" s="71">
        <v>1399</v>
      </c>
      <c r="O190" s="66" t="s">
        <v>27</v>
      </c>
      <c r="P190" s="82" t="s">
        <v>1924</v>
      </c>
      <c r="Q190" s="84" t="s">
        <v>1522</v>
      </c>
      <c r="R190" s="84" t="s">
        <v>1068</v>
      </c>
      <c r="S190" s="84">
        <v>9.4E-2</v>
      </c>
      <c r="T190" s="82" t="s">
        <v>1921</v>
      </c>
      <c r="U190" s="84" t="s">
        <v>177</v>
      </c>
      <c r="V190" s="54"/>
    </row>
    <row r="191" spans="1:22" s="11" customFormat="1" ht="45" customHeight="1" x14ac:dyDescent="0.2">
      <c r="A191" s="66" t="s">
        <v>1842</v>
      </c>
      <c r="B191" s="66" t="s">
        <v>1155</v>
      </c>
      <c r="C191" s="66" t="s">
        <v>1842</v>
      </c>
      <c r="D191" s="66" t="s">
        <v>1925</v>
      </c>
      <c r="E191" s="68" t="s">
        <v>1926</v>
      </c>
      <c r="F191" s="66" t="s">
        <v>1925</v>
      </c>
      <c r="G191" s="71">
        <v>687</v>
      </c>
      <c r="H191" s="73"/>
      <c r="I191" s="75">
        <v>0.2</v>
      </c>
      <c r="J191" s="77"/>
      <c r="K191" s="66"/>
      <c r="L191" s="66"/>
      <c r="M191" s="79" t="str">
        <f>HYPERLINK("http://www.pristavka.com/catalog/Artplays/ARTM217/")</f>
        <v>http://www.pristavka.com/catalog/Artplays/ARTM217/</v>
      </c>
      <c r="N191" s="71">
        <v>1399</v>
      </c>
      <c r="O191" s="66" t="s">
        <v>27</v>
      </c>
      <c r="P191" s="82" t="s">
        <v>1927</v>
      </c>
      <c r="Q191" s="84" t="s">
        <v>1117</v>
      </c>
      <c r="R191" s="84" t="s">
        <v>1068</v>
      </c>
      <c r="S191" s="84">
        <v>9.6000000000000002E-2</v>
      </c>
      <c r="T191" s="82" t="s">
        <v>1921</v>
      </c>
      <c r="U191" s="84" t="s">
        <v>177</v>
      </c>
      <c r="V191" s="54"/>
    </row>
    <row r="192" spans="1:22" s="11" customFormat="1" ht="45" customHeight="1" x14ac:dyDescent="0.2">
      <c r="A192" s="66" t="s">
        <v>1842</v>
      </c>
      <c r="B192" s="66" t="s">
        <v>1155</v>
      </c>
      <c r="C192" s="66" t="s">
        <v>1842</v>
      </c>
      <c r="D192" s="66" t="s">
        <v>1928</v>
      </c>
      <c r="E192" s="68" t="s">
        <v>1929</v>
      </c>
      <c r="F192" s="66" t="s">
        <v>1928</v>
      </c>
      <c r="G192" s="71">
        <v>687</v>
      </c>
      <c r="H192" s="73"/>
      <c r="I192" s="75">
        <v>0.2</v>
      </c>
      <c r="J192" s="77"/>
      <c r="K192" s="66"/>
      <c r="L192" s="66"/>
      <c r="M192" s="79" t="str">
        <f>HYPERLINK("http://www.pristavka.com/catalog/Artplays/ARTM218/")</f>
        <v>http://www.pristavka.com/catalog/Artplays/ARTM218/</v>
      </c>
      <c r="N192" s="71">
        <v>1399</v>
      </c>
      <c r="O192" s="66" t="s">
        <v>27</v>
      </c>
      <c r="P192" s="82" t="s">
        <v>1930</v>
      </c>
      <c r="Q192" s="84" t="s">
        <v>1117</v>
      </c>
      <c r="R192" s="84" t="s">
        <v>1068</v>
      </c>
      <c r="S192" s="84">
        <v>9.4E-2</v>
      </c>
      <c r="T192" s="82" t="s">
        <v>1921</v>
      </c>
      <c r="U192" s="84" t="s">
        <v>177</v>
      </c>
      <c r="V192" s="54"/>
    </row>
    <row r="193" spans="1:22" s="11" customFormat="1" ht="45" customHeight="1" x14ac:dyDescent="0.2">
      <c r="A193" s="66" t="s">
        <v>1842</v>
      </c>
      <c r="B193" s="66" t="s">
        <v>1155</v>
      </c>
      <c r="C193" s="66" t="s">
        <v>1842</v>
      </c>
      <c r="D193" s="66" t="s">
        <v>1931</v>
      </c>
      <c r="E193" s="68" t="s">
        <v>1932</v>
      </c>
      <c r="F193" s="66" t="s">
        <v>1931</v>
      </c>
      <c r="G193" s="71">
        <v>687</v>
      </c>
      <c r="H193" s="73"/>
      <c r="I193" s="75">
        <v>0.2</v>
      </c>
      <c r="J193" s="77"/>
      <c r="K193" s="66"/>
      <c r="L193" s="66"/>
      <c r="M193" s="79" t="str">
        <f>HYPERLINK("http://www.pristavka.com/catalog/Artplays/ARTM187/")</f>
        <v>http://www.pristavka.com/catalog/Artplays/ARTM187/</v>
      </c>
      <c r="N193" s="71">
        <v>1399</v>
      </c>
      <c r="O193" s="66" t="s">
        <v>27</v>
      </c>
      <c r="P193" s="82" t="s">
        <v>1933</v>
      </c>
      <c r="Q193" s="84" t="s">
        <v>1091</v>
      </c>
      <c r="R193" s="84" t="s">
        <v>1068</v>
      </c>
      <c r="S193" s="84">
        <v>9.4E-2</v>
      </c>
      <c r="T193" s="82" t="s">
        <v>1921</v>
      </c>
      <c r="U193" s="84" t="s">
        <v>177</v>
      </c>
      <c r="V193" s="54"/>
    </row>
    <row r="194" spans="1:22" s="11" customFormat="1" ht="45" customHeight="1" x14ac:dyDescent="0.2">
      <c r="A194" s="66" t="s">
        <v>1842</v>
      </c>
      <c r="B194" s="66" t="s">
        <v>1155</v>
      </c>
      <c r="C194" s="66" t="s">
        <v>1842</v>
      </c>
      <c r="D194" s="66" t="s">
        <v>1934</v>
      </c>
      <c r="E194" s="68" t="s">
        <v>1935</v>
      </c>
      <c r="F194" s="66" t="s">
        <v>1934</v>
      </c>
      <c r="G194" s="71">
        <v>687</v>
      </c>
      <c r="H194" s="73"/>
      <c r="I194" s="75">
        <v>0.2</v>
      </c>
      <c r="J194" s="77"/>
      <c r="K194" s="66"/>
      <c r="L194" s="66"/>
      <c r="M194" s="79" t="str">
        <f>HYPERLINK("http://www.pristavka.com/catalog/Artplays/ARTM186/")</f>
        <v>http://www.pristavka.com/catalog/Artplays/ARTM186/</v>
      </c>
      <c r="N194" s="71">
        <v>1399</v>
      </c>
      <c r="O194" s="66" t="s">
        <v>27</v>
      </c>
      <c r="P194" s="82" t="s">
        <v>1936</v>
      </c>
      <c r="Q194" s="84" t="s">
        <v>1091</v>
      </c>
      <c r="R194" s="84" t="s">
        <v>1068</v>
      </c>
      <c r="S194" s="84">
        <v>9.8000000000000004E-2</v>
      </c>
      <c r="T194" s="82" t="s">
        <v>1937</v>
      </c>
      <c r="U194" s="84" t="s">
        <v>177</v>
      </c>
      <c r="V194" s="54"/>
    </row>
    <row r="195" spans="1:22" s="11" customFormat="1" ht="45" customHeight="1" x14ac:dyDescent="0.2">
      <c r="A195" s="66" t="s">
        <v>1842</v>
      </c>
      <c r="B195" s="66" t="s">
        <v>1155</v>
      </c>
      <c r="C195" s="66" t="s">
        <v>1842</v>
      </c>
      <c r="D195" s="66" t="s">
        <v>1938</v>
      </c>
      <c r="E195" s="68" t="s">
        <v>1939</v>
      </c>
      <c r="F195" s="66" t="s">
        <v>1938</v>
      </c>
      <c r="G195" s="71">
        <v>660</v>
      </c>
      <c r="H195" s="73"/>
      <c r="I195" s="75">
        <v>0.2</v>
      </c>
      <c r="J195" s="77"/>
      <c r="K195" s="66"/>
      <c r="L195" s="66"/>
      <c r="M195" s="79" t="str">
        <f>HYPERLINK("http://www.pristavka.com/catalog/Artplays/ARTM208/")</f>
        <v>http://www.pristavka.com/catalog/Artplays/ARTM208/</v>
      </c>
      <c r="N195" s="71">
        <v>1399</v>
      </c>
      <c r="O195" s="66" t="s">
        <v>27</v>
      </c>
      <c r="P195" s="82" t="s">
        <v>1940</v>
      </c>
      <c r="Q195" s="84" t="s">
        <v>1091</v>
      </c>
      <c r="R195" s="84" t="s">
        <v>1068</v>
      </c>
      <c r="S195" s="84">
        <v>2.5999999999999999E-2</v>
      </c>
      <c r="T195" s="82" t="s">
        <v>1941</v>
      </c>
      <c r="U195" s="84" t="s">
        <v>177</v>
      </c>
      <c r="V195" s="54"/>
    </row>
    <row r="196" spans="1:22" s="11" customFormat="1" ht="45" customHeight="1" x14ac:dyDescent="0.2">
      <c r="A196" s="66" t="s">
        <v>1842</v>
      </c>
      <c r="B196" s="66" t="s">
        <v>1155</v>
      </c>
      <c r="C196" s="66" t="s">
        <v>1842</v>
      </c>
      <c r="D196" s="66" t="s">
        <v>1942</v>
      </c>
      <c r="E196" s="68" t="s">
        <v>1943</v>
      </c>
      <c r="F196" s="66" t="s">
        <v>1942</v>
      </c>
      <c r="G196" s="71">
        <v>660</v>
      </c>
      <c r="H196" s="73"/>
      <c r="I196" s="75">
        <v>0.2</v>
      </c>
      <c r="J196" s="77"/>
      <c r="K196" s="66"/>
      <c r="L196" s="66"/>
      <c r="M196" s="79" t="str">
        <f>HYPERLINK("http://www.pristavka.com/catalog/Artplays/ARTM241/")</f>
        <v>http://www.pristavka.com/catalog/Artplays/ARTM241/</v>
      </c>
      <c r="N196" s="71">
        <v>1399</v>
      </c>
      <c r="O196" s="66" t="s">
        <v>27</v>
      </c>
      <c r="P196" s="82" t="s">
        <v>1944</v>
      </c>
      <c r="Q196" s="84" t="s">
        <v>1117</v>
      </c>
      <c r="R196" s="84" t="s">
        <v>1068</v>
      </c>
      <c r="S196" s="84">
        <v>2.7E-2</v>
      </c>
      <c r="T196" s="82" t="s">
        <v>1941</v>
      </c>
      <c r="U196" s="84" t="s">
        <v>177</v>
      </c>
      <c r="V196" s="54"/>
    </row>
    <row r="197" spans="1:22" s="11" customFormat="1" ht="45" customHeight="1" x14ac:dyDescent="0.2">
      <c r="A197" s="66" t="s">
        <v>1842</v>
      </c>
      <c r="B197" s="66" t="s">
        <v>1155</v>
      </c>
      <c r="C197" s="66" t="s">
        <v>1842</v>
      </c>
      <c r="D197" s="66" t="s">
        <v>1945</v>
      </c>
      <c r="E197" s="68" t="s">
        <v>1946</v>
      </c>
      <c r="F197" s="66" t="s">
        <v>1945</v>
      </c>
      <c r="G197" s="71">
        <v>946</v>
      </c>
      <c r="H197" s="73"/>
      <c r="I197" s="75">
        <v>0.2</v>
      </c>
      <c r="J197" s="77"/>
      <c r="K197" s="66"/>
      <c r="L197" s="66"/>
      <c r="M197" s="79" t="str">
        <f>HYPERLINK("http://www.pristavka.com/catalog/Artplays/ARTM159/")</f>
        <v>http://www.pristavka.com/catalog/Artplays/ARTM159/</v>
      </c>
      <c r="N197" s="71">
        <v>1599</v>
      </c>
      <c r="O197" s="66" t="s">
        <v>27</v>
      </c>
      <c r="P197" s="82" t="s">
        <v>1947</v>
      </c>
      <c r="Q197" s="84" t="s">
        <v>1522</v>
      </c>
      <c r="R197" s="84" t="s">
        <v>1068</v>
      </c>
      <c r="S197" s="84">
        <v>8.5999999999999993E-2</v>
      </c>
      <c r="T197" s="82" t="s">
        <v>1948</v>
      </c>
      <c r="U197" s="84" t="s">
        <v>177</v>
      </c>
      <c r="V197" s="54"/>
    </row>
    <row r="198" spans="1:22" s="11" customFormat="1" ht="45" customHeight="1" x14ac:dyDescent="0.2">
      <c r="A198" s="66" t="s">
        <v>1842</v>
      </c>
      <c r="B198" s="66" t="s">
        <v>1155</v>
      </c>
      <c r="C198" s="66" t="s">
        <v>1842</v>
      </c>
      <c r="D198" s="66" t="s">
        <v>1949</v>
      </c>
      <c r="E198" s="68" t="s">
        <v>1950</v>
      </c>
      <c r="F198" s="66" t="s">
        <v>1949</v>
      </c>
      <c r="G198" s="71">
        <v>946</v>
      </c>
      <c r="H198" s="73"/>
      <c r="I198" s="75">
        <v>0.2</v>
      </c>
      <c r="J198" s="77"/>
      <c r="K198" s="66"/>
      <c r="L198" s="66"/>
      <c r="M198" s="79" t="str">
        <f>HYPERLINK("http://www.pristavka.com/catalog/Artplays/ARTM165/")</f>
        <v>http://www.pristavka.com/catalog/Artplays/ARTM165/</v>
      </c>
      <c r="N198" s="71">
        <v>1599</v>
      </c>
      <c r="O198" s="66" t="s">
        <v>27</v>
      </c>
      <c r="P198" s="82" t="s">
        <v>1951</v>
      </c>
      <c r="Q198" s="84" t="s">
        <v>1522</v>
      </c>
      <c r="R198" s="84" t="s">
        <v>1068</v>
      </c>
      <c r="S198" s="84">
        <v>0.13600000000000001</v>
      </c>
      <c r="T198" s="82" t="s">
        <v>1952</v>
      </c>
      <c r="U198" s="84" t="s">
        <v>177</v>
      </c>
      <c r="V198" s="54"/>
    </row>
    <row r="199" spans="1:22" s="11" customFormat="1" ht="45" customHeight="1" x14ac:dyDescent="0.2">
      <c r="A199" s="66" t="s">
        <v>1842</v>
      </c>
      <c r="B199" s="66" t="s">
        <v>1155</v>
      </c>
      <c r="C199" s="66" t="s">
        <v>1842</v>
      </c>
      <c r="D199" s="66" t="s">
        <v>1953</v>
      </c>
      <c r="E199" s="68" t="s">
        <v>1954</v>
      </c>
      <c r="F199" s="66" t="s">
        <v>1953</v>
      </c>
      <c r="G199" s="71">
        <v>1421</v>
      </c>
      <c r="H199" s="73"/>
      <c r="I199" s="75">
        <v>0.2</v>
      </c>
      <c r="J199" s="77"/>
      <c r="K199" s="66"/>
      <c r="L199" s="66"/>
      <c r="M199" s="79" t="str">
        <f>HYPERLINK("http://www.pristavka.com/catalog/Artplays/ARTM161/")</f>
        <v>http://www.pristavka.com/catalog/Artplays/ARTM161/</v>
      </c>
      <c r="N199" s="71">
        <v>2399</v>
      </c>
      <c r="O199" s="66" t="s">
        <v>27</v>
      </c>
      <c r="P199" s="82" t="s">
        <v>1955</v>
      </c>
      <c r="Q199" s="84" t="s">
        <v>1522</v>
      </c>
      <c r="R199" s="84" t="s">
        <v>1068</v>
      </c>
      <c r="S199" s="84">
        <v>0.38600000000000001</v>
      </c>
      <c r="T199" s="82" t="s">
        <v>1956</v>
      </c>
      <c r="U199" s="84" t="s">
        <v>177</v>
      </c>
      <c r="V199" s="54"/>
    </row>
    <row r="200" spans="1:22" s="11" customFormat="1" ht="45" customHeight="1" x14ac:dyDescent="0.2">
      <c r="A200" s="66" t="s">
        <v>1842</v>
      </c>
      <c r="B200" s="66" t="s">
        <v>1155</v>
      </c>
      <c r="C200" s="66" t="s">
        <v>1842</v>
      </c>
      <c r="D200" s="66" t="s">
        <v>1957</v>
      </c>
      <c r="E200" s="68" t="s">
        <v>1958</v>
      </c>
      <c r="F200" s="66" t="s">
        <v>1957</v>
      </c>
      <c r="G200" s="71">
        <v>1643</v>
      </c>
      <c r="H200" s="73"/>
      <c r="I200" s="75">
        <v>0.2</v>
      </c>
      <c r="J200" s="77"/>
      <c r="K200" s="66"/>
      <c r="L200" s="66"/>
      <c r="M200" s="79" t="str">
        <f>HYPERLINK("http://www.pristavka.com/catalog/Artplays/ARTM163/")</f>
        <v>http://www.pristavka.com/catalog/Artplays/ARTM163/</v>
      </c>
      <c r="N200" s="71">
        <v>2799</v>
      </c>
      <c r="O200" s="66" t="s">
        <v>27</v>
      </c>
      <c r="P200" s="82" t="s">
        <v>1959</v>
      </c>
      <c r="Q200" s="84" t="s">
        <v>1522</v>
      </c>
      <c r="R200" s="84" t="s">
        <v>1068</v>
      </c>
      <c r="S200" s="84">
        <v>0.318</v>
      </c>
      <c r="T200" s="82" t="s">
        <v>1956</v>
      </c>
      <c r="U200" s="84" t="s">
        <v>177</v>
      </c>
      <c r="V200" s="54"/>
    </row>
    <row r="201" spans="1:22" s="11" customFormat="1" ht="45" customHeight="1" x14ac:dyDescent="0.2">
      <c r="A201" s="66" t="s">
        <v>1842</v>
      </c>
      <c r="B201" s="66" t="s">
        <v>1155</v>
      </c>
      <c r="C201" s="66" t="s">
        <v>1842</v>
      </c>
      <c r="D201" s="66" t="s">
        <v>1960</v>
      </c>
      <c r="E201" s="68" t="s">
        <v>1961</v>
      </c>
      <c r="F201" s="66" t="s">
        <v>1960</v>
      </c>
      <c r="G201" s="71">
        <v>396</v>
      </c>
      <c r="H201" s="73"/>
      <c r="I201" s="75">
        <v>0.2</v>
      </c>
      <c r="J201" s="77"/>
      <c r="K201" s="66"/>
      <c r="L201" s="66"/>
      <c r="M201" s="79" t="str">
        <f>HYPERLINK("http://www.pristavka.com/catalog/Artplays/ARTM148/")</f>
        <v>http://www.pristavka.com/catalog/Artplays/ARTM148/</v>
      </c>
      <c r="N201" s="71">
        <v>799</v>
      </c>
      <c r="O201" s="66" t="s">
        <v>27</v>
      </c>
      <c r="P201" s="82" t="s">
        <v>1962</v>
      </c>
      <c r="Q201" s="84" t="s">
        <v>1963</v>
      </c>
      <c r="R201" s="84" t="s">
        <v>1068</v>
      </c>
      <c r="S201" s="84">
        <v>3.7999999999999999E-2</v>
      </c>
      <c r="T201" s="82" t="s">
        <v>1964</v>
      </c>
      <c r="U201" s="84" t="s">
        <v>177</v>
      </c>
      <c r="V201" s="54"/>
    </row>
    <row r="202" spans="1:22" s="11" customFormat="1" ht="45" customHeight="1" x14ac:dyDescent="0.2">
      <c r="A202" s="66" t="s">
        <v>1842</v>
      </c>
      <c r="B202" s="66" t="s">
        <v>1155</v>
      </c>
      <c r="C202" s="66" t="s">
        <v>1842</v>
      </c>
      <c r="D202" s="66" t="s">
        <v>1965</v>
      </c>
      <c r="E202" s="68" t="s">
        <v>1966</v>
      </c>
      <c r="F202" s="66" t="s">
        <v>1965</v>
      </c>
      <c r="G202" s="71">
        <v>396</v>
      </c>
      <c r="H202" s="73"/>
      <c r="I202" s="75">
        <v>0.2</v>
      </c>
      <c r="J202" s="77"/>
      <c r="K202" s="66"/>
      <c r="L202" s="66"/>
      <c r="M202" s="79" t="str">
        <f>HYPERLINK("http://www.pristavka.com/catalog/Artplays/ARTM147/")</f>
        <v>http://www.pristavka.com/catalog/Artplays/ARTM147/</v>
      </c>
      <c r="N202" s="71">
        <v>799</v>
      </c>
      <c r="O202" s="66" t="s">
        <v>27</v>
      </c>
      <c r="P202" s="82" t="s">
        <v>1967</v>
      </c>
      <c r="Q202" s="84" t="s">
        <v>1522</v>
      </c>
      <c r="R202" s="84" t="s">
        <v>1068</v>
      </c>
      <c r="S202" s="84">
        <v>3.7999999999999999E-2</v>
      </c>
      <c r="T202" s="82" t="s">
        <v>1964</v>
      </c>
      <c r="U202" s="84" t="s">
        <v>177</v>
      </c>
      <c r="V202" s="54"/>
    </row>
    <row r="203" spans="1:22" s="11" customFormat="1" ht="45" customHeight="1" x14ac:dyDescent="0.2">
      <c r="A203" s="66" t="s">
        <v>1842</v>
      </c>
      <c r="B203" s="66" t="s">
        <v>1155</v>
      </c>
      <c r="C203" s="66" t="s">
        <v>1842</v>
      </c>
      <c r="D203" s="66" t="s">
        <v>1968</v>
      </c>
      <c r="E203" s="68" t="s">
        <v>1969</v>
      </c>
      <c r="F203" s="66" t="s">
        <v>1968</v>
      </c>
      <c r="G203" s="71">
        <v>259</v>
      </c>
      <c r="H203" s="73"/>
      <c r="I203" s="75">
        <v>0.2</v>
      </c>
      <c r="J203" s="77"/>
      <c r="K203" s="66"/>
      <c r="L203" s="66"/>
      <c r="M203" s="79" t="str">
        <f>HYPERLINK("http://www.pristavka.com/catalog/Artplays/ARTM60/")</f>
        <v>http://www.pristavka.com/catalog/Artplays/ARTM60/</v>
      </c>
      <c r="N203" s="71">
        <v>599</v>
      </c>
      <c r="O203" s="66" t="s">
        <v>27</v>
      </c>
      <c r="P203" s="82" t="s">
        <v>1970</v>
      </c>
      <c r="Q203" s="84" t="s">
        <v>1963</v>
      </c>
      <c r="R203" s="84" t="s">
        <v>1068</v>
      </c>
      <c r="S203" s="84">
        <v>1.6E-2</v>
      </c>
      <c r="T203" s="82" t="s">
        <v>1971</v>
      </c>
      <c r="U203" s="84" t="s">
        <v>177</v>
      </c>
      <c r="V203" s="54"/>
    </row>
    <row r="204" spans="1:22" s="11" customFormat="1" ht="45" customHeight="1" x14ac:dyDescent="0.2">
      <c r="A204" s="66" t="s">
        <v>1842</v>
      </c>
      <c r="B204" s="66" t="s">
        <v>1155</v>
      </c>
      <c r="C204" s="66" t="s">
        <v>1842</v>
      </c>
      <c r="D204" s="66" t="s">
        <v>1972</v>
      </c>
      <c r="E204" s="68" t="s">
        <v>1973</v>
      </c>
      <c r="F204" s="66" t="s">
        <v>1972</v>
      </c>
      <c r="G204" s="71">
        <v>259</v>
      </c>
      <c r="H204" s="73"/>
      <c r="I204" s="75">
        <v>0.2</v>
      </c>
      <c r="J204" s="77"/>
      <c r="K204" s="66"/>
      <c r="L204" s="66"/>
      <c r="M204" s="79" t="str">
        <f>HYPERLINK("http://www.pristavka.com/catalog/Artplays/ARTM11/")</f>
        <v>http://www.pristavka.com/catalog/Artplays/ARTM11/</v>
      </c>
      <c r="N204" s="71">
        <v>599</v>
      </c>
      <c r="O204" s="66" t="s">
        <v>27</v>
      </c>
      <c r="P204" s="82" t="s">
        <v>1974</v>
      </c>
      <c r="Q204" s="84" t="s">
        <v>1522</v>
      </c>
      <c r="R204" s="84" t="s">
        <v>1068</v>
      </c>
      <c r="S204" s="84">
        <v>1.6E-2</v>
      </c>
      <c r="T204" s="82" t="s">
        <v>1971</v>
      </c>
      <c r="U204" s="84" t="s">
        <v>177</v>
      </c>
      <c r="V204" s="54"/>
    </row>
    <row r="205" spans="1:22" s="11" customFormat="1" ht="45" customHeight="1" x14ac:dyDescent="0.2">
      <c r="A205" s="66" t="s">
        <v>1842</v>
      </c>
      <c r="B205" s="66" t="s">
        <v>1155</v>
      </c>
      <c r="C205" s="66" t="s">
        <v>1842</v>
      </c>
      <c r="D205" s="66" t="s">
        <v>1975</v>
      </c>
      <c r="E205" s="68" t="s">
        <v>1976</v>
      </c>
      <c r="F205" s="66" t="s">
        <v>1975</v>
      </c>
      <c r="G205" s="71">
        <v>0</v>
      </c>
      <c r="H205" s="73"/>
      <c r="I205" s="75">
        <v>0.2</v>
      </c>
      <c r="J205" s="77"/>
      <c r="K205" s="66"/>
      <c r="L205" s="66"/>
      <c r="M205" s="79" t="str">
        <f>HYPERLINK("http://www.pristavka.com/catalog/Artplays/ARTM151/")</f>
        <v>http://www.pristavka.com/catalog/Artplays/ARTM151/</v>
      </c>
      <c r="N205" s="71"/>
      <c r="O205" s="66" t="s">
        <v>27</v>
      </c>
      <c r="P205" s="82" t="s">
        <v>1977</v>
      </c>
      <c r="Q205" s="84" t="s">
        <v>1522</v>
      </c>
      <c r="R205" s="84" t="s">
        <v>1068</v>
      </c>
      <c r="S205" s="84">
        <v>0.01</v>
      </c>
      <c r="T205" s="82" t="s">
        <v>1978</v>
      </c>
      <c r="U205" s="84" t="s">
        <v>177</v>
      </c>
      <c r="V205" s="54"/>
    </row>
    <row r="206" spans="1:22" s="11" customFormat="1" ht="45" customHeight="1" x14ac:dyDescent="0.2">
      <c r="A206" s="66" t="s">
        <v>1842</v>
      </c>
      <c r="B206" s="66" t="s">
        <v>1155</v>
      </c>
      <c r="C206" s="66" t="s">
        <v>1842</v>
      </c>
      <c r="D206" s="66" t="s">
        <v>1979</v>
      </c>
      <c r="E206" s="68" t="s">
        <v>1980</v>
      </c>
      <c r="F206" s="66" t="s">
        <v>1979</v>
      </c>
      <c r="G206" s="71">
        <v>1268</v>
      </c>
      <c r="H206" s="73"/>
      <c r="I206" s="75">
        <v>0.2</v>
      </c>
      <c r="J206" s="77"/>
      <c r="K206" s="66"/>
      <c r="L206" s="66"/>
      <c r="M206" s="79" t="str">
        <f>HYPERLINK("http://www.pristavka.com/catalog/Artplays/ARTM135/")</f>
        <v>http://www.pristavka.com/catalog/Artplays/ARTM135/</v>
      </c>
      <c r="N206" s="71">
        <v>1999</v>
      </c>
      <c r="O206" s="66" t="s">
        <v>27</v>
      </c>
      <c r="P206" s="82" t="s">
        <v>1981</v>
      </c>
      <c r="Q206" s="84" t="s">
        <v>1522</v>
      </c>
      <c r="R206" s="84" t="s">
        <v>1068</v>
      </c>
      <c r="S206" s="84">
        <v>0.27</v>
      </c>
      <c r="T206" s="82" t="s">
        <v>1982</v>
      </c>
      <c r="U206" s="84" t="s">
        <v>177</v>
      </c>
      <c r="V206" s="54"/>
    </row>
    <row r="207" spans="1:22" s="11" customFormat="1" ht="45" customHeight="1" x14ac:dyDescent="0.2">
      <c r="A207" s="66" t="s">
        <v>1842</v>
      </c>
      <c r="B207" s="66" t="s">
        <v>1155</v>
      </c>
      <c r="C207" s="66" t="s">
        <v>1842</v>
      </c>
      <c r="D207" s="66" t="s">
        <v>1983</v>
      </c>
      <c r="E207" s="68" t="s">
        <v>1984</v>
      </c>
      <c r="F207" s="66" t="s">
        <v>1983</v>
      </c>
      <c r="G207" s="71">
        <v>1268</v>
      </c>
      <c r="H207" s="73"/>
      <c r="I207" s="75">
        <v>0.2</v>
      </c>
      <c r="J207" s="77"/>
      <c r="K207" s="66"/>
      <c r="L207" s="66"/>
      <c r="M207" s="79" t="str">
        <f>HYPERLINK("http://www.pristavka.com/catalog/Artplays/ARTM84/")</f>
        <v>http://www.pristavka.com/catalog/Artplays/ARTM84/</v>
      </c>
      <c r="N207" s="71">
        <v>1999</v>
      </c>
      <c r="O207" s="66" t="s">
        <v>27</v>
      </c>
      <c r="P207" s="82" t="s">
        <v>1985</v>
      </c>
      <c r="Q207" s="84" t="s">
        <v>1963</v>
      </c>
      <c r="R207" s="84" t="s">
        <v>1632</v>
      </c>
      <c r="S207" s="84">
        <v>0.26800000000000002</v>
      </c>
      <c r="T207" s="82" t="s">
        <v>1986</v>
      </c>
      <c r="U207" s="84" t="s">
        <v>177</v>
      </c>
      <c r="V207" s="54"/>
    </row>
    <row r="208" spans="1:22" s="11" customFormat="1" ht="45" customHeight="1" x14ac:dyDescent="0.2">
      <c r="A208" s="66" t="s">
        <v>1842</v>
      </c>
      <c r="B208" s="66" t="s">
        <v>1155</v>
      </c>
      <c r="C208" s="66" t="s">
        <v>1842</v>
      </c>
      <c r="D208" s="66" t="s">
        <v>1987</v>
      </c>
      <c r="E208" s="68" t="s">
        <v>1988</v>
      </c>
      <c r="F208" s="66" t="s">
        <v>1987</v>
      </c>
      <c r="G208" s="71">
        <v>1268</v>
      </c>
      <c r="H208" s="73"/>
      <c r="I208" s="75">
        <v>0.2</v>
      </c>
      <c r="J208" s="77"/>
      <c r="K208" s="66"/>
      <c r="L208" s="66"/>
      <c r="M208" s="79" t="str">
        <f>HYPERLINK("http://www.pristavka.com/catalog/Artplays/ARTM34/")</f>
        <v>http://www.pristavka.com/catalog/Artplays/ARTM34/</v>
      </c>
      <c r="N208" s="71">
        <v>1999</v>
      </c>
      <c r="O208" s="66" t="s">
        <v>27</v>
      </c>
      <c r="P208" s="82" t="s">
        <v>1989</v>
      </c>
      <c r="Q208" s="84" t="s">
        <v>1522</v>
      </c>
      <c r="R208" s="84" t="s">
        <v>1068</v>
      </c>
      <c r="S208" s="84">
        <v>0.27500000000000002</v>
      </c>
      <c r="T208" s="82" t="s">
        <v>1990</v>
      </c>
      <c r="U208" s="84" t="s">
        <v>177</v>
      </c>
      <c r="V208" s="54"/>
    </row>
    <row r="209" spans="1:22" s="11" customFormat="1" ht="45" customHeight="1" x14ac:dyDescent="0.2">
      <c r="A209" s="66" t="s">
        <v>1842</v>
      </c>
      <c r="B209" s="66" t="s">
        <v>1155</v>
      </c>
      <c r="C209" s="66" t="s">
        <v>1842</v>
      </c>
      <c r="D209" s="66" t="s">
        <v>1991</v>
      </c>
      <c r="E209" s="68" t="s">
        <v>1992</v>
      </c>
      <c r="F209" s="66" t="s">
        <v>1991</v>
      </c>
      <c r="G209" s="71">
        <v>1268</v>
      </c>
      <c r="H209" s="73"/>
      <c r="I209" s="75">
        <v>0.2</v>
      </c>
      <c r="J209" s="77"/>
      <c r="K209" s="66"/>
      <c r="L209" s="66"/>
      <c r="M209" s="79" t="str">
        <f>HYPERLINK("http://www.pristavka.com/catalog/Artplays/ARTM35/")</f>
        <v>http://www.pristavka.com/catalog/Artplays/ARTM35/</v>
      </c>
      <c r="N209" s="71">
        <v>1999</v>
      </c>
      <c r="O209" s="66" t="s">
        <v>27</v>
      </c>
      <c r="P209" s="82" t="s">
        <v>1993</v>
      </c>
      <c r="Q209" s="84" t="s">
        <v>1522</v>
      </c>
      <c r="R209" s="84" t="s">
        <v>1068</v>
      </c>
      <c r="S209" s="84">
        <v>0.26700000000000002</v>
      </c>
      <c r="T209" s="82" t="s">
        <v>1986</v>
      </c>
      <c r="U209" s="84" t="s">
        <v>177</v>
      </c>
      <c r="V209" s="54"/>
    </row>
    <row r="210" spans="1:22" s="11" customFormat="1" ht="45" customHeight="1" x14ac:dyDescent="0.2">
      <c r="A210" s="66" t="s">
        <v>1842</v>
      </c>
      <c r="B210" s="66" t="s">
        <v>1155</v>
      </c>
      <c r="C210" s="66" t="s">
        <v>1842</v>
      </c>
      <c r="D210" s="66" t="s">
        <v>1994</v>
      </c>
      <c r="E210" s="68" t="s">
        <v>1995</v>
      </c>
      <c r="F210" s="66" t="s">
        <v>1994</v>
      </c>
      <c r="G210" s="71">
        <v>1268</v>
      </c>
      <c r="H210" s="73"/>
      <c r="I210" s="75">
        <v>0.2</v>
      </c>
      <c r="J210" s="77"/>
      <c r="K210" s="66"/>
      <c r="L210" s="66"/>
      <c r="M210" s="79" t="str">
        <f>HYPERLINK("http://www.pristavka.com/catalog/Artplays/ARTM136/")</f>
        <v>http://www.pristavka.com/catalog/Artplays/ARTM136/</v>
      </c>
      <c r="N210" s="71">
        <v>1999</v>
      </c>
      <c r="O210" s="66" t="s">
        <v>27</v>
      </c>
      <c r="P210" s="82" t="s">
        <v>1996</v>
      </c>
      <c r="Q210" s="84" t="s">
        <v>1522</v>
      </c>
      <c r="R210" s="84" t="s">
        <v>1068</v>
      </c>
      <c r="S210" s="84">
        <v>0.27</v>
      </c>
      <c r="T210" s="82" t="s">
        <v>1997</v>
      </c>
      <c r="U210" s="84" t="s">
        <v>177</v>
      </c>
      <c r="V210" s="54"/>
    </row>
    <row r="211" spans="1:22" s="11" customFormat="1" ht="45" customHeight="1" x14ac:dyDescent="0.2">
      <c r="A211" s="66" t="s">
        <v>1842</v>
      </c>
      <c r="B211" s="66" t="s">
        <v>1155</v>
      </c>
      <c r="C211" s="66" t="s">
        <v>1842</v>
      </c>
      <c r="D211" s="66" t="s">
        <v>1998</v>
      </c>
      <c r="E211" s="68" t="s">
        <v>1999</v>
      </c>
      <c r="F211" s="66" t="s">
        <v>1998</v>
      </c>
      <c r="G211" s="71">
        <v>1268</v>
      </c>
      <c r="H211" s="73"/>
      <c r="I211" s="75">
        <v>0.2</v>
      </c>
      <c r="J211" s="77"/>
      <c r="K211" s="66"/>
      <c r="L211" s="66"/>
      <c r="M211" s="79" t="str">
        <f>HYPERLINK("http://www.pristavka.com/catalog/Artplays/ARTM36/")</f>
        <v>http://www.pristavka.com/catalog/Artplays/ARTM36/</v>
      </c>
      <c r="N211" s="71">
        <v>1999</v>
      </c>
      <c r="O211" s="66" t="s">
        <v>27</v>
      </c>
      <c r="P211" s="82" t="s">
        <v>2000</v>
      </c>
      <c r="Q211" s="84" t="s">
        <v>1522</v>
      </c>
      <c r="R211" s="84" t="s">
        <v>1068</v>
      </c>
      <c r="S211" s="84">
        <v>0.26700000000000002</v>
      </c>
      <c r="T211" s="82" t="s">
        <v>1986</v>
      </c>
      <c r="U211" s="84" t="s">
        <v>177</v>
      </c>
      <c r="V211" s="54"/>
    </row>
    <row r="212" spans="1:22" s="11" customFormat="1" ht="45" customHeight="1" x14ac:dyDescent="0.2">
      <c r="A212" s="66" t="s">
        <v>1842</v>
      </c>
      <c r="B212" s="66" t="s">
        <v>1155</v>
      </c>
      <c r="C212" s="66" t="s">
        <v>1842</v>
      </c>
      <c r="D212" s="66" t="s">
        <v>2001</v>
      </c>
      <c r="E212" s="68" t="s">
        <v>2002</v>
      </c>
      <c r="F212" s="66" t="s">
        <v>2001</v>
      </c>
      <c r="G212" s="71">
        <v>1268</v>
      </c>
      <c r="H212" s="73"/>
      <c r="I212" s="75">
        <v>0.2</v>
      </c>
      <c r="J212" s="77"/>
      <c r="K212" s="66"/>
      <c r="L212" s="66"/>
      <c r="M212" s="79" t="str">
        <f>HYPERLINK("http://www.pristavka.com/catalog/Artplays/ARTM37/")</f>
        <v>http://www.pristavka.com/catalog/Artplays/ARTM37/</v>
      </c>
      <c r="N212" s="71">
        <v>1999</v>
      </c>
      <c r="O212" s="66" t="s">
        <v>27</v>
      </c>
      <c r="P212" s="82" t="s">
        <v>2003</v>
      </c>
      <c r="Q212" s="84" t="s">
        <v>1522</v>
      </c>
      <c r="R212" s="84" t="s">
        <v>1068</v>
      </c>
      <c r="S212" s="84">
        <v>0.27500000000000002</v>
      </c>
      <c r="T212" s="82" t="s">
        <v>1990</v>
      </c>
      <c r="U212" s="84" t="s">
        <v>177</v>
      </c>
      <c r="V212" s="54"/>
    </row>
    <row r="213" spans="1:22" s="11" customFormat="1" ht="45" customHeight="1" x14ac:dyDescent="0.2">
      <c r="A213" s="66" t="s">
        <v>1842</v>
      </c>
      <c r="B213" s="66" t="s">
        <v>1155</v>
      </c>
      <c r="C213" s="66" t="s">
        <v>1842</v>
      </c>
      <c r="D213" s="66" t="s">
        <v>2004</v>
      </c>
      <c r="E213" s="68" t="s">
        <v>2005</v>
      </c>
      <c r="F213" s="66" t="s">
        <v>2004</v>
      </c>
      <c r="G213" s="71">
        <v>1268</v>
      </c>
      <c r="H213" s="73"/>
      <c r="I213" s="75">
        <v>0.2</v>
      </c>
      <c r="J213" s="77"/>
      <c r="K213" s="66"/>
      <c r="L213" s="66"/>
      <c r="M213" s="79" t="str">
        <f>HYPERLINK("http://www.pristavka.com/catalog/Artplays/ARTM228/")</f>
        <v>http://www.pristavka.com/catalog/Artplays/ARTM228/</v>
      </c>
      <c r="N213" s="71">
        <v>1999</v>
      </c>
      <c r="O213" s="66" t="s">
        <v>27</v>
      </c>
      <c r="P213" s="82" t="s">
        <v>2006</v>
      </c>
      <c r="Q213" s="84" t="s">
        <v>1117</v>
      </c>
      <c r="R213" s="84" t="s">
        <v>1068</v>
      </c>
      <c r="S213" s="84">
        <v>0.26800000000000002</v>
      </c>
      <c r="T213" s="82" t="s">
        <v>1990</v>
      </c>
      <c r="U213" s="84" t="s">
        <v>177</v>
      </c>
      <c r="V213" s="54"/>
    </row>
    <row r="214" spans="1:22" s="11" customFormat="1" ht="45" customHeight="1" x14ac:dyDescent="0.2">
      <c r="A214" s="66" t="s">
        <v>1842</v>
      </c>
      <c r="B214" s="66" t="s">
        <v>1155</v>
      </c>
      <c r="C214" s="66" t="s">
        <v>1842</v>
      </c>
      <c r="D214" s="66" t="s">
        <v>2007</v>
      </c>
      <c r="E214" s="68" t="s">
        <v>2008</v>
      </c>
      <c r="F214" s="66" t="s">
        <v>2007</v>
      </c>
      <c r="G214" s="71">
        <v>1268</v>
      </c>
      <c r="H214" s="73"/>
      <c r="I214" s="75">
        <v>0.2</v>
      </c>
      <c r="J214" s="77"/>
      <c r="K214" s="66"/>
      <c r="L214" s="66"/>
      <c r="M214" s="79" t="str">
        <f>HYPERLINK("http://www.pristavka.com/catalog/Artplays/ARTM229/")</f>
        <v>http://www.pristavka.com/catalog/Artplays/ARTM229/</v>
      </c>
      <c r="N214" s="71">
        <v>1999</v>
      </c>
      <c r="O214" s="66" t="s">
        <v>27</v>
      </c>
      <c r="P214" s="82" t="s">
        <v>2009</v>
      </c>
      <c r="Q214" s="84" t="s">
        <v>1117</v>
      </c>
      <c r="R214" s="84" t="s">
        <v>1068</v>
      </c>
      <c r="S214" s="84">
        <v>0.26800000000000002</v>
      </c>
      <c r="T214" s="82" t="s">
        <v>2010</v>
      </c>
      <c r="U214" s="84" t="s">
        <v>177</v>
      </c>
      <c r="V214" s="54"/>
    </row>
    <row r="215" spans="1:22" s="11" customFormat="1" ht="45" customHeight="1" x14ac:dyDescent="0.2">
      <c r="A215" s="66" t="s">
        <v>1842</v>
      </c>
      <c r="B215" s="66" t="s">
        <v>1155</v>
      </c>
      <c r="C215" s="66" t="s">
        <v>1842</v>
      </c>
      <c r="D215" s="66" t="s">
        <v>2011</v>
      </c>
      <c r="E215" s="68" t="s">
        <v>2012</v>
      </c>
      <c r="F215" s="66" t="s">
        <v>2011</v>
      </c>
      <c r="G215" s="71">
        <v>956</v>
      </c>
      <c r="H215" s="73"/>
      <c r="I215" s="75">
        <v>0.2</v>
      </c>
      <c r="J215" s="77"/>
      <c r="K215" s="66"/>
      <c r="L215" s="66"/>
      <c r="M215" s="79" t="str">
        <f>HYPERLINK("http://www.pristavka.com/catalog/Artplays/ARTM273/")</f>
        <v>http://www.pristavka.com/catalog/Artplays/ARTM273/</v>
      </c>
      <c r="N215" s="71">
        <v>1499</v>
      </c>
      <c r="O215" s="66" t="s">
        <v>27</v>
      </c>
      <c r="P215" s="82" t="s">
        <v>2013</v>
      </c>
      <c r="Q215" s="84" t="s">
        <v>1522</v>
      </c>
      <c r="R215" s="84" t="s">
        <v>1068</v>
      </c>
      <c r="S215" s="84">
        <v>0.188</v>
      </c>
      <c r="T215" s="82" t="s">
        <v>2014</v>
      </c>
      <c r="U215" s="84" t="s">
        <v>177</v>
      </c>
      <c r="V215" s="54"/>
    </row>
    <row r="216" spans="1:22" s="11" customFormat="1" ht="45" customHeight="1" x14ac:dyDescent="0.2">
      <c r="A216" s="66" t="s">
        <v>1842</v>
      </c>
      <c r="B216" s="66" t="s">
        <v>1155</v>
      </c>
      <c r="C216" s="66" t="s">
        <v>1842</v>
      </c>
      <c r="D216" s="66" t="s">
        <v>2015</v>
      </c>
      <c r="E216" s="68" t="s">
        <v>2016</v>
      </c>
      <c r="F216" s="66" t="s">
        <v>2015</v>
      </c>
      <c r="G216" s="71">
        <v>1025</v>
      </c>
      <c r="H216" s="73"/>
      <c r="I216" s="75">
        <v>0.2</v>
      </c>
      <c r="J216" s="77"/>
      <c r="K216" s="66"/>
      <c r="L216" s="66"/>
      <c r="M216" s="79" t="str">
        <f>HYPERLINK("http://www.pristavka.com/catalog/Artplays/ARTM253/")</f>
        <v>http://www.pristavka.com/catalog/Artplays/ARTM253/</v>
      </c>
      <c r="N216" s="71">
        <v>1599</v>
      </c>
      <c r="O216" s="66" t="s">
        <v>27</v>
      </c>
      <c r="P216" s="82" t="s">
        <v>2017</v>
      </c>
      <c r="Q216" s="84" t="s">
        <v>1522</v>
      </c>
      <c r="R216" s="84" t="s">
        <v>1068</v>
      </c>
      <c r="S216" s="84">
        <v>0.39200000000000002</v>
      </c>
      <c r="T216" s="82" t="s">
        <v>2010</v>
      </c>
      <c r="U216" s="84" t="s">
        <v>177</v>
      </c>
      <c r="V216" s="54"/>
    </row>
    <row r="217" spans="1:22" s="11" customFormat="1" ht="45" customHeight="1" x14ac:dyDescent="0.2">
      <c r="A217" s="66" t="s">
        <v>1842</v>
      </c>
      <c r="B217" s="66" t="s">
        <v>1155</v>
      </c>
      <c r="C217" s="66" t="s">
        <v>1842</v>
      </c>
      <c r="D217" s="66" t="s">
        <v>2018</v>
      </c>
      <c r="E217" s="68" t="s">
        <v>2019</v>
      </c>
      <c r="F217" s="66" t="s">
        <v>2018</v>
      </c>
      <c r="G217" s="71">
        <v>956</v>
      </c>
      <c r="H217" s="73"/>
      <c r="I217" s="75">
        <v>0.2</v>
      </c>
      <c r="J217" s="77"/>
      <c r="K217" s="66"/>
      <c r="L217" s="66"/>
      <c r="M217" s="79" t="str">
        <f>HYPERLINK("http://www.pristavka.com/catalog/Artplays/ARTM272/")</f>
        <v>http://www.pristavka.com/catalog/Artplays/ARTM272/</v>
      </c>
      <c r="N217" s="71">
        <v>1499</v>
      </c>
      <c r="O217" s="66" t="s">
        <v>27</v>
      </c>
      <c r="P217" s="82" t="s">
        <v>2020</v>
      </c>
      <c r="Q217" s="84" t="s">
        <v>1117</v>
      </c>
      <c r="R217" s="84" t="s">
        <v>1068</v>
      </c>
      <c r="S217" s="84">
        <v>0.184</v>
      </c>
      <c r="T217" s="82" t="s">
        <v>2010</v>
      </c>
      <c r="U217" s="84" t="s">
        <v>177</v>
      </c>
      <c r="V217" s="54"/>
    </row>
    <row r="218" spans="1:22" s="11" customFormat="1" ht="45" customHeight="1" x14ac:dyDescent="0.2">
      <c r="A218" s="66" t="s">
        <v>1842</v>
      </c>
      <c r="B218" s="66" t="s">
        <v>1155</v>
      </c>
      <c r="C218" s="66" t="s">
        <v>1842</v>
      </c>
      <c r="D218" s="66" t="s">
        <v>2021</v>
      </c>
      <c r="E218" s="68" t="s">
        <v>2022</v>
      </c>
      <c r="F218" s="66" t="s">
        <v>2021</v>
      </c>
      <c r="G218" s="71">
        <v>1025</v>
      </c>
      <c r="H218" s="73"/>
      <c r="I218" s="75">
        <v>0.2</v>
      </c>
      <c r="J218" s="77"/>
      <c r="K218" s="66"/>
      <c r="L218" s="66"/>
      <c r="M218" s="79" t="str">
        <f>HYPERLINK("http://www.pristavka.com/catalog/Artplays/ARTM231/")</f>
        <v>http://www.pristavka.com/catalog/Artplays/ARTM231/</v>
      </c>
      <c r="N218" s="71">
        <v>1599</v>
      </c>
      <c r="O218" s="66" t="s">
        <v>27</v>
      </c>
      <c r="P218" s="82" t="s">
        <v>2023</v>
      </c>
      <c r="Q218" s="84" t="s">
        <v>1117</v>
      </c>
      <c r="R218" s="84" t="s">
        <v>1068</v>
      </c>
      <c r="S218" s="84">
        <v>0.39600000000000002</v>
      </c>
      <c r="T218" s="82" t="s">
        <v>2014</v>
      </c>
      <c r="U218" s="84" t="s">
        <v>177</v>
      </c>
      <c r="V218" s="54"/>
    </row>
    <row r="219" spans="1:22" s="11" customFormat="1" ht="45" customHeight="1" x14ac:dyDescent="0.2">
      <c r="A219" s="66" t="s">
        <v>1842</v>
      </c>
      <c r="B219" s="66" t="s">
        <v>1155</v>
      </c>
      <c r="C219" s="66" t="s">
        <v>1842</v>
      </c>
      <c r="D219" s="66" t="s">
        <v>2024</v>
      </c>
      <c r="E219" s="68" t="s">
        <v>2025</v>
      </c>
      <c r="F219" s="66" t="s">
        <v>2024</v>
      </c>
      <c r="G219" s="71">
        <v>956</v>
      </c>
      <c r="H219" s="73"/>
      <c r="I219" s="75">
        <v>0.2</v>
      </c>
      <c r="J219" s="77"/>
      <c r="K219" s="66"/>
      <c r="L219" s="66"/>
      <c r="M219" s="79" t="str">
        <f>HYPERLINK("http://www.pristavka.com/catalog/Artplays/ARTM271/")</f>
        <v>http://www.pristavka.com/catalog/Artplays/ARTM271/</v>
      </c>
      <c r="N219" s="71">
        <v>1499</v>
      </c>
      <c r="O219" s="66" t="s">
        <v>27</v>
      </c>
      <c r="P219" s="82" t="s">
        <v>2026</v>
      </c>
      <c r="Q219" s="84" t="s">
        <v>1091</v>
      </c>
      <c r="R219" s="84" t="s">
        <v>1068</v>
      </c>
      <c r="S219" s="84">
        <v>0.186</v>
      </c>
      <c r="T219" s="82" t="s">
        <v>2010</v>
      </c>
      <c r="U219" s="84" t="s">
        <v>177</v>
      </c>
      <c r="V219" s="54"/>
    </row>
    <row r="220" spans="1:22" s="11" customFormat="1" ht="45" customHeight="1" x14ac:dyDescent="0.2">
      <c r="A220" s="66" t="s">
        <v>1842</v>
      </c>
      <c r="B220" s="66" t="s">
        <v>1155</v>
      </c>
      <c r="C220" s="66" t="s">
        <v>1842</v>
      </c>
      <c r="D220" s="66" t="s">
        <v>2027</v>
      </c>
      <c r="E220" s="68" t="s">
        <v>2028</v>
      </c>
      <c r="F220" s="66" t="s">
        <v>2027</v>
      </c>
      <c r="G220" s="71">
        <v>1025</v>
      </c>
      <c r="H220" s="73"/>
      <c r="I220" s="75">
        <v>0.2</v>
      </c>
      <c r="J220" s="77"/>
      <c r="K220" s="66"/>
      <c r="L220" s="66"/>
      <c r="M220" s="79" t="str">
        <f>HYPERLINK("http://www.pristavka.com/catalog/Artplays/ARTM198/")</f>
        <v>http://www.pristavka.com/catalog/Artplays/ARTM198/</v>
      </c>
      <c r="N220" s="71">
        <v>1599</v>
      </c>
      <c r="O220" s="66" t="s">
        <v>27</v>
      </c>
      <c r="P220" s="82" t="s">
        <v>2029</v>
      </c>
      <c r="Q220" s="84" t="s">
        <v>1091</v>
      </c>
      <c r="R220" s="84" t="s">
        <v>1068</v>
      </c>
      <c r="S220" s="84">
        <v>0.39200000000000002</v>
      </c>
      <c r="T220" s="82" t="s">
        <v>1986</v>
      </c>
      <c r="U220" s="84" t="s">
        <v>177</v>
      </c>
      <c r="V220" s="54"/>
    </row>
    <row r="221" spans="1:22" s="11" customFormat="1" ht="45" customHeight="1" x14ac:dyDescent="0.2">
      <c r="A221" s="66" t="s">
        <v>1842</v>
      </c>
      <c r="B221" s="66" t="s">
        <v>1155</v>
      </c>
      <c r="C221" s="66" t="s">
        <v>1842</v>
      </c>
      <c r="D221" s="66" t="s">
        <v>2030</v>
      </c>
      <c r="E221" s="68" t="s">
        <v>2031</v>
      </c>
      <c r="F221" s="66" t="s">
        <v>2030</v>
      </c>
      <c r="G221" s="71">
        <v>1268</v>
      </c>
      <c r="H221" s="73"/>
      <c r="I221" s="75">
        <v>0.2</v>
      </c>
      <c r="J221" s="77"/>
      <c r="K221" s="66"/>
      <c r="L221" s="66"/>
      <c r="M221" s="79" t="str">
        <f>HYPERLINK("http://www.pristavka.com/catalog/Artplays/ARTM180/")</f>
        <v>http://www.pristavka.com/catalog/Artplays/ARTM180/</v>
      </c>
      <c r="N221" s="71">
        <v>1999</v>
      </c>
      <c r="O221" s="66" t="s">
        <v>27</v>
      </c>
      <c r="P221" s="82" t="s">
        <v>2032</v>
      </c>
      <c r="Q221" s="84" t="s">
        <v>1091</v>
      </c>
      <c r="R221" s="84" t="s">
        <v>1068</v>
      </c>
      <c r="S221" s="84">
        <v>0.27200000000000002</v>
      </c>
      <c r="T221" s="82" t="s">
        <v>2010</v>
      </c>
      <c r="U221" s="84" t="s">
        <v>177</v>
      </c>
      <c r="V221" s="54"/>
    </row>
    <row r="222" spans="1:22" s="11" customFormat="1" ht="45" customHeight="1" x14ac:dyDescent="0.2">
      <c r="A222" s="66" t="s">
        <v>1842</v>
      </c>
      <c r="B222" s="66" t="s">
        <v>1155</v>
      </c>
      <c r="C222" s="66" t="s">
        <v>1842</v>
      </c>
      <c r="D222" s="66" t="s">
        <v>2033</v>
      </c>
      <c r="E222" s="68" t="s">
        <v>2034</v>
      </c>
      <c r="F222" s="66" t="s">
        <v>2033</v>
      </c>
      <c r="G222" s="71">
        <v>1268</v>
      </c>
      <c r="H222" s="73"/>
      <c r="I222" s="75">
        <v>0.2</v>
      </c>
      <c r="J222" s="77"/>
      <c r="K222" s="66"/>
      <c r="L222" s="66"/>
      <c r="M222" s="79" t="str">
        <f>HYPERLINK("http://www.pristavka.com/catalog/Artplays/ARTM179/")</f>
        <v>http://www.pristavka.com/catalog/Artplays/ARTM179/</v>
      </c>
      <c r="N222" s="71">
        <v>1999</v>
      </c>
      <c r="O222" s="66" t="s">
        <v>27</v>
      </c>
      <c r="P222" s="82" t="s">
        <v>2035</v>
      </c>
      <c r="Q222" s="84" t="s">
        <v>1091</v>
      </c>
      <c r="R222" s="84" t="s">
        <v>1068</v>
      </c>
      <c r="S222" s="84">
        <v>0.26600000000000001</v>
      </c>
      <c r="T222" s="82" t="s">
        <v>1990</v>
      </c>
      <c r="U222" s="84" t="s">
        <v>177</v>
      </c>
      <c r="V222" s="54"/>
    </row>
    <row r="223" spans="1:22" s="11" customFormat="1" ht="45" customHeight="1" x14ac:dyDescent="0.2">
      <c r="A223" s="66" t="s">
        <v>1842</v>
      </c>
      <c r="B223" s="66" t="s">
        <v>1155</v>
      </c>
      <c r="C223" s="66" t="s">
        <v>1842</v>
      </c>
      <c r="D223" s="66" t="s">
        <v>2036</v>
      </c>
      <c r="E223" s="68" t="s">
        <v>2037</v>
      </c>
      <c r="F223" s="66" t="s">
        <v>2036</v>
      </c>
      <c r="G223" s="71">
        <v>1268</v>
      </c>
      <c r="H223" s="73"/>
      <c r="I223" s="75">
        <v>0.2</v>
      </c>
      <c r="J223" s="77"/>
      <c r="K223" s="66"/>
      <c r="L223" s="66"/>
      <c r="M223" s="79" t="str">
        <f>HYPERLINK("http://www.pristavka.com/catalog/Artplays/ARTM299/")</f>
        <v>http://www.pristavka.com/catalog/Artplays/ARTM299/</v>
      </c>
      <c r="N223" s="71">
        <v>1999</v>
      </c>
      <c r="O223" s="66" t="s">
        <v>27</v>
      </c>
      <c r="P223" s="82" t="s">
        <v>2038</v>
      </c>
      <c r="Q223" s="84" t="s">
        <v>1091</v>
      </c>
      <c r="R223" s="84" t="s">
        <v>1068</v>
      </c>
      <c r="S223" s="84">
        <v>0.27</v>
      </c>
      <c r="T223" s="82" t="s">
        <v>1986</v>
      </c>
      <c r="U223" s="84" t="s">
        <v>177</v>
      </c>
      <c r="V223" s="54"/>
    </row>
    <row r="224" spans="1:22" s="11" customFormat="1" ht="45" customHeight="1" x14ac:dyDescent="0.2">
      <c r="A224" s="66" t="s">
        <v>1842</v>
      </c>
      <c r="B224" s="66" t="s">
        <v>1155</v>
      </c>
      <c r="C224" s="66" t="s">
        <v>1842</v>
      </c>
      <c r="D224" s="66" t="s">
        <v>2039</v>
      </c>
      <c r="E224" s="68" t="s">
        <v>2040</v>
      </c>
      <c r="F224" s="66" t="s">
        <v>2039</v>
      </c>
      <c r="G224" s="71">
        <v>1025</v>
      </c>
      <c r="H224" s="73"/>
      <c r="I224" s="75">
        <v>0.2</v>
      </c>
      <c r="J224" s="77"/>
      <c r="K224" s="66"/>
      <c r="L224" s="66"/>
      <c r="M224" s="79" t="str">
        <f>HYPERLINK("http://www.pristavka.com/catalog/Artplays/ARTM248/")</f>
        <v>http://www.pristavka.com/catalog/Artplays/ARTM248/</v>
      </c>
      <c r="N224" s="71">
        <v>1599</v>
      </c>
      <c r="O224" s="66" t="s">
        <v>27</v>
      </c>
      <c r="P224" s="82" t="s">
        <v>2041</v>
      </c>
      <c r="Q224" s="84" t="s">
        <v>1522</v>
      </c>
      <c r="R224" s="84" t="s">
        <v>1068</v>
      </c>
      <c r="S224" s="84">
        <v>8.4000000000000005E-2</v>
      </c>
      <c r="T224" s="82" t="s">
        <v>2042</v>
      </c>
      <c r="U224" s="84" t="s">
        <v>177</v>
      </c>
      <c r="V224" s="54"/>
    </row>
    <row r="225" spans="1:22" s="11" customFormat="1" ht="45" customHeight="1" x14ac:dyDescent="0.2">
      <c r="A225" s="66" t="s">
        <v>1842</v>
      </c>
      <c r="B225" s="66" t="s">
        <v>1155</v>
      </c>
      <c r="C225" s="66" t="s">
        <v>1842</v>
      </c>
      <c r="D225" s="66" t="s">
        <v>2043</v>
      </c>
      <c r="E225" s="68" t="s">
        <v>2044</v>
      </c>
      <c r="F225" s="66" t="s">
        <v>2043</v>
      </c>
      <c r="G225" s="71">
        <v>1025</v>
      </c>
      <c r="H225" s="73"/>
      <c r="I225" s="75">
        <v>0.2</v>
      </c>
      <c r="J225" s="77"/>
      <c r="K225" s="66"/>
      <c r="L225" s="66"/>
      <c r="M225" s="79" t="str">
        <f>HYPERLINK("http://www.pristavka.com/catalog/Artplays/ARTM215/")</f>
        <v>http://www.pristavka.com/catalog/Artplays/ARTM215/</v>
      </c>
      <c r="N225" s="71">
        <v>1599</v>
      </c>
      <c r="O225" s="66" t="s">
        <v>27</v>
      </c>
      <c r="P225" s="82" t="s">
        <v>2045</v>
      </c>
      <c r="Q225" s="84" t="s">
        <v>1117</v>
      </c>
      <c r="R225" s="84" t="s">
        <v>1068</v>
      </c>
      <c r="S225" s="84">
        <v>0.13</v>
      </c>
      <c r="T225" s="82" t="s">
        <v>1901</v>
      </c>
      <c r="U225" s="84" t="s">
        <v>177</v>
      </c>
      <c r="V225" s="54"/>
    </row>
    <row r="226" spans="1:22" s="11" customFormat="1" ht="45" customHeight="1" x14ac:dyDescent="0.2">
      <c r="A226" s="66" t="s">
        <v>1842</v>
      </c>
      <c r="B226" s="66" t="s">
        <v>1155</v>
      </c>
      <c r="C226" s="66" t="s">
        <v>1842</v>
      </c>
      <c r="D226" s="66" t="s">
        <v>2046</v>
      </c>
      <c r="E226" s="68" t="s">
        <v>2047</v>
      </c>
      <c r="F226" s="66" t="s">
        <v>2046</v>
      </c>
      <c r="G226" s="71">
        <v>1025</v>
      </c>
      <c r="H226" s="73"/>
      <c r="I226" s="75">
        <v>0.2</v>
      </c>
      <c r="J226" s="77"/>
      <c r="K226" s="66"/>
      <c r="L226" s="66"/>
      <c r="M226" s="79" t="str">
        <f>HYPERLINK("http://www.pristavka.com/catalog/Artplays/ARTM184/")</f>
        <v>http://www.pristavka.com/catalog/Artplays/ARTM184/</v>
      </c>
      <c r="N226" s="71">
        <v>1599</v>
      </c>
      <c r="O226" s="66" t="s">
        <v>27</v>
      </c>
      <c r="P226" s="82" t="s">
        <v>2048</v>
      </c>
      <c r="Q226" s="84" t="s">
        <v>1091</v>
      </c>
      <c r="R226" s="84" t="s">
        <v>1068</v>
      </c>
      <c r="S226" s="84">
        <v>8.4000000000000005E-2</v>
      </c>
      <c r="T226" s="82" t="s">
        <v>2042</v>
      </c>
      <c r="U226" s="84" t="s">
        <v>177</v>
      </c>
      <c r="V226" s="54"/>
    </row>
    <row r="227" spans="1:22" s="11" customFormat="1" ht="45" customHeight="1" x14ac:dyDescent="0.2">
      <c r="A227" s="66" t="s">
        <v>1842</v>
      </c>
      <c r="B227" s="66" t="s">
        <v>1155</v>
      </c>
      <c r="C227" s="66" t="s">
        <v>1842</v>
      </c>
      <c r="D227" s="66" t="s">
        <v>2049</v>
      </c>
      <c r="E227" s="68" t="s">
        <v>2050</v>
      </c>
      <c r="F227" s="66" t="s">
        <v>2049</v>
      </c>
      <c r="G227" s="71">
        <v>423</v>
      </c>
      <c r="H227" s="73"/>
      <c r="I227" s="75">
        <v>0.2</v>
      </c>
      <c r="J227" s="77"/>
      <c r="K227" s="66"/>
      <c r="L227" s="66"/>
      <c r="M227" s="79" t="str">
        <f>HYPERLINK("http://www.pristavka.com/catalog/Artplays/ARTM220/")</f>
        <v>http://www.pristavka.com/catalog/Artplays/ARTM220/</v>
      </c>
      <c r="N227" s="71">
        <v>899</v>
      </c>
      <c r="O227" s="66" t="s">
        <v>27</v>
      </c>
      <c r="P227" s="82" t="s">
        <v>2051</v>
      </c>
      <c r="Q227" s="84" t="s">
        <v>1117</v>
      </c>
      <c r="R227" s="84" t="s">
        <v>1068</v>
      </c>
      <c r="S227" s="84">
        <v>4.2000000000000003E-2</v>
      </c>
      <c r="T227" s="82" t="s">
        <v>1879</v>
      </c>
      <c r="U227" s="84" t="s">
        <v>177</v>
      </c>
      <c r="V227" s="54"/>
    </row>
    <row r="228" spans="1:22" s="11" customFormat="1" ht="45" customHeight="1" x14ac:dyDescent="0.2">
      <c r="A228" s="66" t="s">
        <v>1842</v>
      </c>
      <c r="B228" s="66" t="s">
        <v>1155</v>
      </c>
      <c r="C228" s="66" t="s">
        <v>1842</v>
      </c>
      <c r="D228" s="66" t="s">
        <v>2052</v>
      </c>
      <c r="E228" s="68" t="s">
        <v>2053</v>
      </c>
      <c r="F228" s="66" t="s">
        <v>2052</v>
      </c>
      <c r="G228" s="71">
        <v>423</v>
      </c>
      <c r="H228" s="73"/>
      <c r="I228" s="75">
        <v>0.2</v>
      </c>
      <c r="J228" s="77"/>
      <c r="K228" s="66"/>
      <c r="L228" s="66"/>
      <c r="M228" s="79" t="str">
        <f>HYPERLINK("http://www.pristavka.com/catalog/Artplays/ARTM221/")</f>
        <v>http://www.pristavka.com/catalog/Artplays/ARTM221/</v>
      </c>
      <c r="N228" s="71">
        <v>899</v>
      </c>
      <c r="O228" s="66" t="s">
        <v>27</v>
      </c>
      <c r="P228" s="82" t="s">
        <v>2054</v>
      </c>
      <c r="Q228" s="84" t="s">
        <v>1117</v>
      </c>
      <c r="R228" s="84" t="s">
        <v>1068</v>
      </c>
      <c r="S228" s="84">
        <v>4.2000000000000003E-2</v>
      </c>
      <c r="T228" s="82" t="s">
        <v>2055</v>
      </c>
      <c r="U228" s="84" t="s">
        <v>177</v>
      </c>
      <c r="V228" s="54"/>
    </row>
    <row r="229" spans="1:22" s="11" customFormat="1" ht="45" customHeight="1" x14ac:dyDescent="0.2">
      <c r="A229" s="66" t="s">
        <v>1842</v>
      </c>
      <c r="B229" s="66" t="s">
        <v>1155</v>
      </c>
      <c r="C229" s="66" t="s">
        <v>1842</v>
      </c>
      <c r="D229" s="66" t="s">
        <v>2056</v>
      </c>
      <c r="E229" s="68" t="s">
        <v>2057</v>
      </c>
      <c r="F229" s="66" t="s">
        <v>2056</v>
      </c>
      <c r="G229" s="71">
        <v>423</v>
      </c>
      <c r="H229" s="73"/>
      <c r="I229" s="75">
        <v>0.2</v>
      </c>
      <c r="J229" s="77"/>
      <c r="K229" s="66"/>
      <c r="L229" s="66"/>
      <c r="M229" s="79" t="str">
        <f>HYPERLINK("http://www.pristavka.com/catalog/Artplays/ARTM219/")</f>
        <v>http://www.pristavka.com/catalog/Artplays/ARTM219/</v>
      </c>
      <c r="N229" s="71">
        <v>899</v>
      </c>
      <c r="O229" s="66" t="s">
        <v>27</v>
      </c>
      <c r="P229" s="82" t="s">
        <v>2058</v>
      </c>
      <c r="Q229" s="84" t="s">
        <v>1117</v>
      </c>
      <c r="R229" s="84" t="s">
        <v>1068</v>
      </c>
      <c r="S229" s="84">
        <v>4.2000000000000003E-2</v>
      </c>
      <c r="T229" s="82" t="s">
        <v>1901</v>
      </c>
      <c r="U229" s="84" t="s">
        <v>177</v>
      </c>
      <c r="V229" s="54"/>
    </row>
    <row r="230" spans="1:22" s="11" customFormat="1" ht="45" customHeight="1" x14ac:dyDescent="0.2">
      <c r="A230" s="66" t="s">
        <v>1842</v>
      </c>
      <c r="B230" s="66" t="s">
        <v>1155</v>
      </c>
      <c r="C230" s="66" t="s">
        <v>1842</v>
      </c>
      <c r="D230" s="66" t="s">
        <v>2059</v>
      </c>
      <c r="E230" s="68" t="s">
        <v>2060</v>
      </c>
      <c r="F230" s="66" t="s">
        <v>2059</v>
      </c>
      <c r="G230" s="71">
        <v>417</v>
      </c>
      <c r="H230" s="73"/>
      <c r="I230" s="75">
        <v>0.2</v>
      </c>
      <c r="J230" s="77"/>
      <c r="K230" s="66"/>
      <c r="L230" s="66"/>
      <c r="M230" s="79" t="str">
        <f>HYPERLINK("http://www.pristavka.com/catalog/Artplays/ARTM17/")</f>
        <v>http://www.pristavka.com/catalog/Artplays/ARTM17/</v>
      </c>
      <c r="N230" s="71">
        <v>899</v>
      </c>
      <c r="O230" s="66" t="s">
        <v>27</v>
      </c>
      <c r="P230" s="82" t="s">
        <v>2061</v>
      </c>
      <c r="Q230" s="84" t="s">
        <v>1522</v>
      </c>
      <c r="R230" s="84" t="s">
        <v>1068</v>
      </c>
      <c r="S230" s="84">
        <v>8.6999999999999994E-2</v>
      </c>
      <c r="T230" s="82" t="s">
        <v>2062</v>
      </c>
      <c r="U230" s="84" t="s">
        <v>177</v>
      </c>
      <c r="V230" s="54"/>
    </row>
    <row r="231" spans="1:22" s="11" customFormat="1" ht="45" customHeight="1" x14ac:dyDescent="0.2">
      <c r="A231" s="66" t="s">
        <v>1842</v>
      </c>
      <c r="B231" s="66" t="s">
        <v>1155</v>
      </c>
      <c r="C231" s="66" t="s">
        <v>1842</v>
      </c>
      <c r="D231" s="66" t="s">
        <v>2063</v>
      </c>
      <c r="E231" s="68" t="s">
        <v>2064</v>
      </c>
      <c r="F231" s="66" t="s">
        <v>2063</v>
      </c>
      <c r="G231" s="71">
        <v>417</v>
      </c>
      <c r="H231" s="73"/>
      <c r="I231" s="75">
        <v>0.2</v>
      </c>
      <c r="J231" s="77"/>
      <c r="K231" s="66"/>
      <c r="L231" s="66"/>
      <c r="M231" s="79" t="str">
        <f>HYPERLINK("http://www.pristavka.com/catalog/Artplays/ARTM20/")</f>
        <v>http://www.pristavka.com/catalog/Artplays/ARTM20/</v>
      </c>
      <c r="N231" s="71">
        <v>899</v>
      </c>
      <c r="O231" s="66" t="s">
        <v>27</v>
      </c>
      <c r="P231" s="82" t="s">
        <v>2065</v>
      </c>
      <c r="Q231" s="84" t="s">
        <v>1522</v>
      </c>
      <c r="R231" s="84" t="s">
        <v>1068</v>
      </c>
      <c r="S231" s="84">
        <v>8.6999999999999994E-2</v>
      </c>
      <c r="T231" s="82" t="s">
        <v>2062</v>
      </c>
      <c r="U231" s="84" t="s">
        <v>177</v>
      </c>
      <c r="V231" s="54"/>
    </row>
    <row r="232" spans="1:22" s="11" customFormat="1" ht="45" customHeight="1" x14ac:dyDescent="0.2">
      <c r="A232" s="66" t="s">
        <v>1842</v>
      </c>
      <c r="B232" s="66" t="s">
        <v>1155</v>
      </c>
      <c r="C232" s="66" t="s">
        <v>1842</v>
      </c>
      <c r="D232" s="66" t="s">
        <v>2066</v>
      </c>
      <c r="E232" s="68" t="s">
        <v>2067</v>
      </c>
      <c r="F232" s="66" t="s">
        <v>2066</v>
      </c>
      <c r="G232" s="71">
        <v>417</v>
      </c>
      <c r="H232" s="73"/>
      <c r="I232" s="75">
        <v>0.2</v>
      </c>
      <c r="J232" s="77"/>
      <c r="K232" s="66"/>
      <c r="L232" s="66"/>
      <c r="M232" s="79" t="str">
        <f>HYPERLINK("http://www.pristavka.com/catalog/Artplays/ARTM21/")</f>
        <v>http://www.pristavka.com/catalog/Artplays/ARTM21/</v>
      </c>
      <c r="N232" s="71">
        <v>899</v>
      </c>
      <c r="O232" s="66" t="s">
        <v>27</v>
      </c>
      <c r="P232" s="82" t="s">
        <v>2068</v>
      </c>
      <c r="Q232" s="84" t="s">
        <v>1522</v>
      </c>
      <c r="R232" s="84" t="s">
        <v>1068</v>
      </c>
      <c r="S232" s="84">
        <v>0.09</v>
      </c>
      <c r="T232" s="82" t="s">
        <v>2062</v>
      </c>
      <c r="U232" s="84" t="s">
        <v>177</v>
      </c>
      <c r="V232" s="54"/>
    </row>
    <row r="233" spans="1:22" s="11" customFormat="1" ht="45" customHeight="1" x14ac:dyDescent="0.2">
      <c r="A233" s="66" t="s">
        <v>1842</v>
      </c>
      <c r="B233" s="66" t="s">
        <v>1155</v>
      </c>
      <c r="C233" s="66" t="s">
        <v>1842</v>
      </c>
      <c r="D233" s="66" t="s">
        <v>2069</v>
      </c>
      <c r="E233" s="68" t="s">
        <v>2070</v>
      </c>
      <c r="F233" s="66" t="s">
        <v>2069</v>
      </c>
      <c r="G233" s="71">
        <v>423</v>
      </c>
      <c r="H233" s="73"/>
      <c r="I233" s="75">
        <v>0.2</v>
      </c>
      <c r="J233" s="77"/>
      <c r="K233" s="66"/>
      <c r="L233" s="66"/>
      <c r="M233" s="79" t="str">
        <f>HYPERLINK("http://www.pristavka.com/catalog/Artplays/ARTM188/")</f>
        <v>http://www.pristavka.com/catalog/Artplays/ARTM188/</v>
      </c>
      <c r="N233" s="71">
        <v>899</v>
      </c>
      <c r="O233" s="66" t="s">
        <v>27</v>
      </c>
      <c r="P233" s="82" t="s">
        <v>2071</v>
      </c>
      <c r="Q233" s="84" t="s">
        <v>1091</v>
      </c>
      <c r="R233" s="84" t="s">
        <v>1068</v>
      </c>
      <c r="S233" s="84">
        <v>4.2000000000000003E-2</v>
      </c>
      <c r="T233" s="82" t="s">
        <v>1901</v>
      </c>
      <c r="U233" s="84" t="s">
        <v>177</v>
      </c>
      <c r="V233" s="54"/>
    </row>
    <row r="234" spans="1:22" s="11" customFormat="1" ht="45" customHeight="1" x14ac:dyDescent="0.2">
      <c r="A234" s="66" t="s">
        <v>1842</v>
      </c>
      <c r="B234" s="66" t="s">
        <v>1155</v>
      </c>
      <c r="C234" s="66" t="s">
        <v>1842</v>
      </c>
      <c r="D234" s="66" t="s">
        <v>2072</v>
      </c>
      <c r="E234" s="68" t="s">
        <v>2073</v>
      </c>
      <c r="F234" s="66" t="s">
        <v>2072</v>
      </c>
      <c r="G234" s="71">
        <v>423</v>
      </c>
      <c r="H234" s="73"/>
      <c r="I234" s="75">
        <v>0.2</v>
      </c>
      <c r="J234" s="77"/>
      <c r="K234" s="66"/>
      <c r="L234" s="66"/>
      <c r="M234" s="79" t="str">
        <f>HYPERLINK("http://www.pristavka.com/catalog/Artplays/ARTM189/")</f>
        <v>http://www.pristavka.com/catalog/Artplays/ARTM189/</v>
      </c>
      <c r="N234" s="71">
        <v>899</v>
      </c>
      <c r="O234" s="66" t="s">
        <v>27</v>
      </c>
      <c r="P234" s="82" t="s">
        <v>2074</v>
      </c>
      <c r="Q234" s="84" t="s">
        <v>1091</v>
      </c>
      <c r="R234" s="84" t="s">
        <v>1068</v>
      </c>
      <c r="S234" s="84">
        <v>4.2000000000000003E-2</v>
      </c>
      <c r="T234" s="82" t="s">
        <v>1901</v>
      </c>
      <c r="U234" s="84" t="s">
        <v>177</v>
      </c>
      <c r="V234" s="54"/>
    </row>
    <row r="235" spans="1:22" s="11" customFormat="1" ht="45" customHeight="1" x14ac:dyDescent="0.2">
      <c r="A235" s="66" t="s">
        <v>1842</v>
      </c>
      <c r="B235" s="66" t="s">
        <v>1155</v>
      </c>
      <c r="C235" s="66" t="s">
        <v>1842</v>
      </c>
      <c r="D235" s="66" t="s">
        <v>2075</v>
      </c>
      <c r="E235" s="68" t="s">
        <v>2076</v>
      </c>
      <c r="F235" s="66" t="s">
        <v>2075</v>
      </c>
      <c r="G235" s="71">
        <v>423</v>
      </c>
      <c r="H235" s="73"/>
      <c r="I235" s="75">
        <v>0.2</v>
      </c>
      <c r="J235" s="77"/>
      <c r="K235" s="66"/>
      <c r="L235" s="66"/>
      <c r="M235" s="79" t="str">
        <f>HYPERLINK("http://www.pristavka.com/catalog/Artplays/ARTM190/")</f>
        <v>http://www.pristavka.com/catalog/Artplays/ARTM190/</v>
      </c>
      <c r="N235" s="71">
        <v>899</v>
      </c>
      <c r="O235" s="66" t="s">
        <v>27</v>
      </c>
      <c r="P235" s="82" t="s">
        <v>2077</v>
      </c>
      <c r="Q235" s="84" t="s">
        <v>1091</v>
      </c>
      <c r="R235" s="84" t="s">
        <v>1068</v>
      </c>
      <c r="S235" s="84">
        <v>4.2000000000000003E-2</v>
      </c>
      <c r="T235" s="82" t="s">
        <v>1901</v>
      </c>
      <c r="U235" s="84" t="s">
        <v>177</v>
      </c>
      <c r="V235" s="54"/>
    </row>
    <row r="236" spans="1:22" s="11" customFormat="1" ht="45" customHeight="1" x14ac:dyDescent="0.2">
      <c r="A236" s="66" t="s">
        <v>1842</v>
      </c>
      <c r="B236" s="66" t="s">
        <v>1155</v>
      </c>
      <c r="C236" s="66" t="s">
        <v>1842</v>
      </c>
      <c r="D236" s="66" t="s">
        <v>2078</v>
      </c>
      <c r="E236" s="68" t="s">
        <v>2079</v>
      </c>
      <c r="F236" s="66" t="s">
        <v>2078</v>
      </c>
      <c r="G236" s="71">
        <v>1711</v>
      </c>
      <c r="H236" s="73"/>
      <c r="I236" s="75">
        <v>0.2</v>
      </c>
      <c r="J236" s="77"/>
      <c r="K236" s="66"/>
      <c r="L236" s="66"/>
      <c r="M236" s="79" t="str">
        <f>HYPERLINK("http://www.pristavka.com/catalog/Artplays/ARTM247/")</f>
        <v>http://www.pristavka.com/catalog/Artplays/ARTM247/</v>
      </c>
      <c r="N236" s="71">
        <v>2699</v>
      </c>
      <c r="O236" s="66" t="s">
        <v>27</v>
      </c>
      <c r="P236" s="82" t="s">
        <v>2080</v>
      </c>
      <c r="Q236" s="84" t="s">
        <v>1522</v>
      </c>
      <c r="R236" s="84" t="s">
        <v>1068</v>
      </c>
      <c r="S236" s="84">
        <v>0.13</v>
      </c>
      <c r="T236" s="82" t="s">
        <v>2042</v>
      </c>
      <c r="U236" s="84" t="s">
        <v>177</v>
      </c>
      <c r="V236" s="54"/>
    </row>
    <row r="237" spans="1:22" s="11" customFormat="1" ht="45" customHeight="1" x14ac:dyDescent="0.2">
      <c r="A237" s="66" t="s">
        <v>1842</v>
      </c>
      <c r="B237" s="66" t="s">
        <v>1155</v>
      </c>
      <c r="C237" s="66" t="s">
        <v>1842</v>
      </c>
      <c r="D237" s="66" t="s">
        <v>2081</v>
      </c>
      <c r="E237" s="68" t="s">
        <v>2082</v>
      </c>
      <c r="F237" s="66" t="s">
        <v>2081</v>
      </c>
      <c r="G237" s="71">
        <v>1711</v>
      </c>
      <c r="H237" s="73"/>
      <c r="I237" s="75">
        <v>0.2</v>
      </c>
      <c r="J237" s="77"/>
      <c r="K237" s="66"/>
      <c r="L237" s="66"/>
      <c r="M237" s="79" t="str">
        <f>HYPERLINK("http://www.pristavka.com/catalog/Artplays/ARTM246/")</f>
        <v>http://www.pristavka.com/catalog/Artplays/ARTM246/</v>
      </c>
      <c r="N237" s="71">
        <v>2699</v>
      </c>
      <c r="O237" s="66" t="s">
        <v>27</v>
      </c>
      <c r="P237" s="82" t="s">
        <v>2083</v>
      </c>
      <c r="Q237" s="84" t="s">
        <v>1522</v>
      </c>
      <c r="R237" s="84" t="s">
        <v>1068</v>
      </c>
      <c r="S237" s="84">
        <v>0.13200000000000001</v>
      </c>
      <c r="T237" s="82" t="s">
        <v>2042</v>
      </c>
      <c r="U237" s="84" t="s">
        <v>177</v>
      </c>
      <c r="V237" s="54"/>
    </row>
    <row r="238" spans="1:22" s="11" customFormat="1" ht="45" customHeight="1" x14ac:dyDescent="0.2">
      <c r="A238" s="66" t="s">
        <v>1842</v>
      </c>
      <c r="B238" s="66" t="s">
        <v>1155</v>
      </c>
      <c r="C238" s="66" t="s">
        <v>1842</v>
      </c>
      <c r="D238" s="66" t="s">
        <v>2084</v>
      </c>
      <c r="E238" s="68" t="s">
        <v>2085</v>
      </c>
      <c r="F238" s="66" t="s">
        <v>2084</v>
      </c>
      <c r="G238" s="71">
        <v>1711</v>
      </c>
      <c r="H238" s="73"/>
      <c r="I238" s="75">
        <v>0.2</v>
      </c>
      <c r="J238" s="77"/>
      <c r="K238" s="66"/>
      <c r="L238" s="66"/>
      <c r="M238" s="79" t="str">
        <f>HYPERLINK("http://www.pristavka.com/catalog/Artplays/ARTM213/")</f>
        <v>http://www.pristavka.com/catalog/Artplays/ARTM213/</v>
      </c>
      <c r="N238" s="71">
        <v>2699</v>
      </c>
      <c r="O238" s="66" t="s">
        <v>27</v>
      </c>
      <c r="P238" s="82" t="s">
        <v>2086</v>
      </c>
      <c r="Q238" s="84" t="s">
        <v>1117</v>
      </c>
      <c r="R238" s="84" t="s">
        <v>1068</v>
      </c>
      <c r="S238" s="84">
        <v>0.13</v>
      </c>
      <c r="T238" s="82" t="s">
        <v>2042</v>
      </c>
      <c r="U238" s="84" t="s">
        <v>177</v>
      </c>
      <c r="V238" s="54"/>
    </row>
    <row r="239" spans="1:22" s="11" customFormat="1" ht="45" customHeight="1" x14ac:dyDescent="0.2">
      <c r="A239" s="66" t="s">
        <v>1842</v>
      </c>
      <c r="B239" s="66" t="s">
        <v>1155</v>
      </c>
      <c r="C239" s="66" t="s">
        <v>1842</v>
      </c>
      <c r="D239" s="66" t="s">
        <v>2087</v>
      </c>
      <c r="E239" s="68" t="s">
        <v>2088</v>
      </c>
      <c r="F239" s="66" t="s">
        <v>2087</v>
      </c>
      <c r="G239" s="71">
        <v>1711</v>
      </c>
      <c r="H239" s="73"/>
      <c r="I239" s="75">
        <v>0.2</v>
      </c>
      <c r="J239" s="77"/>
      <c r="K239" s="66"/>
      <c r="L239" s="66"/>
      <c r="M239" s="79" t="str">
        <f>HYPERLINK("http://www.pristavka.com/catalog/Artplays/ARTM214/")</f>
        <v>http://www.pristavka.com/catalog/Artplays/ARTM214/</v>
      </c>
      <c r="N239" s="71">
        <v>2699</v>
      </c>
      <c r="O239" s="66" t="s">
        <v>27</v>
      </c>
      <c r="P239" s="82" t="s">
        <v>2089</v>
      </c>
      <c r="Q239" s="84" t="s">
        <v>1117</v>
      </c>
      <c r="R239" s="84" t="s">
        <v>1068</v>
      </c>
      <c r="S239" s="84">
        <v>0.13200000000000001</v>
      </c>
      <c r="T239" s="82" t="s">
        <v>2042</v>
      </c>
      <c r="U239" s="84" t="s">
        <v>177</v>
      </c>
      <c r="V239" s="54"/>
    </row>
    <row r="240" spans="1:22" s="11" customFormat="1" ht="45" customHeight="1" x14ac:dyDescent="0.2">
      <c r="A240" s="66" t="s">
        <v>1842</v>
      </c>
      <c r="B240" s="66" t="s">
        <v>1155</v>
      </c>
      <c r="C240" s="66" t="s">
        <v>1842</v>
      </c>
      <c r="D240" s="66" t="s">
        <v>2090</v>
      </c>
      <c r="E240" s="68" t="s">
        <v>2091</v>
      </c>
      <c r="F240" s="66" t="s">
        <v>2090</v>
      </c>
      <c r="G240" s="71">
        <v>1711</v>
      </c>
      <c r="H240" s="73"/>
      <c r="I240" s="75">
        <v>0.2</v>
      </c>
      <c r="J240" s="77"/>
      <c r="K240" s="66"/>
      <c r="L240" s="66"/>
      <c r="M240" s="79" t="str">
        <f>HYPERLINK("http://www.pristavka.com/catalog/Artplays/ARTM183/")</f>
        <v>http://www.pristavka.com/catalog/Artplays/ARTM183/</v>
      </c>
      <c r="N240" s="71">
        <v>2699</v>
      </c>
      <c r="O240" s="66" t="s">
        <v>27</v>
      </c>
      <c r="P240" s="82" t="s">
        <v>2092</v>
      </c>
      <c r="Q240" s="84" t="s">
        <v>1091</v>
      </c>
      <c r="R240" s="84" t="s">
        <v>1068</v>
      </c>
      <c r="S240" s="84">
        <v>0.13200000000000001</v>
      </c>
      <c r="T240" s="82" t="s">
        <v>2042</v>
      </c>
      <c r="U240" s="84" t="s">
        <v>177</v>
      </c>
      <c r="V240" s="54"/>
    </row>
    <row r="241" spans="1:22" s="11" customFormat="1" ht="45" customHeight="1" x14ac:dyDescent="0.2">
      <c r="A241" s="66" t="s">
        <v>1842</v>
      </c>
      <c r="B241" s="66" t="s">
        <v>1155</v>
      </c>
      <c r="C241" s="66" t="s">
        <v>1842</v>
      </c>
      <c r="D241" s="66" t="s">
        <v>2093</v>
      </c>
      <c r="E241" s="68" t="s">
        <v>2094</v>
      </c>
      <c r="F241" s="66" t="s">
        <v>2093</v>
      </c>
      <c r="G241" s="71">
        <v>1711</v>
      </c>
      <c r="H241" s="73"/>
      <c r="I241" s="75">
        <v>0.2</v>
      </c>
      <c r="J241" s="77"/>
      <c r="K241" s="66"/>
      <c r="L241" s="66"/>
      <c r="M241" s="79" t="str">
        <f>HYPERLINK("http://www.pristavka.com/catalog/Artplays/ARTM182/")</f>
        <v>http://www.pristavka.com/catalog/Artplays/ARTM182/</v>
      </c>
      <c r="N241" s="71">
        <v>2699</v>
      </c>
      <c r="O241" s="66" t="s">
        <v>27</v>
      </c>
      <c r="P241" s="82" t="s">
        <v>2095</v>
      </c>
      <c r="Q241" s="84" t="s">
        <v>1091</v>
      </c>
      <c r="R241" s="84" t="s">
        <v>1068</v>
      </c>
      <c r="S241" s="84">
        <v>0.13</v>
      </c>
      <c r="T241" s="82" t="s">
        <v>2042</v>
      </c>
      <c r="U241" s="84" t="s">
        <v>177</v>
      </c>
      <c r="V241" s="54"/>
    </row>
    <row r="242" spans="1:22" s="11" customFormat="1" ht="45" customHeight="1" x14ac:dyDescent="0.2">
      <c r="A242" s="66" t="s">
        <v>1842</v>
      </c>
      <c r="B242" s="66" t="s">
        <v>1155</v>
      </c>
      <c r="C242" s="66" t="s">
        <v>1842</v>
      </c>
      <c r="D242" s="66" t="s">
        <v>2096</v>
      </c>
      <c r="E242" s="68" t="s">
        <v>2097</v>
      </c>
      <c r="F242" s="66" t="s">
        <v>2096</v>
      </c>
      <c r="G242" s="71">
        <v>1358</v>
      </c>
      <c r="H242" s="73"/>
      <c r="I242" s="75">
        <v>0.2</v>
      </c>
      <c r="J242" s="77"/>
      <c r="K242" s="66"/>
      <c r="L242" s="66"/>
      <c r="M242" s="79" t="str">
        <f>HYPERLINK("http://www.pristavka.com/catalog/Artplays/ARTM537/")</f>
        <v>http://www.pristavka.com/catalog/Artplays/ARTM537/</v>
      </c>
      <c r="N242" s="71">
        <v>2099</v>
      </c>
      <c r="O242" s="66" t="s">
        <v>27</v>
      </c>
      <c r="P242" s="82" t="s">
        <v>2098</v>
      </c>
      <c r="Q242" s="84" t="s">
        <v>2099</v>
      </c>
      <c r="R242" s="84" t="s">
        <v>1632</v>
      </c>
      <c r="S242" s="84">
        <v>0.44400000000000001</v>
      </c>
      <c r="T242" s="82" t="s">
        <v>2100</v>
      </c>
      <c r="U242" s="84" t="s">
        <v>177</v>
      </c>
      <c r="V242" s="54"/>
    </row>
    <row r="243" spans="1:22" s="11" customFormat="1" ht="45" customHeight="1" x14ac:dyDescent="0.2">
      <c r="A243" s="66" t="s">
        <v>1842</v>
      </c>
      <c r="B243" s="66" t="s">
        <v>1155</v>
      </c>
      <c r="C243" s="66" t="s">
        <v>1842</v>
      </c>
      <c r="D243" s="66" t="s">
        <v>2101</v>
      </c>
      <c r="E243" s="68" t="s">
        <v>2102</v>
      </c>
      <c r="F243" s="66" t="s">
        <v>2101</v>
      </c>
      <c r="G243" s="71">
        <v>681</v>
      </c>
      <c r="H243" s="73"/>
      <c r="I243" s="75">
        <v>0.2</v>
      </c>
      <c r="J243" s="77"/>
      <c r="K243" s="66"/>
      <c r="L243" s="66"/>
      <c r="M243" s="79" t="str">
        <f>HYPERLINK("http://www.pristavka.com/catalog/Artplays/ARTM132/")</f>
        <v>http://www.pristavka.com/catalog/Artplays/ARTM132/</v>
      </c>
      <c r="N243" s="71">
        <v>1099</v>
      </c>
      <c r="O243" s="66" t="s">
        <v>27</v>
      </c>
      <c r="P243" s="82" t="s">
        <v>2103</v>
      </c>
      <c r="Q243" s="84" t="s">
        <v>1963</v>
      </c>
      <c r="R243" s="84" t="s">
        <v>1068</v>
      </c>
      <c r="S243" s="84">
        <v>0.22</v>
      </c>
      <c r="T243" s="82" t="s">
        <v>1986</v>
      </c>
      <c r="U243" s="84" t="s">
        <v>177</v>
      </c>
      <c r="V243" s="54"/>
    </row>
    <row r="244" spans="1:22" s="11" customFormat="1" ht="45" customHeight="1" x14ac:dyDescent="0.2">
      <c r="A244" s="66" t="s">
        <v>1842</v>
      </c>
      <c r="B244" s="66" t="s">
        <v>1155</v>
      </c>
      <c r="C244" s="66" t="s">
        <v>1842</v>
      </c>
      <c r="D244" s="66" t="s">
        <v>2104</v>
      </c>
      <c r="E244" s="68" t="s">
        <v>2105</v>
      </c>
      <c r="F244" s="66" t="s">
        <v>2104</v>
      </c>
      <c r="G244" s="71">
        <v>338</v>
      </c>
      <c r="H244" s="73"/>
      <c r="I244" s="75">
        <v>0.2</v>
      </c>
      <c r="J244" s="77"/>
      <c r="K244" s="66"/>
      <c r="L244" s="66"/>
      <c r="M244" s="79" t="str">
        <f>HYPERLINK("http://www.pristavka.com/catalog/Artplays/ARTM119/")</f>
        <v>http://www.pristavka.com/catalog/Artplays/ARTM119/</v>
      </c>
      <c r="N244" s="71">
        <v>599</v>
      </c>
      <c r="O244" s="66" t="s">
        <v>27</v>
      </c>
      <c r="P244" s="82" t="s">
        <v>2106</v>
      </c>
      <c r="Q244" s="84" t="s">
        <v>1522</v>
      </c>
      <c r="R244" s="84" t="s">
        <v>1068</v>
      </c>
      <c r="S244" s="84">
        <v>0.109</v>
      </c>
      <c r="T244" s="82" t="s">
        <v>2107</v>
      </c>
      <c r="U244" s="84" t="s">
        <v>177</v>
      </c>
      <c r="V244" s="54"/>
    </row>
    <row r="245" spans="1:22" s="11" customFormat="1" ht="45" customHeight="1" x14ac:dyDescent="0.2">
      <c r="A245" s="66" t="s">
        <v>1842</v>
      </c>
      <c r="B245" s="66" t="s">
        <v>1155</v>
      </c>
      <c r="C245" s="66" t="s">
        <v>1842</v>
      </c>
      <c r="D245" s="66" t="s">
        <v>2108</v>
      </c>
      <c r="E245" s="68" t="s">
        <v>2109</v>
      </c>
      <c r="F245" s="66" t="s">
        <v>2108</v>
      </c>
      <c r="G245" s="71">
        <v>681</v>
      </c>
      <c r="H245" s="73"/>
      <c r="I245" s="75">
        <v>0.2</v>
      </c>
      <c r="J245" s="77"/>
      <c r="K245" s="66"/>
      <c r="L245" s="66"/>
      <c r="M245" s="79" t="str">
        <f>HYPERLINK("http://www.pristavka.com/catalog/Artplays/ARTM127/")</f>
        <v>http://www.pristavka.com/catalog/Artplays/ARTM127/</v>
      </c>
      <c r="N245" s="71">
        <v>1099</v>
      </c>
      <c r="O245" s="66" t="s">
        <v>27</v>
      </c>
      <c r="P245" s="82" t="s">
        <v>2110</v>
      </c>
      <c r="Q245" s="84" t="s">
        <v>1522</v>
      </c>
      <c r="R245" s="84" t="s">
        <v>1068</v>
      </c>
      <c r="S245" s="84">
        <v>0.24</v>
      </c>
      <c r="T245" s="82" t="s">
        <v>1986</v>
      </c>
      <c r="U245" s="84" t="s">
        <v>177</v>
      </c>
      <c r="V245" s="54"/>
    </row>
    <row r="246" spans="1:22" s="11" customFormat="1" ht="45" customHeight="1" x14ac:dyDescent="0.2">
      <c r="A246" s="66" t="s">
        <v>1842</v>
      </c>
      <c r="B246" s="66" t="s">
        <v>1155</v>
      </c>
      <c r="C246" s="66" t="s">
        <v>1842</v>
      </c>
      <c r="D246" s="66" t="s">
        <v>2111</v>
      </c>
      <c r="E246" s="68" t="s">
        <v>2112</v>
      </c>
      <c r="F246" s="66" t="s">
        <v>2111</v>
      </c>
      <c r="G246" s="71">
        <v>338</v>
      </c>
      <c r="H246" s="73"/>
      <c r="I246" s="75">
        <v>0.2</v>
      </c>
      <c r="J246" s="77"/>
      <c r="K246" s="66"/>
      <c r="L246" s="66"/>
      <c r="M246" s="79" t="str">
        <f>HYPERLINK("http://www.pristavka.com/catalog/Artplays/ARTM120/")</f>
        <v>http://www.pristavka.com/catalog/Artplays/ARTM120/</v>
      </c>
      <c r="N246" s="71">
        <v>599</v>
      </c>
      <c r="O246" s="66" t="s">
        <v>27</v>
      </c>
      <c r="P246" s="82" t="s">
        <v>2113</v>
      </c>
      <c r="Q246" s="84" t="s">
        <v>1522</v>
      </c>
      <c r="R246" s="84" t="s">
        <v>1068</v>
      </c>
      <c r="S246" s="84">
        <v>0.113</v>
      </c>
      <c r="T246" s="82" t="s">
        <v>2107</v>
      </c>
      <c r="U246" s="84" t="s">
        <v>177</v>
      </c>
      <c r="V246" s="54"/>
    </row>
    <row r="247" spans="1:22" s="11" customFormat="1" ht="45" customHeight="1" x14ac:dyDescent="0.2">
      <c r="A247" s="66" t="s">
        <v>1842</v>
      </c>
      <c r="B247" s="66" t="s">
        <v>1155</v>
      </c>
      <c r="C247" s="66" t="s">
        <v>1842</v>
      </c>
      <c r="D247" s="66" t="s">
        <v>2114</v>
      </c>
      <c r="E247" s="68" t="s">
        <v>2115</v>
      </c>
      <c r="F247" s="66" t="s">
        <v>2114</v>
      </c>
      <c r="G247" s="71">
        <v>338</v>
      </c>
      <c r="H247" s="73"/>
      <c r="I247" s="75">
        <v>0.2</v>
      </c>
      <c r="J247" s="77"/>
      <c r="K247" s="66"/>
      <c r="L247" s="66"/>
      <c r="M247" s="79" t="str">
        <f>HYPERLINK("http://www.pristavka.com/catalog/Artplays/ARTM38/")</f>
        <v>http://www.pristavka.com/catalog/Artplays/ARTM38/</v>
      </c>
      <c r="N247" s="71">
        <v>599</v>
      </c>
      <c r="O247" s="66" t="s">
        <v>27</v>
      </c>
      <c r="P247" s="82" t="s">
        <v>2116</v>
      </c>
      <c r="Q247" s="84" t="s">
        <v>1522</v>
      </c>
      <c r="R247" s="84" t="s">
        <v>1068</v>
      </c>
      <c r="S247" s="84">
        <v>0.112</v>
      </c>
      <c r="T247" s="82" t="s">
        <v>2117</v>
      </c>
      <c r="U247" s="84" t="s">
        <v>177</v>
      </c>
      <c r="V247" s="54"/>
    </row>
    <row r="248" spans="1:22" s="11" customFormat="1" ht="45" customHeight="1" x14ac:dyDescent="0.2">
      <c r="A248" s="66" t="s">
        <v>1842</v>
      </c>
      <c r="B248" s="66" t="s">
        <v>1155</v>
      </c>
      <c r="C248" s="66" t="s">
        <v>1842</v>
      </c>
      <c r="D248" s="66" t="s">
        <v>2118</v>
      </c>
      <c r="E248" s="68" t="s">
        <v>2119</v>
      </c>
      <c r="F248" s="66" t="s">
        <v>2118</v>
      </c>
      <c r="G248" s="71">
        <v>681</v>
      </c>
      <c r="H248" s="73"/>
      <c r="I248" s="75">
        <v>0.2</v>
      </c>
      <c r="J248" s="77"/>
      <c r="K248" s="66"/>
      <c r="L248" s="66"/>
      <c r="M248" s="79" t="str">
        <f>HYPERLINK("http://www.pristavka.com/catalog/Artplays/ARTM40/")</f>
        <v>http://www.pristavka.com/catalog/Artplays/ARTM40/</v>
      </c>
      <c r="N248" s="71">
        <v>1099</v>
      </c>
      <c r="O248" s="66" t="s">
        <v>27</v>
      </c>
      <c r="P248" s="82" t="s">
        <v>2120</v>
      </c>
      <c r="Q248" s="84" t="s">
        <v>1522</v>
      </c>
      <c r="R248" s="84" t="s">
        <v>1068</v>
      </c>
      <c r="S248" s="84">
        <v>0.21199999999999999</v>
      </c>
      <c r="T248" s="82" t="s">
        <v>1986</v>
      </c>
      <c r="U248" s="84" t="s">
        <v>177</v>
      </c>
      <c r="V248" s="54"/>
    </row>
    <row r="249" spans="1:22" s="11" customFormat="1" ht="45" customHeight="1" x14ac:dyDescent="0.2">
      <c r="A249" s="66" t="s">
        <v>1842</v>
      </c>
      <c r="B249" s="66" t="s">
        <v>1155</v>
      </c>
      <c r="C249" s="66" t="s">
        <v>1842</v>
      </c>
      <c r="D249" s="66" t="s">
        <v>2121</v>
      </c>
      <c r="E249" s="68" t="s">
        <v>2122</v>
      </c>
      <c r="F249" s="66" t="s">
        <v>2121</v>
      </c>
      <c r="G249" s="71">
        <v>338</v>
      </c>
      <c r="H249" s="73"/>
      <c r="I249" s="75">
        <v>0.2</v>
      </c>
      <c r="J249" s="77"/>
      <c r="K249" s="66"/>
      <c r="L249" s="66"/>
      <c r="M249" s="79" t="str">
        <f>HYPERLINK("http://www.pristavka.com/catalog/Artplays/ARTM39/")</f>
        <v>http://www.pristavka.com/catalog/Artplays/ARTM39/</v>
      </c>
      <c r="N249" s="71">
        <v>599</v>
      </c>
      <c r="O249" s="66" t="s">
        <v>27</v>
      </c>
      <c r="P249" s="82" t="s">
        <v>2123</v>
      </c>
      <c r="Q249" s="84" t="s">
        <v>1522</v>
      </c>
      <c r="R249" s="84" t="s">
        <v>1068</v>
      </c>
      <c r="S249" s="84">
        <v>0.11</v>
      </c>
      <c r="T249" s="82" t="s">
        <v>2124</v>
      </c>
      <c r="U249" s="84" t="s">
        <v>177</v>
      </c>
      <c r="V249" s="54"/>
    </row>
    <row r="250" spans="1:22" s="11" customFormat="1" ht="45" customHeight="1" x14ac:dyDescent="0.2">
      <c r="A250" s="66" t="s">
        <v>1842</v>
      </c>
      <c r="B250" s="66" t="s">
        <v>1155</v>
      </c>
      <c r="C250" s="66" t="s">
        <v>1842</v>
      </c>
      <c r="D250" s="66" t="s">
        <v>2125</v>
      </c>
      <c r="E250" s="68" t="s">
        <v>2126</v>
      </c>
      <c r="F250" s="66" t="s">
        <v>2125</v>
      </c>
      <c r="G250" s="71">
        <v>681</v>
      </c>
      <c r="H250" s="73"/>
      <c r="I250" s="75">
        <v>0.2</v>
      </c>
      <c r="J250" s="77"/>
      <c r="K250" s="66"/>
      <c r="L250" s="66"/>
      <c r="M250" s="79" t="str">
        <f>HYPERLINK("http://www.pristavka.com/catalog/Artplays/ARTM41/")</f>
        <v>http://www.pristavka.com/catalog/Artplays/ARTM41/</v>
      </c>
      <c r="N250" s="71">
        <v>1099</v>
      </c>
      <c r="O250" s="66" t="s">
        <v>27</v>
      </c>
      <c r="P250" s="82" t="s">
        <v>2127</v>
      </c>
      <c r="Q250" s="84" t="s">
        <v>1522</v>
      </c>
      <c r="R250" s="84" t="s">
        <v>1068</v>
      </c>
      <c r="S250" s="84">
        <v>0.219</v>
      </c>
      <c r="T250" s="82" t="s">
        <v>1986</v>
      </c>
      <c r="U250" s="84" t="s">
        <v>177</v>
      </c>
      <c r="V250" s="54"/>
    </row>
    <row r="251" spans="1:22" s="11" customFormat="1" ht="45" customHeight="1" x14ac:dyDescent="0.2">
      <c r="A251" s="66" t="s">
        <v>1842</v>
      </c>
      <c r="B251" s="66" t="s">
        <v>1155</v>
      </c>
      <c r="C251" s="66" t="s">
        <v>1842</v>
      </c>
      <c r="D251" s="66" t="s">
        <v>2128</v>
      </c>
      <c r="E251" s="68" t="s">
        <v>2129</v>
      </c>
      <c r="F251" s="66" t="s">
        <v>2128</v>
      </c>
      <c r="G251" s="71">
        <v>338</v>
      </c>
      <c r="H251" s="73"/>
      <c r="I251" s="75">
        <v>0.2</v>
      </c>
      <c r="J251" s="77"/>
      <c r="K251" s="66"/>
      <c r="L251" s="66"/>
      <c r="M251" s="79" t="str">
        <f>HYPERLINK("http://www.pristavka.com/catalog/Artplays/ARTM121/")</f>
        <v>http://www.pristavka.com/catalog/Artplays/ARTM121/</v>
      </c>
      <c r="N251" s="71">
        <v>599</v>
      </c>
      <c r="O251" s="66" t="s">
        <v>27</v>
      </c>
      <c r="P251" s="82" t="s">
        <v>2130</v>
      </c>
      <c r="Q251" s="84" t="s">
        <v>1522</v>
      </c>
      <c r="R251" s="84" t="s">
        <v>1068</v>
      </c>
      <c r="S251" s="84">
        <v>0.115</v>
      </c>
      <c r="T251" s="82" t="s">
        <v>2107</v>
      </c>
      <c r="U251" s="84" t="s">
        <v>177</v>
      </c>
      <c r="V251" s="54"/>
    </row>
    <row r="252" spans="1:22" s="11" customFormat="1" ht="45" customHeight="1" x14ac:dyDescent="0.2">
      <c r="A252" s="66" t="s">
        <v>1842</v>
      </c>
      <c r="B252" s="66" t="s">
        <v>1155</v>
      </c>
      <c r="C252" s="66" t="s">
        <v>1842</v>
      </c>
      <c r="D252" s="66" t="s">
        <v>2131</v>
      </c>
      <c r="E252" s="68" t="s">
        <v>2132</v>
      </c>
      <c r="F252" s="66" t="s">
        <v>2131</v>
      </c>
      <c r="G252" s="71">
        <v>132</v>
      </c>
      <c r="H252" s="73"/>
      <c r="I252" s="75">
        <v>0.2</v>
      </c>
      <c r="J252" s="77"/>
      <c r="K252" s="66"/>
      <c r="L252" s="66"/>
      <c r="M252" s="79" t="str">
        <f>HYPERLINK("http://www.pristavka.com/catalog/Artplays/ARTM278/")</f>
        <v>http://www.pristavka.com/catalog/Artplays/ARTM278/</v>
      </c>
      <c r="N252" s="71">
        <v>299</v>
      </c>
      <c r="O252" s="66" t="s">
        <v>27</v>
      </c>
      <c r="P252" s="82" t="s">
        <v>2133</v>
      </c>
      <c r="Q252" s="84" t="s">
        <v>1522</v>
      </c>
      <c r="R252" s="84" t="s">
        <v>1068</v>
      </c>
      <c r="S252" s="84">
        <v>0.108</v>
      </c>
      <c r="T252" s="82" t="s">
        <v>2134</v>
      </c>
      <c r="U252" s="84" t="s">
        <v>177</v>
      </c>
      <c r="V252" s="54"/>
    </row>
    <row r="253" spans="1:22" s="11" customFormat="1" ht="45" customHeight="1" x14ac:dyDescent="0.2">
      <c r="A253" s="66" t="s">
        <v>1842</v>
      </c>
      <c r="B253" s="66" t="s">
        <v>1155</v>
      </c>
      <c r="C253" s="66" t="s">
        <v>1842</v>
      </c>
      <c r="D253" s="66" t="s">
        <v>2135</v>
      </c>
      <c r="E253" s="68" t="s">
        <v>2136</v>
      </c>
      <c r="F253" s="66" t="s">
        <v>2135</v>
      </c>
      <c r="G253" s="71">
        <v>338</v>
      </c>
      <c r="H253" s="73"/>
      <c r="I253" s="75">
        <v>0.2</v>
      </c>
      <c r="J253" s="77"/>
      <c r="K253" s="66"/>
      <c r="L253" s="66"/>
      <c r="M253" s="79" t="str">
        <f>HYPERLINK("http://www.pristavka.com/catalog/Artplays/ARTM122/")</f>
        <v>http://www.pristavka.com/catalog/Artplays/ARTM122/</v>
      </c>
      <c r="N253" s="71">
        <v>599</v>
      </c>
      <c r="O253" s="66" t="s">
        <v>27</v>
      </c>
      <c r="P253" s="82" t="s">
        <v>2137</v>
      </c>
      <c r="Q253" s="84" t="s">
        <v>1522</v>
      </c>
      <c r="R253" s="84" t="s">
        <v>1068</v>
      </c>
      <c r="S253" s="84">
        <v>0.111</v>
      </c>
      <c r="T253" s="82" t="s">
        <v>2107</v>
      </c>
      <c r="U253" s="84" t="s">
        <v>177</v>
      </c>
      <c r="V253" s="54"/>
    </row>
    <row r="254" spans="1:22" s="11" customFormat="1" ht="45" customHeight="1" x14ac:dyDescent="0.2">
      <c r="A254" s="66" t="s">
        <v>1842</v>
      </c>
      <c r="B254" s="66" t="s">
        <v>1155</v>
      </c>
      <c r="C254" s="66" t="s">
        <v>1842</v>
      </c>
      <c r="D254" s="66" t="s">
        <v>2138</v>
      </c>
      <c r="E254" s="68" t="s">
        <v>2139</v>
      </c>
      <c r="F254" s="66" t="s">
        <v>2138</v>
      </c>
      <c r="G254" s="71">
        <v>681</v>
      </c>
      <c r="H254" s="73"/>
      <c r="I254" s="75">
        <v>0.2</v>
      </c>
      <c r="J254" s="77"/>
      <c r="K254" s="66"/>
      <c r="L254" s="66"/>
      <c r="M254" s="79" t="str">
        <f>HYPERLINK("http://www.pristavka.com/catalog/Artplays/ARTM130/")</f>
        <v>http://www.pristavka.com/catalog/Artplays/ARTM130/</v>
      </c>
      <c r="N254" s="71">
        <v>1099</v>
      </c>
      <c r="O254" s="66" t="s">
        <v>27</v>
      </c>
      <c r="P254" s="82" t="s">
        <v>2140</v>
      </c>
      <c r="Q254" s="84" t="s">
        <v>1522</v>
      </c>
      <c r="R254" s="84" t="s">
        <v>1068</v>
      </c>
      <c r="S254" s="84">
        <v>0.222</v>
      </c>
      <c r="T254" s="82" t="s">
        <v>1986</v>
      </c>
      <c r="U254" s="84" t="s">
        <v>177</v>
      </c>
      <c r="V254" s="54"/>
    </row>
    <row r="255" spans="1:22" s="11" customFormat="1" ht="45" customHeight="1" x14ac:dyDescent="0.2">
      <c r="A255" s="66" t="s">
        <v>1842</v>
      </c>
      <c r="B255" s="66" t="s">
        <v>1155</v>
      </c>
      <c r="C255" s="66" t="s">
        <v>1842</v>
      </c>
      <c r="D255" s="66" t="s">
        <v>2141</v>
      </c>
      <c r="E255" s="68" t="s">
        <v>2142</v>
      </c>
      <c r="F255" s="66" t="s">
        <v>2141</v>
      </c>
      <c r="G255" s="71">
        <v>338</v>
      </c>
      <c r="H255" s="73"/>
      <c r="I255" s="75">
        <v>0.2</v>
      </c>
      <c r="J255" s="77"/>
      <c r="K255" s="66"/>
      <c r="L255" s="66"/>
      <c r="M255" s="79" t="str">
        <f>HYPERLINK("http://www.pristavka.com/catalog/Artplays/ARTM530/")</f>
        <v>http://www.pristavka.com/catalog/Artplays/ARTM530/</v>
      </c>
      <c r="N255" s="71">
        <v>599</v>
      </c>
      <c r="O255" s="66" t="s">
        <v>27</v>
      </c>
      <c r="P255" s="82" t="s">
        <v>2143</v>
      </c>
      <c r="Q255" s="84" t="s">
        <v>2099</v>
      </c>
      <c r="R255" s="84" t="s">
        <v>1632</v>
      </c>
      <c r="S255" s="84">
        <v>0.11</v>
      </c>
      <c r="T255" s="82" t="s">
        <v>2144</v>
      </c>
      <c r="U255" s="84" t="s">
        <v>177</v>
      </c>
      <c r="V255" s="54"/>
    </row>
    <row r="256" spans="1:22" s="11" customFormat="1" ht="45" customHeight="1" x14ac:dyDescent="0.2">
      <c r="A256" s="66" t="s">
        <v>1842</v>
      </c>
      <c r="B256" s="66" t="s">
        <v>1155</v>
      </c>
      <c r="C256" s="66" t="s">
        <v>1842</v>
      </c>
      <c r="D256" s="66" t="s">
        <v>2145</v>
      </c>
      <c r="E256" s="68" t="s">
        <v>2146</v>
      </c>
      <c r="F256" s="66" t="s">
        <v>2145</v>
      </c>
      <c r="G256" s="71">
        <v>338</v>
      </c>
      <c r="H256" s="73"/>
      <c r="I256" s="75">
        <v>0.2</v>
      </c>
      <c r="J256" s="77"/>
      <c r="K256" s="66"/>
      <c r="L256" s="66"/>
      <c r="M256" s="79" t="str">
        <f>HYPERLINK("http://www.pristavka.com/catalog/Artplays/ARTM532/")</f>
        <v>http://www.pristavka.com/catalog/Artplays/ARTM532/</v>
      </c>
      <c r="N256" s="71">
        <v>599</v>
      </c>
      <c r="O256" s="66" t="s">
        <v>27</v>
      </c>
      <c r="P256" s="82" t="s">
        <v>2147</v>
      </c>
      <c r="Q256" s="84" t="s">
        <v>2099</v>
      </c>
      <c r="R256" s="84" t="s">
        <v>1632</v>
      </c>
      <c r="S256" s="84">
        <v>0.114</v>
      </c>
      <c r="T256" s="82" t="s">
        <v>2144</v>
      </c>
      <c r="U256" s="84" t="s">
        <v>177</v>
      </c>
      <c r="V256" s="54"/>
    </row>
    <row r="257" spans="1:22" s="11" customFormat="1" ht="45" customHeight="1" x14ac:dyDescent="0.2">
      <c r="A257" s="66" t="s">
        <v>1842</v>
      </c>
      <c r="B257" s="66" t="s">
        <v>1155</v>
      </c>
      <c r="C257" s="66" t="s">
        <v>1842</v>
      </c>
      <c r="D257" s="66" t="s">
        <v>2148</v>
      </c>
      <c r="E257" s="68" t="s">
        <v>2149</v>
      </c>
      <c r="F257" s="66" t="s">
        <v>2148</v>
      </c>
      <c r="G257" s="71">
        <v>338</v>
      </c>
      <c r="H257" s="73"/>
      <c r="I257" s="75">
        <v>0.2</v>
      </c>
      <c r="J257" s="77"/>
      <c r="K257" s="66"/>
      <c r="L257" s="66"/>
      <c r="M257" s="79" t="str">
        <f>HYPERLINK("http://www.pristavka.com/catalog/Artplays/ARTM534/")</f>
        <v>http://www.pristavka.com/catalog/Artplays/ARTM534/</v>
      </c>
      <c r="N257" s="71">
        <v>599</v>
      </c>
      <c r="O257" s="66" t="s">
        <v>27</v>
      </c>
      <c r="P257" s="82" t="s">
        <v>2150</v>
      </c>
      <c r="Q257" s="84" t="s">
        <v>2099</v>
      </c>
      <c r="R257" s="84" t="s">
        <v>1632</v>
      </c>
      <c r="S257" s="84">
        <v>0.114</v>
      </c>
      <c r="T257" s="82" t="s">
        <v>2144</v>
      </c>
      <c r="U257" s="84" t="s">
        <v>177</v>
      </c>
      <c r="V257" s="54"/>
    </row>
    <row r="258" spans="1:22" s="11" customFormat="1" ht="45" customHeight="1" x14ac:dyDescent="0.2">
      <c r="A258" s="66" t="s">
        <v>1842</v>
      </c>
      <c r="B258" s="66" t="s">
        <v>1155</v>
      </c>
      <c r="C258" s="66" t="s">
        <v>1842</v>
      </c>
      <c r="D258" s="66" t="s">
        <v>2151</v>
      </c>
      <c r="E258" s="68" t="s">
        <v>2152</v>
      </c>
      <c r="F258" s="66" t="s">
        <v>2151</v>
      </c>
      <c r="G258" s="71">
        <v>338</v>
      </c>
      <c r="H258" s="73"/>
      <c r="I258" s="75">
        <v>0.2</v>
      </c>
      <c r="J258" s="77"/>
      <c r="K258" s="66"/>
      <c r="L258" s="66"/>
      <c r="M258" s="79" t="str">
        <f>HYPERLINK("http://www.pristavka.com/catalog/Artplays/ARTM535/")</f>
        <v>http://www.pristavka.com/catalog/Artplays/ARTM535/</v>
      </c>
      <c r="N258" s="71">
        <v>599</v>
      </c>
      <c r="O258" s="66" t="s">
        <v>27</v>
      </c>
      <c r="P258" s="82" t="s">
        <v>2153</v>
      </c>
      <c r="Q258" s="84" t="s">
        <v>2099</v>
      </c>
      <c r="R258" s="84" t="s">
        <v>1632</v>
      </c>
      <c r="S258" s="84">
        <v>0.11</v>
      </c>
      <c r="T258" s="82" t="s">
        <v>2144</v>
      </c>
      <c r="U258" s="84" t="s">
        <v>177</v>
      </c>
      <c r="V258" s="54"/>
    </row>
    <row r="259" spans="1:22" s="11" customFormat="1" ht="45" customHeight="1" x14ac:dyDescent="0.2">
      <c r="A259" s="66" t="s">
        <v>1842</v>
      </c>
      <c r="B259" s="66" t="s">
        <v>1155</v>
      </c>
      <c r="C259" s="66" t="s">
        <v>1842</v>
      </c>
      <c r="D259" s="66" t="s">
        <v>2154</v>
      </c>
      <c r="E259" s="68" t="s">
        <v>2155</v>
      </c>
      <c r="F259" s="66" t="s">
        <v>2154</v>
      </c>
      <c r="G259" s="71">
        <v>338</v>
      </c>
      <c r="H259" s="73"/>
      <c r="I259" s="75">
        <v>0.2</v>
      </c>
      <c r="J259" s="77"/>
      <c r="K259" s="66"/>
      <c r="L259" s="66"/>
      <c r="M259" s="79" t="str">
        <f>HYPERLINK("http://www.pristavka.com/catalog/Artplays/ARTM42/")</f>
        <v>http://www.pristavka.com/catalog/Artplays/ARTM42/</v>
      </c>
      <c r="N259" s="71">
        <v>599</v>
      </c>
      <c r="O259" s="66" t="s">
        <v>27</v>
      </c>
      <c r="P259" s="82" t="s">
        <v>2156</v>
      </c>
      <c r="Q259" s="84" t="s">
        <v>1522</v>
      </c>
      <c r="R259" s="84" t="s">
        <v>1068</v>
      </c>
      <c r="S259" s="84">
        <v>0.112</v>
      </c>
      <c r="T259" s="82" t="s">
        <v>2117</v>
      </c>
      <c r="U259" s="84" t="s">
        <v>177</v>
      </c>
      <c r="V259" s="54"/>
    </row>
    <row r="260" spans="1:22" s="11" customFormat="1" ht="45" customHeight="1" x14ac:dyDescent="0.2">
      <c r="A260" s="66" t="s">
        <v>1842</v>
      </c>
      <c r="B260" s="66" t="s">
        <v>1155</v>
      </c>
      <c r="C260" s="66" t="s">
        <v>1842</v>
      </c>
      <c r="D260" s="66" t="s">
        <v>2157</v>
      </c>
      <c r="E260" s="68" t="s">
        <v>2158</v>
      </c>
      <c r="F260" s="66" t="s">
        <v>2157</v>
      </c>
      <c r="G260" s="71">
        <v>681</v>
      </c>
      <c r="H260" s="73"/>
      <c r="I260" s="75">
        <v>0.2</v>
      </c>
      <c r="J260" s="77"/>
      <c r="K260" s="66"/>
      <c r="L260" s="66"/>
      <c r="M260" s="79" t="str">
        <f>HYPERLINK("http://www.pristavka.com/catalog/Artplays/ARTM44/")</f>
        <v>http://www.pristavka.com/catalog/Artplays/ARTM44/</v>
      </c>
      <c r="N260" s="71">
        <v>1099</v>
      </c>
      <c r="O260" s="66" t="s">
        <v>27</v>
      </c>
      <c r="P260" s="82" t="s">
        <v>2159</v>
      </c>
      <c r="Q260" s="84" t="s">
        <v>1522</v>
      </c>
      <c r="R260" s="84" t="s">
        <v>1068</v>
      </c>
      <c r="S260" s="84">
        <v>0.222</v>
      </c>
      <c r="T260" s="82" t="s">
        <v>1986</v>
      </c>
      <c r="U260" s="84" t="s">
        <v>177</v>
      </c>
      <c r="V260" s="54"/>
    </row>
    <row r="261" spans="1:22" s="11" customFormat="1" ht="45" customHeight="1" x14ac:dyDescent="0.2">
      <c r="A261" s="66" t="s">
        <v>1842</v>
      </c>
      <c r="B261" s="66" t="s">
        <v>1155</v>
      </c>
      <c r="C261" s="66" t="s">
        <v>1842</v>
      </c>
      <c r="D261" s="66" t="s">
        <v>2160</v>
      </c>
      <c r="E261" s="68" t="s">
        <v>2161</v>
      </c>
      <c r="F261" s="66" t="s">
        <v>2160</v>
      </c>
      <c r="G261" s="71">
        <v>338</v>
      </c>
      <c r="H261" s="73"/>
      <c r="I261" s="75">
        <v>0.2</v>
      </c>
      <c r="J261" s="77"/>
      <c r="K261" s="66"/>
      <c r="L261" s="66"/>
      <c r="M261" s="79" t="str">
        <f>HYPERLINK("http://www.pristavka.com/catalog/Artplays/ARTM43/")</f>
        <v>http://www.pristavka.com/catalog/Artplays/ARTM43/</v>
      </c>
      <c r="N261" s="71">
        <v>599</v>
      </c>
      <c r="O261" s="66" t="s">
        <v>27</v>
      </c>
      <c r="P261" s="82" t="s">
        <v>2162</v>
      </c>
      <c r="Q261" s="84" t="s">
        <v>1522</v>
      </c>
      <c r="R261" s="84" t="s">
        <v>1068</v>
      </c>
      <c r="S261" s="84">
        <v>0.122</v>
      </c>
      <c r="T261" s="82" t="s">
        <v>2117</v>
      </c>
      <c r="U261" s="84" t="s">
        <v>177</v>
      </c>
      <c r="V261" s="54"/>
    </row>
    <row r="262" spans="1:22" s="11" customFormat="1" ht="45" customHeight="1" x14ac:dyDescent="0.2">
      <c r="A262" s="66" t="s">
        <v>1842</v>
      </c>
      <c r="B262" s="66" t="s">
        <v>1155</v>
      </c>
      <c r="C262" s="66" t="s">
        <v>1842</v>
      </c>
      <c r="D262" s="66" t="s">
        <v>2163</v>
      </c>
      <c r="E262" s="68" t="s">
        <v>2164</v>
      </c>
      <c r="F262" s="66" t="s">
        <v>2163</v>
      </c>
      <c r="G262" s="71">
        <v>681</v>
      </c>
      <c r="H262" s="73"/>
      <c r="I262" s="75">
        <v>0.2</v>
      </c>
      <c r="J262" s="77"/>
      <c r="K262" s="66"/>
      <c r="L262" s="66"/>
      <c r="M262" s="79" t="str">
        <f>HYPERLINK("http://www.pristavka.com/catalog/Artplays/ARTM45/")</f>
        <v>http://www.pristavka.com/catalog/Artplays/ARTM45/</v>
      </c>
      <c r="N262" s="71">
        <v>1099</v>
      </c>
      <c r="O262" s="66" t="s">
        <v>27</v>
      </c>
      <c r="P262" s="82" t="s">
        <v>2165</v>
      </c>
      <c r="Q262" s="84" t="s">
        <v>1522</v>
      </c>
      <c r="R262" s="84" t="s">
        <v>1068</v>
      </c>
      <c r="S262" s="84">
        <v>0.22</v>
      </c>
      <c r="T262" s="82" t="s">
        <v>1986</v>
      </c>
      <c r="U262" s="84" t="s">
        <v>177</v>
      </c>
      <c r="V262" s="54"/>
    </row>
    <row r="263" spans="1:22" s="11" customFormat="1" ht="45" customHeight="1" x14ac:dyDescent="0.2">
      <c r="A263" s="66" t="s">
        <v>1842</v>
      </c>
      <c r="B263" s="66" t="s">
        <v>1155</v>
      </c>
      <c r="C263" s="66" t="s">
        <v>1842</v>
      </c>
      <c r="D263" s="66" t="s">
        <v>2166</v>
      </c>
      <c r="E263" s="68" t="s">
        <v>2167</v>
      </c>
      <c r="F263" s="66" t="s">
        <v>2166</v>
      </c>
      <c r="G263" s="71">
        <v>681</v>
      </c>
      <c r="H263" s="73"/>
      <c r="I263" s="75">
        <v>0.2</v>
      </c>
      <c r="J263" s="77"/>
      <c r="K263" s="66"/>
      <c r="L263" s="66"/>
      <c r="M263" s="79" t="str">
        <f>HYPERLINK("http://www.pristavka.com/catalog/Artplays/ARTM195/")</f>
        <v>http://www.pristavka.com/catalog/Artplays/ARTM195/</v>
      </c>
      <c r="N263" s="71">
        <v>1099</v>
      </c>
      <c r="O263" s="66" t="s">
        <v>27</v>
      </c>
      <c r="P263" s="82" t="s">
        <v>2168</v>
      </c>
      <c r="Q263" s="84" t="s">
        <v>1091</v>
      </c>
      <c r="R263" s="84" t="s">
        <v>1068</v>
      </c>
      <c r="S263" s="84">
        <v>0.218</v>
      </c>
      <c r="T263" s="82" t="s">
        <v>2010</v>
      </c>
      <c r="U263" s="84" t="s">
        <v>177</v>
      </c>
      <c r="V263" s="54"/>
    </row>
    <row r="264" spans="1:22" s="11" customFormat="1" ht="45" customHeight="1" x14ac:dyDescent="0.2">
      <c r="A264" s="66" t="s">
        <v>1842</v>
      </c>
      <c r="B264" s="66" t="s">
        <v>1155</v>
      </c>
      <c r="C264" s="66" t="s">
        <v>1842</v>
      </c>
      <c r="D264" s="66" t="s">
        <v>2169</v>
      </c>
      <c r="E264" s="68" t="s">
        <v>2170</v>
      </c>
      <c r="F264" s="66" t="s">
        <v>2169</v>
      </c>
      <c r="G264" s="71">
        <v>681</v>
      </c>
      <c r="H264" s="73"/>
      <c r="I264" s="75">
        <v>0.2</v>
      </c>
      <c r="J264" s="77"/>
      <c r="K264" s="66"/>
      <c r="L264" s="66"/>
      <c r="M264" s="79" t="str">
        <f>HYPERLINK("http://www.pristavka.com/catalog/Artplays/ARTM227/")</f>
        <v>http://www.pristavka.com/catalog/Artplays/ARTM227/</v>
      </c>
      <c r="N264" s="71">
        <v>1099</v>
      </c>
      <c r="O264" s="66" t="s">
        <v>27</v>
      </c>
      <c r="P264" s="82" t="s">
        <v>2171</v>
      </c>
      <c r="Q264" s="84" t="s">
        <v>1117</v>
      </c>
      <c r="R264" s="84" t="s">
        <v>1068</v>
      </c>
      <c r="S264" s="84">
        <v>0.222</v>
      </c>
      <c r="T264" s="82" t="s">
        <v>2172</v>
      </c>
      <c r="U264" s="84" t="s">
        <v>177</v>
      </c>
      <c r="V264" s="54"/>
    </row>
    <row r="265" spans="1:22" s="11" customFormat="1" ht="45" customHeight="1" x14ac:dyDescent="0.2">
      <c r="A265" s="66" t="s">
        <v>1842</v>
      </c>
      <c r="B265" s="66" t="s">
        <v>1155</v>
      </c>
      <c r="C265" s="66" t="s">
        <v>1842</v>
      </c>
      <c r="D265" s="66" t="s">
        <v>2173</v>
      </c>
      <c r="E265" s="68" t="s">
        <v>2174</v>
      </c>
      <c r="F265" s="66" t="s">
        <v>2173</v>
      </c>
      <c r="G265" s="71">
        <v>338</v>
      </c>
      <c r="H265" s="73"/>
      <c r="I265" s="75">
        <v>0.2</v>
      </c>
      <c r="J265" s="77"/>
      <c r="K265" s="66"/>
      <c r="L265" s="66"/>
      <c r="M265" s="79" t="str">
        <f>HYPERLINK("http://www.pristavka.com/catalog/Artplays/ARTM222/")</f>
        <v>http://www.pristavka.com/catalog/Artplays/ARTM222/</v>
      </c>
      <c r="N265" s="71">
        <v>599</v>
      </c>
      <c r="O265" s="66" t="s">
        <v>27</v>
      </c>
      <c r="P265" s="82" t="s">
        <v>2175</v>
      </c>
      <c r="Q265" s="84" t="s">
        <v>1117</v>
      </c>
      <c r="R265" s="84" t="s">
        <v>1068</v>
      </c>
      <c r="S265" s="84">
        <v>0.11</v>
      </c>
      <c r="T265" s="82" t="s">
        <v>1986</v>
      </c>
      <c r="U265" s="84" t="s">
        <v>177</v>
      </c>
      <c r="V265" s="54"/>
    </row>
    <row r="266" spans="1:22" s="11" customFormat="1" ht="45" customHeight="1" x14ac:dyDescent="0.2">
      <c r="A266" s="66" t="s">
        <v>1842</v>
      </c>
      <c r="B266" s="66" t="s">
        <v>1155</v>
      </c>
      <c r="C266" s="66" t="s">
        <v>1842</v>
      </c>
      <c r="D266" s="66" t="s">
        <v>2176</v>
      </c>
      <c r="E266" s="68" t="s">
        <v>2177</v>
      </c>
      <c r="F266" s="66" t="s">
        <v>2176</v>
      </c>
      <c r="G266" s="71">
        <v>681</v>
      </c>
      <c r="H266" s="73"/>
      <c r="I266" s="75">
        <v>0.2</v>
      </c>
      <c r="J266" s="77"/>
      <c r="K266" s="66"/>
      <c r="L266" s="66"/>
      <c r="M266" s="79" t="str">
        <f>HYPERLINK("http://www.pristavka.com/catalog/Artplays/ARTM225/")</f>
        <v>http://www.pristavka.com/catalog/Artplays/ARTM225/</v>
      </c>
      <c r="N266" s="71">
        <v>1099</v>
      </c>
      <c r="O266" s="66" t="s">
        <v>27</v>
      </c>
      <c r="P266" s="82" t="s">
        <v>2178</v>
      </c>
      <c r="Q266" s="84" t="s">
        <v>1117</v>
      </c>
      <c r="R266" s="84" t="s">
        <v>1068</v>
      </c>
      <c r="S266" s="84">
        <v>0.22</v>
      </c>
      <c r="T266" s="82" t="s">
        <v>2010</v>
      </c>
      <c r="U266" s="84" t="s">
        <v>177</v>
      </c>
      <c r="V266" s="54"/>
    </row>
    <row r="267" spans="1:22" s="11" customFormat="1" ht="45" customHeight="1" x14ac:dyDescent="0.2">
      <c r="A267" s="66" t="s">
        <v>1842</v>
      </c>
      <c r="B267" s="66" t="s">
        <v>1155</v>
      </c>
      <c r="C267" s="66" t="s">
        <v>1842</v>
      </c>
      <c r="D267" s="66" t="s">
        <v>2179</v>
      </c>
      <c r="E267" s="68" t="s">
        <v>2180</v>
      </c>
      <c r="F267" s="66" t="s">
        <v>2179</v>
      </c>
      <c r="G267" s="71">
        <v>338</v>
      </c>
      <c r="H267" s="73"/>
      <c r="I267" s="75">
        <v>0.2</v>
      </c>
      <c r="J267" s="77"/>
      <c r="K267" s="66"/>
      <c r="L267" s="66"/>
      <c r="M267" s="79" t="str">
        <f>HYPERLINK("http://www.pristavka.com/catalog/Artplays/ARTM223/")</f>
        <v>http://www.pristavka.com/catalog/Artplays/ARTM223/</v>
      </c>
      <c r="N267" s="71">
        <v>599</v>
      </c>
      <c r="O267" s="66" t="s">
        <v>27</v>
      </c>
      <c r="P267" s="82" t="s">
        <v>2181</v>
      </c>
      <c r="Q267" s="84" t="s">
        <v>1117</v>
      </c>
      <c r="R267" s="84" t="s">
        <v>1068</v>
      </c>
      <c r="S267" s="84">
        <v>0.108</v>
      </c>
      <c r="T267" s="82" t="s">
        <v>2124</v>
      </c>
      <c r="U267" s="84" t="s">
        <v>177</v>
      </c>
      <c r="V267" s="54"/>
    </row>
    <row r="268" spans="1:22" s="11" customFormat="1" ht="45" customHeight="1" x14ac:dyDescent="0.2">
      <c r="A268" s="66" t="s">
        <v>1842</v>
      </c>
      <c r="B268" s="66" t="s">
        <v>1155</v>
      </c>
      <c r="C268" s="66" t="s">
        <v>1842</v>
      </c>
      <c r="D268" s="66" t="s">
        <v>2182</v>
      </c>
      <c r="E268" s="68" t="s">
        <v>2183</v>
      </c>
      <c r="F268" s="66" t="s">
        <v>2182</v>
      </c>
      <c r="G268" s="71">
        <v>338</v>
      </c>
      <c r="H268" s="73"/>
      <c r="I268" s="75">
        <v>0.2</v>
      </c>
      <c r="J268" s="77"/>
      <c r="K268" s="66"/>
      <c r="L268" s="66"/>
      <c r="M268" s="79" t="str">
        <f>HYPERLINK("http://www.pristavka.com/catalog/Artplays/ARTM224/")</f>
        <v>http://www.pristavka.com/catalog/Artplays/ARTM224/</v>
      </c>
      <c r="N268" s="71">
        <v>599</v>
      </c>
      <c r="O268" s="66" t="s">
        <v>27</v>
      </c>
      <c r="P268" s="82" t="s">
        <v>2184</v>
      </c>
      <c r="Q268" s="84" t="s">
        <v>1117</v>
      </c>
      <c r="R268" s="84" t="s">
        <v>1068</v>
      </c>
      <c r="S268" s="84">
        <v>0.122</v>
      </c>
      <c r="T268" s="82" t="s">
        <v>2124</v>
      </c>
      <c r="U268" s="84" t="s">
        <v>177</v>
      </c>
      <c r="V268" s="54"/>
    </row>
    <row r="269" spans="1:22" s="11" customFormat="1" ht="45" customHeight="1" x14ac:dyDescent="0.2">
      <c r="A269" s="66" t="s">
        <v>1842</v>
      </c>
      <c r="B269" s="66" t="s">
        <v>1155</v>
      </c>
      <c r="C269" s="66" t="s">
        <v>1842</v>
      </c>
      <c r="D269" s="66" t="s">
        <v>2185</v>
      </c>
      <c r="E269" s="68" t="s">
        <v>2186</v>
      </c>
      <c r="F269" s="66" t="s">
        <v>2185</v>
      </c>
      <c r="G269" s="71">
        <v>681</v>
      </c>
      <c r="H269" s="73"/>
      <c r="I269" s="75">
        <v>0.2</v>
      </c>
      <c r="J269" s="77"/>
      <c r="K269" s="66"/>
      <c r="L269" s="66"/>
      <c r="M269" s="79" t="str">
        <f>HYPERLINK("http://www.pristavka.com/catalog/Artplays/ARTM196/")</f>
        <v>http://www.pristavka.com/catalog/Artplays/ARTM196/</v>
      </c>
      <c r="N269" s="71">
        <v>1099</v>
      </c>
      <c r="O269" s="66" t="s">
        <v>27</v>
      </c>
      <c r="P269" s="82" t="s">
        <v>2187</v>
      </c>
      <c r="Q269" s="84" t="s">
        <v>1091</v>
      </c>
      <c r="R269" s="84" t="s">
        <v>1068</v>
      </c>
      <c r="S269" s="84">
        <v>0.218</v>
      </c>
      <c r="T269" s="82" t="s">
        <v>2010</v>
      </c>
      <c r="U269" s="84" t="s">
        <v>177</v>
      </c>
      <c r="V269" s="54"/>
    </row>
    <row r="270" spans="1:22" s="11" customFormat="1" ht="45" customHeight="1" x14ac:dyDescent="0.2">
      <c r="A270" s="66" t="s">
        <v>1842</v>
      </c>
      <c r="B270" s="66" t="s">
        <v>1155</v>
      </c>
      <c r="C270" s="66" t="s">
        <v>1842</v>
      </c>
      <c r="D270" s="66" t="s">
        <v>2188</v>
      </c>
      <c r="E270" s="68" t="s">
        <v>2189</v>
      </c>
      <c r="F270" s="66" t="s">
        <v>2188</v>
      </c>
      <c r="G270" s="71">
        <v>681</v>
      </c>
      <c r="H270" s="73"/>
      <c r="I270" s="75">
        <v>0.2</v>
      </c>
      <c r="J270" s="77"/>
      <c r="K270" s="66"/>
      <c r="L270" s="66"/>
      <c r="M270" s="79" t="str">
        <f>HYPERLINK("http://www.pristavka.com/catalog/Artplays/ARTM194/")</f>
        <v>http://www.pristavka.com/catalog/Artplays/ARTM194/</v>
      </c>
      <c r="N270" s="71">
        <v>1099</v>
      </c>
      <c r="O270" s="66" t="s">
        <v>27</v>
      </c>
      <c r="P270" s="82" t="s">
        <v>2190</v>
      </c>
      <c r="Q270" s="84" t="s">
        <v>1091</v>
      </c>
      <c r="R270" s="84" t="s">
        <v>1068</v>
      </c>
      <c r="S270" s="84">
        <v>0.22</v>
      </c>
      <c r="T270" s="82" t="s">
        <v>2010</v>
      </c>
      <c r="U270" s="84" t="s">
        <v>177</v>
      </c>
      <c r="V270" s="54"/>
    </row>
    <row r="271" spans="1:22" s="45" customFormat="1" ht="45" customHeight="1" x14ac:dyDescent="0.2">
      <c r="A271" s="67" t="s">
        <v>1842</v>
      </c>
      <c r="B271" s="67" t="s">
        <v>1155</v>
      </c>
      <c r="C271" s="67" t="s">
        <v>1842</v>
      </c>
      <c r="D271" s="67" t="s">
        <v>2191</v>
      </c>
      <c r="E271" s="69" t="s">
        <v>2192</v>
      </c>
      <c r="F271" s="67" t="s">
        <v>2191</v>
      </c>
      <c r="G271" s="72">
        <v>0</v>
      </c>
      <c r="H271" s="74"/>
      <c r="I271" s="76">
        <v>0.2</v>
      </c>
      <c r="J271" s="77"/>
      <c r="K271" s="67" t="s">
        <v>61</v>
      </c>
      <c r="L271" s="67"/>
      <c r="M271" s="79" t="str">
        <f>HYPERLINK("http://www.pristavka.com/catalog/Artplays/ARTM280/")</f>
        <v>http://www.pristavka.com/catalog/Artplays/ARTM280/</v>
      </c>
      <c r="N271" s="72"/>
      <c r="O271" s="67" t="s">
        <v>27</v>
      </c>
      <c r="P271" s="83" t="s">
        <v>2193</v>
      </c>
      <c r="Q271" s="85" t="s">
        <v>1091</v>
      </c>
      <c r="R271" s="85" t="s">
        <v>1068</v>
      </c>
      <c r="S271" s="85">
        <v>0.115</v>
      </c>
      <c r="T271" s="83" t="s">
        <v>2117</v>
      </c>
      <c r="U271" s="85" t="s">
        <v>177</v>
      </c>
      <c r="V271" s="55"/>
    </row>
    <row r="272" spans="1:22" s="45" customFormat="1" ht="45" customHeight="1" x14ac:dyDescent="0.2">
      <c r="A272" s="67" t="s">
        <v>1842</v>
      </c>
      <c r="B272" s="67" t="s">
        <v>1155</v>
      </c>
      <c r="C272" s="67" t="s">
        <v>1842</v>
      </c>
      <c r="D272" s="67" t="s">
        <v>2194</v>
      </c>
      <c r="E272" s="69" t="s">
        <v>2195</v>
      </c>
      <c r="F272" s="67" t="s">
        <v>2194</v>
      </c>
      <c r="G272" s="72">
        <v>0</v>
      </c>
      <c r="H272" s="74"/>
      <c r="I272" s="76">
        <v>0.2</v>
      </c>
      <c r="J272" s="77"/>
      <c r="K272" s="67" t="s">
        <v>61</v>
      </c>
      <c r="L272" s="67"/>
      <c r="M272" s="79" t="str">
        <f>HYPERLINK("http://www.pristavka.com/catalog/Artplays/ARTM282/")</f>
        <v>http://www.pristavka.com/catalog/Artplays/ARTM282/</v>
      </c>
      <c r="N272" s="72"/>
      <c r="O272" s="67" t="s">
        <v>27</v>
      </c>
      <c r="P272" s="83" t="s">
        <v>2196</v>
      </c>
      <c r="Q272" s="85" t="s">
        <v>1091</v>
      </c>
      <c r="R272" s="85" t="s">
        <v>1068</v>
      </c>
      <c r="S272" s="85">
        <v>0.112</v>
      </c>
      <c r="T272" s="83" t="s">
        <v>2117</v>
      </c>
      <c r="U272" s="85" t="s">
        <v>177</v>
      </c>
      <c r="V272" s="55"/>
    </row>
    <row r="273" spans="1:22" s="11" customFormat="1" ht="45" customHeight="1" x14ac:dyDescent="0.2">
      <c r="A273" s="66" t="s">
        <v>1842</v>
      </c>
      <c r="B273" s="66" t="s">
        <v>1155</v>
      </c>
      <c r="C273" s="66" t="s">
        <v>1842</v>
      </c>
      <c r="D273" s="66" t="s">
        <v>2197</v>
      </c>
      <c r="E273" s="68" t="s">
        <v>2198</v>
      </c>
      <c r="F273" s="66" t="s">
        <v>2197</v>
      </c>
      <c r="G273" s="71">
        <v>338</v>
      </c>
      <c r="H273" s="73"/>
      <c r="I273" s="75">
        <v>0.2</v>
      </c>
      <c r="J273" s="77"/>
      <c r="K273" s="66"/>
      <c r="L273" s="66"/>
      <c r="M273" s="79" t="str">
        <f>HYPERLINK("http://www.pristavka.com/catalog/Artplays/ARTM192/")</f>
        <v>http://www.pristavka.com/catalog/Artplays/ARTM192/</v>
      </c>
      <c r="N273" s="71">
        <v>599</v>
      </c>
      <c r="O273" s="66" t="s">
        <v>27</v>
      </c>
      <c r="P273" s="82" t="s">
        <v>2199</v>
      </c>
      <c r="Q273" s="84" t="s">
        <v>1091</v>
      </c>
      <c r="R273" s="84" t="s">
        <v>1068</v>
      </c>
      <c r="S273" s="84">
        <v>0.109</v>
      </c>
      <c r="T273" s="82" t="s">
        <v>2107</v>
      </c>
      <c r="U273" s="84" t="s">
        <v>177</v>
      </c>
      <c r="V273" s="54"/>
    </row>
    <row r="274" spans="1:22" s="11" customFormat="1" ht="45" customHeight="1" x14ac:dyDescent="0.2">
      <c r="A274" s="66" t="s">
        <v>1842</v>
      </c>
      <c r="B274" s="66" t="s">
        <v>1155</v>
      </c>
      <c r="C274" s="66" t="s">
        <v>1842</v>
      </c>
      <c r="D274" s="66" t="s">
        <v>2200</v>
      </c>
      <c r="E274" s="68" t="s">
        <v>2201</v>
      </c>
      <c r="F274" s="66" t="s">
        <v>2200</v>
      </c>
      <c r="G274" s="71">
        <v>338</v>
      </c>
      <c r="H274" s="73"/>
      <c r="I274" s="75">
        <v>0.2</v>
      </c>
      <c r="J274" s="77"/>
      <c r="K274" s="66"/>
      <c r="L274" s="66"/>
      <c r="M274" s="79" t="str">
        <f>HYPERLINK("http://www.pristavka.com/catalog/Artplays/ARTM193/")</f>
        <v>http://www.pristavka.com/catalog/Artplays/ARTM193/</v>
      </c>
      <c r="N274" s="71">
        <v>599</v>
      </c>
      <c r="O274" s="66" t="s">
        <v>27</v>
      </c>
      <c r="P274" s="82" t="s">
        <v>2202</v>
      </c>
      <c r="Q274" s="84" t="s">
        <v>1091</v>
      </c>
      <c r="R274" s="84" t="s">
        <v>1068</v>
      </c>
      <c r="S274" s="84">
        <v>0.107</v>
      </c>
      <c r="T274" s="82" t="s">
        <v>2107</v>
      </c>
      <c r="U274" s="84" t="s">
        <v>177</v>
      </c>
      <c r="V274" s="54"/>
    </row>
    <row r="275" spans="1:22" s="11" customFormat="1" ht="45" customHeight="1" x14ac:dyDescent="0.2">
      <c r="A275" s="66" t="s">
        <v>1842</v>
      </c>
      <c r="B275" s="66" t="s">
        <v>1155</v>
      </c>
      <c r="C275" s="66" t="s">
        <v>1842</v>
      </c>
      <c r="D275" s="66" t="s">
        <v>2203</v>
      </c>
      <c r="E275" s="68" t="s">
        <v>2204</v>
      </c>
      <c r="F275" s="66" t="s">
        <v>2203</v>
      </c>
      <c r="G275" s="71">
        <v>338</v>
      </c>
      <c r="H275" s="73"/>
      <c r="I275" s="75">
        <v>0.2</v>
      </c>
      <c r="J275" s="77"/>
      <c r="K275" s="66"/>
      <c r="L275" s="66"/>
      <c r="M275" s="79" t="str">
        <f>HYPERLINK("http://www.pristavka.com/catalog/Artplays/ARTM191/")</f>
        <v>http://www.pristavka.com/catalog/Artplays/ARTM191/</v>
      </c>
      <c r="N275" s="71">
        <v>599</v>
      </c>
      <c r="O275" s="66" t="s">
        <v>27</v>
      </c>
      <c r="P275" s="82" t="s">
        <v>2205</v>
      </c>
      <c r="Q275" s="84" t="s">
        <v>1091</v>
      </c>
      <c r="R275" s="84" t="s">
        <v>1068</v>
      </c>
      <c r="S275" s="84">
        <v>0.123</v>
      </c>
      <c r="T275" s="82" t="s">
        <v>2124</v>
      </c>
      <c r="U275" s="84" t="s">
        <v>177</v>
      </c>
      <c r="V275" s="54"/>
    </row>
    <row r="276" spans="1:22" s="11" customFormat="1" ht="45" customHeight="1" x14ac:dyDescent="0.2">
      <c r="A276" s="66" t="s">
        <v>1842</v>
      </c>
      <c r="B276" s="66" t="s">
        <v>1155</v>
      </c>
      <c r="C276" s="66" t="s">
        <v>1842</v>
      </c>
      <c r="D276" s="66" t="s">
        <v>2206</v>
      </c>
      <c r="E276" s="68" t="s">
        <v>2207</v>
      </c>
      <c r="F276" s="66" t="s">
        <v>2206</v>
      </c>
      <c r="G276" s="71">
        <v>338</v>
      </c>
      <c r="H276" s="73"/>
      <c r="I276" s="75">
        <v>0.2</v>
      </c>
      <c r="J276" s="77"/>
      <c r="K276" s="66"/>
      <c r="L276" s="66"/>
      <c r="M276" s="79" t="str">
        <f>HYPERLINK("http://www.pristavka.com/catalog/Artplays/ARTM301/")</f>
        <v>http://www.pristavka.com/catalog/Artplays/ARTM301/</v>
      </c>
      <c r="N276" s="71">
        <v>599</v>
      </c>
      <c r="O276" s="66" t="s">
        <v>27</v>
      </c>
      <c r="P276" s="82" t="s">
        <v>2208</v>
      </c>
      <c r="Q276" s="84" t="s">
        <v>1091</v>
      </c>
      <c r="R276" s="84" t="s">
        <v>1068</v>
      </c>
      <c r="S276" s="84">
        <v>0.11</v>
      </c>
      <c r="T276" s="82" t="s">
        <v>2107</v>
      </c>
      <c r="U276" s="84" t="s">
        <v>177</v>
      </c>
      <c r="V276" s="54"/>
    </row>
    <row r="277" spans="1:22" s="11" customFormat="1" ht="45" customHeight="1" x14ac:dyDescent="0.2">
      <c r="A277" s="66" t="s">
        <v>1842</v>
      </c>
      <c r="B277" s="66" t="s">
        <v>1155</v>
      </c>
      <c r="C277" s="66" t="s">
        <v>1842</v>
      </c>
      <c r="D277" s="66" t="s">
        <v>2209</v>
      </c>
      <c r="E277" s="68" t="s">
        <v>2210</v>
      </c>
      <c r="F277" s="66" t="s">
        <v>2209</v>
      </c>
      <c r="G277" s="71">
        <v>338</v>
      </c>
      <c r="H277" s="73"/>
      <c r="I277" s="75">
        <v>0.2</v>
      </c>
      <c r="J277" s="77"/>
      <c r="K277" s="66"/>
      <c r="L277" s="66"/>
      <c r="M277" s="79" t="str">
        <f>HYPERLINK("http://www.pristavka.com/catalog/Artplays/ARTM302/")</f>
        <v>http://www.pristavka.com/catalog/Artplays/ARTM302/</v>
      </c>
      <c r="N277" s="71">
        <v>599</v>
      </c>
      <c r="O277" s="66" t="s">
        <v>27</v>
      </c>
      <c r="P277" s="82" t="s">
        <v>2211</v>
      </c>
      <c r="Q277" s="84" t="s">
        <v>1091</v>
      </c>
      <c r="R277" s="84" t="s">
        <v>1068</v>
      </c>
      <c r="S277" s="84">
        <v>0.11</v>
      </c>
      <c r="T277" s="82" t="s">
        <v>2107</v>
      </c>
      <c r="U277" s="84" t="s">
        <v>177</v>
      </c>
      <c r="V277" s="54"/>
    </row>
    <row r="278" spans="1:22" s="11" customFormat="1" ht="45" customHeight="1" x14ac:dyDescent="0.2">
      <c r="A278" s="66" t="s">
        <v>1842</v>
      </c>
      <c r="B278" s="66" t="s">
        <v>1155</v>
      </c>
      <c r="C278" s="66" t="s">
        <v>1842</v>
      </c>
      <c r="D278" s="66" t="s">
        <v>2212</v>
      </c>
      <c r="E278" s="68" t="s">
        <v>2213</v>
      </c>
      <c r="F278" s="66" t="s">
        <v>2212</v>
      </c>
      <c r="G278" s="71">
        <v>338</v>
      </c>
      <c r="H278" s="73"/>
      <c r="I278" s="75">
        <v>0.2</v>
      </c>
      <c r="J278" s="77"/>
      <c r="K278" s="66"/>
      <c r="L278" s="66"/>
      <c r="M278" s="79" t="str">
        <f>HYPERLINK("http://www.pristavka.com/catalog/Artplays/ARTM191/")</f>
        <v>http://www.pristavka.com/catalog/Artplays/ARTM191/</v>
      </c>
      <c r="N278" s="71">
        <v>599</v>
      </c>
      <c r="O278" s="66" t="s">
        <v>27</v>
      </c>
      <c r="P278" s="82" t="s">
        <v>2214</v>
      </c>
      <c r="Q278" s="84" t="s">
        <v>1091</v>
      </c>
      <c r="R278" s="84" t="s">
        <v>1068</v>
      </c>
      <c r="S278" s="84">
        <v>0.11</v>
      </c>
      <c r="T278" s="82" t="s">
        <v>2107</v>
      </c>
      <c r="U278" s="84" t="s">
        <v>177</v>
      </c>
      <c r="V278" s="54"/>
    </row>
    <row r="279" spans="1:22" s="11" customFormat="1" ht="45" customHeight="1" x14ac:dyDescent="0.2">
      <c r="A279" s="66" t="s">
        <v>1842</v>
      </c>
      <c r="B279" s="66" t="s">
        <v>1155</v>
      </c>
      <c r="C279" s="66" t="s">
        <v>1842</v>
      </c>
      <c r="D279" s="66" t="s">
        <v>2215</v>
      </c>
      <c r="E279" s="68" t="s">
        <v>2216</v>
      </c>
      <c r="F279" s="66" t="s">
        <v>2215</v>
      </c>
      <c r="G279" s="71">
        <v>681</v>
      </c>
      <c r="H279" s="73"/>
      <c r="I279" s="75">
        <v>0.2</v>
      </c>
      <c r="J279" s="77"/>
      <c r="K279" s="66"/>
      <c r="L279" s="66"/>
      <c r="M279" s="79" t="str">
        <f>HYPERLINK("http://www.pristavka.com/catalog/Artplays/ARTM300/")</f>
        <v>http://www.pristavka.com/catalog/Artplays/ARTM300/</v>
      </c>
      <c r="N279" s="71">
        <v>1099</v>
      </c>
      <c r="O279" s="66" t="s">
        <v>27</v>
      </c>
      <c r="P279" s="82" t="s">
        <v>2217</v>
      </c>
      <c r="Q279" s="84" t="s">
        <v>1091</v>
      </c>
      <c r="R279" s="84" t="s">
        <v>1068</v>
      </c>
      <c r="S279" s="84">
        <v>0.13</v>
      </c>
      <c r="T279" s="82" t="s">
        <v>2107</v>
      </c>
      <c r="U279" s="84" t="s">
        <v>177</v>
      </c>
      <c r="V279" s="54"/>
    </row>
    <row r="280" spans="1:22" s="11" customFormat="1" ht="45" customHeight="1" x14ac:dyDescent="0.2">
      <c r="A280" s="66" t="s">
        <v>1842</v>
      </c>
      <c r="B280" s="66" t="s">
        <v>1155</v>
      </c>
      <c r="C280" s="66" t="s">
        <v>1842</v>
      </c>
      <c r="D280" s="66" t="s">
        <v>2218</v>
      </c>
      <c r="E280" s="68" t="s">
        <v>2219</v>
      </c>
      <c r="F280" s="66" t="s">
        <v>2218</v>
      </c>
      <c r="G280" s="71">
        <v>264</v>
      </c>
      <c r="H280" s="73"/>
      <c r="I280" s="75">
        <v>0.2</v>
      </c>
      <c r="J280" s="77"/>
      <c r="K280" s="66"/>
      <c r="L280" s="66"/>
      <c r="M280" s="79" t="str">
        <f>HYPERLINK("http://www.pristavka.com/catalog/Artplays/ARTM154/")</f>
        <v>http://www.pristavka.com/catalog/Artplays/ARTM154/</v>
      </c>
      <c r="N280" s="71">
        <v>599</v>
      </c>
      <c r="O280" s="66" t="s">
        <v>27</v>
      </c>
      <c r="P280" s="82" t="s">
        <v>2220</v>
      </c>
      <c r="Q280" s="84" t="s">
        <v>1522</v>
      </c>
      <c r="R280" s="84" t="s">
        <v>1068</v>
      </c>
      <c r="S280" s="84">
        <v>3.4000000000000002E-2</v>
      </c>
      <c r="T280" s="82" t="s">
        <v>2221</v>
      </c>
      <c r="U280" s="84" t="s">
        <v>177</v>
      </c>
      <c r="V280" s="54"/>
    </row>
    <row r="281" spans="1:22" s="11" customFormat="1" ht="45" customHeight="1" x14ac:dyDescent="0.2">
      <c r="A281" s="66" t="s">
        <v>2222</v>
      </c>
      <c r="B281" s="66" t="s">
        <v>2223</v>
      </c>
      <c r="C281" s="66" t="s">
        <v>2222</v>
      </c>
      <c r="D281" s="66">
        <v>4983164183702</v>
      </c>
      <c r="E281" s="68" t="s">
        <v>2224</v>
      </c>
      <c r="F281" s="66" t="s">
        <v>2225</v>
      </c>
      <c r="G281" s="71">
        <v>8552</v>
      </c>
      <c r="H281" s="73"/>
      <c r="I281" s="75">
        <v>0.2</v>
      </c>
      <c r="J281" s="77"/>
      <c r="K281" s="66"/>
      <c r="L281" s="66"/>
      <c r="M281" s="79" t="str">
        <f>HYPERLINK("http://www.pristavka.com/catalog/banpresto_series/BNS976/")</f>
        <v>http://www.pristavka.com/catalog/banpresto_series/BNS976/</v>
      </c>
      <c r="N281" s="71">
        <v>13199</v>
      </c>
      <c r="O281" s="66" t="s">
        <v>27</v>
      </c>
      <c r="P281" s="82" t="s">
        <v>2226</v>
      </c>
      <c r="Q281" s="84" t="s">
        <v>1117</v>
      </c>
      <c r="R281" s="84" t="s">
        <v>1068</v>
      </c>
      <c r="S281" s="84">
        <v>0.155</v>
      </c>
      <c r="T281" s="82" t="s">
        <v>2227</v>
      </c>
      <c r="U281" s="84"/>
      <c r="V281" s="54"/>
    </row>
    <row r="282" spans="1:22" s="11" customFormat="1" ht="45" customHeight="1" x14ac:dyDescent="0.2">
      <c r="A282" s="66" t="s">
        <v>2222</v>
      </c>
      <c r="B282" s="66" t="s">
        <v>2223</v>
      </c>
      <c r="C282" s="66" t="s">
        <v>2222</v>
      </c>
      <c r="D282" s="66">
        <v>4983164184464</v>
      </c>
      <c r="E282" s="68" t="s">
        <v>2228</v>
      </c>
      <c r="F282" s="66" t="s">
        <v>2229</v>
      </c>
      <c r="G282" s="71">
        <v>8552</v>
      </c>
      <c r="H282" s="73"/>
      <c r="I282" s="75">
        <v>0.2</v>
      </c>
      <c r="J282" s="77"/>
      <c r="K282" s="66"/>
      <c r="L282" s="66"/>
      <c r="M282" s="79" t="str">
        <f>HYPERLINK("http://www.pristavka.com/catalog/banpresto_series/BNS970/")</f>
        <v>http://www.pristavka.com/catalog/banpresto_series/BNS970/</v>
      </c>
      <c r="N282" s="71">
        <v>13199</v>
      </c>
      <c r="O282" s="66" t="s">
        <v>27</v>
      </c>
      <c r="P282" s="82" t="s">
        <v>2230</v>
      </c>
      <c r="Q282" s="84" t="s">
        <v>1117</v>
      </c>
      <c r="R282" s="84" t="s">
        <v>1068</v>
      </c>
      <c r="S282" s="84">
        <v>0.14499999999999999</v>
      </c>
      <c r="T282" s="82" t="s">
        <v>2231</v>
      </c>
      <c r="U282" s="84"/>
      <c r="V282" s="54"/>
    </row>
    <row r="283" spans="1:22" s="11" customFormat="1" ht="45" customHeight="1" x14ac:dyDescent="0.2">
      <c r="A283" s="66" t="s">
        <v>2222</v>
      </c>
      <c r="B283" s="66" t="s">
        <v>2223</v>
      </c>
      <c r="C283" s="66" t="s">
        <v>2232</v>
      </c>
      <c r="D283" s="66">
        <v>4983164173543</v>
      </c>
      <c r="E283" s="68" t="s">
        <v>2233</v>
      </c>
      <c r="F283" s="66" t="s">
        <v>2234</v>
      </c>
      <c r="G283" s="71">
        <v>3164</v>
      </c>
      <c r="H283" s="73"/>
      <c r="I283" s="75">
        <v>0.2</v>
      </c>
      <c r="J283" s="77"/>
      <c r="K283" s="66"/>
      <c r="L283" s="66"/>
      <c r="M283" s="79" t="str">
        <f>HYPERLINK("http://www.pristavka.com/catalog/banpresto_series/BNS699/")</f>
        <v>http://www.pristavka.com/catalog/banpresto_series/BNS699/</v>
      </c>
      <c r="N283" s="71">
        <v>5299</v>
      </c>
      <c r="O283" s="66" t="s">
        <v>27</v>
      </c>
      <c r="P283" s="82" t="s">
        <v>2235</v>
      </c>
      <c r="Q283" s="84" t="s">
        <v>1545</v>
      </c>
      <c r="R283" s="84" t="s">
        <v>1068</v>
      </c>
      <c r="S283" s="84">
        <v>5.8000000000000003E-2</v>
      </c>
      <c r="T283" s="82" t="s">
        <v>2236</v>
      </c>
      <c r="U283" s="84"/>
      <c r="V283" s="54"/>
    </row>
    <row r="284" spans="1:22" s="11" customFormat="1" ht="45" customHeight="1" x14ac:dyDescent="0.2">
      <c r="A284" s="66" t="s">
        <v>2222</v>
      </c>
      <c r="B284" s="66" t="s">
        <v>2223</v>
      </c>
      <c r="C284" s="66" t="s">
        <v>2232</v>
      </c>
      <c r="D284" s="66">
        <v>4983164178852</v>
      </c>
      <c r="E284" s="68" t="s">
        <v>2237</v>
      </c>
      <c r="F284" s="66" t="s">
        <v>2238</v>
      </c>
      <c r="G284" s="71">
        <v>4722</v>
      </c>
      <c r="H284" s="73"/>
      <c r="I284" s="75">
        <v>0.2</v>
      </c>
      <c r="J284" s="77"/>
      <c r="K284" s="66"/>
      <c r="L284" s="66"/>
      <c r="M284" s="79" t="str">
        <f>HYPERLINK("http://www.pristavka.com/catalog/banpresto_series/BNS684/")</f>
        <v>http://www.pristavka.com/catalog/banpresto_series/BNS684/</v>
      </c>
      <c r="N284" s="71">
        <v>7899</v>
      </c>
      <c r="O284" s="66" t="s">
        <v>27</v>
      </c>
      <c r="P284" s="82" t="s">
        <v>2239</v>
      </c>
      <c r="Q284" s="84" t="s">
        <v>1522</v>
      </c>
      <c r="R284" s="84" t="s">
        <v>1068</v>
      </c>
      <c r="S284" s="84">
        <v>0.36199999999999999</v>
      </c>
      <c r="T284" s="82" t="s">
        <v>2240</v>
      </c>
      <c r="U284" s="84"/>
      <c r="V284" s="54"/>
    </row>
    <row r="285" spans="1:22" s="11" customFormat="1" ht="45" customHeight="1" x14ac:dyDescent="0.2">
      <c r="A285" s="66" t="s">
        <v>2222</v>
      </c>
      <c r="B285" s="66" t="s">
        <v>2223</v>
      </c>
      <c r="C285" s="66" t="s">
        <v>2232</v>
      </c>
      <c r="D285" s="66">
        <v>4983164286311</v>
      </c>
      <c r="E285" s="68" t="s">
        <v>2241</v>
      </c>
      <c r="F285" s="66" t="s">
        <v>2242</v>
      </c>
      <c r="G285" s="71">
        <v>13702</v>
      </c>
      <c r="H285" s="73"/>
      <c r="I285" s="75">
        <v>0.2</v>
      </c>
      <c r="J285" s="77"/>
      <c r="K285" s="66"/>
      <c r="L285" s="66"/>
      <c r="M285" s="79" t="str">
        <f>HYPERLINK("http://www.pristavka.com/catalog/banpresto_series/BNS340/BNS1117/")</f>
        <v>http://www.pristavka.com/catalog/banpresto_series/BNS340/BNS1117/</v>
      </c>
      <c r="N285" s="71">
        <v>21099</v>
      </c>
      <c r="O285" s="66" t="s">
        <v>27</v>
      </c>
      <c r="P285" s="82" t="s">
        <v>2243</v>
      </c>
      <c r="Q285" s="84" t="s">
        <v>2244</v>
      </c>
      <c r="R285" s="84" t="s">
        <v>1068</v>
      </c>
      <c r="S285" s="84">
        <v>0.61</v>
      </c>
      <c r="T285" s="82" t="s">
        <v>2245</v>
      </c>
      <c r="U285" s="84"/>
      <c r="V285" s="54"/>
    </row>
    <row r="286" spans="1:22" s="11" customFormat="1" ht="45" customHeight="1" x14ac:dyDescent="0.2">
      <c r="A286" s="66" t="s">
        <v>2222</v>
      </c>
      <c r="B286" s="66" t="s">
        <v>2223</v>
      </c>
      <c r="C286" s="66" t="s">
        <v>2232</v>
      </c>
      <c r="D286" s="66">
        <v>4983164899955</v>
      </c>
      <c r="E286" s="68" t="s">
        <v>2246</v>
      </c>
      <c r="F286" s="66" t="s">
        <v>2247</v>
      </c>
      <c r="G286" s="71">
        <v>12672</v>
      </c>
      <c r="H286" s="73"/>
      <c r="I286" s="75">
        <v>0.2</v>
      </c>
      <c r="J286" s="77"/>
      <c r="K286" s="66"/>
      <c r="L286" s="66"/>
      <c r="M286" s="79" t="str">
        <f>HYPERLINK("http://www.pristavka.com/catalog/banpresto_series/BNS340/BNS1081/")</f>
        <v>http://www.pristavka.com/catalog/banpresto_series/BNS340/BNS1081/</v>
      </c>
      <c r="N286" s="71">
        <v>19499</v>
      </c>
      <c r="O286" s="66" t="s">
        <v>27</v>
      </c>
      <c r="P286" s="82" t="s">
        <v>2248</v>
      </c>
      <c r="Q286" s="84" t="s">
        <v>1068</v>
      </c>
      <c r="R286" s="84" t="s">
        <v>1068</v>
      </c>
      <c r="S286" s="84">
        <v>0.17799999999999999</v>
      </c>
      <c r="T286" s="82" t="s">
        <v>2249</v>
      </c>
      <c r="U286" s="84"/>
      <c r="V286" s="54"/>
    </row>
    <row r="287" spans="1:22" s="11" customFormat="1" ht="45" customHeight="1" x14ac:dyDescent="0.2">
      <c r="A287" s="66" t="s">
        <v>2222</v>
      </c>
      <c r="B287" s="66" t="s">
        <v>1707</v>
      </c>
      <c r="C287" s="66" t="s">
        <v>2222</v>
      </c>
      <c r="D287" s="66" t="s">
        <v>2250</v>
      </c>
      <c r="E287" s="68" t="s">
        <v>2251</v>
      </c>
      <c r="F287" s="66" t="s">
        <v>2252</v>
      </c>
      <c r="G287" s="71">
        <v>17822</v>
      </c>
      <c r="H287" s="73"/>
      <c r="I287" s="75">
        <v>0.2</v>
      </c>
      <c r="J287" s="77"/>
      <c r="K287" s="66"/>
      <c r="L287" s="66"/>
      <c r="M287" s="79" t="str">
        <f>HYPERLINK("http://www.pristavka.com/catalog/banpresto_series/BNS828/")</f>
        <v>http://www.pristavka.com/catalog/banpresto_series/BNS828/</v>
      </c>
      <c r="N287" s="71">
        <v>27499</v>
      </c>
      <c r="O287" s="66" t="s">
        <v>27</v>
      </c>
      <c r="P287" s="82" t="s">
        <v>2253</v>
      </c>
      <c r="Q287" s="84" t="s">
        <v>1068</v>
      </c>
      <c r="R287" s="84" t="s">
        <v>1068</v>
      </c>
      <c r="S287" s="84">
        <v>0.27</v>
      </c>
      <c r="T287" s="82" t="s">
        <v>2254</v>
      </c>
      <c r="U287" s="84" t="s">
        <v>2255</v>
      </c>
      <c r="V287" s="54"/>
    </row>
    <row r="288" spans="1:22" s="11" customFormat="1" ht="45" customHeight="1" x14ac:dyDescent="0.2">
      <c r="A288" s="66" t="s">
        <v>2222</v>
      </c>
      <c r="B288" s="66" t="s">
        <v>1707</v>
      </c>
      <c r="C288" s="66" t="s">
        <v>2222</v>
      </c>
      <c r="D288" s="66">
        <v>4983164885552</v>
      </c>
      <c r="E288" s="68" t="s">
        <v>2256</v>
      </c>
      <c r="F288" s="66" t="s">
        <v>2257</v>
      </c>
      <c r="G288" s="71">
        <v>17135</v>
      </c>
      <c r="H288" s="73"/>
      <c r="I288" s="75">
        <v>0.2</v>
      </c>
      <c r="J288" s="77"/>
      <c r="K288" s="66"/>
      <c r="L288" s="66"/>
      <c r="M288" s="79" t="str">
        <f>HYPERLINK("http://www.pristavka.com/catalog/banpresto_series/BNS920/")</f>
        <v>http://www.pristavka.com/catalog/banpresto_series/BNS920/</v>
      </c>
      <c r="N288" s="71">
        <v>26399</v>
      </c>
      <c r="O288" s="66" t="s">
        <v>27</v>
      </c>
      <c r="P288" s="82" t="s">
        <v>2258</v>
      </c>
      <c r="Q288" s="84" t="s">
        <v>1068</v>
      </c>
      <c r="R288" s="84" t="s">
        <v>1068</v>
      </c>
      <c r="S288" s="84">
        <v>0.158</v>
      </c>
      <c r="T288" s="82" t="s">
        <v>2259</v>
      </c>
      <c r="U288" s="84"/>
      <c r="V288" s="54"/>
    </row>
    <row r="289" spans="1:22" s="11" customFormat="1" ht="45" customHeight="1" x14ac:dyDescent="0.2">
      <c r="A289" s="66" t="s">
        <v>2222</v>
      </c>
      <c r="B289" s="66" t="s">
        <v>1707</v>
      </c>
      <c r="C289" s="66" t="s">
        <v>2222</v>
      </c>
      <c r="D289" s="66">
        <v>4983164890464</v>
      </c>
      <c r="E289" s="68" t="s">
        <v>2260</v>
      </c>
      <c r="F289" s="66" t="s">
        <v>2261</v>
      </c>
      <c r="G289" s="71">
        <v>19882</v>
      </c>
      <c r="H289" s="73"/>
      <c r="I289" s="75">
        <v>0.2</v>
      </c>
      <c r="J289" s="77"/>
      <c r="K289" s="66"/>
      <c r="L289" s="66"/>
      <c r="M289" s="79" t="str">
        <f>HYPERLINK("http://www.pristavka.com/catalog/banpresto_series/BNS994/")</f>
        <v>http://www.pristavka.com/catalog/banpresto_series/BNS994/</v>
      </c>
      <c r="N289" s="71">
        <v>30599</v>
      </c>
      <c r="O289" s="66" t="s">
        <v>28</v>
      </c>
      <c r="P289" s="82" t="s">
        <v>2262</v>
      </c>
      <c r="Q289" s="84" t="s">
        <v>1068</v>
      </c>
      <c r="R289" s="84" t="s">
        <v>1068</v>
      </c>
      <c r="S289" s="84">
        <v>0.254</v>
      </c>
      <c r="T289" s="82" t="s">
        <v>2263</v>
      </c>
      <c r="U289" s="84"/>
      <c r="V289" s="54"/>
    </row>
    <row r="290" spans="1:22" s="11" customFormat="1" ht="45" customHeight="1" x14ac:dyDescent="0.2">
      <c r="A290" s="66" t="s">
        <v>2222</v>
      </c>
      <c r="B290" s="66" t="s">
        <v>1707</v>
      </c>
      <c r="C290" s="66" t="s">
        <v>2232</v>
      </c>
      <c r="D290" s="66" t="s">
        <v>2264</v>
      </c>
      <c r="E290" s="68" t="s">
        <v>2265</v>
      </c>
      <c r="F290" s="66" t="s">
        <v>2266</v>
      </c>
      <c r="G290" s="71">
        <v>12339</v>
      </c>
      <c r="H290" s="73"/>
      <c r="I290" s="75">
        <v>0.2</v>
      </c>
      <c r="J290" s="77"/>
      <c r="K290" s="66"/>
      <c r="L290" s="66"/>
      <c r="M290" s="79" t="str">
        <f>HYPERLINK("http://www.pristavka.com/catalog/banpresto_series/BNS241/")</f>
        <v>http://www.pristavka.com/catalog/banpresto_series/BNS241/</v>
      </c>
      <c r="N290" s="71">
        <v>18999</v>
      </c>
      <c r="O290" s="66" t="s">
        <v>28</v>
      </c>
      <c r="P290" s="82" t="s">
        <v>2267</v>
      </c>
      <c r="Q290" s="84" t="s">
        <v>1334</v>
      </c>
      <c r="R290" s="84" t="s">
        <v>1068</v>
      </c>
      <c r="S290" s="84">
        <v>0.30199999999999999</v>
      </c>
      <c r="T290" s="82" t="s">
        <v>2268</v>
      </c>
      <c r="U290" s="84" t="s">
        <v>2255</v>
      </c>
      <c r="V290" s="54"/>
    </row>
    <row r="291" spans="1:22" s="11" customFormat="1" ht="45" customHeight="1" x14ac:dyDescent="0.2">
      <c r="A291" s="66" t="s">
        <v>2222</v>
      </c>
      <c r="B291" s="66" t="s">
        <v>1707</v>
      </c>
      <c r="C291" s="66" t="s">
        <v>2222</v>
      </c>
      <c r="D291" s="66">
        <v>4983164890709</v>
      </c>
      <c r="E291" s="68" t="s">
        <v>2269</v>
      </c>
      <c r="F291" s="66" t="s">
        <v>2270</v>
      </c>
      <c r="G291" s="71">
        <v>19539</v>
      </c>
      <c r="H291" s="73"/>
      <c r="I291" s="75">
        <v>0.2</v>
      </c>
      <c r="J291" s="77"/>
      <c r="K291" s="66"/>
      <c r="L291" s="66"/>
      <c r="M291" s="79" t="str">
        <f>HYPERLINK("http://www.pristavka.com/catalog/banpresto_series/BNS998/")</f>
        <v>http://www.pristavka.com/catalog/banpresto_series/BNS998/</v>
      </c>
      <c r="N291" s="71">
        <v>30099</v>
      </c>
      <c r="O291" s="66" t="s">
        <v>27</v>
      </c>
      <c r="P291" s="82" t="s">
        <v>2271</v>
      </c>
      <c r="Q291" s="84" t="s">
        <v>1068</v>
      </c>
      <c r="R291" s="84" t="s">
        <v>1068</v>
      </c>
      <c r="S291" s="84">
        <v>0.3</v>
      </c>
      <c r="T291" s="82" t="s">
        <v>2272</v>
      </c>
      <c r="U291" s="84"/>
      <c r="V291" s="54"/>
    </row>
    <row r="292" spans="1:22" s="11" customFormat="1" ht="45" customHeight="1" x14ac:dyDescent="0.2">
      <c r="A292" s="66" t="s">
        <v>2222</v>
      </c>
      <c r="B292" s="66" t="s">
        <v>1707</v>
      </c>
      <c r="C292" s="66" t="s">
        <v>2222</v>
      </c>
      <c r="D292" s="66">
        <v>4983164190168</v>
      </c>
      <c r="E292" s="68" t="s">
        <v>2273</v>
      </c>
      <c r="F292" s="66" t="s">
        <v>2274</v>
      </c>
      <c r="G292" s="71">
        <v>17135</v>
      </c>
      <c r="H292" s="73"/>
      <c r="I292" s="75">
        <v>0.2</v>
      </c>
      <c r="J292" s="77"/>
      <c r="K292" s="66"/>
      <c r="L292" s="66"/>
      <c r="M292" s="79" t="str">
        <f>HYPERLINK("http://www.pristavka.com/catalog/banpresto_series/BNS583/")</f>
        <v>http://www.pristavka.com/catalog/banpresto_series/BNS583/</v>
      </c>
      <c r="N292" s="71">
        <v>26399</v>
      </c>
      <c r="O292" s="66" t="s">
        <v>28</v>
      </c>
      <c r="P292" s="82" t="s">
        <v>2275</v>
      </c>
      <c r="Q292" s="84" t="s">
        <v>1068</v>
      </c>
      <c r="R292" s="84" t="s">
        <v>1068</v>
      </c>
      <c r="S292" s="84">
        <v>0.17199999999999999</v>
      </c>
      <c r="T292" s="82" t="s">
        <v>2276</v>
      </c>
      <c r="U292" s="84"/>
      <c r="V292" s="54"/>
    </row>
    <row r="293" spans="1:22" s="11" customFormat="1" ht="45" customHeight="1" x14ac:dyDescent="0.2">
      <c r="A293" s="66" t="s">
        <v>2222</v>
      </c>
      <c r="B293" s="66" t="s">
        <v>1707</v>
      </c>
      <c r="C293" s="66" t="s">
        <v>2222</v>
      </c>
      <c r="D293" s="66">
        <v>4983164889697</v>
      </c>
      <c r="E293" s="68" t="s">
        <v>2277</v>
      </c>
      <c r="F293" s="66" t="s">
        <v>2278</v>
      </c>
      <c r="G293" s="71">
        <v>20569</v>
      </c>
      <c r="H293" s="73"/>
      <c r="I293" s="75">
        <v>0.2</v>
      </c>
      <c r="J293" s="77"/>
      <c r="K293" s="66"/>
      <c r="L293" s="66"/>
      <c r="M293" s="79" t="str">
        <f>HYPERLINK("http://www.pristavka.com/catalog/banpresto_series/BNS1001/")</f>
        <v>http://www.pristavka.com/catalog/banpresto_series/BNS1001/</v>
      </c>
      <c r="N293" s="71">
        <v>31699</v>
      </c>
      <c r="O293" s="66" t="s">
        <v>28</v>
      </c>
      <c r="P293" s="82" t="s">
        <v>2279</v>
      </c>
      <c r="Q293" s="84" t="s">
        <v>1522</v>
      </c>
      <c r="R293" s="84" t="s">
        <v>1068</v>
      </c>
      <c r="S293" s="84">
        <v>0.216</v>
      </c>
      <c r="T293" s="82" t="s">
        <v>2280</v>
      </c>
      <c r="U293" s="84"/>
      <c r="V293" s="54"/>
    </row>
    <row r="294" spans="1:22" s="11" customFormat="1" ht="45" customHeight="1" x14ac:dyDescent="0.2">
      <c r="A294" s="66" t="s">
        <v>2222</v>
      </c>
      <c r="B294" s="66" t="s">
        <v>1707</v>
      </c>
      <c r="C294" s="66" t="s">
        <v>2222</v>
      </c>
      <c r="D294" s="66">
        <v>4983164889703</v>
      </c>
      <c r="E294" s="68" t="s">
        <v>2281</v>
      </c>
      <c r="F294" s="66" t="s">
        <v>2282</v>
      </c>
      <c r="G294" s="71">
        <v>20569</v>
      </c>
      <c r="H294" s="73"/>
      <c r="I294" s="75">
        <v>0.2</v>
      </c>
      <c r="J294" s="77"/>
      <c r="K294" s="66"/>
      <c r="L294" s="66"/>
      <c r="M294" s="79" t="str">
        <f>HYPERLINK("http://www.pristavka.com/catalog/banpresto_series/BNS1002/")</f>
        <v>http://www.pristavka.com/catalog/banpresto_series/BNS1002/</v>
      </c>
      <c r="N294" s="71">
        <v>31699</v>
      </c>
      <c r="O294" s="66" t="s">
        <v>27</v>
      </c>
      <c r="P294" s="82" t="s">
        <v>2283</v>
      </c>
      <c r="Q294" s="84" t="s">
        <v>1522</v>
      </c>
      <c r="R294" s="84" t="s">
        <v>1068</v>
      </c>
      <c r="S294" s="84">
        <v>0.248</v>
      </c>
      <c r="T294" s="82" t="s">
        <v>2284</v>
      </c>
      <c r="U294" s="84"/>
      <c r="V294" s="54"/>
    </row>
    <row r="295" spans="1:22" s="11" customFormat="1" ht="45" customHeight="1" x14ac:dyDescent="0.2">
      <c r="A295" s="66" t="s">
        <v>2222</v>
      </c>
      <c r="B295" s="66" t="s">
        <v>1707</v>
      </c>
      <c r="C295" s="66" t="s">
        <v>2222</v>
      </c>
      <c r="D295" s="66" t="s">
        <v>2285</v>
      </c>
      <c r="E295" s="68" t="s">
        <v>2286</v>
      </c>
      <c r="F295" s="66" t="s">
        <v>2287</v>
      </c>
      <c r="G295" s="71">
        <v>19196</v>
      </c>
      <c r="H295" s="73"/>
      <c r="I295" s="75">
        <v>0.2</v>
      </c>
      <c r="J295" s="77"/>
      <c r="K295" s="66"/>
      <c r="L295" s="66"/>
      <c r="M295" s="79" t="str">
        <f>HYPERLINK("http://www.pristavka.com/catalog/banpresto_series/BNS834/")</f>
        <v>http://www.pristavka.com/catalog/banpresto_series/BNS834/</v>
      </c>
      <c r="N295" s="71">
        <v>29599</v>
      </c>
      <c r="O295" s="66" t="s">
        <v>27</v>
      </c>
      <c r="P295" s="82" t="s">
        <v>2288</v>
      </c>
      <c r="Q295" s="84" t="s">
        <v>1522</v>
      </c>
      <c r="R295" s="84" t="s">
        <v>1068</v>
      </c>
      <c r="S295" s="84">
        <v>0.39</v>
      </c>
      <c r="T295" s="82" t="s">
        <v>2289</v>
      </c>
      <c r="U295" s="84" t="s">
        <v>2255</v>
      </c>
      <c r="V295" s="54"/>
    </row>
    <row r="296" spans="1:22" s="11" customFormat="1" ht="45" customHeight="1" x14ac:dyDescent="0.2">
      <c r="A296" s="66" t="s">
        <v>2222</v>
      </c>
      <c r="B296" s="66" t="s">
        <v>1707</v>
      </c>
      <c r="C296" s="66" t="s">
        <v>2222</v>
      </c>
      <c r="D296" s="66">
        <v>4983164880496</v>
      </c>
      <c r="E296" s="68" t="s">
        <v>2290</v>
      </c>
      <c r="F296" s="66" t="s">
        <v>2291</v>
      </c>
      <c r="G296" s="71">
        <v>17135</v>
      </c>
      <c r="H296" s="73"/>
      <c r="I296" s="75">
        <v>0.2</v>
      </c>
      <c r="J296" s="77"/>
      <c r="K296" s="66"/>
      <c r="L296" s="66"/>
      <c r="M296" s="79" t="str">
        <f>HYPERLINK("http://www.pristavka.com/catalog/banpresto_series/BNS1004/")</f>
        <v>http://www.pristavka.com/catalog/banpresto_series/BNS1004/</v>
      </c>
      <c r="N296" s="71">
        <v>26399</v>
      </c>
      <c r="O296" s="66" t="s">
        <v>28</v>
      </c>
      <c r="P296" s="82" t="s">
        <v>2292</v>
      </c>
      <c r="Q296" s="84" t="s">
        <v>1522</v>
      </c>
      <c r="R296" s="84" t="s">
        <v>1068</v>
      </c>
      <c r="S296" s="84">
        <v>0.31900000000000001</v>
      </c>
      <c r="T296" s="82" t="s">
        <v>2293</v>
      </c>
      <c r="U296" s="84"/>
      <c r="V296" s="54"/>
    </row>
    <row r="297" spans="1:22" s="11" customFormat="1" ht="45" customHeight="1" x14ac:dyDescent="0.2">
      <c r="A297" s="66" t="s">
        <v>2222</v>
      </c>
      <c r="B297" s="66" t="s">
        <v>1707</v>
      </c>
      <c r="C297" s="66" t="s">
        <v>2222</v>
      </c>
      <c r="D297" s="66">
        <v>4983164881547</v>
      </c>
      <c r="E297" s="68" t="s">
        <v>2294</v>
      </c>
      <c r="F297" s="66" t="s">
        <v>2295</v>
      </c>
      <c r="G297" s="71">
        <v>17135</v>
      </c>
      <c r="H297" s="73"/>
      <c r="I297" s="75">
        <v>0.2</v>
      </c>
      <c r="J297" s="77"/>
      <c r="K297" s="66"/>
      <c r="L297" s="66"/>
      <c r="M297" s="79" t="str">
        <f>HYPERLINK("http://www.pristavka.com/catalog/banpresto_series/BNS1003/")</f>
        <v>http://www.pristavka.com/catalog/banpresto_series/BNS1003/</v>
      </c>
      <c r="N297" s="71">
        <v>26399</v>
      </c>
      <c r="O297" s="66" t="s">
        <v>28</v>
      </c>
      <c r="P297" s="82" t="s">
        <v>2296</v>
      </c>
      <c r="Q297" s="84" t="s">
        <v>1522</v>
      </c>
      <c r="R297" s="84" t="s">
        <v>1068</v>
      </c>
      <c r="S297" s="84">
        <v>0.19400000000000001</v>
      </c>
      <c r="T297" s="82" t="s">
        <v>2280</v>
      </c>
      <c r="U297" s="84"/>
      <c r="V297" s="54"/>
    </row>
    <row r="298" spans="1:22" s="11" customFormat="1" ht="45" customHeight="1" x14ac:dyDescent="0.2">
      <c r="A298" s="66" t="s">
        <v>2222</v>
      </c>
      <c r="B298" s="66" t="s">
        <v>1707</v>
      </c>
      <c r="C298" s="66" t="s">
        <v>2222</v>
      </c>
      <c r="D298" s="66">
        <v>4983164886733</v>
      </c>
      <c r="E298" s="68" t="s">
        <v>2297</v>
      </c>
      <c r="F298" s="66" t="s">
        <v>2298</v>
      </c>
      <c r="G298" s="71">
        <v>17822</v>
      </c>
      <c r="H298" s="73"/>
      <c r="I298" s="75">
        <v>0.2</v>
      </c>
      <c r="J298" s="77"/>
      <c r="K298" s="66"/>
      <c r="L298" s="66"/>
      <c r="M298" s="79" t="str">
        <f>HYPERLINK("http://www.pristavka.com/catalog/banpresto_series/BNS1005/")</f>
        <v>http://www.pristavka.com/catalog/banpresto_series/BNS1005/</v>
      </c>
      <c r="N298" s="71">
        <v>27499</v>
      </c>
      <c r="O298" s="66" t="s">
        <v>27</v>
      </c>
      <c r="P298" s="82" t="s">
        <v>2299</v>
      </c>
      <c r="Q298" s="84" t="s">
        <v>1522</v>
      </c>
      <c r="R298" s="84" t="s">
        <v>1068</v>
      </c>
      <c r="S298" s="84">
        <v>0.22600000000000001</v>
      </c>
      <c r="T298" s="82" t="s">
        <v>2280</v>
      </c>
      <c r="U298" s="84"/>
      <c r="V298" s="54"/>
    </row>
    <row r="299" spans="1:22" s="11" customFormat="1" ht="45" customHeight="1" x14ac:dyDescent="0.2">
      <c r="A299" s="66" t="s">
        <v>2222</v>
      </c>
      <c r="B299" s="66" t="s">
        <v>1707</v>
      </c>
      <c r="C299" s="66" t="s">
        <v>2222</v>
      </c>
      <c r="D299" s="66" t="s">
        <v>2300</v>
      </c>
      <c r="E299" s="68" t="s">
        <v>2301</v>
      </c>
      <c r="F299" s="66" t="s">
        <v>2302</v>
      </c>
      <c r="G299" s="71">
        <v>19882</v>
      </c>
      <c r="H299" s="73"/>
      <c r="I299" s="75">
        <v>0.2</v>
      </c>
      <c r="J299" s="77"/>
      <c r="K299" s="66"/>
      <c r="L299" s="66"/>
      <c r="M299" s="79" t="str">
        <f>HYPERLINK("http://www.pristavka.com/catalog/banpresto_series/BNS824/")</f>
        <v>http://www.pristavka.com/catalog/banpresto_series/BNS824/</v>
      </c>
      <c r="N299" s="71">
        <v>30599</v>
      </c>
      <c r="O299" s="66" t="s">
        <v>27</v>
      </c>
      <c r="P299" s="82" t="s">
        <v>2303</v>
      </c>
      <c r="Q299" s="84" t="s">
        <v>1522</v>
      </c>
      <c r="R299" s="84" t="s">
        <v>1068</v>
      </c>
      <c r="S299" s="84">
        <v>0.27500000000000002</v>
      </c>
      <c r="T299" s="82" t="s">
        <v>2254</v>
      </c>
      <c r="U299" s="84" t="s">
        <v>2255</v>
      </c>
      <c r="V299" s="54"/>
    </row>
    <row r="300" spans="1:22" s="11" customFormat="1" ht="45" customHeight="1" x14ac:dyDescent="0.2">
      <c r="A300" s="66" t="s">
        <v>2222</v>
      </c>
      <c r="B300" s="66" t="s">
        <v>1707</v>
      </c>
      <c r="C300" s="66" t="s">
        <v>2222</v>
      </c>
      <c r="D300" s="66" t="s">
        <v>2304</v>
      </c>
      <c r="E300" s="68" t="s">
        <v>2305</v>
      </c>
      <c r="F300" s="66" t="s">
        <v>2306</v>
      </c>
      <c r="G300" s="71">
        <v>17135</v>
      </c>
      <c r="H300" s="73"/>
      <c r="I300" s="75">
        <v>0.2</v>
      </c>
      <c r="J300" s="77"/>
      <c r="K300" s="66"/>
      <c r="L300" s="66"/>
      <c r="M300" s="79" t="str">
        <f>HYPERLINK("http://www.pristavka.com/catalog/banpresto_series/BNS850/")</f>
        <v>http://www.pristavka.com/catalog/banpresto_series/BNS850/</v>
      </c>
      <c r="N300" s="71">
        <v>26399</v>
      </c>
      <c r="O300" s="66" t="s">
        <v>28</v>
      </c>
      <c r="P300" s="82" t="s">
        <v>2307</v>
      </c>
      <c r="Q300" s="84" t="s">
        <v>1522</v>
      </c>
      <c r="R300" s="84" t="s">
        <v>1068</v>
      </c>
      <c r="S300" s="84">
        <v>0.184</v>
      </c>
      <c r="T300" s="82" t="s">
        <v>2284</v>
      </c>
      <c r="U300" s="84" t="s">
        <v>2255</v>
      </c>
      <c r="V300" s="54"/>
    </row>
    <row r="301" spans="1:22" s="11" customFormat="1" ht="45" customHeight="1" x14ac:dyDescent="0.2">
      <c r="A301" s="66" t="s">
        <v>2222</v>
      </c>
      <c r="B301" s="66" t="s">
        <v>1707</v>
      </c>
      <c r="C301" s="66" t="s">
        <v>2222</v>
      </c>
      <c r="D301" s="66" t="s">
        <v>2308</v>
      </c>
      <c r="E301" s="68" t="s">
        <v>2309</v>
      </c>
      <c r="F301" s="66" t="s">
        <v>2310</v>
      </c>
      <c r="G301" s="71">
        <v>19882</v>
      </c>
      <c r="H301" s="73"/>
      <c r="I301" s="75">
        <v>0.2</v>
      </c>
      <c r="J301" s="77"/>
      <c r="K301" s="66"/>
      <c r="L301" s="66"/>
      <c r="M301" s="79" t="str">
        <f>HYPERLINK("http://www.pristavka.com/catalog/banpresto_series/BNS853/")</f>
        <v>http://www.pristavka.com/catalog/banpresto_series/BNS853/</v>
      </c>
      <c r="N301" s="71">
        <v>30599</v>
      </c>
      <c r="O301" s="66" t="s">
        <v>28</v>
      </c>
      <c r="P301" s="82" t="s">
        <v>2311</v>
      </c>
      <c r="Q301" s="84" t="s">
        <v>1522</v>
      </c>
      <c r="R301" s="84" t="s">
        <v>1068</v>
      </c>
      <c r="S301" s="84">
        <v>0.23499999999999999</v>
      </c>
      <c r="T301" s="82" t="s">
        <v>2312</v>
      </c>
      <c r="U301" s="84" t="s">
        <v>2255</v>
      </c>
      <c r="V301" s="54"/>
    </row>
    <row r="302" spans="1:22" s="11" customFormat="1" ht="45" customHeight="1" x14ac:dyDescent="0.2">
      <c r="A302" s="66" t="s">
        <v>2222</v>
      </c>
      <c r="B302" s="66" t="s">
        <v>1707</v>
      </c>
      <c r="C302" s="66" t="s">
        <v>2222</v>
      </c>
      <c r="D302" s="66" t="s">
        <v>2313</v>
      </c>
      <c r="E302" s="68" t="s">
        <v>2314</v>
      </c>
      <c r="F302" s="66" t="s">
        <v>2315</v>
      </c>
      <c r="G302" s="71">
        <v>2715</v>
      </c>
      <c r="H302" s="73"/>
      <c r="I302" s="75">
        <v>0.2</v>
      </c>
      <c r="J302" s="77"/>
      <c r="K302" s="66"/>
      <c r="L302" s="66"/>
      <c r="M302" s="79" t="str">
        <f>HYPERLINK("http://www.pristavka.com/catalog/banpresto_series/BNS826/")</f>
        <v>http://www.pristavka.com/catalog/banpresto_series/BNS826/</v>
      </c>
      <c r="N302" s="71">
        <v>4199</v>
      </c>
      <c r="O302" s="66" t="s">
        <v>27</v>
      </c>
      <c r="P302" s="82" t="s">
        <v>2316</v>
      </c>
      <c r="Q302" s="84" t="s">
        <v>1522</v>
      </c>
      <c r="R302" s="84" t="s">
        <v>1068</v>
      </c>
      <c r="S302" s="84">
        <v>3.4000000000000002E-2</v>
      </c>
      <c r="T302" s="82" t="s">
        <v>2317</v>
      </c>
      <c r="U302" s="84" t="s">
        <v>2255</v>
      </c>
      <c r="V302" s="54"/>
    </row>
    <row r="303" spans="1:22" s="11" customFormat="1" ht="45" customHeight="1" x14ac:dyDescent="0.2">
      <c r="A303" s="66" t="s">
        <v>2222</v>
      </c>
      <c r="B303" s="66" t="s">
        <v>1707</v>
      </c>
      <c r="C303" s="66" t="s">
        <v>2222</v>
      </c>
      <c r="D303" s="66">
        <v>4983164886849</v>
      </c>
      <c r="E303" s="68" t="s">
        <v>2318</v>
      </c>
      <c r="F303" s="66" t="s">
        <v>2319</v>
      </c>
      <c r="G303" s="71">
        <v>17822</v>
      </c>
      <c r="H303" s="73"/>
      <c r="I303" s="75">
        <v>0.2</v>
      </c>
      <c r="J303" s="77"/>
      <c r="K303" s="66"/>
      <c r="L303" s="66"/>
      <c r="M303" s="79" t="str">
        <f>HYPERLINK("http://www.pristavka.com/catalog/banpresto_series/BNS1019/")</f>
        <v>http://www.pristavka.com/catalog/banpresto_series/BNS1019/</v>
      </c>
      <c r="N303" s="71">
        <v>27499</v>
      </c>
      <c r="O303" s="66" t="s">
        <v>28</v>
      </c>
      <c r="P303" s="82" t="s">
        <v>2320</v>
      </c>
      <c r="Q303" s="84" t="s">
        <v>1112</v>
      </c>
      <c r="R303" s="84" t="s">
        <v>1068</v>
      </c>
      <c r="S303" s="84">
        <v>0.252</v>
      </c>
      <c r="T303" s="82" t="s">
        <v>2280</v>
      </c>
      <c r="U303" s="84"/>
      <c r="V303" s="54"/>
    </row>
    <row r="304" spans="1:22" s="11" customFormat="1" ht="45" customHeight="1" x14ac:dyDescent="0.2">
      <c r="A304" s="66" t="s">
        <v>2222</v>
      </c>
      <c r="B304" s="66" t="s">
        <v>1707</v>
      </c>
      <c r="C304" s="66" t="s">
        <v>2222</v>
      </c>
      <c r="D304" s="66">
        <v>4983164887846</v>
      </c>
      <c r="E304" s="68" t="s">
        <v>2321</v>
      </c>
      <c r="F304" s="66" t="s">
        <v>2322</v>
      </c>
      <c r="G304" s="71">
        <v>18509</v>
      </c>
      <c r="H304" s="73"/>
      <c r="I304" s="75">
        <v>0.2</v>
      </c>
      <c r="J304" s="77"/>
      <c r="K304" s="66"/>
      <c r="L304" s="66"/>
      <c r="M304" s="79" t="str">
        <f>HYPERLINK("http://www.pristavka.com/catalog/banpresto_series/BNS1020/")</f>
        <v>http://www.pristavka.com/catalog/banpresto_series/BNS1020/</v>
      </c>
      <c r="N304" s="71">
        <v>28499</v>
      </c>
      <c r="O304" s="66" t="s">
        <v>27</v>
      </c>
      <c r="P304" s="82" t="s">
        <v>2323</v>
      </c>
      <c r="Q304" s="84" t="s">
        <v>1112</v>
      </c>
      <c r="R304" s="84" t="s">
        <v>1068</v>
      </c>
      <c r="S304" s="84">
        <v>0.308</v>
      </c>
      <c r="T304" s="82" t="s">
        <v>2280</v>
      </c>
      <c r="U304" s="84"/>
      <c r="V304" s="54"/>
    </row>
    <row r="305" spans="1:22" s="11" customFormat="1" ht="45" customHeight="1" x14ac:dyDescent="0.2">
      <c r="A305" s="66" t="s">
        <v>2222</v>
      </c>
      <c r="B305" s="66" t="s">
        <v>1707</v>
      </c>
      <c r="C305" s="66" t="s">
        <v>2222</v>
      </c>
      <c r="D305" s="66" t="s">
        <v>2324</v>
      </c>
      <c r="E305" s="68" t="s">
        <v>2325</v>
      </c>
      <c r="F305" s="66" t="s">
        <v>2326</v>
      </c>
      <c r="G305" s="71">
        <v>20226</v>
      </c>
      <c r="H305" s="73"/>
      <c r="I305" s="75">
        <v>0.2</v>
      </c>
      <c r="J305" s="77"/>
      <c r="K305" s="66"/>
      <c r="L305" s="66"/>
      <c r="M305" s="79" t="str">
        <f>HYPERLINK("http://www.pristavka.com/catalog/banpresto_series/BNS839/")</f>
        <v>http://www.pristavka.com/catalog/banpresto_series/BNS839/</v>
      </c>
      <c r="N305" s="71">
        <v>31199</v>
      </c>
      <c r="O305" s="66" t="s">
        <v>27</v>
      </c>
      <c r="P305" s="82" t="s">
        <v>2327</v>
      </c>
      <c r="Q305" s="84" t="s">
        <v>1112</v>
      </c>
      <c r="R305" s="84" t="s">
        <v>1068</v>
      </c>
      <c r="S305" s="84">
        <v>0.24199999999999999</v>
      </c>
      <c r="T305" s="82" t="s">
        <v>2284</v>
      </c>
      <c r="U305" s="84" t="s">
        <v>2255</v>
      </c>
      <c r="V305" s="54"/>
    </row>
    <row r="306" spans="1:22" s="11" customFormat="1" ht="45" customHeight="1" x14ac:dyDescent="0.2">
      <c r="A306" s="66" t="s">
        <v>2222</v>
      </c>
      <c r="B306" s="66" t="s">
        <v>1707</v>
      </c>
      <c r="C306" s="66" t="s">
        <v>2222</v>
      </c>
      <c r="D306" s="66">
        <v>4983164197112</v>
      </c>
      <c r="E306" s="68" t="s">
        <v>2328</v>
      </c>
      <c r="F306" s="66" t="s">
        <v>2329</v>
      </c>
      <c r="G306" s="71">
        <v>14732</v>
      </c>
      <c r="H306" s="73"/>
      <c r="I306" s="75">
        <v>0.2</v>
      </c>
      <c r="J306" s="77"/>
      <c r="K306" s="66"/>
      <c r="L306" s="66"/>
      <c r="M306" s="79" t="str">
        <f>HYPERLINK("http://www.pristavka.com/catalog/banpresto_series/BNS813/")</f>
        <v>http://www.pristavka.com/catalog/banpresto_series/BNS813/</v>
      </c>
      <c r="N306" s="71">
        <v>22699</v>
      </c>
      <c r="O306" s="66" t="s">
        <v>27</v>
      </c>
      <c r="P306" s="82" t="s">
        <v>2330</v>
      </c>
      <c r="Q306" s="84" t="s">
        <v>1068</v>
      </c>
      <c r="R306" s="84" t="s">
        <v>1068</v>
      </c>
      <c r="S306" s="84">
        <v>0.21</v>
      </c>
      <c r="T306" s="82" t="s">
        <v>2331</v>
      </c>
      <c r="U306" s="84"/>
      <c r="V306" s="54"/>
    </row>
    <row r="307" spans="1:22" s="11" customFormat="1" ht="45" customHeight="1" x14ac:dyDescent="0.2">
      <c r="A307" s="66" t="s">
        <v>2222</v>
      </c>
      <c r="B307" s="66" t="s">
        <v>1707</v>
      </c>
      <c r="C307" s="66" t="s">
        <v>2232</v>
      </c>
      <c r="D307" s="66">
        <v>82294</v>
      </c>
      <c r="E307" s="68" t="s">
        <v>2332</v>
      </c>
      <c r="F307" s="66" t="s">
        <v>2333</v>
      </c>
      <c r="G307" s="71">
        <v>3164</v>
      </c>
      <c r="H307" s="73"/>
      <c r="I307" s="75">
        <v>0.2</v>
      </c>
      <c r="J307" s="77"/>
      <c r="K307" s="66"/>
      <c r="L307" s="66"/>
      <c r="M307" s="79" t="str">
        <f>HYPERLINK("http://www.pristavka.com/catalog/banpresto_series/BNS14/")</f>
        <v>http://www.pristavka.com/catalog/banpresto_series/BNS14/</v>
      </c>
      <c r="N307" s="71">
        <v>5299</v>
      </c>
      <c r="O307" s="66" t="s">
        <v>27</v>
      </c>
      <c r="P307" s="82" t="s">
        <v>2334</v>
      </c>
      <c r="Q307" s="84" t="s">
        <v>2335</v>
      </c>
      <c r="R307" s="84" t="s">
        <v>2336</v>
      </c>
      <c r="S307" s="84">
        <v>0.15</v>
      </c>
      <c r="T307" s="82" t="s">
        <v>2337</v>
      </c>
      <c r="U307" s="84"/>
      <c r="V307" s="54"/>
    </row>
    <row r="308" spans="1:22" s="11" customFormat="1" ht="45" customHeight="1" x14ac:dyDescent="0.2">
      <c r="A308" s="66" t="s">
        <v>2222</v>
      </c>
      <c r="B308" s="66" t="s">
        <v>1707</v>
      </c>
      <c r="C308" s="66" t="s">
        <v>2232</v>
      </c>
      <c r="D308" s="66">
        <v>82292</v>
      </c>
      <c r="E308" s="68" t="s">
        <v>2338</v>
      </c>
      <c r="F308" s="66" t="s">
        <v>2339</v>
      </c>
      <c r="G308" s="71">
        <v>3164</v>
      </c>
      <c r="H308" s="73"/>
      <c r="I308" s="75">
        <v>0.2</v>
      </c>
      <c r="J308" s="77"/>
      <c r="K308" s="66"/>
      <c r="L308" s="66"/>
      <c r="M308" s="79" t="str">
        <f>HYPERLINK("http://www.pristavka.com/catalog/banpresto_series/BNS12/")</f>
        <v>http://www.pristavka.com/catalog/banpresto_series/BNS12/</v>
      </c>
      <c r="N308" s="71">
        <v>5299</v>
      </c>
      <c r="O308" s="66" t="s">
        <v>27</v>
      </c>
      <c r="P308" s="82" t="s">
        <v>2340</v>
      </c>
      <c r="Q308" s="84" t="s">
        <v>2335</v>
      </c>
      <c r="R308" s="84" t="s">
        <v>2336</v>
      </c>
      <c r="S308" s="84">
        <v>0.14000000000000001</v>
      </c>
      <c r="T308" s="82" t="s">
        <v>2337</v>
      </c>
      <c r="U308" s="84"/>
      <c r="V308" s="54"/>
    </row>
    <row r="309" spans="1:22" s="11" customFormat="1" ht="45" customHeight="1" x14ac:dyDescent="0.2">
      <c r="A309" s="66" t="s">
        <v>2222</v>
      </c>
      <c r="B309" s="66" t="s">
        <v>1707</v>
      </c>
      <c r="C309" s="66" t="s">
        <v>2232</v>
      </c>
      <c r="D309" s="66">
        <v>82293</v>
      </c>
      <c r="E309" s="68" t="s">
        <v>2341</v>
      </c>
      <c r="F309" s="66" t="s">
        <v>2342</v>
      </c>
      <c r="G309" s="71">
        <v>3164</v>
      </c>
      <c r="H309" s="73"/>
      <c r="I309" s="75">
        <v>0.2</v>
      </c>
      <c r="J309" s="77"/>
      <c r="K309" s="66"/>
      <c r="L309" s="66"/>
      <c r="M309" s="79" t="str">
        <f>HYPERLINK("http://www.pristavka.com/catalog/banpresto_series/BNS13/")</f>
        <v>http://www.pristavka.com/catalog/banpresto_series/BNS13/</v>
      </c>
      <c r="N309" s="71">
        <v>5299</v>
      </c>
      <c r="O309" s="66" t="s">
        <v>27</v>
      </c>
      <c r="P309" s="82" t="s">
        <v>2343</v>
      </c>
      <c r="Q309" s="84" t="s">
        <v>2335</v>
      </c>
      <c r="R309" s="84" t="s">
        <v>2336</v>
      </c>
      <c r="S309" s="84">
        <v>0.14499999999999999</v>
      </c>
      <c r="T309" s="82" t="s">
        <v>2337</v>
      </c>
      <c r="U309" s="84"/>
      <c r="V309" s="54"/>
    </row>
    <row r="310" spans="1:22" s="11" customFormat="1" ht="45" customHeight="1" x14ac:dyDescent="0.2">
      <c r="A310" s="66" t="s">
        <v>2222</v>
      </c>
      <c r="B310" s="66" t="s">
        <v>1707</v>
      </c>
      <c r="C310" s="66" t="s">
        <v>2232</v>
      </c>
      <c r="D310" s="66">
        <v>82295</v>
      </c>
      <c r="E310" s="68" t="s">
        <v>2344</v>
      </c>
      <c r="F310" s="66" t="s">
        <v>2345</v>
      </c>
      <c r="G310" s="71">
        <v>3164</v>
      </c>
      <c r="H310" s="73"/>
      <c r="I310" s="75">
        <v>0.2</v>
      </c>
      <c r="J310" s="77"/>
      <c r="K310" s="66"/>
      <c r="L310" s="66"/>
      <c r="M310" s="79" t="str">
        <f>HYPERLINK("http://www.pristavka.com/catalog/banpresto_series/BNS15/")</f>
        <v>http://www.pristavka.com/catalog/banpresto_series/BNS15/</v>
      </c>
      <c r="N310" s="71">
        <v>5299</v>
      </c>
      <c r="O310" s="66" t="s">
        <v>28</v>
      </c>
      <c r="P310" s="82" t="s">
        <v>2346</v>
      </c>
      <c r="Q310" s="84" t="s">
        <v>2335</v>
      </c>
      <c r="R310" s="84" t="s">
        <v>2336</v>
      </c>
      <c r="S310" s="84">
        <v>0.17499999999999999</v>
      </c>
      <c r="T310" s="82" t="s">
        <v>2337</v>
      </c>
      <c r="U310" s="84"/>
      <c r="V310" s="54"/>
    </row>
    <row r="311" spans="1:22" s="11" customFormat="1" ht="45" customHeight="1" x14ac:dyDescent="0.2">
      <c r="A311" s="66" t="s">
        <v>2222</v>
      </c>
      <c r="B311" s="66" t="s">
        <v>1707</v>
      </c>
      <c r="C311" s="66" t="s">
        <v>2232</v>
      </c>
      <c r="D311" s="66">
        <v>3296580822898</v>
      </c>
      <c r="E311" s="68" t="s">
        <v>2347</v>
      </c>
      <c r="F311" s="66" t="s">
        <v>2348</v>
      </c>
      <c r="G311" s="71">
        <v>3164</v>
      </c>
      <c r="H311" s="73"/>
      <c r="I311" s="75">
        <v>0.2</v>
      </c>
      <c r="J311" s="77"/>
      <c r="K311" s="66"/>
      <c r="L311" s="66"/>
      <c r="M311" s="79" t="str">
        <f>HYPERLINK("http://www.pristavka.com/catalog/banpresto_series/BNS641/")</f>
        <v>http://www.pristavka.com/catalog/banpresto_series/BNS641/</v>
      </c>
      <c r="N311" s="71">
        <v>5299</v>
      </c>
      <c r="O311" s="66" t="s">
        <v>27</v>
      </c>
      <c r="P311" s="82" t="s">
        <v>2349</v>
      </c>
      <c r="Q311" s="84" t="s">
        <v>1068</v>
      </c>
      <c r="R311" s="84" t="s">
        <v>1068</v>
      </c>
      <c r="S311" s="84">
        <v>0.14199999999999999</v>
      </c>
      <c r="T311" s="82" t="s">
        <v>2350</v>
      </c>
      <c r="U311" s="84"/>
      <c r="V311" s="54"/>
    </row>
    <row r="312" spans="1:22" s="11" customFormat="1" ht="45" customHeight="1" x14ac:dyDescent="0.2">
      <c r="A312" s="66" t="s">
        <v>2222</v>
      </c>
      <c r="B312" s="66" t="s">
        <v>1707</v>
      </c>
      <c r="C312" s="66" t="s">
        <v>2232</v>
      </c>
      <c r="D312" s="66">
        <v>3296580822973</v>
      </c>
      <c r="E312" s="68" t="s">
        <v>2351</v>
      </c>
      <c r="F312" s="66" t="s">
        <v>2352</v>
      </c>
      <c r="G312" s="71">
        <v>3164</v>
      </c>
      <c r="H312" s="73"/>
      <c r="I312" s="75">
        <v>0.2</v>
      </c>
      <c r="J312" s="77"/>
      <c r="K312" s="66"/>
      <c r="L312" s="66"/>
      <c r="M312" s="79" t="str">
        <f>HYPERLINK("http://www.pristavka.com/catalog/banpresto_series/BNS632/")</f>
        <v>http://www.pristavka.com/catalog/banpresto_series/BNS632/</v>
      </c>
      <c r="N312" s="71">
        <v>5299</v>
      </c>
      <c r="O312" s="66" t="s">
        <v>27</v>
      </c>
      <c r="P312" s="82" t="s">
        <v>2353</v>
      </c>
      <c r="Q312" s="84" t="s">
        <v>1068</v>
      </c>
      <c r="R312" s="84" t="s">
        <v>1068</v>
      </c>
      <c r="S312" s="84">
        <v>0.152</v>
      </c>
      <c r="T312" s="82" t="s">
        <v>2354</v>
      </c>
      <c r="U312" s="84"/>
      <c r="V312" s="54"/>
    </row>
    <row r="313" spans="1:22" s="11" customFormat="1" ht="45" customHeight="1" x14ac:dyDescent="0.2">
      <c r="A313" s="66" t="s">
        <v>2222</v>
      </c>
      <c r="B313" s="66" t="s">
        <v>1707</v>
      </c>
      <c r="C313" s="66" t="s">
        <v>2232</v>
      </c>
      <c r="D313" s="66">
        <v>3296580822966</v>
      </c>
      <c r="E313" s="68" t="s">
        <v>2355</v>
      </c>
      <c r="F313" s="66" t="s">
        <v>2356</v>
      </c>
      <c r="G313" s="71">
        <v>3164</v>
      </c>
      <c r="H313" s="73"/>
      <c r="I313" s="75">
        <v>0.2</v>
      </c>
      <c r="J313" s="77"/>
      <c r="K313" s="66"/>
      <c r="L313" s="66"/>
      <c r="M313" s="79" t="str">
        <f>HYPERLINK("http://www.pristavka.com/catalog/banpresto_series/BNS633/")</f>
        <v>http://www.pristavka.com/catalog/banpresto_series/BNS633/</v>
      </c>
      <c r="N313" s="71">
        <v>5299</v>
      </c>
      <c r="O313" s="66" t="s">
        <v>27</v>
      </c>
      <c r="P313" s="82" t="s">
        <v>2357</v>
      </c>
      <c r="Q313" s="84" t="s">
        <v>1068</v>
      </c>
      <c r="R313" s="84" t="s">
        <v>1068</v>
      </c>
      <c r="S313" s="84">
        <v>0.14299999999999999</v>
      </c>
      <c r="T313" s="82" t="s">
        <v>2354</v>
      </c>
      <c r="U313" s="84"/>
      <c r="V313" s="54"/>
    </row>
    <row r="314" spans="1:22" s="11" customFormat="1" ht="45" customHeight="1" x14ac:dyDescent="0.2">
      <c r="A314" s="66" t="s">
        <v>2222</v>
      </c>
      <c r="B314" s="66" t="s">
        <v>1707</v>
      </c>
      <c r="C314" s="66" t="s">
        <v>2232</v>
      </c>
      <c r="D314" s="66">
        <v>3296580822911</v>
      </c>
      <c r="E314" s="68" t="s">
        <v>2358</v>
      </c>
      <c r="F314" s="66" t="s">
        <v>2359</v>
      </c>
      <c r="G314" s="71">
        <v>3164</v>
      </c>
      <c r="H314" s="73"/>
      <c r="I314" s="75">
        <v>0.2</v>
      </c>
      <c r="J314" s="77"/>
      <c r="K314" s="66"/>
      <c r="L314" s="66"/>
      <c r="M314" s="79" t="str">
        <f>HYPERLINK("http://www.pristavka.com/catalog/banpresto_series/BNS637/")</f>
        <v>http://www.pristavka.com/catalog/banpresto_series/BNS637/</v>
      </c>
      <c r="N314" s="71">
        <v>5299</v>
      </c>
      <c r="O314" s="66" t="s">
        <v>27</v>
      </c>
      <c r="P314" s="82" t="s">
        <v>2360</v>
      </c>
      <c r="Q314" s="84" t="s">
        <v>1068</v>
      </c>
      <c r="R314" s="84" t="s">
        <v>1068</v>
      </c>
      <c r="S314" s="84">
        <v>0.154</v>
      </c>
      <c r="T314" s="82" t="s">
        <v>2354</v>
      </c>
      <c r="U314" s="84"/>
      <c r="V314" s="54"/>
    </row>
    <row r="315" spans="1:22" s="11" customFormat="1" ht="45" customHeight="1" x14ac:dyDescent="0.2">
      <c r="A315" s="66" t="s">
        <v>2222</v>
      </c>
      <c r="B315" s="66" t="s">
        <v>1707</v>
      </c>
      <c r="C315" s="66" t="s">
        <v>2232</v>
      </c>
      <c r="D315" s="66">
        <v>3296580822904</v>
      </c>
      <c r="E315" s="68" t="s">
        <v>2361</v>
      </c>
      <c r="F315" s="66" t="s">
        <v>2362</v>
      </c>
      <c r="G315" s="71">
        <v>3164</v>
      </c>
      <c r="H315" s="73"/>
      <c r="I315" s="75">
        <v>0.2</v>
      </c>
      <c r="J315" s="77"/>
      <c r="K315" s="66"/>
      <c r="L315" s="66"/>
      <c r="M315" s="79" t="str">
        <f>HYPERLINK("http://www.pristavka.com/catalog/banpresto_series/BNS636/")</f>
        <v>http://www.pristavka.com/catalog/banpresto_series/BNS636/</v>
      </c>
      <c r="N315" s="71">
        <v>5299</v>
      </c>
      <c r="O315" s="66" t="s">
        <v>28</v>
      </c>
      <c r="P315" s="82" t="s">
        <v>2363</v>
      </c>
      <c r="Q315" s="84" t="s">
        <v>1068</v>
      </c>
      <c r="R315" s="84" t="s">
        <v>1068</v>
      </c>
      <c r="S315" s="84">
        <v>0.20899999999999999</v>
      </c>
      <c r="T315" s="82" t="s">
        <v>2350</v>
      </c>
      <c r="U315" s="84"/>
      <c r="V315" s="54"/>
    </row>
    <row r="316" spans="1:22" s="11" customFormat="1" ht="45" customHeight="1" x14ac:dyDescent="0.2">
      <c r="A316" s="66" t="s">
        <v>2222</v>
      </c>
      <c r="B316" s="66" t="s">
        <v>1707</v>
      </c>
      <c r="C316" s="66" t="s">
        <v>2222</v>
      </c>
      <c r="D316" s="66">
        <v>4983164189971</v>
      </c>
      <c r="E316" s="68" t="s">
        <v>2364</v>
      </c>
      <c r="F316" s="66" t="s">
        <v>2365</v>
      </c>
      <c r="G316" s="71">
        <v>17135</v>
      </c>
      <c r="H316" s="73"/>
      <c r="I316" s="75">
        <v>0.2</v>
      </c>
      <c r="J316" s="77"/>
      <c r="K316" s="66"/>
      <c r="L316" s="66"/>
      <c r="M316" s="79" t="str">
        <f>HYPERLINK("http://www.pristavka.com/catalog/banpresto_series/BNS1025/")</f>
        <v>http://www.pristavka.com/catalog/banpresto_series/BNS1025/</v>
      </c>
      <c r="N316" s="71">
        <v>26399</v>
      </c>
      <c r="O316" s="66" t="s">
        <v>28</v>
      </c>
      <c r="P316" s="82" t="s">
        <v>2366</v>
      </c>
      <c r="Q316" s="84" t="s">
        <v>2367</v>
      </c>
      <c r="R316" s="84" t="s">
        <v>1068</v>
      </c>
      <c r="S316" s="84">
        <v>0.36299999999999999</v>
      </c>
      <c r="T316" s="82" t="s">
        <v>2368</v>
      </c>
      <c r="U316" s="84"/>
      <c r="V316" s="54"/>
    </row>
    <row r="317" spans="1:22" s="11" customFormat="1" ht="45" customHeight="1" x14ac:dyDescent="0.2">
      <c r="A317" s="66" t="s">
        <v>2222</v>
      </c>
      <c r="B317" s="66" t="s">
        <v>1707</v>
      </c>
      <c r="C317" s="66" t="s">
        <v>2222</v>
      </c>
      <c r="D317" s="66">
        <v>4983164893892</v>
      </c>
      <c r="E317" s="68" t="s">
        <v>2369</v>
      </c>
      <c r="F317" s="66" t="s">
        <v>2370</v>
      </c>
      <c r="G317" s="71">
        <v>15762</v>
      </c>
      <c r="H317" s="73"/>
      <c r="I317" s="75">
        <v>0.2</v>
      </c>
      <c r="J317" s="77"/>
      <c r="K317" s="66"/>
      <c r="L317" s="66"/>
      <c r="M317" s="79" t="str">
        <f>HYPERLINK("http://www.pristavka.com/catalog/banpresto_series/BNS981/")</f>
        <v>http://www.pristavka.com/catalog/banpresto_series/BNS981/</v>
      </c>
      <c r="N317" s="71">
        <v>24299</v>
      </c>
      <c r="O317" s="66" t="s">
        <v>27</v>
      </c>
      <c r="P317" s="82" t="s">
        <v>2371</v>
      </c>
      <c r="Q317" s="84" t="s">
        <v>2372</v>
      </c>
      <c r="R317" s="84" t="s">
        <v>1068</v>
      </c>
      <c r="S317" s="84">
        <v>0.372</v>
      </c>
      <c r="T317" s="82" t="s">
        <v>1372</v>
      </c>
      <c r="U317" s="84"/>
      <c r="V317" s="54"/>
    </row>
    <row r="318" spans="1:22" s="11" customFormat="1" ht="45" customHeight="1" x14ac:dyDescent="0.2">
      <c r="A318" s="66" t="s">
        <v>2222</v>
      </c>
      <c r="B318" s="66" t="s">
        <v>1707</v>
      </c>
      <c r="C318" s="66" t="s">
        <v>2232</v>
      </c>
      <c r="D318" s="66">
        <v>3296580810345</v>
      </c>
      <c r="E318" s="68" t="s">
        <v>2373</v>
      </c>
      <c r="F318" s="66" t="s">
        <v>2374</v>
      </c>
      <c r="G318" s="71">
        <v>2213</v>
      </c>
      <c r="H318" s="73"/>
      <c r="I318" s="75">
        <v>0.2</v>
      </c>
      <c r="J318" s="77"/>
      <c r="K318" s="66"/>
      <c r="L318" s="66"/>
      <c r="M318" s="79" t="str">
        <f>HYPERLINK("http://www.pristavka.com/catalog/banpresto_series/BNS642/")</f>
        <v>http://www.pristavka.com/catalog/banpresto_series/BNS642/</v>
      </c>
      <c r="N318" s="71">
        <v>3699</v>
      </c>
      <c r="O318" s="66" t="s">
        <v>28</v>
      </c>
      <c r="P318" s="82" t="s">
        <v>2375</v>
      </c>
      <c r="Q318" s="84" t="s">
        <v>1068</v>
      </c>
      <c r="R318" s="84" t="s">
        <v>1068</v>
      </c>
      <c r="S318" s="84">
        <v>0.24299999999999999</v>
      </c>
      <c r="T318" s="82" t="s">
        <v>2284</v>
      </c>
      <c r="U318" s="84"/>
      <c r="V318" s="54"/>
    </row>
    <row r="319" spans="1:22" s="11" customFormat="1" ht="45" customHeight="1" x14ac:dyDescent="0.2">
      <c r="A319" s="66" t="s">
        <v>2222</v>
      </c>
      <c r="B319" s="66" t="s">
        <v>1707</v>
      </c>
      <c r="C319" s="66" t="s">
        <v>2222</v>
      </c>
      <c r="D319" s="66">
        <v>4983164886511</v>
      </c>
      <c r="E319" s="68" t="s">
        <v>2376</v>
      </c>
      <c r="F319" s="66" t="s">
        <v>2377</v>
      </c>
      <c r="G319" s="71">
        <v>17135</v>
      </c>
      <c r="H319" s="73"/>
      <c r="I319" s="75">
        <v>0.2</v>
      </c>
      <c r="J319" s="77"/>
      <c r="K319" s="66"/>
      <c r="L319" s="66"/>
      <c r="M319" s="79" t="str">
        <f>HYPERLINK("http://www.pristavka.com/catalog/banpresto_series/BNS929/")</f>
        <v>http://www.pristavka.com/catalog/banpresto_series/BNS929/</v>
      </c>
      <c r="N319" s="71">
        <v>26399</v>
      </c>
      <c r="O319" s="66" t="s">
        <v>27</v>
      </c>
      <c r="P319" s="82" t="s">
        <v>2378</v>
      </c>
      <c r="Q319" s="84" t="s">
        <v>1436</v>
      </c>
      <c r="R319" s="84" t="s">
        <v>1068</v>
      </c>
      <c r="S319" s="84">
        <v>0.26800000000000002</v>
      </c>
      <c r="T319" s="82" t="s">
        <v>2284</v>
      </c>
      <c r="U319" s="84"/>
      <c r="V319" s="54"/>
    </row>
    <row r="320" spans="1:22" s="11" customFormat="1" ht="45" customHeight="1" x14ac:dyDescent="0.2">
      <c r="A320" s="66" t="s">
        <v>2222</v>
      </c>
      <c r="B320" s="66" t="s">
        <v>1707</v>
      </c>
      <c r="C320" s="66" t="s">
        <v>2222</v>
      </c>
      <c r="D320" s="66">
        <v>4573102636669</v>
      </c>
      <c r="E320" s="68" t="s">
        <v>2379</v>
      </c>
      <c r="F320" s="66" t="s">
        <v>2380</v>
      </c>
      <c r="G320" s="71">
        <v>118279</v>
      </c>
      <c r="H320" s="73"/>
      <c r="I320" s="75">
        <v>0.2</v>
      </c>
      <c r="J320" s="77"/>
      <c r="K320" s="66"/>
      <c r="L320" s="66"/>
      <c r="M320" s="79" t="str">
        <f>HYPERLINK("http://www.pristavka.com/catalog/banpresto_series/BNS621/")</f>
        <v>http://www.pristavka.com/catalog/banpresto_series/BNS621/</v>
      </c>
      <c r="N320" s="71">
        <v>147899</v>
      </c>
      <c r="O320" s="66" t="s">
        <v>28</v>
      </c>
      <c r="P320" s="82" t="s">
        <v>2381</v>
      </c>
      <c r="Q320" s="84" t="s">
        <v>1148</v>
      </c>
      <c r="R320" s="84" t="s">
        <v>1068</v>
      </c>
      <c r="S320" s="84">
        <v>1.07</v>
      </c>
      <c r="T320" s="82" t="s">
        <v>2382</v>
      </c>
      <c r="U320" s="84"/>
      <c r="V320" s="54"/>
    </row>
    <row r="321" spans="1:22" s="11" customFormat="1" ht="45" customHeight="1" x14ac:dyDescent="0.2">
      <c r="A321" s="66" t="s">
        <v>2222</v>
      </c>
      <c r="B321" s="66" t="s">
        <v>1707</v>
      </c>
      <c r="C321" s="66" t="s">
        <v>2232</v>
      </c>
      <c r="D321" s="66">
        <v>4549660700357</v>
      </c>
      <c r="E321" s="68" t="s">
        <v>2383</v>
      </c>
      <c r="F321" s="66" t="s">
        <v>2384</v>
      </c>
      <c r="G321" s="71">
        <v>3428</v>
      </c>
      <c r="H321" s="73"/>
      <c r="I321" s="75">
        <v>0.2</v>
      </c>
      <c r="J321" s="77"/>
      <c r="K321" s="66"/>
      <c r="L321" s="66"/>
      <c r="M321" s="79" t="str">
        <f>HYPERLINK("http://www.pristavka.com/catalog/banpresto_series/BNS816/")</f>
        <v>http://www.pristavka.com/catalog/banpresto_series/BNS816/</v>
      </c>
      <c r="N321" s="71">
        <v>5299</v>
      </c>
      <c r="O321" s="66" t="s">
        <v>28</v>
      </c>
      <c r="P321" s="82" t="s">
        <v>2385</v>
      </c>
      <c r="Q321" s="84" t="s">
        <v>1068</v>
      </c>
      <c r="R321" s="84" t="s">
        <v>1068</v>
      </c>
      <c r="S321" s="84">
        <v>0.03</v>
      </c>
      <c r="T321" s="82" t="s">
        <v>2386</v>
      </c>
      <c r="U321" s="84"/>
      <c r="V321" s="54"/>
    </row>
    <row r="322" spans="1:22" s="11" customFormat="1" ht="45" customHeight="1" x14ac:dyDescent="0.2">
      <c r="A322" s="66" t="s">
        <v>2222</v>
      </c>
      <c r="B322" s="66" t="s">
        <v>1707</v>
      </c>
      <c r="C322" s="66" t="s">
        <v>2222</v>
      </c>
      <c r="D322" s="66" t="s">
        <v>2387</v>
      </c>
      <c r="E322" s="68" t="s">
        <v>2388</v>
      </c>
      <c r="F322" s="66" t="s">
        <v>2389</v>
      </c>
      <c r="G322" s="71">
        <v>19539</v>
      </c>
      <c r="H322" s="73"/>
      <c r="I322" s="75">
        <v>0.2</v>
      </c>
      <c r="J322" s="77"/>
      <c r="K322" s="66"/>
      <c r="L322" s="66"/>
      <c r="M322" s="79" t="str">
        <f>HYPERLINK("http://www.pristavka.com/catalog/banpresto_series/BNS842/")</f>
        <v>http://www.pristavka.com/catalog/banpresto_series/BNS842/</v>
      </c>
      <c r="N322" s="71">
        <v>30099</v>
      </c>
      <c r="O322" s="66" t="s">
        <v>27</v>
      </c>
      <c r="P322" s="82" t="s">
        <v>2390</v>
      </c>
      <c r="Q322" s="84" t="s">
        <v>1117</v>
      </c>
      <c r="R322" s="84" t="s">
        <v>1068</v>
      </c>
      <c r="S322" s="84">
        <v>0.20499999999999999</v>
      </c>
      <c r="T322" s="82" t="s">
        <v>2284</v>
      </c>
      <c r="U322" s="84" t="s">
        <v>2255</v>
      </c>
      <c r="V322" s="54"/>
    </row>
    <row r="323" spans="1:22" s="11" customFormat="1" ht="45" customHeight="1" x14ac:dyDescent="0.2">
      <c r="A323" s="66" t="s">
        <v>2222</v>
      </c>
      <c r="B323" s="66" t="s">
        <v>1707</v>
      </c>
      <c r="C323" s="66" t="s">
        <v>2222</v>
      </c>
      <c r="D323" s="66" t="s">
        <v>2391</v>
      </c>
      <c r="E323" s="68" t="s">
        <v>2392</v>
      </c>
      <c r="F323" s="66" t="s">
        <v>2393</v>
      </c>
      <c r="G323" s="71">
        <v>20569</v>
      </c>
      <c r="H323" s="73"/>
      <c r="I323" s="75">
        <v>0.2</v>
      </c>
      <c r="J323" s="77"/>
      <c r="K323" s="66"/>
      <c r="L323" s="66"/>
      <c r="M323" s="79" t="str">
        <f>HYPERLINK("http://www.pristavka.com/catalog/banpresto_series/BNS845/")</f>
        <v>http://www.pristavka.com/catalog/banpresto_series/BNS845/</v>
      </c>
      <c r="N323" s="71">
        <v>31699</v>
      </c>
      <c r="O323" s="66" t="s">
        <v>28</v>
      </c>
      <c r="P323" s="82" t="s">
        <v>2394</v>
      </c>
      <c r="Q323" s="84" t="s">
        <v>1117</v>
      </c>
      <c r="R323" s="84" t="s">
        <v>1068</v>
      </c>
      <c r="S323" s="84">
        <v>0.155</v>
      </c>
      <c r="T323" s="82" t="s">
        <v>2312</v>
      </c>
      <c r="U323" s="84" t="s">
        <v>2255</v>
      </c>
      <c r="V323" s="54"/>
    </row>
    <row r="324" spans="1:22" s="11" customFormat="1" ht="45" customHeight="1" x14ac:dyDescent="0.2">
      <c r="A324" s="66" t="s">
        <v>2222</v>
      </c>
      <c r="B324" s="66" t="s">
        <v>1707</v>
      </c>
      <c r="C324" s="66" t="s">
        <v>2222</v>
      </c>
      <c r="D324" s="66" t="s">
        <v>2395</v>
      </c>
      <c r="E324" s="68" t="s">
        <v>2396</v>
      </c>
      <c r="F324" s="66" t="s">
        <v>2397</v>
      </c>
      <c r="G324" s="71">
        <v>19539</v>
      </c>
      <c r="H324" s="73"/>
      <c r="I324" s="75">
        <v>0.2</v>
      </c>
      <c r="J324" s="77"/>
      <c r="K324" s="66"/>
      <c r="L324" s="66"/>
      <c r="M324" s="79" t="str">
        <f>HYPERLINK("http://www.pristavka.com/catalog/banpresto_series/BNS843/")</f>
        <v>http://www.pristavka.com/catalog/banpresto_series/BNS843/</v>
      </c>
      <c r="N324" s="71">
        <v>30099</v>
      </c>
      <c r="O324" s="66" t="s">
        <v>27</v>
      </c>
      <c r="P324" s="82" t="s">
        <v>2398</v>
      </c>
      <c r="Q324" s="84" t="s">
        <v>1117</v>
      </c>
      <c r="R324" s="84" t="s">
        <v>1068</v>
      </c>
      <c r="S324" s="84">
        <v>0.17599999999999999</v>
      </c>
      <c r="T324" s="82" t="s">
        <v>2399</v>
      </c>
      <c r="U324" s="84" t="s">
        <v>2255</v>
      </c>
      <c r="V324" s="54"/>
    </row>
    <row r="325" spans="1:22" s="11" customFormat="1" ht="45" customHeight="1" x14ac:dyDescent="0.2">
      <c r="A325" s="66" t="s">
        <v>2222</v>
      </c>
      <c r="B325" s="66" t="s">
        <v>1707</v>
      </c>
      <c r="C325" s="66" t="s">
        <v>2222</v>
      </c>
      <c r="D325" s="66" t="s">
        <v>2400</v>
      </c>
      <c r="E325" s="68" t="s">
        <v>2401</v>
      </c>
      <c r="F325" s="66" t="s">
        <v>2402</v>
      </c>
      <c r="G325" s="71">
        <v>19196</v>
      </c>
      <c r="H325" s="73"/>
      <c r="I325" s="75">
        <v>0.2</v>
      </c>
      <c r="J325" s="77"/>
      <c r="K325" s="66"/>
      <c r="L325" s="66"/>
      <c r="M325" s="79" t="str">
        <f>HYPERLINK("http://www.pristavka.com/catalog/banpresto_series/BNS844/")</f>
        <v>http://www.pristavka.com/catalog/banpresto_series/BNS844/</v>
      </c>
      <c r="N325" s="71">
        <v>29599</v>
      </c>
      <c r="O325" s="66" t="s">
        <v>27</v>
      </c>
      <c r="P325" s="82" t="s">
        <v>2403</v>
      </c>
      <c r="Q325" s="84" t="s">
        <v>1117</v>
      </c>
      <c r="R325" s="84" t="s">
        <v>1068</v>
      </c>
      <c r="S325" s="84">
        <v>0.19900000000000001</v>
      </c>
      <c r="T325" s="82" t="s">
        <v>2293</v>
      </c>
      <c r="U325" s="84" t="s">
        <v>2255</v>
      </c>
      <c r="V325" s="54"/>
    </row>
    <row r="326" spans="1:22" s="11" customFormat="1" ht="45" customHeight="1" x14ac:dyDescent="0.2">
      <c r="A326" s="66" t="s">
        <v>2222</v>
      </c>
      <c r="B326" s="66" t="s">
        <v>1707</v>
      </c>
      <c r="C326" s="66" t="s">
        <v>2222</v>
      </c>
      <c r="D326" s="66" t="s">
        <v>2404</v>
      </c>
      <c r="E326" s="68" t="s">
        <v>2405</v>
      </c>
      <c r="F326" s="66" t="s">
        <v>2406</v>
      </c>
      <c r="G326" s="71">
        <v>20569</v>
      </c>
      <c r="H326" s="73"/>
      <c r="I326" s="75">
        <v>0.2</v>
      </c>
      <c r="J326" s="77"/>
      <c r="K326" s="66"/>
      <c r="L326" s="66"/>
      <c r="M326" s="79" t="str">
        <f>HYPERLINK("http://www.pristavka.com/catalog/banpresto_series/BNS847/")</f>
        <v>http://www.pristavka.com/catalog/banpresto_series/BNS847/</v>
      </c>
      <c r="N326" s="71">
        <v>31699</v>
      </c>
      <c r="O326" s="66" t="s">
        <v>27</v>
      </c>
      <c r="P326" s="82" t="s">
        <v>2407</v>
      </c>
      <c r="Q326" s="84" t="s">
        <v>1117</v>
      </c>
      <c r="R326" s="84" t="s">
        <v>1068</v>
      </c>
      <c r="S326" s="84">
        <v>0.315</v>
      </c>
      <c r="T326" s="82" t="s">
        <v>2254</v>
      </c>
      <c r="U326" s="84" t="s">
        <v>2255</v>
      </c>
      <c r="V326" s="54"/>
    </row>
    <row r="327" spans="1:22" s="11" customFormat="1" ht="45" customHeight="1" x14ac:dyDescent="0.2">
      <c r="A327" s="66" t="s">
        <v>2222</v>
      </c>
      <c r="B327" s="66" t="s">
        <v>1707</v>
      </c>
      <c r="C327" s="66" t="s">
        <v>2232</v>
      </c>
      <c r="D327" s="66">
        <v>4983164184488</v>
      </c>
      <c r="E327" s="68" t="s">
        <v>2408</v>
      </c>
      <c r="F327" s="66" t="s">
        <v>2409</v>
      </c>
      <c r="G327" s="71">
        <v>10269</v>
      </c>
      <c r="H327" s="73"/>
      <c r="I327" s="75">
        <v>0.2</v>
      </c>
      <c r="J327" s="77"/>
      <c r="K327" s="66"/>
      <c r="L327" s="66"/>
      <c r="M327" s="79" t="str">
        <f>HYPERLINK("http://www.pristavka.com/catalog/banpresto_series/BNS348/")</f>
        <v>http://www.pristavka.com/catalog/banpresto_series/BNS348/</v>
      </c>
      <c r="N327" s="71">
        <v>15799</v>
      </c>
      <c r="O327" s="66" t="s">
        <v>27</v>
      </c>
      <c r="P327" s="82" t="s">
        <v>2410</v>
      </c>
      <c r="Q327" s="84" t="s">
        <v>1117</v>
      </c>
      <c r="R327" s="84" t="s">
        <v>1068</v>
      </c>
      <c r="S327" s="84">
        <v>0.31900000000000001</v>
      </c>
      <c r="T327" s="82" t="s">
        <v>2254</v>
      </c>
      <c r="U327" s="84"/>
      <c r="V327" s="54"/>
    </row>
    <row r="328" spans="1:22" s="11" customFormat="1" ht="45" customHeight="1" x14ac:dyDescent="0.2">
      <c r="A328" s="66" t="s">
        <v>2222</v>
      </c>
      <c r="B328" s="66" t="s">
        <v>1707</v>
      </c>
      <c r="C328" s="66" t="s">
        <v>2222</v>
      </c>
      <c r="D328" s="66">
        <v>4983164195798</v>
      </c>
      <c r="E328" s="68" t="s">
        <v>2411</v>
      </c>
      <c r="F328" s="66" t="s">
        <v>2412</v>
      </c>
      <c r="G328" s="71">
        <v>17135</v>
      </c>
      <c r="H328" s="73"/>
      <c r="I328" s="75">
        <v>0.2</v>
      </c>
      <c r="J328" s="77"/>
      <c r="K328" s="66"/>
      <c r="L328" s="66"/>
      <c r="M328" s="79" t="str">
        <f>HYPERLINK("http://www.pristavka.com/catalog/banpresto_series/BNS911/")</f>
        <v>http://www.pristavka.com/catalog/banpresto_series/BNS911/</v>
      </c>
      <c r="N328" s="71">
        <v>26399</v>
      </c>
      <c r="O328" s="66" t="s">
        <v>27</v>
      </c>
      <c r="P328" s="82" t="s">
        <v>2413</v>
      </c>
      <c r="Q328" s="84" t="s">
        <v>1117</v>
      </c>
      <c r="R328" s="84" t="s">
        <v>1068</v>
      </c>
      <c r="S328" s="84">
        <v>0.185</v>
      </c>
      <c r="T328" s="82" t="s">
        <v>2284</v>
      </c>
      <c r="U328" s="84"/>
      <c r="V328" s="54"/>
    </row>
    <row r="329" spans="1:22" s="11" customFormat="1" ht="45" customHeight="1" x14ac:dyDescent="0.2">
      <c r="A329" s="66" t="s">
        <v>2222</v>
      </c>
      <c r="B329" s="66" t="s">
        <v>1707</v>
      </c>
      <c r="C329" s="66" t="s">
        <v>2222</v>
      </c>
      <c r="D329" s="66">
        <v>4983164195774</v>
      </c>
      <c r="E329" s="68" t="s">
        <v>2414</v>
      </c>
      <c r="F329" s="66" t="s">
        <v>2415</v>
      </c>
      <c r="G329" s="71">
        <v>17135</v>
      </c>
      <c r="H329" s="73"/>
      <c r="I329" s="75">
        <v>0.2</v>
      </c>
      <c r="J329" s="77"/>
      <c r="K329" s="66"/>
      <c r="L329" s="66"/>
      <c r="M329" s="79" t="str">
        <f>HYPERLINK("http://www.pristavka.com/catalog/banpresto_series/BNS910/")</f>
        <v>http://www.pristavka.com/catalog/banpresto_series/BNS910/</v>
      </c>
      <c r="N329" s="71">
        <v>26399</v>
      </c>
      <c r="O329" s="66" t="s">
        <v>27</v>
      </c>
      <c r="P329" s="82" t="s">
        <v>2416</v>
      </c>
      <c r="Q329" s="84" t="s">
        <v>1117</v>
      </c>
      <c r="R329" s="84" t="s">
        <v>1068</v>
      </c>
      <c r="S329" s="84">
        <v>0.55800000000000005</v>
      </c>
      <c r="T329" s="82" t="s">
        <v>2417</v>
      </c>
      <c r="U329" s="84"/>
      <c r="V329" s="54"/>
    </row>
    <row r="330" spans="1:22" s="11" customFormat="1" ht="45" customHeight="1" x14ac:dyDescent="0.2">
      <c r="A330" s="66" t="s">
        <v>2222</v>
      </c>
      <c r="B330" s="66" t="s">
        <v>1707</v>
      </c>
      <c r="C330" s="66" t="s">
        <v>2222</v>
      </c>
      <c r="D330" s="66" t="s">
        <v>2418</v>
      </c>
      <c r="E330" s="68" t="s">
        <v>2419</v>
      </c>
      <c r="F330" s="66" t="s">
        <v>2420</v>
      </c>
      <c r="G330" s="71">
        <v>19539</v>
      </c>
      <c r="H330" s="73"/>
      <c r="I330" s="75">
        <v>0.2</v>
      </c>
      <c r="J330" s="77"/>
      <c r="K330" s="66"/>
      <c r="L330" s="66"/>
      <c r="M330" s="79" t="str">
        <f>HYPERLINK("http://www.pristavka.com/catalog/banpresto_series/BNS848/")</f>
        <v>http://www.pristavka.com/catalog/banpresto_series/BNS848/</v>
      </c>
      <c r="N330" s="71">
        <v>30099</v>
      </c>
      <c r="O330" s="66" t="s">
        <v>27</v>
      </c>
      <c r="P330" s="82" t="s">
        <v>2421</v>
      </c>
      <c r="Q330" s="84" t="s">
        <v>1117</v>
      </c>
      <c r="R330" s="84" t="s">
        <v>1068</v>
      </c>
      <c r="S330" s="84">
        <v>0.52800000000000002</v>
      </c>
      <c r="T330" s="82" t="s">
        <v>2368</v>
      </c>
      <c r="U330" s="84" t="s">
        <v>2255</v>
      </c>
      <c r="V330" s="54"/>
    </row>
    <row r="331" spans="1:22" s="11" customFormat="1" ht="45" customHeight="1" x14ac:dyDescent="0.2">
      <c r="A331" s="66" t="s">
        <v>2222</v>
      </c>
      <c r="B331" s="66" t="s">
        <v>1707</v>
      </c>
      <c r="C331" s="66" t="s">
        <v>2232</v>
      </c>
      <c r="D331" s="66">
        <v>4983164183757</v>
      </c>
      <c r="E331" s="68" t="s">
        <v>2422</v>
      </c>
      <c r="F331" s="66" t="s">
        <v>2423</v>
      </c>
      <c r="G331" s="71">
        <v>10269</v>
      </c>
      <c r="H331" s="73"/>
      <c r="I331" s="75">
        <v>0.2</v>
      </c>
      <c r="J331" s="77"/>
      <c r="K331" s="66"/>
      <c r="L331" s="66"/>
      <c r="M331" s="79" t="str">
        <f>HYPERLINK("http://www.pristavka.com/catalog/banpresto_series/BNS351/")</f>
        <v>http://www.pristavka.com/catalog/banpresto_series/BNS351/</v>
      </c>
      <c r="N331" s="71">
        <v>15799</v>
      </c>
      <c r="O331" s="66" t="s">
        <v>27</v>
      </c>
      <c r="P331" s="82" t="s">
        <v>2424</v>
      </c>
      <c r="Q331" s="84" t="s">
        <v>1117</v>
      </c>
      <c r="R331" s="84" t="s">
        <v>1068</v>
      </c>
      <c r="S331" s="84">
        <v>0.19800000000000001</v>
      </c>
      <c r="T331" s="82" t="s">
        <v>2284</v>
      </c>
      <c r="U331" s="84"/>
      <c r="V331" s="54"/>
    </row>
    <row r="332" spans="1:22" s="11" customFormat="1" ht="45" customHeight="1" x14ac:dyDescent="0.2">
      <c r="A332" s="66" t="s">
        <v>2222</v>
      </c>
      <c r="B332" s="66" t="s">
        <v>1707</v>
      </c>
      <c r="C332" s="66" t="s">
        <v>2222</v>
      </c>
      <c r="D332" s="66">
        <v>4983164174908</v>
      </c>
      <c r="E332" s="68" t="s">
        <v>2425</v>
      </c>
      <c r="F332" s="66" t="s">
        <v>2426</v>
      </c>
      <c r="G332" s="71">
        <v>17135</v>
      </c>
      <c r="H332" s="73"/>
      <c r="I332" s="75">
        <v>0.2</v>
      </c>
      <c r="J332" s="77"/>
      <c r="K332" s="66"/>
      <c r="L332" s="66"/>
      <c r="M332" s="79" t="str">
        <f>HYPERLINK("http://www.pristavka.com/catalog/banpresto_series/BNS958/")</f>
        <v>http://www.pristavka.com/catalog/banpresto_series/BNS958/</v>
      </c>
      <c r="N332" s="71">
        <v>26399</v>
      </c>
      <c r="O332" s="66" t="s">
        <v>28</v>
      </c>
      <c r="P332" s="82" t="s">
        <v>2427</v>
      </c>
      <c r="Q332" s="84" t="s">
        <v>1117</v>
      </c>
      <c r="R332" s="84" t="s">
        <v>1068</v>
      </c>
      <c r="S332" s="84">
        <v>0.26800000000000002</v>
      </c>
      <c r="T332" s="82" t="s">
        <v>2284</v>
      </c>
      <c r="U332" s="84"/>
      <c r="V332" s="54"/>
    </row>
    <row r="333" spans="1:22" s="11" customFormat="1" ht="45" customHeight="1" x14ac:dyDescent="0.2">
      <c r="A333" s="66" t="s">
        <v>2222</v>
      </c>
      <c r="B333" s="66" t="s">
        <v>1707</v>
      </c>
      <c r="C333" s="66" t="s">
        <v>2222</v>
      </c>
      <c r="D333" s="66" t="s">
        <v>2428</v>
      </c>
      <c r="E333" s="68" t="s">
        <v>2429</v>
      </c>
      <c r="F333" s="66" t="s">
        <v>2430</v>
      </c>
      <c r="G333" s="71">
        <v>19539</v>
      </c>
      <c r="H333" s="73"/>
      <c r="I333" s="75">
        <v>0.2</v>
      </c>
      <c r="J333" s="77"/>
      <c r="K333" s="66"/>
      <c r="L333" s="66"/>
      <c r="M333" s="79" t="str">
        <f>HYPERLINK("http://www.pristavka.com/catalog/banpresto_series/BNS846/")</f>
        <v>http://www.pristavka.com/catalog/banpresto_series/BNS846/</v>
      </c>
      <c r="N333" s="71">
        <v>30099</v>
      </c>
      <c r="O333" s="66" t="s">
        <v>28</v>
      </c>
      <c r="P333" s="82" t="s">
        <v>2431</v>
      </c>
      <c r="Q333" s="84" t="s">
        <v>1117</v>
      </c>
      <c r="R333" s="84" t="s">
        <v>1068</v>
      </c>
      <c r="S333" s="84">
        <v>0.35499999999999998</v>
      </c>
      <c r="T333" s="82" t="s">
        <v>2254</v>
      </c>
      <c r="U333" s="84" t="s">
        <v>2255</v>
      </c>
      <c r="V333" s="54"/>
    </row>
    <row r="334" spans="1:22" s="11" customFormat="1" ht="45" customHeight="1" x14ac:dyDescent="0.2">
      <c r="A334" s="66" t="s">
        <v>2222</v>
      </c>
      <c r="B334" s="66" t="s">
        <v>1707</v>
      </c>
      <c r="C334" s="66" t="s">
        <v>2222</v>
      </c>
      <c r="D334" s="66">
        <v>4983164184495</v>
      </c>
      <c r="E334" s="68" t="s">
        <v>2432</v>
      </c>
      <c r="F334" s="66" t="s">
        <v>2433</v>
      </c>
      <c r="G334" s="71">
        <v>10269</v>
      </c>
      <c r="H334" s="73"/>
      <c r="I334" s="75">
        <v>0.2</v>
      </c>
      <c r="J334" s="77"/>
      <c r="K334" s="66"/>
      <c r="L334" s="66"/>
      <c r="M334" s="79" t="str">
        <f>HYPERLINK("http://www.pristavka.com/catalog/banpresto_series/BNS326/")</f>
        <v>http://www.pristavka.com/catalog/banpresto_series/BNS326/</v>
      </c>
      <c r="N334" s="71">
        <v>15799</v>
      </c>
      <c r="O334" s="66" t="s">
        <v>27</v>
      </c>
      <c r="P334" s="82" t="s">
        <v>2434</v>
      </c>
      <c r="Q334" s="84" t="s">
        <v>1117</v>
      </c>
      <c r="R334" s="84" t="s">
        <v>1068</v>
      </c>
      <c r="S334" s="84">
        <v>0.155</v>
      </c>
      <c r="T334" s="82" t="s">
        <v>2284</v>
      </c>
      <c r="U334" s="84"/>
      <c r="V334" s="54"/>
    </row>
    <row r="335" spans="1:22" s="11" customFormat="1" ht="45" customHeight="1" x14ac:dyDescent="0.2">
      <c r="A335" s="66" t="s">
        <v>2222</v>
      </c>
      <c r="B335" s="66" t="s">
        <v>1707</v>
      </c>
      <c r="C335" s="66" t="s">
        <v>2232</v>
      </c>
      <c r="D335" s="66">
        <v>4983164181838</v>
      </c>
      <c r="E335" s="68" t="s">
        <v>2435</v>
      </c>
      <c r="F335" s="66" t="s">
        <v>2436</v>
      </c>
      <c r="G335" s="71">
        <v>10269</v>
      </c>
      <c r="H335" s="73"/>
      <c r="I335" s="75">
        <v>0.2</v>
      </c>
      <c r="J335" s="77"/>
      <c r="K335" s="66"/>
      <c r="L335" s="66"/>
      <c r="M335" s="79" t="str">
        <f>HYPERLINK("http://www.pristavka.com/catalog/banpresto_series/BNS345/")</f>
        <v>http://www.pristavka.com/catalog/banpresto_series/BNS345/</v>
      </c>
      <c r="N335" s="71">
        <v>15799</v>
      </c>
      <c r="O335" s="66" t="s">
        <v>27</v>
      </c>
      <c r="P335" s="82" t="s">
        <v>2437</v>
      </c>
      <c r="Q335" s="84" t="s">
        <v>1117</v>
      </c>
      <c r="R335" s="84" t="s">
        <v>1068</v>
      </c>
      <c r="S335" s="84">
        <v>0.17</v>
      </c>
      <c r="T335" s="82" t="s">
        <v>2284</v>
      </c>
      <c r="U335" s="84"/>
      <c r="V335" s="54"/>
    </row>
    <row r="336" spans="1:22" s="11" customFormat="1" ht="45" customHeight="1" x14ac:dyDescent="0.2">
      <c r="A336" s="66" t="s">
        <v>2222</v>
      </c>
      <c r="B336" s="66" t="s">
        <v>1707</v>
      </c>
      <c r="C336" s="66" t="s">
        <v>2232</v>
      </c>
      <c r="D336" s="66">
        <v>4983164183764</v>
      </c>
      <c r="E336" s="68" t="s">
        <v>2438</v>
      </c>
      <c r="F336" s="66" t="s">
        <v>2439</v>
      </c>
      <c r="G336" s="71">
        <v>10269</v>
      </c>
      <c r="H336" s="73"/>
      <c r="I336" s="75">
        <v>0.2</v>
      </c>
      <c r="J336" s="77"/>
      <c r="K336" s="66"/>
      <c r="L336" s="66"/>
      <c r="M336" s="79" t="str">
        <f>HYPERLINK("http://www.pristavka.com/catalog/banpresto_series/BNS349/")</f>
        <v>http://www.pristavka.com/catalog/banpresto_series/BNS349/</v>
      </c>
      <c r="N336" s="71">
        <v>15799</v>
      </c>
      <c r="O336" s="66" t="s">
        <v>27</v>
      </c>
      <c r="P336" s="82" t="s">
        <v>2440</v>
      </c>
      <c r="Q336" s="84" t="s">
        <v>1117</v>
      </c>
      <c r="R336" s="84" t="s">
        <v>1068</v>
      </c>
      <c r="S336" s="84">
        <v>0.222</v>
      </c>
      <c r="T336" s="82" t="s">
        <v>2284</v>
      </c>
      <c r="U336" s="84"/>
      <c r="V336" s="54"/>
    </row>
    <row r="337" spans="1:22" s="11" customFormat="1" ht="45" customHeight="1" x14ac:dyDescent="0.2">
      <c r="A337" s="66" t="s">
        <v>2222</v>
      </c>
      <c r="B337" s="66" t="s">
        <v>1707</v>
      </c>
      <c r="C337" s="66" t="s">
        <v>2232</v>
      </c>
      <c r="D337" s="66">
        <v>4983164183047</v>
      </c>
      <c r="E337" s="68" t="s">
        <v>2441</v>
      </c>
      <c r="F337" s="66" t="s">
        <v>2442</v>
      </c>
      <c r="G337" s="71">
        <v>10955</v>
      </c>
      <c r="H337" s="73"/>
      <c r="I337" s="75">
        <v>0.2</v>
      </c>
      <c r="J337" s="77"/>
      <c r="K337" s="66"/>
      <c r="L337" s="66"/>
      <c r="M337" s="79" t="str">
        <f>HYPERLINK("http://www.pristavka.com/catalog/banpresto_series/BNS356/")</f>
        <v>http://www.pristavka.com/catalog/banpresto_series/BNS356/</v>
      </c>
      <c r="N337" s="71">
        <v>16899</v>
      </c>
      <c r="O337" s="66" t="s">
        <v>27</v>
      </c>
      <c r="P337" s="82" t="s">
        <v>2443</v>
      </c>
      <c r="Q337" s="84" t="s">
        <v>1117</v>
      </c>
      <c r="R337" s="84" t="s">
        <v>1068</v>
      </c>
      <c r="S337" s="84">
        <v>0.19700000000000001</v>
      </c>
      <c r="T337" s="82" t="s">
        <v>2284</v>
      </c>
      <c r="U337" s="84"/>
      <c r="V337" s="54"/>
    </row>
    <row r="338" spans="1:22" s="11" customFormat="1" ht="45" customHeight="1" x14ac:dyDescent="0.2">
      <c r="A338" s="66" t="s">
        <v>2222</v>
      </c>
      <c r="B338" s="66" t="s">
        <v>1707</v>
      </c>
      <c r="C338" s="66" t="s">
        <v>2222</v>
      </c>
      <c r="D338" s="66" t="s">
        <v>2444</v>
      </c>
      <c r="E338" s="68" t="s">
        <v>2445</v>
      </c>
      <c r="F338" s="66" t="s">
        <v>2446</v>
      </c>
      <c r="G338" s="71">
        <v>16449</v>
      </c>
      <c r="H338" s="73"/>
      <c r="I338" s="75">
        <v>0.2</v>
      </c>
      <c r="J338" s="77"/>
      <c r="K338" s="66"/>
      <c r="L338" s="66"/>
      <c r="M338" s="79" t="str">
        <f>HYPERLINK("http://www.pristavka.com/catalog/banpresto_series/BNS849/")</f>
        <v>http://www.pristavka.com/catalog/banpresto_series/BNS849/</v>
      </c>
      <c r="N338" s="71">
        <v>25399</v>
      </c>
      <c r="O338" s="66" t="s">
        <v>27</v>
      </c>
      <c r="P338" s="82" t="s">
        <v>2447</v>
      </c>
      <c r="Q338" s="84" t="s">
        <v>1068</v>
      </c>
      <c r="R338" s="84" t="s">
        <v>1068</v>
      </c>
      <c r="S338" s="84">
        <v>0.21</v>
      </c>
      <c r="T338" s="82" t="s">
        <v>2284</v>
      </c>
      <c r="U338" s="84" t="s">
        <v>2255</v>
      </c>
      <c r="V338" s="54"/>
    </row>
    <row r="339" spans="1:22" s="11" customFormat="1" ht="45" customHeight="1" x14ac:dyDescent="0.2">
      <c r="A339" s="66" t="s">
        <v>2222</v>
      </c>
      <c r="B339" s="66" t="s">
        <v>1707</v>
      </c>
      <c r="C339" s="66" t="s">
        <v>2222</v>
      </c>
      <c r="D339" s="66">
        <v>4983164189131</v>
      </c>
      <c r="E339" s="68" t="s">
        <v>2448</v>
      </c>
      <c r="F339" s="66" t="s">
        <v>2449</v>
      </c>
      <c r="G339" s="71">
        <v>17135</v>
      </c>
      <c r="H339" s="73"/>
      <c r="I339" s="75">
        <v>0.2</v>
      </c>
      <c r="J339" s="77"/>
      <c r="K339" s="66"/>
      <c r="L339" s="66"/>
      <c r="M339" s="79" t="str">
        <f>HYPERLINK("http://www.pristavka.com/catalog/banpresto_series/BNS576/")</f>
        <v>http://www.pristavka.com/catalog/banpresto_series/BNS576/</v>
      </c>
      <c r="N339" s="71">
        <v>26399</v>
      </c>
      <c r="O339" s="66" t="s">
        <v>28</v>
      </c>
      <c r="P339" s="82" t="s">
        <v>2450</v>
      </c>
      <c r="Q339" s="84" t="s">
        <v>1068</v>
      </c>
      <c r="R339" s="84" t="s">
        <v>1068</v>
      </c>
      <c r="S339" s="84">
        <v>0.17199999999999999</v>
      </c>
      <c r="T339" s="82" t="s">
        <v>2276</v>
      </c>
      <c r="U339" s="84"/>
      <c r="V339" s="54"/>
    </row>
    <row r="340" spans="1:22" s="11" customFormat="1" ht="45" customHeight="1" x14ac:dyDescent="0.2">
      <c r="A340" s="66" t="s">
        <v>2222</v>
      </c>
      <c r="B340" s="66" t="s">
        <v>1707</v>
      </c>
      <c r="C340" s="66" t="s">
        <v>2222</v>
      </c>
      <c r="D340" s="66">
        <v>4983164189148</v>
      </c>
      <c r="E340" s="68" t="s">
        <v>2451</v>
      </c>
      <c r="F340" s="66" t="s">
        <v>2452</v>
      </c>
      <c r="G340" s="71">
        <v>16792</v>
      </c>
      <c r="H340" s="73"/>
      <c r="I340" s="75">
        <v>0.2</v>
      </c>
      <c r="J340" s="77"/>
      <c r="K340" s="66"/>
      <c r="L340" s="66"/>
      <c r="M340" s="79" t="str">
        <f>HYPERLINK("http://www.pristavka.com/catalog/banpresto_series/BNS577/")</f>
        <v>http://www.pristavka.com/catalog/banpresto_series/BNS577/</v>
      </c>
      <c r="N340" s="71">
        <v>25899</v>
      </c>
      <c r="O340" s="66" t="s">
        <v>28</v>
      </c>
      <c r="P340" s="82" t="s">
        <v>2453</v>
      </c>
      <c r="Q340" s="84" t="s">
        <v>1068</v>
      </c>
      <c r="R340" s="84" t="s">
        <v>1068</v>
      </c>
      <c r="S340" s="84">
        <v>0.17799999999999999</v>
      </c>
      <c r="T340" s="82" t="s">
        <v>2276</v>
      </c>
      <c r="U340" s="84"/>
      <c r="V340" s="54"/>
    </row>
    <row r="341" spans="1:22" s="11" customFormat="1" ht="45" customHeight="1" x14ac:dyDescent="0.2">
      <c r="A341" s="66" t="s">
        <v>2222</v>
      </c>
      <c r="B341" s="66" t="s">
        <v>1707</v>
      </c>
      <c r="C341" s="66" t="s">
        <v>2222</v>
      </c>
      <c r="D341" s="66">
        <v>4983164187007</v>
      </c>
      <c r="E341" s="68" t="s">
        <v>2454</v>
      </c>
      <c r="F341" s="66" t="s">
        <v>2455</v>
      </c>
      <c r="G341" s="71">
        <v>15762</v>
      </c>
      <c r="H341" s="73"/>
      <c r="I341" s="75">
        <v>0.2</v>
      </c>
      <c r="J341" s="77"/>
      <c r="K341" s="66"/>
      <c r="L341" s="66"/>
      <c r="M341" s="79" t="str">
        <f>HYPERLINK("http://www.pristavka.com/catalog/banpresto_series/BNS1029/")</f>
        <v>http://www.pristavka.com/catalog/banpresto_series/BNS1029/</v>
      </c>
      <c r="N341" s="71">
        <v>24299</v>
      </c>
      <c r="O341" s="66" t="s">
        <v>27</v>
      </c>
      <c r="P341" s="82" t="s">
        <v>2456</v>
      </c>
      <c r="Q341" s="84" t="s">
        <v>1068</v>
      </c>
      <c r="R341" s="84" t="s">
        <v>1068</v>
      </c>
      <c r="S341" s="84">
        <v>0.19700000000000001</v>
      </c>
      <c r="T341" s="82" t="s">
        <v>2293</v>
      </c>
      <c r="U341" s="84"/>
      <c r="V341" s="54"/>
    </row>
    <row r="342" spans="1:22" s="11" customFormat="1" ht="45" customHeight="1" x14ac:dyDescent="0.2">
      <c r="A342" s="66" t="s">
        <v>2222</v>
      </c>
      <c r="B342" s="66" t="s">
        <v>1707</v>
      </c>
      <c r="C342" s="66" t="s">
        <v>2222</v>
      </c>
      <c r="D342" s="66">
        <v>4983164186994</v>
      </c>
      <c r="E342" s="68" t="s">
        <v>2457</v>
      </c>
      <c r="F342" s="66" t="s">
        <v>2458</v>
      </c>
      <c r="G342" s="71">
        <v>15762</v>
      </c>
      <c r="H342" s="73"/>
      <c r="I342" s="75">
        <v>0.2</v>
      </c>
      <c r="J342" s="77"/>
      <c r="K342" s="66"/>
      <c r="L342" s="66"/>
      <c r="M342" s="79" t="str">
        <f>HYPERLINK("http://www.pristavka.com/catalog/banpresto_series/BNS1030/")</f>
        <v>http://www.pristavka.com/catalog/banpresto_series/BNS1030/</v>
      </c>
      <c r="N342" s="71">
        <v>24299</v>
      </c>
      <c r="O342" s="66" t="s">
        <v>27</v>
      </c>
      <c r="P342" s="82" t="s">
        <v>2459</v>
      </c>
      <c r="Q342" s="84" t="s">
        <v>1068</v>
      </c>
      <c r="R342" s="84" t="s">
        <v>1068</v>
      </c>
      <c r="S342" s="84">
        <v>0.189</v>
      </c>
      <c r="T342" s="82" t="s">
        <v>2293</v>
      </c>
      <c r="U342" s="84"/>
      <c r="V342" s="54"/>
    </row>
    <row r="343" spans="1:22" s="11" customFormat="1" ht="45" customHeight="1" x14ac:dyDescent="0.2">
      <c r="A343" s="66" t="s">
        <v>2222</v>
      </c>
      <c r="B343" s="66" t="s">
        <v>1707</v>
      </c>
      <c r="C343" s="66" t="s">
        <v>2222</v>
      </c>
      <c r="D343" s="66">
        <v>4983164890563</v>
      </c>
      <c r="E343" s="68" t="s">
        <v>2460</v>
      </c>
      <c r="F343" s="66" t="s">
        <v>2461</v>
      </c>
      <c r="G343" s="71">
        <v>19882</v>
      </c>
      <c r="H343" s="73"/>
      <c r="I343" s="75">
        <v>0.2</v>
      </c>
      <c r="J343" s="77"/>
      <c r="K343" s="66"/>
      <c r="L343" s="66"/>
      <c r="M343" s="79" t="str">
        <f>HYPERLINK("http://www.pristavka.com/catalog/banpresto_series/BNS1032/")</f>
        <v>http://www.pristavka.com/catalog/banpresto_series/BNS1032/</v>
      </c>
      <c r="N343" s="71">
        <v>30599</v>
      </c>
      <c r="O343" s="66" t="s">
        <v>27</v>
      </c>
      <c r="P343" s="82" t="s">
        <v>2462</v>
      </c>
      <c r="Q343" s="84" t="s">
        <v>1334</v>
      </c>
      <c r="R343" s="84" t="s">
        <v>1068</v>
      </c>
      <c r="S343" s="84">
        <v>0.24199999999999999</v>
      </c>
      <c r="T343" s="82" t="s">
        <v>2280</v>
      </c>
      <c r="U343" s="84"/>
      <c r="V343" s="54"/>
    </row>
    <row r="344" spans="1:22" s="11" customFormat="1" ht="45" customHeight="1" x14ac:dyDescent="0.2">
      <c r="A344" s="66" t="s">
        <v>2222</v>
      </c>
      <c r="B344" s="66" t="s">
        <v>1707</v>
      </c>
      <c r="C344" s="66" t="s">
        <v>2232</v>
      </c>
      <c r="D344" s="66">
        <v>4983164191684</v>
      </c>
      <c r="E344" s="68" t="s">
        <v>2463</v>
      </c>
      <c r="F344" s="66" t="s">
        <v>2464</v>
      </c>
      <c r="G344" s="71">
        <v>14383</v>
      </c>
      <c r="H344" s="73"/>
      <c r="I344" s="75">
        <v>0.2</v>
      </c>
      <c r="J344" s="77"/>
      <c r="K344" s="66"/>
      <c r="L344" s="66"/>
      <c r="M344" s="79" t="str">
        <f>HYPERLINK("http://www.pristavka.com/catalog/banpresto_series/BNS406/")</f>
        <v>http://www.pristavka.com/catalog/banpresto_series/BNS406/</v>
      </c>
      <c r="N344" s="71">
        <v>20599</v>
      </c>
      <c r="O344" s="66" t="s">
        <v>28</v>
      </c>
      <c r="P344" s="82" t="s">
        <v>2465</v>
      </c>
      <c r="Q344" s="84" t="s">
        <v>1545</v>
      </c>
      <c r="R344" s="84" t="s">
        <v>1068</v>
      </c>
      <c r="S344" s="84">
        <v>0.18</v>
      </c>
      <c r="T344" s="82" t="s">
        <v>2466</v>
      </c>
      <c r="U344" s="84"/>
      <c r="V344" s="54"/>
    </row>
    <row r="345" spans="1:22" s="11" customFormat="1" ht="45" customHeight="1" x14ac:dyDescent="0.2">
      <c r="A345" s="66" t="s">
        <v>2222</v>
      </c>
      <c r="B345" s="66" t="s">
        <v>1707</v>
      </c>
      <c r="C345" s="66" t="s">
        <v>2232</v>
      </c>
      <c r="D345" s="66">
        <v>4983164191660</v>
      </c>
      <c r="E345" s="68" t="s">
        <v>2467</v>
      </c>
      <c r="F345" s="66" t="s">
        <v>2468</v>
      </c>
      <c r="G345" s="71">
        <v>14383</v>
      </c>
      <c r="H345" s="73"/>
      <c r="I345" s="75">
        <v>0.2</v>
      </c>
      <c r="J345" s="77"/>
      <c r="K345" s="66"/>
      <c r="L345" s="66"/>
      <c r="M345" s="79" t="str">
        <f>HYPERLINK("http://www.pristavka.com/catalog/banpresto_series/BNS404/")</f>
        <v>http://www.pristavka.com/catalog/banpresto_series/BNS404/</v>
      </c>
      <c r="N345" s="71">
        <v>20599</v>
      </c>
      <c r="O345" s="66" t="s">
        <v>27</v>
      </c>
      <c r="P345" s="82" t="s">
        <v>2469</v>
      </c>
      <c r="Q345" s="84" t="s">
        <v>1545</v>
      </c>
      <c r="R345" s="84" t="s">
        <v>1068</v>
      </c>
      <c r="S345" s="84">
        <v>0.18</v>
      </c>
      <c r="T345" s="82" t="s">
        <v>2466</v>
      </c>
      <c r="U345" s="84"/>
      <c r="V345" s="54"/>
    </row>
    <row r="346" spans="1:22" s="11" customFormat="1" ht="45" customHeight="1" x14ac:dyDescent="0.2">
      <c r="A346" s="66" t="s">
        <v>2222</v>
      </c>
      <c r="B346" s="66" t="s">
        <v>1707</v>
      </c>
      <c r="C346" s="66" t="s">
        <v>2232</v>
      </c>
      <c r="D346" s="66">
        <v>4983164191677</v>
      </c>
      <c r="E346" s="68" t="s">
        <v>2470</v>
      </c>
      <c r="F346" s="66" t="s">
        <v>2471</v>
      </c>
      <c r="G346" s="71">
        <v>14383</v>
      </c>
      <c r="H346" s="73"/>
      <c r="I346" s="75">
        <v>0.2</v>
      </c>
      <c r="J346" s="77"/>
      <c r="K346" s="66"/>
      <c r="L346" s="66"/>
      <c r="M346" s="79" t="str">
        <f>HYPERLINK("http://www.pristavka.com/catalog/banpresto_series/BNS405/")</f>
        <v>http://www.pristavka.com/catalog/banpresto_series/BNS405/</v>
      </c>
      <c r="N346" s="71">
        <v>20599</v>
      </c>
      <c r="O346" s="66" t="s">
        <v>27</v>
      </c>
      <c r="P346" s="82" t="s">
        <v>2472</v>
      </c>
      <c r="Q346" s="84" t="s">
        <v>1545</v>
      </c>
      <c r="R346" s="84" t="s">
        <v>1068</v>
      </c>
      <c r="S346" s="84">
        <v>0.18</v>
      </c>
      <c r="T346" s="82" t="s">
        <v>2466</v>
      </c>
      <c r="U346" s="84"/>
      <c r="V346" s="54"/>
    </row>
    <row r="347" spans="1:22" s="11" customFormat="1" ht="45" customHeight="1" x14ac:dyDescent="0.2">
      <c r="A347" s="66" t="s">
        <v>2222</v>
      </c>
      <c r="B347" s="66" t="s">
        <v>1707</v>
      </c>
      <c r="C347" s="66" t="s">
        <v>2232</v>
      </c>
      <c r="D347" s="66">
        <v>3701405812263</v>
      </c>
      <c r="E347" s="68" t="s">
        <v>2473</v>
      </c>
      <c r="F347" s="66" t="s">
        <v>2474</v>
      </c>
      <c r="G347" s="71">
        <v>3428</v>
      </c>
      <c r="H347" s="73"/>
      <c r="I347" s="75">
        <v>0.2</v>
      </c>
      <c r="J347" s="77"/>
      <c r="K347" s="66"/>
      <c r="L347" s="66"/>
      <c r="M347" s="79" t="str">
        <f>HYPERLINK("http://www.pristavka.com/catalog/banpresto_series/BNS819/")</f>
        <v>http://www.pristavka.com/catalog/banpresto_series/BNS819/</v>
      </c>
      <c r="N347" s="71">
        <v>5299</v>
      </c>
      <c r="O347" s="66" t="s">
        <v>27</v>
      </c>
      <c r="P347" s="82" t="s">
        <v>2475</v>
      </c>
      <c r="Q347" s="84" t="s">
        <v>1545</v>
      </c>
      <c r="R347" s="84" t="s">
        <v>1068</v>
      </c>
      <c r="S347" s="84">
        <v>8.5000000000000006E-2</v>
      </c>
      <c r="T347" s="82" t="s">
        <v>2476</v>
      </c>
      <c r="U347" s="84"/>
      <c r="V347" s="54"/>
    </row>
    <row r="348" spans="1:22" s="11" customFormat="1" ht="45" customHeight="1" x14ac:dyDescent="0.2">
      <c r="A348" s="66" t="s">
        <v>2222</v>
      </c>
      <c r="B348" s="66" t="s">
        <v>1707</v>
      </c>
      <c r="C348" s="66" t="s">
        <v>2222</v>
      </c>
      <c r="D348" s="66" t="s">
        <v>2477</v>
      </c>
      <c r="E348" s="68" t="s">
        <v>2478</v>
      </c>
      <c r="F348" s="66" t="s">
        <v>2479</v>
      </c>
      <c r="G348" s="71">
        <v>17822</v>
      </c>
      <c r="H348" s="73"/>
      <c r="I348" s="75">
        <v>0.2</v>
      </c>
      <c r="J348" s="77"/>
      <c r="K348" s="66"/>
      <c r="L348" s="66"/>
      <c r="M348" s="79" t="str">
        <f>HYPERLINK("http://www.pristavka.com/catalog/banpresto_series/BNS861/")</f>
        <v>http://www.pristavka.com/catalog/banpresto_series/BNS861/</v>
      </c>
      <c r="N348" s="71">
        <v>27499</v>
      </c>
      <c r="O348" s="66" t="s">
        <v>27</v>
      </c>
      <c r="P348" s="82" t="s">
        <v>2480</v>
      </c>
      <c r="Q348" s="84" t="s">
        <v>1068</v>
      </c>
      <c r="R348" s="84" t="s">
        <v>1068</v>
      </c>
      <c r="S348" s="84">
        <v>0.20300000000000001</v>
      </c>
      <c r="T348" s="82" t="s">
        <v>2284</v>
      </c>
      <c r="U348" s="84" t="s">
        <v>2255</v>
      </c>
      <c r="V348" s="54"/>
    </row>
    <row r="349" spans="1:22" s="11" customFormat="1" ht="45" customHeight="1" x14ac:dyDescent="0.2">
      <c r="A349" s="66" t="s">
        <v>2222</v>
      </c>
      <c r="B349" s="66" t="s">
        <v>1707</v>
      </c>
      <c r="C349" s="66" t="s">
        <v>2222</v>
      </c>
      <c r="D349" s="66" t="s">
        <v>2481</v>
      </c>
      <c r="E349" s="68" t="s">
        <v>2482</v>
      </c>
      <c r="F349" s="66" t="s">
        <v>2483</v>
      </c>
      <c r="G349" s="71">
        <v>19196</v>
      </c>
      <c r="H349" s="73"/>
      <c r="I349" s="75">
        <v>0.2</v>
      </c>
      <c r="J349" s="77"/>
      <c r="K349" s="66"/>
      <c r="L349" s="66"/>
      <c r="M349" s="79" t="str">
        <f>HYPERLINK("http://www.pristavka.com/catalog/banpresto_series/BNS864/")</f>
        <v>http://www.pristavka.com/catalog/banpresto_series/BNS864/</v>
      </c>
      <c r="N349" s="71">
        <v>29599</v>
      </c>
      <c r="O349" s="66" t="s">
        <v>28</v>
      </c>
      <c r="P349" s="82" t="s">
        <v>2484</v>
      </c>
      <c r="Q349" s="84" t="s">
        <v>1334</v>
      </c>
      <c r="R349" s="84" t="s">
        <v>1068</v>
      </c>
      <c r="S349" s="84">
        <v>0.26500000000000001</v>
      </c>
      <c r="T349" s="82" t="s">
        <v>2284</v>
      </c>
      <c r="U349" s="84" t="s">
        <v>2255</v>
      </c>
      <c r="V349" s="54"/>
    </row>
    <row r="350" spans="1:22" s="11" customFormat="1" ht="45" customHeight="1" x14ac:dyDescent="0.2">
      <c r="A350" s="66" t="s">
        <v>2222</v>
      </c>
      <c r="B350" s="66" t="s">
        <v>1707</v>
      </c>
      <c r="C350" s="66" t="s">
        <v>2222</v>
      </c>
      <c r="D350" s="66">
        <v>4983164886528</v>
      </c>
      <c r="E350" s="68" t="s">
        <v>2485</v>
      </c>
      <c r="F350" s="66" t="s">
        <v>2486</v>
      </c>
      <c r="G350" s="71">
        <v>17135</v>
      </c>
      <c r="H350" s="73"/>
      <c r="I350" s="75">
        <v>0.2</v>
      </c>
      <c r="J350" s="77"/>
      <c r="K350" s="66"/>
      <c r="L350" s="66"/>
      <c r="M350" s="79" t="str">
        <f>HYPERLINK("http://www.pristavka.com/catalog/banpresto_series/BNS930/")</f>
        <v>http://www.pristavka.com/catalog/banpresto_series/BNS930/</v>
      </c>
      <c r="N350" s="71">
        <v>26399</v>
      </c>
      <c r="O350" s="66" t="s">
        <v>27</v>
      </c>
      <c r="P350" s="82" t="s">
        <v>2487</v>
      </c>
      <c r="Q350" s="84" t="s">
        <v>1334</v>
      </c>
      <c r="R350" s="84" t="s">
        <v>1068</v>
      </c>
      <c r="S350" s="84">
        <v>0.23400000000000001</v>
      </c>
      <c r="T350" s="82" t="s">
        <v>2259</v>
      </c>
      <c r="U350" s="84"/>
      <c r="V350" s="54"/>
    </row>
    <row r="351" spans="1:22" s="11" customFormat="1" ht="45" customHeight="1" x14ac:dyDescent="0.2">
      <c r="A351" s="66" t="s">
        <v>2222</v>
      </c>
      <c r="B351" s="66" t="s">
        <v>1707</v>
      </c>
      <c r="C351" s="66" t="s">
        <v>2222</v>
      </c>
      <c r="D351" s="66">
        <v>4983164893410</v>
      </c>
      <c r="E351" s="68" t="s">
        <v>2488</v>
      </c>
      <c r="F351" s="66" t="s">
        <v>2489</v>
      </c>
      <c r="G351" s="71">
        <v>17135</v>
      </c>
      <c r="H351" s="73"/>
      <c r="I351" s="75">
        <v>0.2</v>
      </c>
      <c r="J351" s="77"/>
      <c r="K351" s="66"/>
      <c r="L351" s="66"/>
      <c r="M351" s="79" t="str">
        <f>HYPERLINK("http://www.pristavka.com/catalog/banpresto_series/BNS984/")</f>
        <v>http://www.pristavka.com/catalog/banpresto_series/BNS984/</v>
      </c>
      <c r="N351" s="71">
        <v>26399</v>
      </c>
      <c r="O351" s="66" t="s">
        <v>27</v>
      </c>
      <c r="P351" s="82" t="s">
        <v>2490</v>
      </c>
      <c r="Q351" s="84" t="s">
        <v>1334</v>
      </c>
      <c r="R351" s="84" t="s">
        <v>1068</v>
      </c>
      <c r="S351" s="84">
        <v>0.313</v>
      </c>
      <c r="T351" s="82" t="s">
        <v>2284</v>
      </c>
      <c r="U351" s="84"/>
      <c r="V351" s="54"/>
    </row>
    <row r="352" spans="1:22" s="11" customFormat="1" ht="45" customHeight="1" x14ac:dyDescent="0.2">
      <c r="A352" s="66" t="s">
        <v>2222</v>
      </c>
      <c r="B352" s="66" t="s">
        <v>1707</v>
      </c>
      <c r="C352" s="66" t="s">
        <v>2222</v>
      </c>
      <c r="D352" s="66">
        <v>4983164192896</v>
      </c>
      <c r="E352" s="68" t="s">
        <v>2491</v>
      </c>
      <c r="F352" s="66" t="s">
        <v>2492</v>
      </c>
      <c r="G352" s="71">
        <v>16449</v>
      </c>
      <c r="H352" s="73"/>
      <c r="I352" s="75">
        <v>0.2</v>
      </c>
      <c r="J352" s="77"/>
      <c r="K352" s="66"/>
      <c r="L352" s="66"/>
      <c r="M352" s="79" t="str">
        <f>HYPERLINK("http://www.pristavka.com/catalog/banpresto_series/BNS521/")</f>
        <v>http://www.pristavka.com/catalog/banpresto_series/BNS521/</v>
      </c>
      <c r="N352" s="71">
        <v>25399</v>
      </c>
      <c r="O352" s="66" t="s">
        <v>27</v>
      </c>
      <c r="P352" s="82" t="s">
        <v>2493</v>
      </c>
      <c r="Q352" s="84" t="s">
        <v>1334</v>
      </c>
      <c r="R352" s="84" t="s">
        <v>1068</v>
      </c>
      <c r="S352" s="84">
        <v>0.29599999999999999</v>
      </c>
      <c r="T352" s="82" t="s">
        <v>2263</v>
      </c>
      <c r="U352" s="84"/>
      <c r="V352" s="54"/>
    </row>
    <row r="353" spans="1:22" s="11" customFormat="1" ht="45" customHeight="1" x14ac:dyDescent="0.2">
      <c r="A353" s="66" t="s">
        <v>2222</v>
      </c>
      <c r="B353" s="66" t="s">
        <v>1707</v>
      </c>
      <c r="C353" s="66" t="s">
        <v>2222</v>
      </c>
      <c r="D353" s="66">
        <v>4983164883602</v>
      </c>
      <c r="E353" s="68" t="s">
        <v>2494</v>
      </c>
      <c r="F353" s="66" t="s">
        <v>2495</v>
      </c>
      <c r="G353" s="71">
        <v>17135</v>
      </c>
      <c r="H353" s="73"/>
      <c r="I353" s="75">
        <v>0.2</v>
      </c>
      <c r="J353" s="77"/>
      <c r="K353" s="66"/>
      <c r="L353" s="66"/>
      <c r="M353" s="79" t="str">
        <f>HYPERLINK("http://www.pristavka.com/catalog/banpresto_series/BNS949/")</f>
        <v>http://www.pristavka.com/catalog/banpresto_series/BNS949/</v>
      </c>
      <c r="N353" s="71">
        <v>26399</v>
      </c>
      <c r="O353" s="66" t="s">
        <v>27</v>
      </c>
      <c r="P353" s="82" t="s">
        <v>2496</v>
      </c>
      <c r="Q353" s="84" t="s">
        <v>1334</v>
      </c>
      <c r="R353" s="84" t="s">
        <v>1068</v>
      </c>
      <c r="S353" s="84">
        <v>0.318</v>
      </c>
      <c r="T353" s="82" t="s">
        <v>2254</v>
      </c>
      <c r="U353" s="84"/>
      <c r="V353" s="54"/>
    </row>
    <row r="354" spans="1:22" s="11" customFormat="1" ht="45" customHeight="1" x14ac:dyDescent="0.2">
      <c r="A354" s="66" t="s">
        <v>2222</v>
      </c>
      <c r="B354" s="66" t="s">
        <v>1707</v>
      </c>
      <c r="C354" s="66" t="s">
        <v>2232</v>
      </c>
      <c r="D354" s="66">
        <v>4549660633839</v>
      </c>
      <c r="E354" s="68" t="s">
        <v>2497</v>
      </c>
      <c r="F354" s="66" t="s">
        <v>2498</v>
      </c>
      <c r="G354" s="71">
        <v>3428</v>
      </c>
      <c r="H354" s="73"/>
      <c r="I354" s="75">
        <v>0.2</v>
      </c>
      <c r="J354" s="77"/>
      <c r="K354" s="66"/>
      <c r="L354" s="66"/>
      <c r="M354" s="79" t="str">
        <f>HYPERLINK("http://www.pristavka.com/catalog/banpresto_series/BNS817/")</f>
        <v>http://www.pristavka.com/catalog/banpresto_series/BNS817/</v>
      </c>
      <c r="N354" s="71">
        <v>5299</v>
      </c>
      <c r="O354" s="66" t="s">
        <v>27</v>
      </c>
      <c r="P354" s="82" t="s">
        <v>2499</v>
      </c>
      <c r="Q354" s="84" t="s">
        <v>1334</v>
      </c>
      <c r="R354" s="84" t="s">
        <v>1068</v>
      </c>
      <c r="S354" s="84">
        <v>0.08</v>
      </c>
      <c r="T354" s="82" t="s">
        <v>2476</v>
      </c>
      <c r="U354" s="84"/>
      <c r="V354" s="54"/>
    </row>
    <row r="355" spans="1:22" s="11" customFormat="1" ht="45" customHeight="1" x14ac:dyDescent="0.2">
      <c r="A355" s="66" t="s">
        <v>2222</v>
      </c>
      <c r="B355" s="66" t="s">
        <v>1707</v>
      </c>
      <c r="C355" s="66" t="s">
        <v>2232</v>
      </c>
      <c r="D355" s="66">
        <v>4549660779636</v>
      </c>
      <c r="E355" s="68" t="s">
        <v>2500</v>
      </c>
      <c r="F355" s="66" t="s">
        <v>2501</v>
      </c>
      <c r="G355" s="71">
        <v>3428</v>
      </c>
      <c r="H355" s="73"/>
      <c r="I355" s="75">
        <v>0.2</v>
      </c>
      <c r="J355" s="77"/>
      <c r="K355" s="66"/>
      <c r="L355" s="66"/>
      <c r="M355" s="79" t="str">
        <f>HYPERLINK("http://www.pristavka.com/catalog/banpresto_series/BNS818/")</f>
        <v>http://www.pristavka.com/catalog/banpresto_series/BNS818/</v>
      </c>
      <c r="N355" s="71">
        <v>5299</v>
      </c>
      <c r="O355" s="66" t="s">
        <v>27</v>
      </c>
      <c r="P355" s="82" t="s">
        <v>2502</v>
      </c>
      <c r="Q355" s="84" t="s">
        <v>1334</v>
      </c>
      <c r="R355" s="84" t="s">
        <v>1068</v>
      </c>
      <c r="S355" s="84">
        <v>8.5999999999999993E-2</v>
      </c>
      <c r="T355" s="82" t="s">
        <v>2503</v>
      </c>
      <c r="U355" s="84"/>
      <c r="V355" s="54"/>
    </row>
    <row r="356" spans="1:22" s="11" customFormat="1" ht="45" customHeight="1" x14ac:dyDescent="0.2">
      <c r="A356" s="66" t="s">
        <v>2222</v>
      </c>
      <c r="B356" s="66" t="s">
        <v>1707</v>
      </c>
      <c r="C356" s="66" t="s">
        <v>2222</v>
      </c>
      <c r="D356" s="66">
        <v>4983164883633</v>
      </c>
      <c r="E356" s="68" t="s">
        <v>2504</v>
      </c>
      <c r="F356" s="66" t="s">
        <v>2505</v>
      </c>
      <c r="G356" s="71">
        <v>17135</v>
      </c>
      <c r="H356" s="73"/>
      <c r="I356" s="75">
        <v>0.2</v>
      </c>
      <c r="J356" s="77"/>
      <c r="K356" s="66"/>
      <c r="L356" s="66"/>
      <c r="M356" s="79" t="str">
        <f>HYPERLINK("http://www.pristavka.com/catalog/banpresto_series/BNS945/")</f>
        <v>http://www.pristavka.com/catalog/banpresto_series/BNS945/</v>
      </c>
      <c r="N356" s="71">
        <v>26399</v>
      </c>
      <c r="O356" s="66" t="s">
        <v>28</v>
      </c>
      <c r="P356" s="82" t="s">
        <v>2506</v>
      </c>
      <c r="Q356" s="84" t="s">
        <v>1334</v>
      </c>
      <c r="R356" s="84" t="s">
        <v>1068</v>
      </c>
      <c r="S356" s="84">
        <v>0.375</v>
      </c>
      <c r="T356" s="82" t="s">
        <v>2254</v>
      </c>
      <c r="U356" s="84"/>
      <c r="V356" s="54"/>
    </row>
    <row r="357" spans="1:22" s="11" customFormat="1" ht="45" customHeight="1" x14ac:dyDescent="0.2">
      <c r="A357" s="66" t="s">
        <v>2222</v>
      </c>
      <c r="B357" s="66" t="s">
        <v>1707</v>
      </c>
      <c r="C357" s="66" t="s">
        <v>2222</v>
      </c>
      <c r="D357" s="66">
        <v>4983164886139</v>
      </c>
      <c r="E357" s="68" t="s">
        <v>2507</v>
      </c>
      <c r="F357" s="66" t="s">
        <v>2508</v>
      </c>
      <c r="G357" s="71">
        <v>30182</v>
      </c>
      <c r="H357" s="73"/>
      <c r="I357" s="75">
        <v>0.2</v>
      </c>
      <c r="J357" s="77"/>
      <c r="K357" s="66"/>
      <c r="L357" s="66"/>
      <c r="M357" s="79" t="str">
        <f>HYPERLINK("http://www.pristavka.com/catalog/banpresto_series/BNS925/")</f>
        <v>http://www.pristavka.com/catalog/banpresto_series/BNS925/</v>
      </c>
      <c r="N357" s="71">
        <v>46499</v>
      </c>
      <c r="O357" s="66" t="s">
        <v>27</v>
      </c>
      <c r="P357" s="82" t="s">
        <v>2509</v>
      </c>
      <c r="Q357" s="84" t="s">
        <v>1334</v>
      </c>
      <c r="R357" s="84" t="s">
        <v>1068</v>
      </c>
      <c r="S357" s="84">
        <v>0.31</v>
      </c>
      <c r="T357" s="82" t="s">
        <v>2254</v>
      </c>
      <c r="U357" s="84"/>
      <c r="V357" s="54"/>
    </row>
    <row r="358" spans="1:22" s="11" customFormat="1" ht="45" customHeight="1" x14ac:dyDescent="0.2">
      <c r="A358" s="66" t="s">
        <v>2222</v>
      </c>
      <c r="B358" s="66" t="s">
        <v>1707</v>
      </c>
      <c r="C358" s="66" t="s">
        <v>2222</v>
      </c>
      <c r="D358" s="66">
        <v>4983164886535</v>
      </c>
      <c r="E358" s="68" t="s">
        <v>2510</v>
      </c>
      <c r="F358" s="66" t="s">
        <v>2511</v>
      </c>
      <c r="G358" s="71">
        <v>17135</v>
      </c>
      <c r="H358" s="73"/>
      <c r="I358" s="75">
        <v>0.2</v>
      </c>
      <c r="J358" s="77"/>
      <c r="K358" s="66"/>
      <c r="L358" s="66"/>
      <c r="M358" s="79" t="str">
        <f>HYPERLINK("http://www.pristavka.com/catalog/banpresto_series/BNS927/")</f>
        <v>http://www.pristavka.com/catalog/banpresto_series/BNS927/</v>
      </c>
      <c r="N358" s="71">
        <v>26399</v>
      </c>
      <c r="O358" s="66" t="s">
        <v>27</v>
      </c>
      <c r="P358" s="82" t="s">
        <v>2512</v>
      </c>
      <c r="Q358" s="84" t="s">
        <v>1334</v>
      </c>
      <c r="R358" s="84" t="s">
        <v>1068</v>
      </c>
      <c r="S358" s="84">
        <v>0.39500000000000002</v>
      </c>
      <c r="T358" s="82" t="s">
        <v>2254</v>
      </c>
      <c r="U358" s="84"/>
      <c r="V358" s="54"/>
    </row>
    <row r="359" spans="1:22" s="11" customFormat="1" ht="45" customHeight="1" x14ac:dyDescent="0.2">
      <c r="A359" s="66" t="s">
        <v>2222</v>
      </c>
      <c r="B359" s="66" t="s">
        <v>1707</v>
      </c>
      <c r="C359" s="66" t="s">
        <v>2232</v>
      </c>
      <c r="D359" s="66">
        <v>4983164184440</v>
      </c>
      <c r="E359" s="68" t="s">
        <v>2513</v>
      </c>
      <c r="F359" s="66" t="s">
        <v>2514</v>
      </c>
      <c r="G359" s="71">
        <v>10269</v>
      </c>
      <c r="H359" s="73"/>
      <c r="I359" s="75">
        <v>0.2</v>
      </c>
      <c r="J359" s="77"/>
      <c r="K359" s="66"/>
      <c r="L359" s="66"/>
      <c r="M359" s="79" t="str">
        <f>HYPERLINK("http://www.pristavka.com/catalog/banpresto_series/BNS388/")</f>
        <v>http://www.pristavka.com/catalog/banpresto_series/BNS388/</v>
      </c>
      <c r="N359" s="71">
        <v>15799</v>
      </c>
      <c r="O359" s="66" t="s">
        <v>27</v>
      </c>
      <c r="P359" s="82" t="s">
        <v>2515</v>
      </c>
      <c r="Q359" s="84" t="s">
        <v>1334</v>
      </c>
      <c r="R359" s="84" t="s">
        <v>1068</v>
      </c>
      <c r="S359" s="84">
        <v>0.35</v>
      </c>
      <c r="T359" s="82" t="s">
        <v>2516</v>
      </c>
      <c r="U359" s="84"/>
      <c r="V359" s="54"/>
    </row>
    <row r="360" spans="1:22" s="11" customFormat="1" ht="45" customHeight="1" x14ac:dyDescent="0.2">
      <c r="A360" s="66" t="s">
        <v>2222</v>
      </c>
      <c r="B360" s="66" t="s">
        <v>1707</v>
      </c>
      <c r="C360" s="66" t="s">
        <v>2222</v>
      </c>
      <c r="D360" s="66">
        <v>4983164886146</v>
      </c>
      <c r="E360" s="68" t="s">
        <v>2517</v>
      </c>
      <c r="F360" s="66" t="s">
        <v>2518</v>
      </c>
      <c r="G360" s="71">
        <v>30182</v>
      </c>
      <c r="H360" s="73"/>
      <c r="I360" s="75">
        <v>0.2</v>
      </c>
      <c r="J360" s="77"/>
      <c r="K360" s="66"/>
      <c r="L360" s="66"/>
      <c r="M360" s="79" t="str">
        <f>HYPERLINK("http://www.pristavka.com/catalog/banpresto_series/BNS926/")</f>
        <v>http://www.pristavka.com/catalog/banpresto_series/BNS926/</v>
      </c>
      <c r="N360" s="71">
        <v>46499</v>
      </c>
      <c r="O360" s="66" t="s">
        <v>28</v>
      </c>
      <c r="P360" s="82" t="s">
        <v>2519</v>
      </c>
      <c r="Q360" s="84" t="s">
        <v>1334</v>
      </c>
      <c r="R360" s="84" t="s">
        <v>1068</v>
      </c>
      <c r="S360" s="84">
        <v>0.316</v>
      </c>
      <c r="T360" s="82" t="s">
        <v>2520</v>
      </c>
      <c r="U360" s="84"/>
      <c r="V360" s="54"/>
    </row>
    <row r="361" spans="1:22" s="11" customFormat="1" ht="45" customHeight="1" x14ac:dyDescent="0.2">
      <c r="A361" s="66" t="s">
        <v>2222</v>
      </c>
      <c r="B361" s="66" t="s">
        <v>1707</v>
      </c>
      <c r="C361" s="66" t="s">
        <v>2222</v>
      </c>
      <c r="D361" s="66">
        <v>4983164888683</v>
      </c>
      <c r="E361" s="68" t="s">
        <v>2521</v>
      </c>
      <c r="F361" s="66" t="s">
        <v>2522</v>
      </c>
      <c r="G361" s="71">
        <v>17135</v>
      </c>
      <c r="H361" s="73"/>
      <c r="I361" s="75">
        <v>0.2</v>
      </c>
      <c r="J361" s="77"/>
      <c r="K361" s="66"/>
      <c r="L361" s="66"/>
      <c r="M361" s="79" t="str">
        <f>HYPERLINK("http://www.pristavka.com/catalog/banpresto_series/BNS937/")</f>
        <v>http://www.pristavka.com/catalog/banpresto_series/BNS937/</v>
      </c>
      <c r="N361" s="71">
        <v>26399</v>
      </c>
      <c r="O361" s="66" t="s">
        <v>27</v>
      </c>
      <c r="P361" s="82" t="s">
        <v>2523</v>
      </c>
      <c r="Q361" s="84" t="s">
        <v>1334</v>
      </c>
      <c r="R361" s="84" t="s">
        <v>1068</v>
      </c>
      <c r="S361" s="84">
        <v>0.20499999999999999</v>
      </c>
      <c r="T361" s="82" t="s">
        <v>2284</v>
      </c>
      <c r="U361" s="84"/>
      <c r="V361" s="54"/>
    </row>
    <row r="362" spans="1:22" s="11" customFormat="1" ht="45" customHeight="1" x14ac:dyDescent="0.2">
      <c r="A362" s="66" t="s">
        <v>2222</v>
      </c>
      <c r="B362" s="66" t="s">
        <v>1707</v>
      </c>
      <c r="C362" s="66" t="s">
        <v>2222</v>
      </c>
      <c r="D362" s="66">
        <v>4983164887648</v>
      </c>
      <c r="E362" s="68" t="s">
        <v>2524</v>
      </c>
      <c r="F362" s="66" t="s">
        <v>2525</v>
      </c>
      <c r="G362" s="71">
        <v>18509</v>
      </c>
      <c r="H362" s="73"/>
      <c r="I362" s="75">
        <v>0.2</v>
      </c>
      <c r="J362" s="77"/>
      <c r="K362" s="66"/>
      <c r="L362" s="66"/>
      <c r="M362" s="79" t="str">
        <f>HYPERLINK("http://www.pristavka.com/catalog/banpresto_series/BNS933/")</f>
        <v>http://www.pristavka.com/catalog/banpresto_series/BNS933/</v>
      </c>
      <c r="N362" s="71">
        <v>28499</v>
      </c>
      <c r="O362" s="66" t="s">
        <v>27</v>
      </c>
      <c r="P362" s="82" t="s">
        <v>2526</v>
      </c>
      <c r="Q362" s="84" t="s">
        <v>1334</v>
      </c>
      <c r="R362" s="84" t="s">
        <v>1068</v>
      </c>
      <c r="S362" s="84">
        <v>0.34300000000000003</v>
      </c>
      <c r="T362" s="82" t="s">
        <v>2254</v>
      </c>
      <c r="U362" s="84"/>
      <c r="V362" s="54"/>
    </row>
    <row r="363" spans="1:22" s="11" customFormat="1" ht="45" customHeight="1" x14ac:dyDescent="0.2">
      <c r="A363" s="66" t="s">
        <v>2222</v>
      </c>
      <c r="B363" s="66" t="s">
        <v>1707</v>
      </c>
      <c r="C363" s="66" t="s">
        <v>2222</v>
      </c>
      <c r="D363" s="66">
        <v>4983164881387</v>
      </c>
      <c r="E363" s="68" t="s">
        <v>2527</v>
      </c>
      <c r="F363" s="66" t="s">
        <v>2528</v>
      </c>
      <c r="G363" s="71">
        <v>18165</v>
      </c>
      <c r="H363" s="73"/>
      <c r="I363" s="75">
        <v>0.2</v>
      </c>
      <c r="J363" s="77"/>
      <c r="K363" s="66"/>
      <c r="L363" s="66"/>
      <c r="M363" s="79" t="str">
        <f>HYPERLINK("http://www.pristavka.com/catalog/banpresto_series/BNS786/")</f>
        <v>http://www.pristavka.com/catalog/banpresto_series/BNS786/</v>
      </c>
      <c r="N363" s="71">
        <v>27999</v>
      </c>
      <c r="O363" s="66" t="s">
        <v>27</v>
      </c>
      <c r="P363" s="82" t="s">
        <v>2529</v>
      </c>
      <c r="Q363" s="84" t="s">
        <v>1334</v>
      </c>
      <c r="R363" s="84" t="s">
        <v>1068</v>
      </c>
      <c r="S363" s="84">
        <v>0.27200000000000002</v>
      </c>
      <c r="T363" s="82" t="s">
        <v>2530</v>
      </c>
      <c r="U363" s="84"/>
      <c r="V363" s="54"/>
    </row>
    <row r="364" spans="1:22" s="11" customFormat="1" ht="45" customHeight="1" x14ac:dyDescent="0.2">
      <c r="A364" s="66" t="s">
        <v>2222</v>
      </c>
      <c r="B364" s="66" t="s">
        <v>1707</v>
      </c>
      <c r="C364" s="66" t="s">
        <v>2222</v>
      </c>
      <c r="D364" s="66">
        <v>4983164195521</v>
      </c>
      <c r="E364" s="68" t="s">
        <v>2531</v>
      </c>
      <c r="F364" s="66" t="s">
        <v>2532</v>
      </c>
      <c r="G364" s="71">
        <v>17135</v>
      </c>
      <c r="H364" s="73"/>
      <c r="I364" s="75">
        <v>0.2</v>
      </c>
      <c r="J364" s="77"/>
      <c r="K364" s="66"/>
      <c r="L364" s="66"/>
      <c r="M364" s="79" t="str">
        <f>HYPERLINK("http://www.pristavka.com/catalog/banpresto_series/BNS942/")</f>
        <v>http://www.pristavka.com/catalog/banpresto_series/BNS942/</v>
      </c>
      <c r="N364" s="71">
        <v>26399</v>
      </c>
      <c r="O364" s="66" t="s">
        <v>27</v>
      </c>
      <c r="P364" s="82" t="s">
        <v>2533</v>
      </c>
      <c r="Q364" s="84" t="s">
        <v>1334</v>
      </c>
      <c r="R364" s="84" t="s">
        <v>1068</v>
      </c>
      <c r="S364" s="84">
        <v>0.39500000000000002</v>
      </c>
      <c r="T364" s="82" t="s">
        <v>2254</v>
      </c>
      <c r="U364" s="84"/>
      <c r="V364" s="54"/>
    </row>
    <row r="365" spans="1:22" s="11" customFormat="1" ht="45" customHeight="1" x14ac:dyDescent="0.2">
      <c r="A365" s="66" t="s">
        <v>2222</v>
      </c>
      <c r="B365" s="66" t="s">
        <v>1707</v>
      </c>
      <c r="C365" s="66" t="s">
        <v>2222</v>
      </c>
      <c r="D365" s="66">
        <v>4983164883626</v>
      </c>
      <c r="E365" s="68" t="s">
        <v>2534</v>
      </c>
      <c r="F365" s="66" t="s">
        <v>2535</v>
      </c>
      <c r="G365" s="71">
        <v>17135</v>
      </c>
      <c r="H365" s="73"/>
      <c r="I365" s="75">
        <v>0.2</v>
      </c>
      <c r="J365" s="77"/>
      <c r="K365" s="66"/>
      <c r="L365" s="66"/>
      <c r="M365" s="79" t="str">
        <f>HYPERLINK("http://www.pristavka.com/catalog/banpresto_series/BNS954/")</f>
        <v>http://www.pristavka.com/catalog/banpresto_series/BNS954/</v>
      </c>
      <c r="N365" s="71">
        <v>26399</v>
      </c>
      <c r="O365" s="66" t="s">
        <v>28</v>
      </c>
      <c r="P365" s="82" t="s">
        <v>2536</v>
      </c>
      <c r="Q365" s="84" t="s">
        <v>1334</v>
      </c>
      <c r="R365" s="84" t="s">
        <v>1068</v>
      </c>
      <c r="S365" s="84">
        <v>0.45</v>
      </c>
      <c r="T365" s="82" t="s">
        <v>2254</v>
      </c>
      <c r="U365" s="84"/>
      <c r="V365" s="54"/>
    </row>
    <row r="366" spans="1:22" s="11" customFormat="1" ht="45" customHeight="1" x14ac:dyDescent="0.2">
      <c r="A366" s="66" t="s">
        <v>2222</v>
      </c>
      <c r="B366" s="66" t="s">
        <v>1707</v>
      </c>
      <c r="C366" s="66" t="s">
        <v>2222</v>
      </c>
      <c r="D366" s="66">
        <v>4983164197419</v>
      </c>
      <c r="E366" s="68" t="s">
        <v>2537</v>
      </c>
      <c r="F366" s="66" t="s">
        <v>2538</v>
      </c>
      <c r="G366" s="71">
        <v>37393</v>
      </c>
      <c r="H366" s="73"/>
      <c r="I366" s="75">
        <v>0.2</v>
      </c>
      <c r="J366" s="77"/>
      <c r="K366" s="66"/>
      <c r="L366" s="66"/>
      <c r="M366" s="79" t="str">
        <f>HYPERLINK("http://www.pristavka.com/catalog/banpresto_series/BNS917/")</f>
        <v>http://www.pristavka.com/catalog/banpresto_series/BNS917/</v>
      </c>
      <c r="N366" s="71">
        <v>57599</v>
      </c>
      <c r="O366" s="66" t="s">
        <v>27</v>
      </c>
      <c r="P366" s="82" t="s">
        <v>2539</v>
      </c>
      <c r="Q366" s="84" t="s">
        <v>1334</v>
      </c>
      <c r="R366" s="84" t="s">
        <v>1068</v>
      </c>
      <c r="S366" s="84">
        <v>0.71</v>
      </c>
      <c r="T366" s="82" t="s">
        <v>2540</v>
      </c>
      <c r="U366" s="84"/>
      <c r="V366" s="54"/>
    </row>
    <row r="367" spans="1:22" s="11" customFormat="1" ht="45" customHeight="1" x14ac:dyDescent="0.2">
      <c r="A367" s="66" t="s">
        <v>2222</v>
      </c>
      <c r="B367" s="66" t="s">
        <v>1707</v>
      </c>
      <c r="C367" s="66" t="s">
        <v>2222</v>
      </c>
      <c r="D367" s="66">
        <v>4983164880014</v>
      </c>
      <c r="E367" s="68" t="s">
        <v>2541</v>
      </c>
      <c r="F367" s="66" t="s">
        <v>2542</v>
      </c>
      <c r="G367" s="71">
        <v>30182</v>
      </c>
      <c r="H367" s="73"/>
      <c r="I367" s="75">
        <v>0.2</v>
      </c>
      <c r="J367" s="77"/>
      <c r="K367" s="66"/>
      <c r="L367" s="66"/>
      <c r="M367" s="79" t="str">
        <f>HYPERLINK("http://www.pristavka.com/catalog/banpresto_series/BNS948/")</f>
        <v>http://www.pristavka.com/catalog/banpresto_series/BNS948/</v>
      </c>
      <c r="N367" s="71">
        <v>46499</v>
      </c>
      <c r="O367" s="66" t="s">
        <v>27</v>
      </c>
      <c r="P367" s="82" t="s">
        <v>2543</v>
      </c>
      <c r="Q367" s="84" t="s">
        <v>1334</v>
      </c>
      <c r="R367" s="84" t="s">
        <v>1068</v>
      </c>
      <c r="S367" s="84">
        <v>0.68</v>
      </c>
      <c r="T367" s="82" t="s">
        <v>2544</v>
      </c>
      <c r="U367" s="84"/>
      <c r="V367" s="54"/>
    </row>
    <row r="368" spans="1:22" s="11" customFormat="1" ht="45" customHeight="1" x14ac:dyDescent="0.2">
      <c r="A368" s="66" t="s">
        <v>2222</v>
      </c>
      <c r="B368" s="66" t="s">
        <v>1707</v>
      </c>
      <c r="C368" s="66" t="s">
        <v>2222</v>
      </c>
      <c r="D368" s="66">
        <v>4983164195507</v>
      </c>
      <c r="E368" s="68" t="s">
        <v>2545</v>
      </c>
      <c r="F368" s="66" t="s">
        <v>2546</v>
      </c>
      <c r="G368" s="71">
        <v>17135</v>
      </c>
      <c r="H368" s="73"/>
      <c r="I368" s="75">
        <v>0.2</v>
      </c>
      <c r="J368" s="77"/>
      <c r="K368" s="66"/>
      <c r="L368" s="66"/>
      <c r="M368" s="79" t="str">
        <f>HYPERLINK("http://www.pristavka.com/catalog/banpresto_series/BNS785/")</f>
        <v>http://www.pristavka.com/catalog/banpresto_series/BNS785/</v>
      </c>
      <c r="N368" s="71">
        <v>26399</v>
      </c>
      <c r="O368" s="66" t="s">
        <v>28</v>
      </c>
      <c r="P368" s="82" t="s">
        <v>2547</v>
      </c>
      <c r="Q368" s="84" t="s">
        <v>1334</v>
      </c>
      <c r="R368" s="84" t="s">
        <v>1068</v>
      </c>
      <c r="S368" s="84">
        <v>0.30399999999999999</v>
      </c>
      <c r="T368" s="82" t="s">
        <v>2548</v>
      </c>
      <c r="U368" s="84"/>
      <c r="V368" s="54"/>
    </row>
    <row r="369" spans="1:22" s="11" customFormat="1" ht="45" customHeight="1" x14ac:dyDescent="0.2">
      <c r="A369" s="66" t="s">
        <v>2222</v>
      </c>
      <c r="B369" s="66" t="s">
        <v>1707</v>
      </c>
      <c r="C369" s="66" t="s">
        <v>2222</v>
      </c>
      <c r="D369" s="66">
        <v>4983164893434</v>
      </c>
      <c r="E369" s="68" t="s">
        <v>2549</v>
      </c>
      <c r="F369" s="66" t="s">
        <v>2550</v>
      </c>
      <c r="G369" s="71">
        <v>17135</v>
      </c>
      <c r="H369" s="73"/>
      <c r="I369" s="75">
        <v>0.2</v>
      </c>
      <c r="J369" s="77"/>
      <c r="K369" s="66"/>
      <c r="L369" s="66"/>
      <c r="M369" s="79" t="str">
        <f>HYPERLINK("http://www.pristavka.com/catalog/banpresto_series/BNS985/")</f>
        <v>http://www.pristavka.com/catalog/banpresto_series/BNS985/</v>
      </c>
      <c r="N369" s="71">
        <v>26399</v>
      </c>
      <c r="O369" s="66" t="s">
        <v>27</v>
      </c>
      <c r="P369" s="82" t="s">
        <v>2551</v>
      </c>
      <c r="Q369" s="84" t="s">
        <v>1334</v>
      </c>
      <c r="R369" s="84" t="s">
        <v>1068</v>
      </c>
      <c r="S369" s="84">
        <v>0.32600000000000001</v>
      </c>
      <c r="T369" s="82" t="s">
        <v>2552</v>
      </c>
      <c r="U369" s="84"/>
      <c r="V369" s="54"/>
    </row>
    <row r="370" spans="1:22" s="11" customFormat="1" ht="45" customHeight="1" x14ac:dyDescent="0.2">
      <c r="A370" s="66" t="s">
        <v>2222</v>
      </c>
      <c r="B370" s="66" t="s">
        <v>1707</v>
      </c>
      <c r="C370" s="66" t="s">
        <v>2222</v>
      </c>
      <c r="D370" s="66">
        <v>4983164880908</v>
      </c>
      <c r="E370" s="68" t="s">
        <v>2553</v>
      </c>
      <c r="F370" s="66" t="s">
        <v>2554</v>
      </c>
      <c r="G370" s="71">
        <v>30526</v>
      </c>
      <c r="H370" s="73"/>
      <c r="I370" s="75">
        <v>0.2</v>
      </c>
      <c r="J370" s="77"/>
      <c r="K370" s="66"/>
      <c r="L370" s="66"/>
      <c r="M370" s="79" t="str">
        <f>HYPERLINK("http://www.pristavka.com/catalog/banpresto_series/BNS784/")</f>
        <v>http://www.pristavka.com/catalog/banpresto_series/BNS784/</v>
      </c>
      <c r="N370" s="71">
        <v>46999</v>
      </c>
      <c r="O370" s="66" t="s">
        <v>27</v>
      </c>
      <c r="P370" s="82" t="s">
        <v>2555</v>
      </c>
      <c r="Q370" s="84" t="s">
        <v>1334</v>
      </c>
      <c r="R370" s="84" t="s">
        <v>1068</v>
      </c>
      <c r="S370" s="84">
        <v>0.54</v>
      </c>
      <c r="T370" s="82" t="s">
        <v>2548</v>
      </c>
      <c r="U370" s="84"/>
      <c r="V370" s="54"/>
    </row>
    <row r="371" spans="1:22" s="11" customFormat="1" ht="45" customHeight="1" x14ac:dyDescent="0.2">
      <c r="A371" s="66" t="s">
        <v>2222</v>
      </c>
      <c r="B371" s="66" t="s">
        <v>1707</v>
      </c>
      <c r="C371" s="66" t="s">
        <v>2222</v>
      </c>
      <c r="D371" s="66">
        <v>4983164885156</v>
      </c>
      <c r="E371" s="68" t="s">
        <v>2556</v>
      </c>
      <c r="F371" s="66" t="s">
        <v>2557</v>
      </c>
      <c r="G371" s="71">
        <v>31556</v>
      </c>
      <c r="H371" s="73"/>
      <c r="I371" s="75">
        <v>0.2</v>
      </c>
      <c r="J371" s="77"/>
      <c r="K371" s="66"/>
      <c r="L371" s="66"/>
      <c r="M371" s="79" t="str">
        <f>HYPERLINK("http://www.pristavka.com/catalog/banpresto_series/BNS940/")</f>
        <v>http://www.pristavka.com/catalog/banpresto_series/BNS940/</v>
      </c>
      <c r="N371" s="71">
        <v>48599</v>
      </c>
      <c r="O371" s="66" t="s">
        <v>27</v>
      </c>
      <c r="P371" s="82" t="s">
        <v>2558</v>
      </c>
      <c r="Q371" s="84" t="s">
        <v>1334</v>
      </c>
      <c r="R371" s="84" t="s">
        <v>1068</v>
      </c>
      <c r="S371" s="84">
        <v>0.28399999999999997</v>
      </c>
      <c r="T371" s="82" t="s">
        <v>2331</v>
      </c>
      <c r="U371" s="84"/>
      <c r="V371" s="54"/>
    </row>
    <row r="372" spans="1:22" s="11" customFormat="1" ht="45" customHeight="1" x14ac:dyDescent="0.2">
      <c r="A372" s="66" t="s">
        <v>2222</v>
      </c>
      <c r="B372" s="66" t="s">
        <v>1707</v>
      </c>
      <c r="C372" s="66" t="s">
        <v>2222</v>
      </c>
      <c r="D372" s="66">
        <v>4983164885569</v>
      </c>
      <c r="E372" s="68" t="s">
        <v>2559</v>
      </c>
      <c r="F372" s="66" t="s">
        <v>2560</v>
      </c>
      <c r="G372" s="71">
        <v>17135</v>
      </c>
      <c r="H372" s="73"/>
      <c r="I372" s="75">
        <v>0.2</v>
      </c>
      <c r="J372" s="77"/>
      <c r="K372" s="66"/>
      <c r="L372" s="66"/>
      <c r="M372" s="79" t="str">
        <f>HYPERLINK("http://www.pristavka.com/catalog/banpresto_series/BNS952/")</f>
        <v>http://www.pristavka.com/catalog/banpresto_series/BNS952/</v>
      </c>
      <c r="N372" s="71">
        <v>26399</v>
      </c>
      <c r="O372" s="66" t="s">
        <v>27</v>
      </c>
      <c r="P372" s="82" t="s">
        <v>2561</v>
      </c>
      <c r="Q372" s="84" t="s">
        <v>1334</v>
      </c>
      <c r="R372" s="84" t="s">
        <v>1068</v>
      </c>
      <c r="S372" s="84">
        <v>0.24199999999999999</v>
      </c>
      <c r="T372" s="82" t="s">
        <v>2562</v>
      </c>
      <c r="U372" s="84"/>
      <c r="V372" s="54"/>
    </row>
    <row r="373" spans="1:22" s="11" customFormat="1" ht="45" customHeight="1" x14ac:dyDescent="0.2">
      <c r="A373" s="66" t="s">
        <v>2222</v>
      </c>
      <c r="B373" s="66" t="s">
        <v>1707</v>
      </c>
      <c r="C373" s="66" t="s">
        <v>2222</v>
      </c>
      <c r="D373" s="66">
        <v>4983164881837</v>
      </c>
      <c r="E373" s="68" t="s">
        <v>2563</v>
      </c>
      <c r="F373" s="66" t="s">
        <v>2564</v>
      </c>
      <c r="G373" s="71">
        <v>16105</v>
      </c>
      <c r="H373" s="73"/>
      <c r="I373" s="75">
        <v>0.2</v>
      </c>
      <c r="J373" s="77"/>
      <c r="K373" s="66"/>
      <c r="L373" s="66"/>
      <c r="M373" s="79" t="str">
        <f>HYPERLINK("http://www.pristavka.com/catalog/banpresto_series/BNS789/")</f>
        <v>http://www.pristavka.com/catalog/banpresto_series/BNS789/</v>
      </c>
      <c r="N373" s="71">
        <v>24799</v>
      </c>
      <c r="O373" s="66" t="s">
        <v>27</v>
      </c>
      <c r="P373" s="82" t="s">
        <v>2565</v>
      </c>
      <c r="Q373" s="84" t="s">
        <v>1148</v>
      </c>
      <c r="R373" s="84" t="s">
        <v>1068</v>
      </c>
      <c r="S373" s="84">
        <v>0.26800000000000002</v>
      </c>
      <c r="T373" s="82" t="s">
        <v>2530</v>
      </c>
      <c r="U373" s="84"/>
      <c r="V373" s="54"/>
    </row>
    <row r="374" spans="1:22" s="11" customFormat="1" ht="45" customHeight="1" x14ac:dyDescent="0.2">
      <c r="A374" s="66" t="s">
        <v>2222</v>
      </c>
      <c r="B374" s="66" t="s">
        <v>1707</v>
      </c>
      <c r="C374" s="66" t="s">
        <v>2222</v>
      </c>
      <c r="D374" s="66">
        <v>4983164183900</v>
      </c>
      <c r="E374" s="68" t="s">
        <v>2566</v>
      </c>
      <c r="F374" s="66" t="s">
        <v>2567</v>
      </c>
      <c r="G374" s="71">
        <v>10269</v>
      </c>
      <c r="H374" s="73"/>
      <c r="I374" s="75">
        <v>0.2</v>
      </c>
      <c r="J374" s="77"/>
      <c r="K374" s="66"/>
      <c r="L374" s="66"/>
      <c r="M374" s="79" t="str">
        <f>HYPERLINK("http://www.pristavka.com/catalog/banpresto_series/BNS978/")</f>
        <v>http://www.pristavka.com/catalog/banpresto_series/BNS978/</v>
      </c>
      <c r="N374" s="71">
        <v>15799</v>
      </c>
      <c r="O374" s="66" t="s">
        <v>27</v>
      </c>
      <c r="P374" s="82" t="s">
        <v>2568</v>
      </c>
      <c r="Q374" s="84" t="s">
        <v>1148</v>
      </c>
      <c r="R374" s="84" t="s">
        <v>1068</v>
      </c>
      <c r="S374" s="84">
        <v>0.16</v>
      </c>
      <c r="T374" s="82" t="s">
        <v>2569</v>
      </c>
      <c r="U374" s="84"/>
      <c r="V374" s="54"/>
    </row>
    <row r="375" spans="1:22" s="11" customFormat="1" ht="45" customHeight="1" x14ac:dyDescent="0.2">
      <c r="A375" s="66" t="s">
        <v>2222</v>
      </c>
      <c r="B375" s="66" t="s">
        <v>1707</v>
      </c>
      <c r="C375" s="66" t="s">
        <v>2222</v>
      </c>
      <c r="D375" s="66">
        <v>4983164889024</v>
      </c>
      <c r="E375" s="68" t="s">
        <v>2570</v>
      </c>
      <c r="F375" s="66" t="s">
        <v>2571</v>
      </c>
      <c r="G375" s="71">
        <v>19539</v>
      </c>
      <c r="H375" s="73"/>
      <c r="I375" s="75">
        <v>0.2</v>
      </c>
      <c r="J375" s="77"/>
      <c r="K375" s="66"/>
      <c r="L375" s="66"/>
      <c r="M375" s="79" t="str">
        <f>HYPERLINK("http://www.pristavka.com/catalog/banpresto_series/BNS1021/")</f>
        <v>http://www.pristavka.com/catalog/banpresto_series/BNS1021/</v>
      </c>
      <c r="N375" s="71">
        <v>30099</v>
      </c>
      <c r="O375" s="66" t="s">
        <v>27</v>
      </c>
      <c r="P375" s="82" t="s">
        <v>2572</v>
      </c>
      <c r="Q375" s="84" t="s">
        <v>1148</v>
      </c>
      <c r="R375" s="84" t="s">
        <v>1068</v>
      </c>
      <c r="S375" s="84">
        <v>0.19600000000000001</v>
      </c>
      <c r="T375" s="82" t="s">
        <v>2280</v>
      </c>
      <c r="U375" s="84"/>
      <c r="V375" s="54"/>
    </row>
    <row r="376" spans="1:22" s="11" customFormat="1" ht="45" customHeight="1" x14ac:dyDescent="0.2">
      <c r="A376" s="66" t="s">
        <v>2222</v>
      </c>
      <c r="B376" s="66" t="s">
        <v>1707</v>
      </c>
      <c r="C376" s="66" t="s">
        <v>2222</v>
      </c>
      <c r="D376" s="66">
        <v>4983164889048</v>
      </c>
      <c r="E376" s="68" t="s">
        <v>2573</v>
      </c>
      <c r="F376" s="66" t="s">
        <v>2574</v>
      </c>
      <c r="G376" s="71">
        <v>19539</v>
      </c>
      <c r="H376" s="73"/>
      <c r="I376" s="75">
        <v>0.2</v>
      </c>
      <c r="J376" s="77"/>
      <c r="K376" s="66"/>
      <c r="L376" s="66"/>
      <c r="M376" s="79" t="str">
        <f>HYPERLINK("http://www.pristavka.com/catalog/banpresto_series/BNS1022/")</f>
        <v>http://www.pristavka.com/catalog/banpresto_series/BNS1022/</v>
      </c>
      <c r="N376" s="71">
        <v>30099</v>
      </c>
      <c r="O376" s="66" t="s">
        <v>27</v>
      </c>
      <c r="P376" s="82" t="s">
        <v>2575</v>
      </c>
      <c r="Q376" s="84" t="s">
        <v>1148</v>
      </c>
      <c r="R376" s="84" t="s">
        <v>1068</v>
      </c>
      <c r="S376" s="84">
        <v>0.19800000000000001</v>
      </c>
      <c r="T376" s="82" t="s">
        <v>2284</v>
      </c>
      <c r="U376" s="84"/>
      <c r="V376" s="54"/>
    </row>
    <row r="377" spans="1:22" s="11" customFormat="1" ht="45" customHeight="1" x14ac:dyDescent="0.2">
      <c r="A377" s="66" t="s">
        <v>2222</v>
      </c>
      <c r="B377" s="66" t="s">
        <v>1707</v>
      </c>
      <c r="C377" s="66" t="s">
        <v>2222</v>
      </c>
      <c r="D377" s="66">
        <v>4983164186260</v>
      </c>
      <c r="E377" s="68" t="s">
        <v>2576</v>
      </c>
      <c r="F377" s="66" t="s">
        <v>2577</v>
      </c>
      <c r="G377" s="71">
        <v>18852</v>
      </c>
      <c r="H377" s="73"/>
      <c r="I377" s="75">
        <v>0.2</v>
      </c>
      <c r="J377" s="77"/>
      <c r="K377" s="66"/>
      <c r="L377" s="66"/>
      <c r="M377" s="79" t="str">
        <f>HYPERLINK("http://www.pristavka.com/catalog/banpresto_series/BNS1016/")</f>
        <v>http://www.pristavka.com/catalog/banpresto_series/BNS1016/</v>
      </c>
      <c r="N377" s="71">
        <v>28999</v>
      </c>
      <c r="O377" s="66" t="s">
        <v>27</v>
      </c>
      <c r="P377" s="82" t="s">
        <v>2578</v>
      </c>
      <c r="Q377" s="84" t="s">
        <v>1148</v>
      </c>
      <c r="R377" s="84" t="s">
        <v>1068</v>
      </c>
      <c r="S377" s="84">
        <v>0.17100000000000001</v>
      </c>
      <c r="T377" s="82" t="s">
        <v>2293</v>
      </c>
      <c r="U377" s="84"/>
      <c r="V377" s="54"/>
    </row>
    <row r="378" spans="1:22" s="11" customFormat="1" ht="45" customHeight="1" x14ac:dyDescent="0.2">
      <c r="A378" s="66" t="s">
        <v>2222</v>
      </c>
      <c r="B378" s="66" t="s">
        <v>1707</v>
      </c>
      <c r="C378" s="66" t="s">
        <v>2222</v>
      </c>
      <c r="D378" s="66" t="s">
        <v>2579</v>
      </c>
      <c r="E378" s="68" t="s">
        <v>2580</v>
      </c>
      <c r="F378" s="66" t="s">
        <v>2581</v>
      </c>
      <c r="G378" s="71">
        <v>19539</v>
      </c>
      <c r="H378" s="73"/>
      <c r="I378" s="75">
        <v>0.2</v>
      </c>
      <c r="J378" s="77"/>
      <c r="K378" s="66"/>
      <c r="L378" s="66"/>
      <c r="M378" s="79" t="str">
        <f>HYPERLINK("http://www.pristavka.com/catalog/banpresto_series/BNS868/")</f>
        <v>http://www.pristavka.com/catalog/banpresto_series/BNS868/</v>
      </c>
      <c r="N378" s="71">
        <v>30099</v>
      </c>
      <c r="O378" s="66" t="s">
        <v>27</v>
      </c>
      <c r="P378" s="82" t="s">
        <v>2582</v>
      </c>
      <c r="Q378" s="84" t="s">
        <v>1148</v>
      </c>
      <c r="R378" s="84" t="s">
        <v>1068</v>
      </c>
      <c r="S378" s="84">
        <v>0.18</v>
      </c>
      <c r="T378" s="82" t="s">
        <v>2276</v>
      </c>
      <c r="U378" s="84" t="s">
        <v>2255</v>
      </c>
      <c r="V378" s="54"/>
    </row>
    <row r="379" spans="1:22" s="11" customFormat="1" ht="45" customHeight="1" x14ac:dyDescent="0.2">
      <c r="A379" s="66" t="s">
        <v>2222</v>
      </c>
      <c r="B379" s="66" t="s">
        <v>1707</v>
      </c>
      <c r="C379" s="66" t="s">
        <v>2222</v>
      </c>
      <c r="D379" s="66">
        <v>4983164184655</v>
      </c>
      <c r="E379" s="68" t="s">
        <v>2583</v>
      </c>
      <c r="F379" s="66" t="s">
        <v>2584</v>
      </c>
      <c r="G379" s="71">
        <v>10269</v>
      </c>
      <c r="H379" s="73"/>
      <c r="I379" s="75">
        <v>0.2</v>
      </c>
      <c r="J379" s="77"/>
      <c r="K379" s="66"/>
      <c r="L379" s="66"/>
      <c r="M379" s="79" t="str">
        <f>HYPERLINK("http://www.pristavka.com/catalog/banpresto_series/BNS1080/")</f>
        <v>http://www.pristavka.com/catalog/banpresto_series/BNS1080/</v>
      </c>
      <c r="N379" s="71">
        <v>15799</v>
      </c>
      <c r="O379" s="66" t="s">
        <v>28</v>
      </c>
      <c r="P379" s="82" t="s">
        <v>2585</v>
      </c>
      <c r="Q379" s="84" t="s">
        <v>1148</v>
      </c>
      <c r="R379" s="84" t="s">
        <v>1068</v>
      </c>
      <c r="S379" s="84">
        <v>0.185</v>
      </c>
      <c r="T379" s="82" t="s">
        <v>2284</v>
      </c>
      <c r="U379" s="84"/>
      <c r="V379" s="54"/>
    </row>
    <row r="380" spans="1:22" s="11" customFormat="1" ht="45" customHeight="1" x14ac:dyDescent="0.2">
      <c r="A380" s="66" t="s">
        <v>2222</v>
      </c>
      <c r="B380" s="66" t="s">
        <v>1707</v>
      </c>
      <c r="C380" s="66" t="s">
        <v>2222</v>
      </c>
      <c r="D380" s="66">
        <v>4983164192834</v>
      </c>
      <c r="E380" s="68" t="s">
        <v>2586</v>
      </c>
      <c r="F380" s="66" t="s">
        <v>2587</v>
      </c>
      <c r="G380" s="71">
        <v>20569</v>
      </c>
      <c r="H380" s="73"/>
      <c r="I380" s="75">
        <v>0.2</v>
      </c>
      <c r="J380" s="77"/>
      <c r="K380" s="66"/>
      <c r="L380" s="66"/>
      <c r="M380" s="79" t="str">
        <f>HYPERLINK("http://www.pristavka.com/catalog/banpresto_series/BNS1017/")</f>
        <v>http://www.pristavka.com/catalog/banpresto_series/BNS1017/</v>
      </c>
      <c r="N380" s="71">
        <v>31699</v>
      </c>
      <c r="O380" s="66" t="s">
        <v>27</v>
      </c>
      <c r="P380" s="82" t="s">
        <v>2588</v>
      </c>
      <c r="Q380" s="84" t="s">
        <v>1148</v>
      </c>
      <c r="R380" s="84" t="s">
        <v>1068</v>
      </c>
      <c r="S380" s="84">
        <v>0.17899999999999999</v>
      </c>
      <c r="T380" s="82" t="s">
        <v>2293</v>
      </c>
      <c r="U380" s="84"/>
      <c r="V380" s="54"/>
    </row>
    <row r="381" spans="1:22" s="11" customFormat="1" ht="45" customHeight="1" x14ac:dyDescent="0.2">
      <c r="A381" s="66" t="s">
        <v>2222</v>
      </c>
      <c r="B381" s="66" t="s">
        <v>1707</v>
      </c>
      <c r="C381" s="66" t="s">
        <v>2222</v>
      </c>
      <c r="D381" s="66">
        <v>4983164891140</v>
      </c>
      <c r="E381" s="68" t="s">
        <v>2589</v>
      </c>
      <c r="F381" s="66" t="s">
        <v>2590</v>
      </c>
      <c r="G381" s="71">
        <v>20226</v>
      </c>
      <c r="H381" s="73"/>
      <c r="I381" s="75">
        <v>0.2</v>
      </c>
      <c r="J381" s="77"/>
      <c r="K381" s="66"/>
      <c r="L381" s="66"/>
      <c r="M381" s="79" t="str">
        <f>HYPERLINK("http://www.pristavka.com/catalog/banpresto_series/BNS1008/")</f>
        <v>http://www.pristavka.com/catalog/banpresto_series/BNS1008/</v>
      </c>
      <c r="N381" s="71">
        <v>31199</v>
      </c>
      <c r="O381" s="66" t="s">
        <v>28</v>
      </c>
      <c r="P381" s="82" t="s">
        <v>2591</v>
      </c>
      <c r="Q381" s="84" t="s">
        <v>1148</v>
      </c>
      <c r="R381" s="84" t="s">
        <v>1068</v>
      </c>
      <c r="S381" s="84">
        <v>0.29199999999999998</v>
      </c>
      <c r="T381" s="82" t="s">
        <v>2272</v>
      </c>
      <c r="U381" s="84"/>
      <c r="V381" s="54"/>
    </row>
    <row r="382" spans="1:22" s="11" customFormat="1" ht="45" customHeight="1" x14ac:dyDescent="0.2">
      <c r="A382" s="66" t="s">
        <v>2222</v>
      </c>
      <c r="B382" s="66" t="s">
        <v>1707</v>
      </c>
      <c r="C382" s="66" t="s">
        <v>2222</v>
      </c>
      <c r="D382" s="66">
        <v>4983164198348</v>
      </c>
      <c r="E382" s="68" t="s">
        <v>2592</v>
      </c>
      <c r="F382" s="66" t="s">
        <v>2593</v>
      </c>
      <c r="G382" s="71">
        <v>17822</v>
      </c>
      <c r="H382" s="73"/>
      <c r="I382" s="75">
        <v>0.2</v>
      </c>
      <c r="J382" s="77"/>
      <c r="K382" s="66"/>
      <c r="L382" s="66"/>
      <c r="M382" s="79" t="str">
        <f>HYPERLINK("http://www.pristavka.com/catalog/banpresto_series/BNS790/")</f>
        <v>http://www.pristavka.com/catalog/banpresto_series/BNS790/</v>
      </c>
      <c r="N382" s="71">
        <v>27499</v>
      </c>
      <c r="O382" s="66" t="s">
        <v>28</v>
      </c>
      <c r="P382" s="82" t="s">
        <v>2594</v>
      </c>
      <c r="Q382" s="84" t="s">
        <v>1148</v>
      </c>
      <c r="R382" s="84" t="s">
        <v>1068</v>
      </c>
      <c r="S382" s="84">
        <v>0.35599999999999998</v>
      </c>
      <c r="T382" s="82" t="s">
        <v>2530</v>
      </c>
      <c r="U382" s="84"/>
      <c r="V382" s="54"/>
    </row>
    <row r="383" spans="1:22" s="11" customFormat="1" ht="45" customHeight="1" x14ac:dyDescent="0.2">
      <c r="A383" s="66" t="s">
        <v>2222</v>
      </c>
      <c r="B383" s="66" t="s">
        <v>1707</v>
      </c>
      <c r="C383" s="66" t="s">
        <v>2222</v>
      </c>
      <c r="D383" s="66">
        <v>4983164884098</v>
      </c>
      <c r="E383" s="68" t="s">
        <v>2595</v>
      </c>
      <c r="F383" s="66" t="s">
        <v>2596</v>
      </c>
      <c r="G383" s="71">
        <v>19882</v>
      </c>
      <c r="H383" s="73"/>
      <c r="I383" s="75">
        <v>0.2</v>
      </c>
      <c r="J383" s="77"/>
      <c r="K383" s="66"/>
      <c r="L383" s="66"/>
      <c r="M383" s="79" t="str">
        <f>HYPERLINK("http://www.pristavka.com/catalog/banpresto_series/BNS791/")</f>
        <v>http://www.pristavka.com/catalog/banpresto_series/BNS791/</v>
      </c>
      <c r="N383" s="71">
        <v>30599</v>
      </c>
      <c r="O383" s="66" t="s">
        <v>28</v>
      </c>
      <c r="P383" s="82" t="s">
        <v>2597</v>
      </c>
      <c r="Q383" s="84" t="s">
        <v>1148</v>
      </c>
      <c r="R383" s="84" t="s">
        <v>1068</v>
      </c>
      <c r="S383" s="84">
        <v>0.17399999999999999</v>
      </c>
      <c r="T383" s="82" t="s">
        <v>2284</v>
      </c>
      <c r="U383" s="84"/>
      <c r="V383" s="54"/>
    </row>
    <row r="384" spans="1:22" s="11" customFormat="1" ht="45" customHeight="1" x14ac:dyDescent="0.2">
      <c r="A384" s="66" t="s">
        <v>2222</v>
      </c>
      <c r="B384" s="66" t="s">
        <v>1707</v>
      </c>
      <c r="C384" s="66" t="s">
        <v>2222</v>
      </c>
      <c r="D384" s="66">
        <v>4983164887068</v>
      </c>
      <c r="E384" s="68" t="s">
        <v>2598</v>
      </c>
      <c r="F384" s="66" t="s">
        <v>2599</v>
      </c>
      <c r="G384" s="71">
        <v>19539</v>
      </c>
      <c r="H384" s="73"/>
      <c r="I384" s="75">
        <v>0.2</v>
      </c>
      <c r="J384" s="77"/>
      <c r="K384" s="66"/>
      <c r="L384" s="66"/>
      <c r="M384" s="79" t="str">
        <f>HYPERLINK("http://www.pristavka.com/catalog/banpresto_series/BNS1015/")</f>
        <v>http://www.pristavka.com/catalog/banpresto_series/BNS1015/</v>
      </c>
      <c r="N384" s="71">
        <v>30099</v>
      </c>
      <c r="O384" s="66" t="s">
        <v>27</v>
      </c>
      <c r="P384" s="82" t="s">
        <v>2600</v>
      </c>
      <c r="Q384" s="84" t="s">
        <v>1148</v>
      </c>
      <c r="R384" s="84" t="s">
        <v>1068</v>
      </c>
      <c r="S384" s="84">
        <v>0.17399999999999999</v>
      </c>
      <c r="T384" s="82" t="s">
        <v>2259</v>
      </c>
      <c r="U384" s="84"/>
      <c r="V384" s="54"/>
    </row>
    <row r="385" spans="1:22" s="11" customFormat="1" ht="45" customHeight="1" x14ac:dyDescent="0.2">
      <c r="A385" s="66" t="s">
        <v>2222</v>
      </c>
      <c r="B385" s="66" t="s">
        <v>1707</v>
      </c>
      <c r="C385" s="66" t="s">
        <v>2222</v>
      </c>
      <c r="D385" s="66">
        <v>4983164883039</v>
      </c>
      <c r="E385" s="68" t="s">
        <v>2601</v>
      </c>
      <c r="F385" s="66" t="s">
        <v>2602</v>
      </c>
      <c r="G385" s="71">
        <v>19882</v>
      </c>
      <c r="H385" s="73"/>
      <c r="I385" s="75">
        <v>0.2</v>
      </c>
      <c r="J385" s="77"/>
      <c r="K385" s="66"/>
      <c r="L385" s="66"/>
      <c r="M385" s="79" t="str">
        <f>HYPERLINK("http://www.pristavka.com/catalog/banpresto_series/BNS1014/")</f>
        <v>http://www.pristavka.com/catalog/banpresto_series/BNS1014/</v>
      </c>
      <c r="N385" s="71">
        <v>30599</v>
      </c>
      <c r="O385" s="66" t="s">
        <v>28</v>
      </c>
      <c r="P385" s="82" t="s">
        <v>2603</v>
      </c>
      <c r="Q385" s="84" t="s">
        <v>1148</v>
      </c>
      <c r="R385" s="84" t="s">
        <v>1068</v>
      </c>
      <c r="S385" s="84">
        <v>0.14799999999999999</v>
      </c>
      <c r="T385" s="82" t="s">
        <v>2293</v>
      </c>
      <c r="U385" s="84"/>
      <c r="V385" s="54"/>
    </row>
    <row r="386" spans="1:22" s="11" customFormat="1" ht="45" customHeight="1" x14ac:dyDescent="0.2">
      <c r="A386" s="66" t="s">
        <v>2222</v>
      </c>
      <c r="B386" s="66" t="s">
        <v>1707</v>
      </c>
      <c r="C386" s="66" t="s">
        <v>2222</v>
      </c>
      <c r="D386" s="66" t="s">
        <v>2604</v>
      </c>
      <c r="E386" s="68" t="s">
        <v>2605</v>
      </c>
      <c r="F386" s="66" t="s">
        <v>2606</v>
      </c>
      <c r="G386" s="71">
        <v>19539</v>
      </c>
      <c r="H386" s="73"/>
      <c r="I386" s="75">
        <v>0.2</v>
      </c>
      <c r="J386" s="77"/>
      <c r="K386" s="66"/>
      <c r="L386" s="66"/>
      <c r="M386" s="79" t="str">
        <f>HYPERLINK("http://www.pristavka.com/catalog/banpresto_series/BNS867/")</f>
        <v>http://www.pristavka.com/catalog/banpresto_series/BNS867/</v>
      </c>
      <c r="N386" s="71">
        <v>30099</v>
      </c>
      <c r="O386" s="66" t="s">
        <v>27</v>
      </c>
      <c r="P386" s="82" t="s">
        <v>2607</v>
      </c>
      <c r="Q386" s="84" t="s">
        <v>1148</v>
      </c>
      <c r="R386" s="84" t="s">
        <v>1068</v>
      </c>
      <c r="S386" s="84">
        <v>0.18</v>
      </c>
      <c r="T386" s="82" t="s">
        <v>2284</v>
      </c>
      <c r="U386" s="84" t="s">
        <v>2255</v>
      </c>
      <c r="V386" s="54"/>
    </row>
    <row r="387" spans="1:22" s="11" customFormat="1" ht="45" customHeight="1" x14ac:dyDescent="0.2">
      <c r="A387" s="66" t="s">
        <v>2222</v>
      </c>
      <c r="B387" s="66" t="s">
        <v>1707</v>
      </c>
      <c r="C387" s="66" t="s">
        <v>2222</v>
      </c>
      <c r="D387" s="66">
        <v>4983164889895</v>
      </c>
      <c r="E387" s="68" t="s">
        <v>2608</v>
      </c>
      <c r="F387" s="66" t="s">
        <v>2609</v>
      </c>
      <c r="G387" s="71">
        <v>19882</v>
      </c>
      <c r="H387" s="73"/>
      <c r="I387" s="75">
        <v>0.2</v>
      </c>
      <c r="J387" s="77"/>
      <c r="K387" s="66"/>
      <c r="L387" s="66"/>
      <c r="M387" s="79" t="str">
        <f>HYPERLINK("http://www.pristavka.com/catalog/banpresto_series/BNS1012/")</f>
        <v>http://www.pristavka.com/catalog/banpresto_series/BNS1012/</v>
      </c>
      <c r="N387" s="71">
        <v>30599</v>
      </c>
      <c r="O387" s="66" t="s">
        <v>28</v>
      </c>
      <c r="P387" s="82" t="s">
        <v>2610</v>
      </c>
      <c r="Q387" s="84" t="s">
        <v>1148</v>
      </c>
      <c r="R387" s="84" t="s">
        <v>1068</v>
      </c>
      <c r="S387" s="84">
        <v>0.24</v>
      </c>
      <c r="T387" s="82" t="s">
        <v>2280</v>
      </c>
      <c r="U387" s="84"/>
      <c r="V387" s="54"/>
    </row>
    <row r="388" spans="1:22" s="11" customFormat="1" ht="45" customHeight="1" x14ac:dyDescent="0.2">
      <c r="A388" s="66" t="s">
        <v>2222</v>
      </c>
      <c r="B388" s="66" t="s">
        <v>1707</v>
      </c>
      <c r="C388" s="66" t="s">
        <v>2222</v>
      </c>
      <c r="D388" s="66">
        <v>4983164889901</v>
      </c>
      <c r="E388" s="68" t="s">
        <v>2611</v>
      </c>
      <c r="F388" s="66" t="s">
        <v>2612</v>
      </c>
      <c r="G388" s="71">
        <v>19882</v>
      </c>
      <c r="H388" s="73"/>
      <c r="I388" s="75">
        <v>0.2</v>
      </c>
      <c r="J388" s="77"/>
      <c r="K388" s="66"/>
      <c r="L388" s="66"/>
      <c r="M388" s="79" t="str">
        <f>HYPERLINK("http://www.pristavka.com/catalog/banpresto_series/BNS1013/")</f>
        <v>http://www.pristavka.com/catalog/banpresto_series/BNS1013/</v>
      </c>
      <c r="N388" s="71">
        <v>30599</v>
      </c>
      <c r="O388" s="66" t="s">
        <v>27</v>
      </c>
      <c r="P388" s="82" t="s">
        <v>2613</v>
      </c>
      <c r="Q388" s="84" t="s">
        <v>1148</v>
      </c>
      <c r="R388" s="84" t="s">
        <v>1068</v>
      </c>
      <c r="S388" s="84">
        <v>0.27</v>
      </c>
      <c r="T388" s="82" t="s">
        <v>2254</v>
      </c>
      <c r="U388" s="84"/>
      <c r="V388" s="54"/>
    </row>
    <row r="389" spans="1:22" s="11" customFormat="1" ht="45" customHeight="1" x14ac:dyDescent="0.2">
      <c r="A389" s="66" t="s">
        <v>2222</v>
      </c>
      <c r="B389" s="66" t="s">
        <v>1707</v>
      </c>
      <c r="C389" s="66" t="s">
        <v>2222</v>
      </c>
      <c r="D389" s="66">
        <v>4983164197365</v>
      </c>
      <c r="E389" s="68" t="s">
        <v>2614</v>
      </c>
      <c r="F389" s="66" t="s">
        <v>2615</v>
      </c>
      <c r="G389" s="71">
        <v>51470</v>
      </c>
      <c r="H389" s="73"/>
      <c r="I389" s="75">
        <v>0.2</v>
      </c>
      <c r="J389" s="77"/>
      <c r="K389" s="66"/>
      <c r="L389" s="66"/>
      <c r="M389" s="79" t="str">
        <f>HYPERLINK("http://www.pristavka.com/catalog/banpresto_series/BNS916/")</f>
        <v>http://www.pristavka.com/catalog/banpresto_series/BNS916/</v>
      </c>
      <c r="N389" s="71">
        <v>79199</v>
      </c>
      <c r="O389" s="66" t="s">
        <v>28</v>
      </c>
      <c r="P389" s="82" t="s">
        <v>2616</v>
      </c>
      <c r="Q389" s="84" t="s">
        <v>1148</v>
      </c>
      <c r="R389" s="84" t="s">
        <v>1068</v>
      </c>
      <c r="S389" s="84">
        <v>0.44</v>
      </c>
      <c r="T389" s="82" t="s">
        <v>2254</v>
      </c>
      <c r="U389" s="84"/>
      <c r="V389" s="54"/>
    </row>
    <row r="390" spans="1:22" s="11" customFormat="1" ht="45" customHeight="1" x14ac:dyDescent="0.2">
      <c r="A390" s="66" t="s">
        <v>2222</v>
      </c>
      <c r="B390" s="66" t="s">
        <v>1707</v>
      </c>
      <c r="C390" s="66" t="s">
        <v>2222</v>
      </c>
      <c r="D390" s="66">
        <v>4983164887044</v>
      </c>
      <c r="E390" s="68" t="s">
        <v>2617</v>
      </c>
      <c r="F390" s="66" t="s">
        <v>2618</v>
      </c>
      <c r="G390" s="71">
        <v>19196</v>
      </c>
      <c r="H390" s="73"/>
      <c r="I390" s="75">
        <v>0.2</v>
      </c>
      <c r="J390" s="77"/>
      <c r="K390" s="66"/>
      <c r="L390" s="66"/>
      <c r="M390" s="79" t="str">
        <f>HYPERLINK("http://www.pristavka.com/catalog/banpresto_series/BNS931/")</f>
        <v>http://www.pristavka.com/catalog/banpresto_series/BNS931/</v>
      </c>
      <c r="N390" s="71">
        <v>29599</v>
      </c>
      <c r="O390" s="66" t="s">
        <v>27</v>
      </c>
      <c r="P390" s="82" t="s">
        <v>2619</v>
      </c>
      <c r="Q390" s="84" t="s">
        <v>1148</v>
      </c>
      <c r="R390" s="84" t="s">
        <v>1068</v>
      </c>
      <c r="S390" s="84">
        <v>0.42399999999999999</v>
      </c>
      <c r="T390" s="82" t="s">
        <v>2548</v>
      </c>
      <c r="U390" s="84"/>
      <c r="V390" s="54"/>
    </row>
    <row r="391" spans="1:22" s="11" customFormat="1" ht="45" customHeight="1" x14ac:dyDescent="0.2">
      <c r="A391" s="66" t="s">
        <v>2222</v>
      </c>
      <c r="B391" s="66" t="s">
        <v>1707</v>
      </c>
      <c r="C391" s="66" t="s">
        <v>2222</v>
      </c>
      <c r="D391" s="66">
        <v>4983164886016</v>
      </c>
      <c r="E391" s="68" t="s">
        <v>2620</v>
      </c>
      <c r="F391" s="66" t="s">
        <v>2621</v>
      </c>
      <c r="G391" s="71">
        <v>19196</v>
      </c>
      <c r="H391" s="73"/>
      <c r="I391" s="75">
        <v>0.2</v>
      </c>
      <c r="J391" s="77"/>
      <c r="K391" s="66"/>
      <c r="L391" s="66"/>
      <c r="M391" s="79" t="str">
        <f>HYPERLINK("http://www.pristavka.com/catalog/banpresto_series/BNS923/")</f>
        <v>http://www.pristavka.com/catalog/banpresto_series/BNS923/</v>
      </c>
      <c r="N391" s="71">
        <v>29599</v>
      </c>
      <c r="O391" s="66" t="s">
        <v>27</v>
      </c>
      <c r="P391" s="82" t="s">
        <v>2622</v>
      </c>
      <c r="Q391" s="84" t="s">
        <v>1148</v>
      </c>
      <c r="R391" s="84" t="s">
        <v>1068</v>
      </c>
      <c r="S391" s="84">
        <v>0.17699999999999999</v>
      </c>
      <c r="T391" s="82" t="s">
        <v>2284</v>
      </c>
      <c r="U391" s="84"/>
      <c r="V391" s="54"/>
    </row>
    <row r="392" spans="1:22" s="11" customFormat="1" ht="45" customHeight="1" x14ac:dyDescent="0.2">
      <c r="A392" s="66" t="s">
        <v>2222</v>
      </c>
      <c r="B392" s="66" t="s">
        <v>1707</v>
      </c>
      <c r="C392" s="66" t="s">
        <v>2232</v>
      </c>
      <c r="D392" s="66">
        <v>4983164184679</v>
      </c>
      <c r="E392" s="68" t="s">
        <v>2623</v>
      </c>
      <c r="F392" s="66" t="s">
        <v>2624</v>
      </c>
      <c r="G392" s="71">
        <v>6307</v>
      </c>
      <c r="H392" s="73"/>
      <c r="I392" s="75">
        <v>0.2</v>
      </c>
      <c r="J392" s="77"/>
      <c r="K392" s="66"/>
      <c r="L392" s="66"/>
      <c r="M392" s="79" t="str">
        <f>HYPERLINK("http://www.pristavka.com/catalog/banpresto_series/BNS730/")</f>
        <v>http://www.pristavka.com/catalog/banpresto_series/BNS730/</v>
      </c>
      <c r="N392" s="71">
        <v>10599</v>
      </c>
      <c r="O392" s="66" t="s">
        <v>27</v>
      </c>
      <c r="P392" s="82" t="s">
        <v>2625</v>
      </c>
      <c r="Q392" s="84" t="s">
        <v>1148</v>
      </c>
      <c r="R392" s="84" t="s">
        <v>1068</v>
      </c>
      <c r="S392" s="84">
        <v>0.33200000000000002</v>
      </c>
      <c r="T392" s="82" t="s">
        <v>2626</v>
      </c>
      <c r="U392" s="84"/>
      <c r="V392" s="54"/>
    </row>
    <row r="393" spans="1:22" s="11" customFormat="1" ht="45" customHeight="1" x14ac:dyDescent="0.2">
      <c r="A393" s="66" t="s">
        <v>2222</v>
      </c>
      <c r="B393" s="66" t="s">
        <v>1707</v>
      </c>
      <c r="C393" s="66" t="s">
        <v>2222</v>
      </c>
      <c r="D393" s="66" t="s">
        <v>2627</v>
      </c>
      <c r="E393" s="68" t="s">
        <v>2628</v>
      </c>
      <c r="F393" s="66" t="s">
        <v>2629</v>
      </c>
      <c r="G393" s="71">
        <v>40826</v>
      </c>
      <c r="H393" s="73"/>
      <c r="I393" s="75">
        <v>0.2</v>
      </c>
      <c r="J393" s="77"/>
      <c r="K393" s="66"/>
      <c r="L393" s="66"/>
      <c r="M393" s="79" t="str">
        <f>HYPERLINK("http://www.pristavka.com/catalog/banpresto_series/BNS872/")</f>
        <v>http://www.pristavka.com/catalog/banpresto_series/BNS872/</v>
      </c>
      <c r="N393" s="71">
        <v>62899</v>
      </c>
      <c r="O393" s="66" t="s">
        <v>28</v>
      </c>
      <c r="P393" s="82" t="s">
        <v>2630</v>
      </c>
      <c r="Q393" s="84" t="s">
        <v>1148</v>
      </c>
      <c r="R393" s="84" t="s">
        <v>1068</v>
      </c>
      <c r="S393" s="84">
        <v>0.35799999999999998</v>
      </c>
      <c r="T393" s="82" t="s">
        <v>2254</v>
      </c>
      <c r="U393" s="84" t="s">
        <v>2255</v>
      </c>
      <c r="V393" s="54"/>
    </row>
    <row r="394" spans="1:22" s="11" customFormat="1" ht="45" customHeight="1" x14ac:dyDescent="0.2">
      <c r="A394" s="66" t="s">
        <v>2222</v>
      </c>
      <c r="B394" s="66" t="s">
        <v>1707</v>
      </c>
      <c r="C394" s="66" t="s">
        <v>2232</v>
      </c>
      <c r="D394" s="66" t="s">
        <v>2631</v>
      </c>
      <c r="E394" s="68" t="s">
        <v>2632</v>
      </c>
      <c r="F394" s="66" t="s">
        <v>2633</v>
      </c>
      <c r="G394" s="71">
        <v>26062</v>
      </c>
      <c r="H394" s="73"/>
      <c r="I394" s="75">
        <v>0.2</v>
      </c>
      <c r="J394" s="77"/>
      <c r="K394" s="66"/>
      <c r="L394" s="66"/>
      <c r="M394" s="79" t="str">
        <f>HYPERLINK("http://www.pristavka.com/catalog/banpresto_series/BNS150/")</f>
        <v>http://www.pristavka.com/catalog/banpresto_series/BNS150/</v>
      </c>
      <c r="N394" s="71">
        <v>40099</v>
      </c>
      <c r="O394" s="66" t="s">
        <v>27</v>
      </c>
      <c r="P394" s="82" t="s">
        <v>2634</v>
      </c>
      <c r="Q394" s="84" t="s">
        <v>1148</v>
      </c>
      <c r="R394" s="84" t="s">
        <v>1068</v>
      </c>
      <c r="S394" s="84">
        <v>0.23499999999999999</v>
      </c>
      <c r="T394" s="82" t="s">
        <v>2293</v>
      </c>
      <c r="U394" s="84"/>
      <c r="V394" s="54"/>
    </row>
    <row r="395" spans="1:22" s="11" customFormat="1" ht="45" customHeight="1" x14ac:dyDescent="0.2">
      <c r="A395" s="66" t="s">
        <v>2222</v>
      </c>
      <c r="B395" s="66" t="s">
        <v>1707</v>
      </c>
      <c r="C395" s="66" t="s">
        <v>2222</v>
      </c>
      <c r="D395" s="66">
        <v>4983164886085</v>
      </c>
      <c r="E395" s="68" t="s">
        <v>2635</v>
      </c>
      <c r="F395" s="66" t="s">
        <v>2636</v>
      </c>
      <c r="G395" s="71">
        <v>19196</v>
      </c>
      <c r="H395" s="73"/>
      <c r="I395" s="75">
        <v>0.2</v>
      </c>
      <c r="J395" s="77"/>
      <c r="K395" s="66"/>
      <c r="L395" s="66"/>
      <c r="M395" s="79" t="str">
        <f>HYPERLINK("http://www.pristavka.com/catalog/banpresto_series/BNS924/")</f>
        <v>http://www.pristavka.com/catalog/banpresto_series/BNS924/</v>
      </c>
      <c r="N395" s="71">
        <v>29599</v>
      </c>
      <c r="O395" s="66" t="s">
        <v>27</v>
      </c>
      <c r="P395" s="82" t="s">
        <v>2637</v>
      </c>
      <c r="Q395" s="84" t="s">
        <v>1148</v>
      </c>
      <c r="R395" s="84" t="s">
        <v>1068</v>
      </c>
      <c r="S395" s="84">
        <v>0.219</v>
      </c>
      <c r="T395" s="82" t="s">
        <v>2284</v>
      </c>
      <c r="U395" s="84"/>
      <c r="V395" s="54"/>
    </row>
    <row r="396" spans="1:22" s="11" customFormat="1" ht="45" customHeight="1" x14ac:dyDescent="0.2">
      <c r="A396" s="66" t="s">
        <v>2222</v>
      </c>
      <c r="B396" s="66" t="s">
        <v>1707</v>
      </c>
      <c r="C396" s="66" t="s">
        <v>2222</v>
      </c>
      <c r="D396" s="66">
        <v>4983164189506</v>
      </c>
      <c r="E396" s="68" t="s">
        <v>2638</v>
      </c>
      <c r="F396" s="66" t="s">
        <v>2639</v>
      </c>
      <c r="G396" s="71">
        <v>19196</v>
      </c>
      <c r="H396" s="73"/>
      <c r="I396" s="75">
        <v>0.2</v>
      </c>
      <c r="J396" s="77"/>
      <c r="K396" s="66"/>
      <c r="L396" s="66"/>
      <c r="M396" s="79" t="str">
        <f>HYPERLINK("http://www.pristavka.com/catalog/banpresto_series/BNS580/")</f>
        <v>http://www.pristavka.com/catalog/banpresto_series/BNS580/</v>
      </c>
      <c r="N396" s="71">
        <v>29599</v>
      </c>
      <c r="O396" s="66" t="s">
        <v>27</v>
      </c>
      <c r="P396" s="82" t="s">
        <v>2640</v>
      </c>
      <c r="Q396" s="84" t="s">
        <v>1148</v>
      </c>
      <c r="R396" s="84" t="s">
        <v>1068</v>
      </c>
      <c r="S396" s="84">
        <v>0.214</v>
      </c>
      <c r="T396" s="82" t="s">
        <v>2276</v>
      </c>
      <c r="U396" s="84"/>
      <c r="V396" s="54"/>
    </row>
    <row r="397" spans="1:22" s="11" customFormat="1" ht="45" customHeight="1" x14ac:dyDescent="0.2">
      <c r="A397" s="66" t="s">
        <v>2222</v>
      </c>
      <c r="B397" s="66" t="s">
        <v>1707</v>
      </c>
      <c r="C397" s="66" t="s">
        <v>2222</v>
      </c>
      <c r="D397" s="66">
        <v>4983164893786</v>
      </c>
      <c r="E397" s="68" t="s">
        <v>2641</v>
      </c>
      <c r="F397" s="66" t="s">
        <v>2642</v>
      </c>
      <c r="G397" s="71">
        <v>20912</v>
      </c>
      <c r="H397" s="73"/>
      <c r="I397" s="75">
        <v>0.2</v>
      </c>
      <c r="J397" s="77"/>
      <c r="K397" s="66"/>
      <c r="L397" s="66"/>
      <c r="M397" s="79" t="str">
        <f>HYPERLINK("http://www.pristavka.com/catalog/banpresto_series/BNS988/")</f>
        <v>http://www.pristavka.com/catalog/banpresto_series/BNS988/</v>
      </c>
      <c r="N397" s="71">
        <v>32199</v>
      </c>
      <c r="O397" s="66" t="s">
        <v>28</v>
      </c>
      <c r="P397" s="82" t="s">
        <v>2643</v>
      </c>
      <c r="Q397" s="84" t="s">
        <v>1148</v>
      </c>
      <c r="R397" s="84" t="s">
        <v>1068</v>
      </c>
      <c r="S397" s="84">
        <v>0.252</v>
      </c>
      <c r="T397" s="82" t="s">
        <v>2284</v>
      </c>
      <c r="U397" s="84"/>
      <c r="V397" s="54"/>
    </row>
    <row r="398" spans="1:22" s="11" customFormat="1" ht="45" customHeight="1" x14ac:dyDescent="0.2">
      <c r="A398" s="66" t="s">
        <v>2222</v>
      </c>
      <c r="B398" s="66" t="s">
        <v>1707</v>
      </c>
      <c r="C398" s="66" t="s">
        <v>2222</v>
      </c>
      <c r="D398" s="66">
        <v>4983164884081</v>
      </c>
      <c r="E398" s="68" t="s">
        <v>2644</v>
      </c>
      <c r="F398" s="66" t="s">
        <v>2645</v>
      </c>
      <c r="G398" s="71">
        <v>19196</v>
      </c>
      <c r="H398" s="73"/>
      <c r="I398" s="75">
        <v>0.2</v>
      </c>
      <c r="J398" s="77"/>
      <c r="K398" s="66"/>
      <c r="L398" s="66"/>
      <c r="M398" s="79" t="str">
        <f>HYPERLINK("http://www.pristavka.com/catalog/banpresto_series/BNS946/")</f>
        <v>http://www.pristavka.com/catalog/banpresto_series/BNS946/</v>
      </c>
      <c r="N398" s="71">
        <v>29599</v>
      </c>
      <c r="O398" s="66" t="s">
        <v>27</v>
      </c>
      <c r="P398" s="82" t="s">
        <v>2646</v>
      </c>
      <c r="Q398" s="84" t="s">
        <v>1148</v>
      </c>
      <c r="R398" s="84" t="s">
        <v>1068</v>
      </c>
      <c r="S398" s="84">
        <v>0.22600000000000001</v>
      </c>
      <c r="T398" s="82" t="s">
        <v>2259</v>
      </c>
      <c r="U398" s="84"/>
      <c r="V398" s="54"/>
    </row>
    <row r="399" spans="1:22" s="11" customFormat="1" ht="45" customHeight="1" x14ac:dyDescent="0.2">
      <c r="A399" s="66" t="s">
        <v>2222</v>
      </c>
      <c r="B399" s="66" t="s">
        <v>1707</v>
      </c>
      <c r="C399" s="66" t="s">
        <v>2222</v>
      </c>
      <c r="D399" s="66">
        <v>4983164893748</v>
      </c>
      <c r="E399" s="68" t="s">
        <v>2647</v>
      </c>
      <c r="F399" s="66" t="s">
        <v>2648</v>
      </c>
      <c r="G399" s="71">
        <v>17822</v>
      </c>
      <c r="H399" s="73"/>
      <c r="I399" s="75">
        <v>0.2</v>
      </c>
      <c r="J399" s="77"/>
      <c r="K399" s="66"/>
      <c r="L399" s="66"/>
      <c r="M399" s="79" t="str">
        <f>HYPERLINK("http://www.pristavka.com/catalog/banpresto_series/BNS986/")</f>
        <v>http://www.pristavka.com/catalog/banpresto_series/BNS986/</v>
      </c>
      <c r="N399" s="71">
        <v>27499</v>
      </c>
      <c r="O399" s="66" t="s">
        <v>28</v>
      </c>
      <c r="P399" s="82" t="s">
        <v>2649</v>
      </c>
      <c r="Q399" s="84" t="s">
        <v>1148</v>
      </c>
      <c r="R399" s="84" t="s">
        <v>1068</v>
      </c>
      <c r="S399" s="84">
        <v>0.318</v>
      </c>
      <c r="T399" s="82" t="s">
        <v>2272</v>
      </c>
      <c r="U399" s="84"/>
      <c r="V399" s="54"/>
    </row>
    <row r="400" spans="1:22" s="11" customFormat="1" ht="45" customHeight="1" x14ac:dyDescent="0.2">
      <c r="A400" s="66" t="s">
        <v>2222</v>
      </c>
      <c r="B400" s="66" t="s">
        <v>1707</v>
      </c>
      <c r="C400" s="66" t="s">
        <v>2222</v>
      </c>
      <c r="D400" s="66">
        <v>4983164190632</v>
      </c>
      <c r="E400" s="68" t="s">
        <v>2650</v>
      </c>
      <c r="F400" s="66" t="s">
        <v>2651</v>
      </c>
      <c r="G400" s="71">
        <v>17135</v>
      </c>
      <c r="H400" s="73"/>
      <c r="I400" s="75">
        <v>0.2</v>
      </c>
      <c r="J400" s="77"/>
      <c r="K400" s="66"/>
      <c r="L400" s="66"/>
      <c r="M400" s="79" t="str">
        <f>HYPERLINK("http://www.pristavka.com/catalog/banpresto_series/BNS793/")</f>
        <v>http://www.pristavka.com/catalog/banpresto_series/BNS793/</v>
      </c>
      <c r="N400" s="71">
        <v>26399</v>
      </c>
      <c r="O400" s="66" t="s">
        <v>27</v>
      </c>
      <c r="P400" s="82" t="s">
        <v>2652</v>
      </c>
      <c r="Q400" s="84" t="s">
        <v>1148</v>
      </c>
      <c r="R400" s="84" t="s">
        <v>1068</v>
      </c>
      <c r="S400" s="84">
        <v>0.17199999999999999</v>
      </c>
      <c r="T400" s="82" t="s">
        <v>2284</v>
      </c>
      <c r="U400" s="84"/>
      <c r="V400" s="54"/>
    </row>
    <row r="401" spans="1:22" s="11" customFormat="1" ht="45" customHeight="1" x14ac:dyDescent="0.2">
      <c r="A401" s="66" t="s">
        <v>2222</v>
      </c>
      <c r="B401" s="66" t="s">
        <v>1707</v>
      </c>
      <c r="C401" s="66" t="s">
        <v>2232</v>
      </c>
      <c r="D401" s="66">
        <v>4983164182361</v>
      </c>
      <c r="E401" s="68" t="s">
        <v>2653</v>
      </c>
      <c r="F401" s="66" t="s">
        <v>2654</v>
      </c>
      <c r="G401" s="71">
        <v>6835</v>
      </c>
      <c r="H401" s="73"/>
      <c r="I401" s="75">
        <v>0.2</v>
      </c>
      <c r="J401" s="77"/>
      <c r="K401" s="66"/>
      <c r="L401" s="66"/>
      <c r="M401" s="79" t="str">
        <f>HYPERLINK("http://www.pristavka.com/catalog/banpresto_series/BNS738/")</f>
        <v>http://www.pristavka.com/catalog/banpresto_series/BNS738/</v>
      </c>
      <c r="N401" s="71">
        <v>10599</v>
      </c>
      <c r="O401" s="66" t="s">
        <v>27</v>
      </c>
      <c r="P401" s="82" t="s">
        <v>2655</v>
      </c>
      <c r="Q401" s="84" t="s">
        <v>1148</v>
      </c>
      <c r="R401" s="84" t="s">
        <v>1068</v>
      </c>
      <c r="S401" s="84">
        <v>0.22600000000000001</v>
      </c>
      <c r="T401" s="82" t="s">
        <v>2656</v>
      </c>
      <c r="U401" s="84"/>
      <c r="V401" s="54"/>
    </row>
    <row r="402" spans="1:22" s="11" customFormat="1" ht="45" customHeight="1" x14ac:dyDescent="0.2">
      <c r="A402" s="66" t="s">
        <v>2222</v>
      </c>
      <c r="B402" s="66" t="s">
        <v>1707</v>
      </c>
      <c r="C402" s="66" t="s">
        <v>2222</v>
      </c>
      <c r="D402" s="66">
        <v>4983164889017</v>
      </c>
      <c r="E402" s="68" t="s">
        <v>2657</v>
      </c>
      <c r="F402" s="66" t="s">
        <v>2658</v>
      </c>
      <c r="G402" s="71">
        <v>19196</v>
      </c>
      <c r="H402" s="73"/>
      <c r="I402" s="75">
        <v>0.2</v>
      </c>
      <c r="J402" s="77"/>
      <c r="K402" s="66"/>
      <c r="L402" s="66"/>
      <c r="M402" s="79" t="str">
        <f>HYPERLINK("http://www.pristavka.com/catalog/banpresto_series/BNS938/")</f>
        <v>http://www.pristavka.com/catalog/banpresto_series/BNS938/</v>
      </c>
      <c r="N402" s="71">
        <v>29599</v>
      </c>
      <c r="O402" s="66" t="s">
        <v>27</v>
      </c>
      <c r="P402" s="82" t="s">
        <v>2659</v>
      </c>
      <c r="Q402" s="84" t="s">
        <v>1148</v>
      </c>
      <c r="R402" s="84" t="s">
        <v>1068</v>
      </c>
      <c r="S402" s="84">
        <v>0.19</v>
      </c>
      <c r="T402" s="82" t="s">
        <v>2254</v>
      </c>
      <c r="U402" s="84"/>
      <c r="V402" s="54"/>
    </row>
    <row r="403" spans="1:22" s="11" customFormat="1" ht="45" customHeight="1" x14ac:dyDescent="0.2">
      <c r="A403" s="66" t="s">
        <v>2222</v>
      </c>
      <c r="B403" s="66" t="s">
        <v>1707</v>
      </c>
      <c r="C403" s="66" t="s">
        <v>2222</v>
      </c>
      <c r="D403" s="66">
        <v>4983164888102</v>
      </c>
      <c r="E403" s="68" t="s">
        <v>2660</v>
      </c>
      <c r="F403" s="66" t="s">
        <v>2661</v>
      </c>
      <c r="G403" s="71">
        <v>19882</v>
      </c>
      <c r="H403" s="73"/>
      <c r="I403" s="75">
        <v>0.2</v>
      </c>
      <c r="J403" s="77"/>
      <c r="K403" s="66"/>
      <c r="L403" s="66"/>
      <c r="M403" s="79" t="str">
        <f>HYPERLINK("http://www.pristavka.com/catalog/banpresto_series/BNS936/")</f>
        <v>http://www.pristavka.com/catalog/banpresto_series/BNS936/</v>
      </c>
      <c r="N403" s="71">
        <v>30599</v>
      </c>
      <c r="O403" s="66" t="s">
        <v>27</v>
      </c>
      <c r="P403" s="82" t="s">
        <v>2662</v>
      </c>
      <c r="Q403" s="84" t="s">
        <v>1148</v>
      </c>
      <c r="R403" s="84" t="s">
        <v>1068</v>
      </c>
      <c r="S403" s="84">
        <v>0.26200000000000001</v>
      </c>
      <c r="T403" s="82" t="s">
        <v>2272</v>
      </c>
      <c r="U403" s="84"/>
      <c r="V403" s="54"/>
    </row>
    <row r="404" spans="1:22" s="11" customFormat="1" ht="45" customHeight="1" x14ac:dyDescent="0.2">
      <c r="A404" s="66" t="s">
        <v>2222</v>
      </c>
      <c r="B404" s="66" t="s">
        <v>1707</v>
      </c>
      <c r="C404" s="66" t="s">
        <v>2222</v>
      </c>
      <c r="D404" s="66">
        <v>4983164881844</v>
      </c>
      <c r="E404" s="68" t="s">
        <v>2663</v>
      </c>
      <c r="F404" s="66" t="s">
        <v>2664</v>
      </c>
      <c r="G404" s="71">
        <v>19196</v>
      </c>
      <c r="H404" s="73"/>
      <c r="I404" s="75">
        <v>0.2</v>
      </c>
      <c r="J404" s="77"/>
      <c r="K404" s="66"/>
      <c r="L404" s="66"/>
      <c r="M404" s="79" t="str">
        <f>HYPERLINK("http://www.pristavka.com/catalog/banpresto_series/BNS792/")</f>
        <v>http://www.pristavka.com/catalog/banpresto_series/BNS792/</v>
      </c>
      <c r="N404" s="71">
        <v>29599</v>
      </c>
      <c r="O404" s="66" t="s">
        <v>27</v>
      </c>
      <c r="P404" s="82" t="s">
        <v>2665</v>
      </c>
      <c r="Q404" s="84" t="s">
        <v>1148</v>
      </c>
      <c r="R404" s="84" t="s">
        <v>1068</v>
      </c>
      <c r="S404" s="84">
        <v>0.21</v>
      </c>
      <c r="T404" s="82" t="s">
        <v>2530</v>
      </c>
      <c r="U404" s="84"/>
      <c r="V404" s="54"/>
    </row>
    <row r="405" spans="1:22" s="11" customFormat="1" ht="45" customHeight="1" x14ac:dyDescent="0.2">
      <c r="A405" s="66" t="s">
        <v>2222</v>
      </c>
      <c r="B405" s="66" t="s">
        <v>1707</v>
      </c>
      <c r="C405" s="66" t="s">
        <v>2232</v>
      </c>
      <c r="D405" s="66">
        <v>4983164183177</v>
      </c>
      <c r="E405" s="68" t="s">
        <v>2666</v>
      </c>
      <c r="F405" s="66" t="s">
        <v>2667</v>
      </c>
      <c r="G405" s="71">
        <v>6307</v>
      </c>
      <c r="H405" s="73"/>
      <c r="I405" s="75">
        <v>0.2</v>
      </c>
      <c r="J405" s="77"/>
      <c r="K405" s="66"/>
      <c r="L405" s="66"/>
      <c r="M405" s="79" t="str">
        <f>HYPERLINK("http://www.pristavka.com/catalog/banpresto_series/BNS714/")</f>
        <v>http://www.pristavka.com/catalog/banpresto_series/BNS714/</v>
      </c>
      <c r="N405" s="71">
        <v>10599</v>
      </c>
      <c r="O405" s="66" t="s">
        <v>27</v>
      </c>
      <c r="P405" s="82" t="s">
        <v>2668</v>
      </c>
      <c r="Q405" s="84" t="s">
        <v>1148</v>
      </c>
      <c r="R405" s="84" t="s">
        <v>1068</v>
      </c>
      <c r="S405" s="84">
        <v>0.29099999999999998</v>
      </c>
      <c r="T405" s="82" t="s">
        <v>2626</v>
      </c>
      <c r="U405" s="84"/>
      <c r="V405" s="54"/>
    </row>
    <row r="406" spans="1:22" s="11" customFormat="1" ht="45" customHeight="1" x14ac:dyDescent="0.2">
      <c r="A406" s="66" t="s">
        <v>2222</v>
      </c>
      <c r="B406" s="66" t="s">
        <v>1707</v>
      </c>
      <c r="C406" s="66" t="s">
        <v>2222</v>
      </c>
      <c r="D406" s="66" t="s">
        <v>2669</v>
      </c>
      <c r="E406" s="68" t="s">
        <v>2670</v>
      </c>
      <c r="F406" s="66" t="s">
        <v>2671</v>
      </c>
      <c r="G406" s="71">
        <v>14389</v>
      </c>
      <c r="H406" s="73"/>
      <c r="I406" s="75">
        <v>0.2</v>
      </c>
      <c r="J406" s="77"/>
      <c r="K406" s="66"/>
      <c r="L406" s="66"/>
      <c r="M406" s="79" t="str">
        <f>HYPERLINK("http://www.pristavka.com/catalog/banpresto_series/BNS874/")</f>
        <v>http://www.pristavka.com/catalog/banpresto_series/BNS874/</v>
      </c>
      <c r="N406" s="71">
        <v>22199</v>
      </c>
      <c r="O406" s="66" t="s">
        <v>27</v>
      </c>
      <c r="P406" s="82" t="s">
        <v>2672</v>
      </c>
      <c r="Q406" s="84" t="s">
        <v>1122</v>
      </c>
      <c r="R406" s="84" t="s">
        <v>1068</v>
      </c>
      <c r="S406" s="84">
        <v>0.30499999999999999</v>
      </c>
      <c r="T406" s="82" t="s">
        <v>2626</v>
      </c>
      <c r="U406" s="84" t="s">
        <v>2255</v>
      </c>
      <c r="V406" s="54"/>
    </row>
    <row r="407" spans="1:22" s="11" customFormat="1" ht="45" customHeight="1" x14ac:dyDescent="0.2">
      <c r="A407" s="66" t="s">
        <v>2222</v>
      </c>
      <c r="B407" s="66" t="s">
        <v>1707</v>
      </c>
      <c r="C407" s="66" t="s">
        <v>2232</v>
      </c>
      <c r="D407" s="66">
        <v>4983164179392</v>
      </c>
      <c r="E407" s="68" t="s">
        <v>2673</v>
      </c>
      <c r="F407" s="66" t="s">
        <v>2674</v>
      </c>
      <c r="G407" s="71">
        <v>6307</v>
      </c>
      <c r="H407" s="73"/>
      <c r="I407" s="75">
        <v>0.2</v>
      </c>
      <c r="J407" s="77"/>
      <c r="K407" s="66"/>
      <c r="L407" s="66"/>
      <c r="M407" s="79" t="str">
        <f>HYPERLINK("http://www.pristavka.com/catalog/banpresto_series/BNS687/")</f>
        <v>http://www.pristavka.com/catalog/banpresto_series/BNS687/</v>
      </c>
      <c r="N407" s="71">
        <v>10599</v>
      </c>
      <c r="O407" s="66" t="s">
        <v>27</v>
      </c>
      <c r="P407" s="82" t="s">
        <v>2675</v>
      </c>
      <c r="Q407" s="84" t="s">
        <v>1068</v>
      </c>
      <c r="R407" s="84" t="s">
        <v>1068</v>
      </c>
      <c r="S407" s="84">
        <v>0.19</v>
      </c>
      <c r="T407" s="82" t="s">
        <v>2676</v>
      </c>
      <c r="U407" s="84"/>
      <c r="V407" s="54"/>
    </row>
    <row r="408" spans="1:22" s="11" customFormat="1" ht="45" customHeight="1" x14ac:dyDescent="0.2">
      <c r="A408" s="66" t="s">
        <v>2222</v>
      </c>
      <c r="B408" s="66" t="s">
        <v>1707</v>
      </c>
      <c r="C408" s="66" t="s">
        <v>2222</v>
      </c>
      <c r="D408" s="66">
        <v>4983164185959</v>
      </c>
      <c r="E408" s="68" t="s">
        <v>2677</v>
      </c>
      <c r="F408" s="66" t="s">
        <v>2678</v>
      </c>
      <c r="G408" s="71">
        <v>16449</v>
      </c>
      <c r="H408" s="73"/>
      <c r="I408" s="75">
        <v>0.2</v>
      </c>
      <c r="J408" s="77"/>
      <c r="K408" s="66"/>
      <c r="L408" s="66"/>
      <c r="M408" s="79" t="str">
        <f>HYPERLINK("http://www.pristavka.com/catalog/banpresto_series/BNS1034/")</f>
        <v>http://www.pristavka.com/catalog/banpresto_series/BNS1034/</v>
      </c>
      <c r="N408" s="71">
        <v>25399</v>
      </c>
      <c r="O408" s="66" t="s">
        <v>27</v>
      </c>
      <c r="P408" s="82" t="s">
        <v>2679</v>
      </c>
      <c r="Q408" s="84" t="s">
        <v>2244</v>
      </c>
      <c r="R408" s="84" t="s">
        <v>1068</v>
      </c>
      <c r="S408" s="84">
        <v>0.223</v>
      </c>
      <c r="T408" s="82" t="s">
        <v>2293</v>
      </c>
      <c r="U408" s="84"/>
      <c r="V408" s="54"/>
    </row>
    <row r="409" spans="1:22" s="11" customFormat="1" ht="45" customHeight="1" x14ac:dyDescent="0.2">
      <c r="A409" s="66" t="s">
        <v>2222</v>
      </c>
      <c r="B409" s="66" t="s">
        <v>1707</v>
      </c>
      <c r="C409" s="66" t="s">
        <v>2222</v>
      </c>
      <c r="D409" s="66">
        <v>4983164880335</v>
      </c>
      <c r="E409" s="68" t="s">
        <v>2680</v>
      </c>
      <c r="F409" s="66" t="s">
        <v>2681</v>
      </c>
      <c r="G409" s="71">
        <v>18165</v>
      </c>
      <c r="H409" s="73"/>
      <c r="I409" s="75">
        <v>0.2</v>
      </c>
      <c r="J409" s="77"/>
      <c r="K409" s="66"/>
      <c r="L409" s="66"/>
      <c r="M409" s="79" t="str">
        <f>HYPERLINK("http://www.pristavka.com/catalog/banpresto_series/BNS1036/")</f>
        <v>http://www.pristavka.com/catalog/banpresto_series/BNS1036/</v>
      </c>
      <c r="N409" s="71">
        <v>27999</v>
      </c>
      <c r="O409" s="66" t="s">
        <v>27</v>
      </c>
      <c r="P409" s="82" t="s">
        <v>2682</v>
      </c>
      <c r="Q409" s="84" t="s">
        <v>1334</v>
      </c>
      <c r="R409" s="84" t="s">
        <v>1068</v>
      </c>
      <c r="S409" s="84">
        <v>0.29499999999999998</v>
      </c>
      <c r="T409" s="82" t="s">
        <v>2272</v>
      </c>
      <c r="U409" s="84"/>
      <c r="V409" s="54"/>
    </row>
    <row r="410" spans="1:22" s="11" customFormat="1" ht="45" customHeight="1" x14ac:dyDescent="0.2">
      <c r="A410" s="66" t="s">
        <v>2222</v>
      </c>
      <c r="B410" s="66" t="s">
        <v>1707</v>
      </c>
      <c r="C410" s="66" t="s">
        <v>2222</v>
      </c>
      <c r="D410" s="66">
        <v>4983164197839</v>
      </c>
      <c r="E410" s="68" t="s">
        <v>2683</v>
      </c>
      <c r="F410" s="66" t="s">
        <v>2684</v>
      </c>
      <c r="G410" s="71">
        <v>17135</v>
      </c>
      <c r="H410" s="73"/>
      <c r="I410" s="75">
        <v>0.2</v>
      </c>
      <c r="J410" s="77"/>
      <c r="K410" s="66"/>
      <c r="L410" s="66"/>
      <c r="M410" s="79" t="str">
        <f>HYPERLINK("http://www.pristavka.com/catalog/banpresto_series/BNS1037/")</f>
        <v>http://www.pristavka.com/catalog/banpresto_series/BNS1037/</v>
      </c>
      <c r="N410" s="71">
        <v>26399</v>
      </c>
      <c r="O410" s="66" t="s">
        <v>27</v>
      </c>
      <c r="P410" s="82" t="s">
        <v>2685</v>
      </c>
      <c r="Q410" s="84" t="s">
        <v>1334</v>
      </c>
      <c r="R410" s="84" t="s">
        <v>1068</v>
      </c>
      <c r="S410" s="84">
        <v>0.28799999999999998</v>
      </c>
      <c r="T410" s="82" t="s">
        <v>2272</v>
      </c>
      <c r="U410" s="84"/>
      <c r="V410" s="54"/>
    </row>
    <row r="411" spans="1:22" s="11" customFormat="1" ht="45" customHeight="1" x14ac:dyDescent="0.2">
      <c r="A411" s="66" t="s">
        <v>2222</v>
      </c>
      <c r="B411" s="66" t="s">
        <v>1707</v>
      </c>
      <c r="C411" s="66" t="s">
        <v>2222</v>
      </c>
      <c r="D411" s="66">
        <v>4983164191301</v>
      </c>
      <c r="E411" s="68" t="s">
        <v>2686</v>
      </c>
      <c r="F411" s="66" t="s">
        <v>2687</v>
      </c>
      <c r="G411" s="71">
        <v>12672</v>
      </c>
      <c r="H411" s="73"/>
      <c r="I411" s="75">
        <v>0.2</v>
      </c>
      <c r="J411" s="77"/>
      <c r="K411" s="66"/>
      <c r="L411" s="66"/>
      <c r="M411" s="79" t="str">
        <f>HYPERLINK("http://www.pristavka.com/catalog/banpresto_series/BNS749/")</f>
        <v>http://www.pristavka.com/catalog/banpresto_series/BNS749/</v>
      </c>
      <c r="N411" s="71">
        <v>19499</v>
      </c>
      <c r="O411" s="66" t="s">
        <v>27</v>
      </c>
      <c r="P411" s="82" t="s">
        <v>2688</v>
      </c>
      <c r="Q411" s="84" t="s">
        <v>1086</v>
      </c>
      <c r="R411" s="84" t="s">
        <v>1068</v>
      </c>
      <c r="S411" s="84">
        <v>0.17399999999999999</v>
      </c>
      <c r="T411" s="82" t="s">
        <v>2284</v>
      </c>
      <c r="U411" s="84"/>
      <c r="V411" s="54"/>
    </row>
    <row r="412" spans="1:22" s="11" customFormat="1" ht="45" customHeight="1" x14ac:dyDescent="0.2">
      <c r="A412" s="66" t="s">
        <v>2222</v>
      </c>
      <c r="B412" s="66" t="s">
        <v>1707</v>
      </c>
      <c r="C412" s="66" t="s">
        <v>2222</v>
      </c>
      <c r="D412" s="66">
        <v>4983164195576</v>
      </c>
      <c r="E412" s="68" t="s">
        <v>2689</v>
      </c>
      <c r="F412" s="66" t="s">
        <v>2690</v>
      </c>
      <c r="G412" s="71">
        <v>17135</v>
      </c>
      <c r="H412" s="73"/>
      <c r="I412" s="75">
        <v>0.2</v>
      </c>
      <c r="J412" s="77"/>
      <c r="K412" s="66"/>
      <c r="L412" s="66"/>
      <c r="M412" s="79" t="str">
        <f>HYPERLINK("http://www.pristavka.com/catalog/banpresto_series/BNS607/")</f>
        <v>http://www.pristavka.com/catalog/banpresto_series/BNS607/</v>
      </c>
      <c r="N412" s="71">
        <v>26399</v>
      </c>
      <c r="O412" s="66" t="s">
        <v>27</v>
      </c>
      <c r="P412" s="82" t="s">
        <v>2691</v>
      </c>
      <c r="Q412" s="84" t="s">
        <v>2692</v>
      </c>
      <c r="R412" s="84" t="s">
        <v>1068</v>
      </c>
      <c r="S412" s="84">
        <v>0.192</v>
      </c>
      <c r="T412" s="82" t="s">
        <v>2284</v>
      </c>
      <c r="U412" s="84"/>
      <c r="V412" s="54"/>
    </row>
    <row r="413" spans="1:22" s="11" customFormat="1" ht="45" customHeight="1" x14ac:dyDescent="0.2">
      <c r="A413" s="66" t="s">
        <v>2222</v>
      </c>
      <c r="B413" s="66" t="s">
        <v>1707</v>
      </c>
      <c r="C413" s="66" t="s">
        <v>2222</v>
      </c>
      <c r="D413" s="66">
        <v>4983164190083</v>
      </c>
      <c r="E413" s="68" t="s">
        <v>2693</v>
      </c>
      <c r="F413" s="66" t="s">
        <v>2694</v>
      </c>
      <c r="G413" s="71">
        <v>17135</v>
      </c>
      <c r="H413" s="73"/>
      <c r="I413" s="75">
        <v>0.2</v>
      </c>
      <c r="J413" s="77"/>
      <c r="K413" s="66"/>
      <c r="L413" s="66"/>
      <c r="M413" s="79" t="str">
        <f>HYPERLINK("http://www.pristavka.com/catalog/banpresto_series/BNS544/")</f>
        <v>http://www.pristavka.com/catalog/banpresto_series/BNS544/</v>
      </c>
      <c r="N413" s="71">
        <v>26399</v>
      </c>
      <c r="O413" s="66" t="s">
        <v>28</v>
      </c>
      <c r="P413" s="82" t="s">
        <v>2695</v>
      </c>
      <c r="Q413" s="84" t="s">
        <v>2696</v>
      </c>
      <c r="R413" s="84" t="s">
        <v>1075</v>
      </c>
      <c r="S413" s="84">
        <v>0.192</v>
      </c>
      <c r="T413" s="82" t="s">
        <v>2284</v>
      </c>
      <c r="U413" s="84"/>
      <c r="V413" s="54"/>
    </row>
    <row r="414" spans="1:22" s="11" customFormat="1" ht="45" customHeight="1" x14ac:dyDescent="0.2">
      <c r="A414" s="66" t="s">
        <v>2222</v>
      </c>
      <c r="B414" s="66" t="s">
        <v>1707</v>
      </c>
      <c r="C414" s="66" t="s">
        <v>2222</v>
      </c>
      <c r="D414" s="66">
        <v>4983164190045</v>
      </c>
      <c r="E414" s="68" t="s">
        <v>2697</v>
      </c>
      <c r="F414" s="66" t="s">
        <v>2698</v>
      </c>
      <c r="G414" s="71">
        <v>17135</v>
      </c>
      <c r="H414" s="73"/>
      <c r="I414" s="75">
        <v>0.2</v>
      </c>
      <c r="J414" s="77"/>
      <c r="K414" s="66"/>
      <c r="L414" s="66"/>
      <c r="M414" s="79" t="str">
        <f>HYPERLINK("http://www.pristavka.com/catalog/banpresto_series/BNS542/")</f>
        <v>http://www.pristavka.com/catalog/banpresto_series/BNS542/</v>
      </c>
      <c r="N414" s="71">
        <v>26399</v>
      </c>
      <c r="O414" s="66" t="s">
        <v>28</v>
      </c>
      <c r="P414" s="82" t="s">
        <v>2699</v>
      </c>
      <c r="Q414" s="84" t="s">
        <v>2696</v>
      </c>
      <c r="R414" s="84" t="s">
        <v>1075</v>
      </c>
      <c r="S414" s="84">
        <v>0.2</v>
      </c>
      <c r="T414" s="82" t="s">
        <v>2284</v>
      </c>
      <c r="U414" s="84"/>
      <c r="V414" s="54"/>
    </row>
    <row r="415" spans="1:22" s="11" customFormat="1" ht="45" customHeight="1" x14ac:dyDescent="0.2">
      <c r="A415" s="66" t="s">
        <v>2222</v>
      </c>
      <c r="B415" s="66" t="s">
        <v>1707</v>
      </c>
      <c r="C415" s="66" t="s">
        <v>2222</v>
      </c>
      <c r="D415" s="66">
        <v>4983164190021</v>
      </c>
      <c r="E415" s="68" t="s">
        <v>2700</v>
      </c>
      <c r="F415" s="66" t="s">
        <v>2701</v>
      </c>
      <c r="G415" s="71">
        <v>17135</v>
      </c>
      <c r="H415" s="73"/>
      <c r="I415" s="75">
        <v>0.2</v>
      </c>
      <c r="J415" s="77"/>
      <c r="K415" s="66"/>
      <c r="L415" s="66"/>
      <c r="M415" s="79" t="str">
        <f>HYPERLINK("http://www.pristavka.com/catalog/banpresto_series/BNS540/")</f>
        <v>http://www.pristavka.com/catalog/banpresto_series/BNS540/</v>
      </c>
      <c r="N415" s="71">
        <v>26399</v>
      </c>
      <c r="O415" s="66" t="s">
        <v>28</v>
      </c>
      <c r="P415" s="82" t="s">
        <v>2702</v>
      </c>
      <c r="Q415" s="84" t="s">
        <v>2696</v>
      </c>
      <c r="R415" s="84" t="s">
        <v>1075</v>
      </c>
      <c r="S415" s="84">
        <v>0.19</v>
      </c>
      <c r="T415" s="82" t="s">
        <v>2284</v>
      </c>
      <c r="U415" s="84"/>
      <c r="V415" s="54"/>
    </row>
    <row r="416" spans="1:22" s="11" customFormat="1" ht="45" customHeight="1" x14ac:dyDescent="0.2">
      <c r="A416" s="66" t="s">
        <v>2222</v>
      </c>
      <c r="B416" s="66" t="s">
        <v>1707</v>
      </c>
      <c r="C416" s="66" t="s">
        <v>2222</v>
      </c>
      <c r="D416" s="66" t="s">
        <v>2703</v>
      </c>
      <c r="E416" s="68" t="s">
        <v>2704</v>
      </c>
      <c r="F416" s="66" t="s">
        <v>2705</v>
      </c>
      <c r="G416" s="71">
        <v>16792</v>
      </c>
      <c r="H416" s="73"/>
      <c r="I416" s="75">
        <v>0.2</v>
      </c>
      <c r="J416" s="77"/>
      <c r="K416" s="66"/>
      <c r="L416" s="66"/>
      <c r="M416" s="79" t="str">
        <f>HYPERLINK("http://www.pristavka.com/catalog/banpresto_series/BNS832/")</f>
        <v>http://www.pristavka.com/catalog/banpresto_series/BNS832/</v>
      </c>
      <c r="N416" s="71">
        <v>25899</v>
      </c>
      <c r="O416" s="66" t="s">
        <v>28</v>
      </c>
      <c r="P416" s="82" t="s">
        <v>2706</v>
      </c>
      <c r="Q416" s="84" t="s">
        <v>1091</v>
      </c>
      <c r="R416" s="84" t="s">
        <v>1068</v>
      </c>
      <c r="S416" s="84">
        <v>0.19500000000000001</v>
      </c>
      <c r="T416" s="82" t="s">
        <v>2284</v>
      </c>
      <c r="U416" s="84" t="s">
        <v>2255</v>
      </c>
      <c r="V416" s="54"/>
    </row>
    <row r="417" spans="1:22" s="11" customFormat="1" ht="45" customHeight="1" x14ac:dyDescent="0.2">
      <c r="A417" s="66" t="s">
        <v>2222</v>
      </c>
      <c r="B417" s="66" t="s">
        <v>1707</v>
      </c>
      <c r="C417" s="66" t="s">
        <v>2222</v>
      </c>
      <c r="D417" s="66" t="s">
        <v>2707</v>
      </c>
      <c r="E417" s="68" t="s">
        <v>2708</v>
      </c>
      <c r="F417" s="66" t="s">
        <v>2709</v>
      </c>
      <c r="G417" s="71">
        <v>6835</v>
      </c>
      <c r="H417" s="73"/>
      <c r="I417" s="75">
        <v>0.2</v>
      </c>
      <c r="J417" s="77"/>
      <c r="K417" s="66"/>
      <c r="L417" s="66"/>
      <c r="M417" s="79" t="str">
        <f>HYPERLINK("http://www.pristavka.com/catalog/banpresto_series/BNS825/")</f>
        <v>http://www.pristavka.com/catalog/banpresto_series/BNS825/</v>
      </c>
      <c r="N417" s="71">
        <v>10599</v>
      </c>
      <c r="O417" s="66" t="s">
        <v>27</v>
      </c>
      <c r="P417" s="82" t="s">
        <v>2710</v>
      </c>
      <c r="Q417" s="84" t="s">
        <v>1522</v>
      </c>
      <c r="R417" s="84" t="s">
        <v>1068</v>
      </c>
      <c r="S417" s="84">
        <v>0.20899999999999999</v>
      </c>
      <c r="T417" s="82" t="s">
        <v>2284</v>
      </c>
      <c r="U417" s="84" t="s">
        <v>2255</v>
      </c>
      <c r="V417" s="54"/>
    </row>
    <row r="418" spans="1:22" s="11" customFormat="1" ht="45" customHeight="1" x14ac:dyDescent="0.2">
      <c r="A418" s="66" t="s">
        <v>2222</v>
      </c>
      <c r="B418" s="66" t="s">
        <v>1707</v>
      </c>
      <c r="C418" s="66" t="s">
        <v>2222</v>
      </c>
      <c r="D418" s="66" t="s">
        <v>2711</v>
      </c>
      <c r="E418" s="68" t="s">
        <v>2712</v>
      </c>
      <c r="F418" s="66" t="s">
        <v>2713</v>
      </c>
      <c r="G418" s="71">
        <v>17135</v>
      </c>
      <c r="H418" s="73"/>
      <c r="I418" s="75">
        <v>0.2</v>
      </c>
      <c r="J418" s="77"/>
      <c r="K418" s="66"/>
      <c r="L418" s="66"/>
      <c r="M418" s="79" t="str">
        <f>HYPERLINK("http://www.pristavka.com/catalog/banpresto_series/BNS854/")</f>
        <v>http://www.pristavka.com/catalog/banpresto_series/BNS854/</v>
      </c>
      <c r="N418" s="71">
        <v>26399</v>
      </c>
      <c r="O418" s="66" t="s">
        <v>27</v>
      </c>
      <c r="P418" s="82" t="s">
        <v>2714</v>
      </c>
      <c r="Q418" s="84" t="s">
        <v>1522</v>
      </c>
      <c r="R418" s="84" t="s">
        <v>1068</v>
      </c>
      <c r="S418" s="84">
        <v>0.22</v>
      </c>
      <c r="T418" s="82" t="s">
        <v>2312</v>
      </c>
      <c r="U418" s="84" t="s">
        <v>2255</v>
      </c>
      <c r="V418" s="54"/>
    </row>
    <row r="419" spans="1:22" s="11" customFormat="1" ht="45" customHeight="1" x14ac:dyDescent="0.2">
      <c r="A419" s="66" t="s">
        <v>2222</v>
      </c>
      <c r="B419" s="66" t="s">
        <v>1707</v>
      </c>
      <c r="C419" s="66" t="s">
        <v>2222</v>
      </c>
      <c r="D419" s="66" t="s">
        <v>2715</v>
      </c>
      <c r="E419" s="68" t="s">
        <v>2716</v>
      </c>
      <c r="F419" s="66" t="s">
        <v>2717</v>
      </c>
      <c r="G419" s="71">
        <v>16792</v>
      </c>
      <c r="H419" s="73"/>
      <c r="I419" s="75">
        <v>0.2</v>
      </c>
      <c r="J419" s="77"/>
      <c r="K419" s="66"/>
      <c r="L419" s="66"/>
      <c r="M419" s="79" t="str">
        <f>HYPERLINK("http://www.pristavka.com/catalog/banpresto_series/BNS858/")</f>
        <v>http://www.pristavka.com/catalog/banpresto_series/BNS858/</v>
      </c>
      <c r="N419" s="71">
        <v>25899</v>
      </c>
      <c r="O419" s="66" t="s">
        <v>27</v>
      </c>
      <c r="P419" s="82" t="s">
        <v>2718</v>
      </c>
      <c r="Q419" s="84" t="s">
        <v>1522</v>
      </c>
      <c r="R419" s="84" t="s">
        <v>1068</v>
      </c>
      <c r="S419" s="84">
        <v>0.25600000000000001</v>
      </c>
      <c r="T419" s="82" t="s">
        <v>2399</v>
      </c>
      <c r="U419" s="84" t="s">
        <v>2255</v>
      </c>
      <c r="V419" s="54"/>
    </row>
    <row r="420" spans="1:22" s="11" customFormat="1" ht="45" customHeight="1" x14ac:dyDescent="0.2">
      <c r="A420" s="66" t="s">
        <v>2222</v>
      </c>
      <c r="B420" s="66" t="s">
        <v>1707</v>
      </c>
      <c r="C420" s="66" t="s">
        <v>2222</v>
      </c>
      <c r="D420" s="66">
        <v>4983164166507</v>
      </c>
      <c r="E420" s="68" t="s">
        <v>2719</v>
      </c>
      <c r="F420" s="66" t="s">
        <v>2720</v>
      </c>
      <c r="G420" s="71">
        <v>13359</v>
      </c>
      <c r="H420" s="73"/>
      <c r="I420" s="75">
        <v>0.2</v>
      </c>
      <c r="J420" s="77"/>
      <c r="K420" s="66"/>
      <c r="L420" s="66"/>
      <c r="M420" s="79" t="str">
        <f>HYPERLINK("http://www.pristavka.com/catalog/banpresto_series/BNS944/")</f>
        <v>http://www.pristavka.com/catalog/banpresto_series/BNS944/</v>
      </c>
      <c r="N420" s="71">
        <v>20599</v>
      </c>
      <c r="O420" s="66" t="s">
        <v>27</v>
      </c>
      <c r="P420" s="82" t="s">
        <v>2721</v>
      </c>
      <c r="Q420" s="84" t="s">
        <v>1102</v>
      </c>
      <c r="R420" s="84" t="s">
        <v>1303</v>
      </c>
      <c r="S420" s="84">
        <v>0.22500000000000001</v>
      </c>
      <c r="T420" s="82" t="s">
        <v>2284</v>
      </c>
      <c r="U420" s="84"/>
      <c r="V420" s="54"/>
    </row>
    <row r="421" spans="1:22" s="11" customFormat="1" ht="45" customHeight="1" x14ac:dyDescent="0.2">
      <c r="A421" s="66" t="s">
        <v>2222</v>
      </c>
      <c r="B421" s="66" t="s">
        <v>1707</v>
      </c>
      <c r="C421" s="66" t="s">
        <v>2222</v>
      </c>
      <c r="D421" s="66">
        <v>4983164184334</v>
      </c>
      <c r="E421" s="68" t="s">
        <v>2722</v>
      </c>
      <c r="F421" s="66" t="s">
        <v>2723</v>
      </c>
      <c r="G421" s="71">
        <v>8552</v>
      </c>
      <c r="H421" s="73"/>
      <c r="I421" s="75">
        <v>0.2</v>
      </c>
      <c r="J421" s="77"/>
      <c r="K421" s="66"/>
      <c r="L421" s="66"/>
      <c r="M421" s="79" t="str">
        <f>HYPERLINK("http://www.pristavka.com/catalog/banpresto_series/BNS966/")</f>
        <v>http://www.pristavka.com/catalog/banpresto_series/BNS966/</v>
      </c>
      <c r="N421" s="71">
        <v>13199</v>
      </c>
      <c r="O421" s="66" t="s">
        <v>28</v>
      </c>
      <c r="P421" s="82" t="s">
        <v>2724</v>
      </c>
      <c r="Q421" s="84" t="s">
        <v>2725</v>
      </c>
      <c r="R421" s="84" t="s">
        <v>1068</v>
      </c>
      <c r="S421" s="84">
        <v>0.26</v>
      </c>
      <c r="T421" s="82" t="s">
        <v>2284</v>
      </c>
      <c r="U421" s="84"/>
      <c r="V421" s="54"/>
    </row>
    <row r="422" spans="1:22" s="11" customFormat="1" ht="45" customHeight="1" x14ac:dyDescent="0.2">
      <c r="A422" s="66" t="s">
        <v>2222</v>
      </c>
      <c r="B422" s="66" t="s">
        <v>1707</v>
      </c>
      <c r="C422" s="66" t="s">
        <v>2222</v>
      </c>
      <c r="D422" s="66">
        <v>4983164184341</v>
      </c>
      <c r="E422" s="68" t="s">
        <v>2726</v>
      </c>
      <c r="F422" s="66" t="s">
        <v>2727</v>
      </c>
      <c r="G422" s="71">
        <v>8552</v>
      </c>
      <c r="H422" s="73"/>
      <c r="I422" s="75">
        <v>0.2</v>
      </c>
      <c r="J422" s="77"/>
      <c r="K422" s="66"/>
      <c r="L422" s="66"/>
      <c r="M422" s="79" t="str">
        <f>HYPERLINK("http://www.pristavka.com/catalog/banpresto_series/BNS967/")</f>
        <v>http://www.pristavka.com/catalog/banpresto_series/BNS967/</v>
      </c>
      <c r="N422" s="71">
        <v>13199</v>
      </c>
      <c r="O422" s="66" t="s">
        <v>27</v>
      </c>
      <c r="P422" s="82" t="s">
        <v>2728</v>
      </c>
      <c r="Q422" s="84" t="s">
        <v>2725</v>
      </c>
      <c r="R422" s="84" t="s">
        <v>1068</v>
      </c>
      <c r="S422" s="84">
        <v>0.19400000000000001</v>
      </c>
      <c r="T422" s="82" t="s">
        <v>2284</v>
      </c>
      <c r="U422" s="84"/>
      <c r="V422" s="54"/>
    </row>
    <row r="423" spans="1:22" s="11" customFormat="1" ht="45" customHeight="1" x14ac:dyDescent="0.2">
      <c r="A423" s="66" t="s">
        <v>2222</v>
      </c>
      <c r="B423" s="66" t="s">
        <v>1707</v>
      </c>
      <c r="C423" s="66" t="s">
        <v>2222</v>
      </c>
      <c r="D423" s="66">
        <v>4983164181227</v>
      </c>
      <c r="E423" s="68" t="s">
        <v>2729</v>
      </c>
      <c r="F423" s="66" t="s">
        <v>2730</v>
      </c>
      <c r="G423" s="71">
        <v>12329</v>
      </c>
      <c r="H423" s="73"/>
      <c r="I423" s="75">
        <v>0.2</v>
      </c>
      <c r="J423" s="77"/>
      <c r="K423" s="66"/>
      <c r="L423" s="66"/>
      <c r="M423" s="79" t="str">
        <f>HYPERLINK("http://www.pristavka.com/catalog/banpresto_series/BNS1041/")</f>
        <v>http://www.pristavka.com/catalog/banpresto_series/BNS1041/</v>
      </c>
      <c r="N423" s="71">
        <v>18999</v>
      </c>
      <c r="O423" s="66" t="s">
        <v>28</v>
      </c>
      <c r="P423" s="82" t="s">
        <v>2731</v>
      </c>
      <c r="Q423" s="84" t="s">
        <v>1117</v>
      </c>
      <c r="R423" s="84" t="s">
        <v>1068</v>
      </c>
      <c r="S423" s="84">
        <v>0.186</v>
      </c>
      <c r="T423" s="82" t="s">
        <v>2293</v>
      </c>
      <c r="U423" s="84"/>
      <c r="V423" s="54"/>
    </row>
    <row r="424" spans="1:22" s="11" customFormat="1" ht="45" customHeight="1" x14ac:dyDescent="0.2">
      <c r="A424" s="66" t="s">
        <v>2222</v>
      </c>
      <c r="B424" s="66" t="s">
        <v>1707</v>
      </c>
      <c r="C424" s="66" t="s">
        <v>2222</v>
      </c>
      <c r="D424" s="66" t="s">
        <v>2732</v>
      </c>
      <c r="E424" s="68" t="s">
        <v>2733</v>
      </c>
      <c r="F424" s="66" t="s">
        <v>2734</v>
      </c>
      <c r="G424" s="71">
        <v>16792</v>
      </c>
      <c r="H424" s="73"/>
      <c r="I424" s="75">
        <v>0.2</v>
      </c>
      <c r="J424" s="77"/>
      <c r="K424" s="66"/>
      <c r="L424" s="66"/>
      <c r="M424" s="79" t="str">
        <f>HYPERLINK("http://www.pristavka.com/catalog/banpresto_series/BNS860/")</f>
        <v>http://www.pristavka.com/catalog/banpresto_series/BNS860/</v>
      </c>
      <c r="N424" s="71">
        <v>25899</v>
      </c>
      <c r="O424" s="66" t="s">
        <v>28</v>
      </c>
      <c r="P424" s="82" t="s">
        <v>2735</v>
      </c>
      <c r="Q424" s="84" t="s">
        <v>1522</v>
      </c>
      <c r="R424" s="84" t="s">
        <v>1068</v>
      </c>
      <c r="S424" s="84">
        <v>0.27</v>
      </c>
      <c r="T424" s="82" t="s">
        <v>2284</v>
      </c>
      <c r="U424" s="84" t="s">
        <v>2255</v>
      </c>
      <c r="V424" s="54"/>
    </row>
    <row r="425" spans="1:22" s="11" customFormat="1" ht="45" customHeight="1" x14ac:dyDescent="0.2">
      <c r="A425" s="66" t="s">
        <v>2222</v>
      </c>
      <c r="B425" s="66" t="s">
        <v>1707</v>
      </c>
      <c r="C425" s="66" t="s">
        <v>2222</v>
      </c>
      <c r="D425" s="66" t="s">
        <v>2736</v>
      </c>
      <c r="E425" s="68" t="s">
        <v>2737</v>
      </c>
      <c r="F425" s="66" t="s">
        <v>2738</v>
      </c>
      <c r="G425" s="71">
        <v>14732</v>
      </c>
      <c r="H425" s="73"/>
      <c r="I425" s="75">
        <v>0.2</v>
      </c>
      <c r="J425" s="77"/>
      <c r="K425" s="66"/>
      <c r="L425" s="66"/>
      <c r="M425" s="79" t="str">
        <f>HYPERLINK("http://www.pristavka.com/catalog/banpresto_series/BNS862/")</f>
        <v>http://www.pristavka.com/catalog/banpresto_series/BNS862/</v>
      </c>
      <c r="N425" s="71">
        <v>22699</v>
      </c>
      <c r="O425" s="66" t="s">
        <v>27</v>
      </c>
      <c r="P425" s="82" t="s">
        <v>2739</v>
      </c>
      <c r="Q425" s="84" t="s">
        <v>1334</v>
      </c>
      <c r="R425" s="84" t="s">
        <v>1068</v>
      </c>
      <c r="S425" s="84">
        <v>0.23300000000000001</v>
      </c>
      <c r="T425" s="82" t="s">
        <v>2284</v>
      </c>
      <c r="U425" s="84" t="s">
        <v>2255</v>
      </c>
      <c r="V425" s="54"/>
    </row>
    <row r="426" spans="1:22" s="11" customFormat="1" ht="45" customHeight="1" x14ac:dyDescent="0.2">
      <c r="A426" s="66" t="s">
        <v>2222</v>
      </c>
      <c r="B426" s="66" t="s">
        <v>1707</v>
      </c>
      <c r="C426" s="66" t="s">
        <v>2222</v>
      </c>
      <c r="D426" s="66" t="s">
        <v>2740</v>
      </c>
      <c r="E426" s="68" t="s">
        <v>2741</v>
      </c>
      <c r="F426" s="66" t="s">
        <v>2742</v>
      </c>
      <c r="G426" s="71">
        <v>17135</v>
      </c>
      <c r="H426" s="73"/>
      <c r="I426" s="75">
        <v>0.2</v>
      </c>
      <c r="J426" s="77"/>
      <c r="K426" s="66"/>
      <c r="L426" s="66"/>
      <c r="M426" s="79" t="str">
        <f>HYPERLINK("http://www.pristavka.com/catalog/banpresto_series/BNS865/")</f>
        <v>http://www.pristavka.com/catalog/banpresto_series/BNS865/</v>
      </c>
      <c r="N426" s="71">
        <v>26399</v>
      </c>
      <c r="O426" s="66" t="s">
        <v>27</v>
      </c>
      <c r="P426" s="82" t="s">
        <v>2743</v>
      </c>
      <c r="Q426" s="84" t="s">
        <v>1334</v>
      </c>
      <c r="R426" s="84" t="s">
        <v>1068</v>
      </c>
      <c r="S426" s="84">
        <v>0.24</v>
      </c>
      <c r="T426" s="82" t="s">
        <v>2284</v>
      </c>
      <c r="U426" s="84" t="s">
        <v>2255</v>
      </c>
      <c r="V426" s="54"/>
    </row>
    <row r="427" spans="1:22" s="11" customFormat="1" ht="45" customHeight="1" x14ac:dyDescent="0.2">
      <c r="A427" s="66" t="s">
        <v>2222</v>
      </c>
      <c r="B427" s="66" t="s">
        <v>1707</v>
      </c>
      <c r="C427" s="66" t="s">
        <v>2222</v>
      </c>
      <c r="D427" s="66" t="s">
        <v>2744</v>
      </c>
      <c r="E427" s="68" t="s">
        <v>2745</v>
      </c>
      <c r="F427" s="66" t="s">
        <v>2746</v>
      </c>
      <c r="G427" s="71">
        <v>16792</v>
      </c>
      <c r="H427" s="73"/>
      <c r="I427" s="75">
        <v>0.2</v>
      </c>
      <c r="J427" s="77"/>
      <c r="K427" s="66"/>
      <c r="L427" s="66"/>
      <c r="M427" s="79" t="str">
        <f>HYPERLINK("http://www.pristavka.com/catalog/banpresto_series/BNS866/")</f>
        <v>http://www.pristavka.com/catalog/banpresto_series/BNS866/</v>
      </c>
      <c r="N427" s="71">
        <v>25899</v>
      </c>
      <c r="O427" s="66" t="s">
        <v>27</v>
      </c>
      <c r="P427" s="82" t="s">
        <v>2747</v>
      </c>
      <c r="Q427" s="84" t="s">
        <v>1334</v>
      </c>
      <c r="R427" s="84" t="s">
        <v>1068</v>
      </c>
      <c r="S427" s="84">
        <v>0.245</v>
      </c>
      <c r="T427" s="82" t="s">
        <v>2284</v>
      </c>
      <c r="U427" s="84" t="s">
        <v>2255</v>
      </c>
      <c r="V427" s="54"/>
    </row>
    <row r="428" spans="1:22" s="11" customFormat="1" ht="45" customHeight="1" x14ac:dyDescent="0.2">
      <c r="A428" s="66" t="s">
        <v>2222</v>
      </c>
      <c r="B428" s="66" t="s">
        <v>1707</v>
      </c>
      <c r="C428" s="66" t="s">
        <v>2232</v>
      </c>
      <c r="D428" s="66" t="s">
        <v>2748</v>
      </c>
      <c r="E428" s="68" t="s">
        <v>2749</v>
      </c>
      <c r="F428" s="66" t="s">
        <v>2750</v>
      </c>
      <c r="G428" s="71">
        <v>10269</v>
      </c>
      <c r="H428" s="73"/>
      <c r="I428" s="75">
        <v>0.2</v>
      </c>
      <c r="J428" s="77"/>
      <c r="K428" s="66"/>
      <c r="L428" s="66"/>
      <c r="M428" s="79" t="str">
        <f>HYPERLINK("http://www.pristavka.com/catalog/banpresto_series/BNS330/")</f>
        <v>http://www.pristavka.com/catalog/banpresto_series/BNS330/</v>
      </c>
      <c r="N428" s="71">
        <v>15799</v>
      </c>
      <c r="O428" s="66" t="s">
        <v>27</v>
      </c>
      <c r="P428" s="82" t="s">
        <v>2751</v>
      </c>
      <c r="Q428" s="84" t="s">
        <v>1334</v>
      </c>
      <c r="R428" s="84" t="s">
        <v>1068</v>
      </c>
      <c r="S428" s="84">
        <v>0.221</v>
      </c>
      <c r="T428" s="82" t="s">
        <v>2284</v>
      </c>
      <c r="U428" s="84" t="s">
        <v>2255</v>
      </c>
      <c r="V428" s="54"/>
    </row>
    <row r="429" spans="1:22" s="11" customFormat="1" ht="45" customHeight="1" x14ac:dyDescent="0.2">
      <c r="A429" s="66" t="s">
        <v>2222</v>
      </c>
      <c r="B429" s="66" t="s">
        <v>1707</v>
      </c>
      <c r="C429" s="66" t="s">
        <v>2222</v>
      </c>
      <c r="D429" s="66">
        <v>4983164181449</v>
      </c>
      <c r="E429" s="68" t="s">
        <v>2752</v>
      </c>
      <c r="F429" s="66" t="s">
        <v>2753</v>
      </c>
      <c r="G429" s="71">
        <v>18509</v>
      </c>
      <c r="H429" s="73"/>
      <c r="I429" s="75">
        <v>0.2</v>
      </c>
      <c r="J429" s="77"/>
      <c r="K429" s="66"/>
      <c r="L429" s="66"/>
      <c r="M429" s="79" t="str">
        <f>HYPERLINK("http://www.pristavka.com/catalog/banpresto_series/BNS1042/")</f>
        <v>http://www.pristavka.com/catalog/banpresto_series/BNS1042/</v>
      </c>
      <c r="N429" s="71">
        <v>28499</v>
      </c>
      <c r="O429" s="66" t="s">
        <v>27</v>
      </c>
      <c r="P429" s="82" t="s">
        <v>2754</v>
      </c>
      <c r="Q429" s="84" t="s">
        <v>2755</v>
      </c>
      <c r="R429" s="84" t="s">
        <v>1068</v>
      </c>
      <c r="S429" s="84">
        <v>0.23400000000000001</v>
      </c>
      <c r="T429" s="82" t="s">
        <v>2293</v>
      </c>
      <c r="U429" s="84"/>
      <c r="V429" s="54"/>
    </row>
    <row r="430" spans="1:22" s="11" customFormat="1" ht="45" customHeight="1" x14ac:dyDescent="0.2">
      <c r="A430" s="66" t="s">
        <v>2222</v>
      </c>
      <c r="B430" s="66" t="s">
        <v>1707</v>
      </c>
      <c r="C430" s="66" t="s">
        <v>2232</v>
      </c>
      <c r="D430" s="66" t="s">
        <v>2756</v>
      </c>
      <c r="E430" s="68" t="s">
        <v>2757</v>
      </c>
      <c r="F430" s="66" t="s">
        <v>2758</v>
      </c>
      <c r="G430" s="71">
        <v>10269</v>
      </c>
      <c r="H430" s="73"/>
      <c r="I430" s="75">
        <v>0.2</v>
      </c>
      <c r="J430" s="77"/>
      <c r="K430" s="66"/>
      <c r="L430" s="66"/>
      <c r="M430" s="79" t="str">
        <f>HYPERLINK("http://www.pristavka.com/catalog/banpresto_series/BNS331/")</f>
        <v>http://www.pristavka.com/catalog/banpresto_series/BNS331/</v>
      </c>
      <c r="N430" s="71">
        <v>15799</v>
      </c>
      <c r="O430" s="66" t="s">
        <v>27</v>
      </c>
      <c r="P430" s="82" t="s">
        <v>2759</v>
      </c>
      <c r="Q430" s="84" t="s">
        <v>1334</v>
      </c>
      <c r="R430" s="84" t="s">
        <v>1068</v>
      </c>
      <c r="S430" s="84">
        <v>0.221</v>
      </c>
      <c r="T430" s="82" t="s">
        <v>2259</v>
      </c>
      <c r="U430" s="84" t="s">
        <v>2255</v>
      </c>
      <c r="V430" s="54"/>
    </row>
    <row r="431" spans="1:22" s="11" customFormat="1" ht="45" customHeight="1" x14ac:dyDescent="0.2">
      <c r="A431" s="66" t="s">
        <v>2222</v>
      </c>
      <c r="B431" s="66" t="s">
        <v>1707</v>
      </c>
      <c r="C431" s="66" t="s">
        <v>2222</v>
      </c>
      <c r="D431" s="66">
        <v>4983164186543</v>
      </c>
      <c r="E431" s="68" t="s">
        <v>2760</v>
      </c>
      <c r="F431" s="66" t="s">
        <v>2761</v>
      </c>
      <c r="G431" s="71">
        <v>11985</v>
      </c>
      <c r="H431" s="73"/>
      <c r="I431" s="75">
        <v>0.2</v>
      </c>
      <c r="J431" s="77"/>
      <c r="K431" s="66"/>
      <c r="L431" s="66"/>
      <c r="M431" s="79" t="str">
        <f>HYPERLINK("http://www.pristavka.com/catalog/banpresto_series/BNS533/")</f>
        <v>http://www.pristavka.com/catalog/banpresto_series/BNS533/</v>
      </c>
      <c r="N431" s="71">
        <v>18499</v>
      </c>
      <c r="O431" s="66" t="s">
        <v>27</v>
      </c>
      <c r="P431" s="82" t="s">
        <v>2762</v>
      </c>
      <c r="Q431" s="84" t="s">
        <v>2696</v>
      </c>
      <c r="R431" s="84" t="s">
        <v>1075</v>
      </c>
      <c r="S431" s="84">
        <v>0.188</v>
      </c>
      <c r="T431" s="82" t="s">
        <v>2284</v>
      </c>
      <c r="U431" s="84"/>
      <c r="V431" s="54"/>
    </row>
    <row r="432" spans="1:22" s="11" customFormat="1" ht="45" customHeight="1" x14ac:dyDescent="0.2">
      <c r="A432" s="66" t="s">
        <v>2222</v>
      </c>
      <c r="B432" s="66" t="s">
        <v>1707</v>
      </c>
      <c r="C432" s="66" t="s">
        <v>2222</v>
      </c>
      <c r="D432" s="66" t="s">
        <v>2763</v>
      </c>
      <c r="E432" s="68" t="s">
        <v>2764</v>
      </c>
      <c r="F432" s="66" t="s">
        <v>2765</v>
      </c>
      <c r="G432" s="71">
        <v>16792</v>
      </c>
      <c r="H432" s="73"/>
      <c r="I432" s="75">
        <v>0.2</v>
      </c>
      <c r="J432" s="77"/>
      <c r="K432" s="66"/>
      <c r="L432" s="66"/>
      <c r="M432" s="79" t="str">
        <f>HYPERLINK("http://www.pristavka.com/catalog/banpresto_series/BNS903/")</f>
        <v>http://www.pristavka.com/catalog/banpresto_series/BNS903/</v>
      </c>
      <c r="N432" s="71">
        <v>25899</v>
      </c>
      <c r="O432" s="66" t="s">
        <v>27</v>
      </c>
      <c r="P432" s="82" t="s">
        <v>2766</v>
      </c>
      <c r="Q432" s="84" t="s">
        <v>1505</v>
      </c>
      <c r="R432" s="84" t="s">
        <v>1068</v>
      </c>
      <c r="S432" s="84">
        <v>0.21</v>
      </c>
      <c r="T432" s="82" t="s">
        <v>2767</v>
      </c>
      <c r="U432" s="84" t="s">
        <v>2255</v>
      </c>
      <c r="V432" s="54"/>
    </row>
    <row r="433" spans="1:22" s="11" customFormat="1" ht="45" customHeight="1" x14ac:dyDescent="0.2">
      <c r="A433" s="66" t="s">
        <v>2222</v>
      </c>
      <c r="B433" s="66" t="s">
        <v>1707</v>
      </c>
      <c r="C433" s="66" t="s">
        <v>2222</v>
      </c>
      <c r="D433" s="66" t="s">
        <v>2768</v>
      </c>
      <c r="E433" s="68" t="s">
        <v>2769</v>
      </c>
      <c r="F433" s="66" t="s">
        <v>2770</v>
      </c>
      <c r="G433" s="71">
        <v>17822</v>
      </c>
      <c r="H433" s="73"/>
      <c r="I433" s="75">
        <v>0.2</v>
      </c>
      <c r="J433" s="77"/>
      <c r="K433" s="66"/>
      <c r="L433" s="66"/>
      <c r="M433" s="79" t="str">
        <f>HYPERLINK("http://www.pristavka.com/catalog/banpresto_series/BNS905/")</f>
        <v>http://www.pristavka.com/catalog/banpresto_series/BNS905/</v>
      </c>
      <c r="N433" s="71">
        <v>27499</v>
      </c>
      <c r="O433" s="66" t="s">
        <v>28</v>
      </c>
      <c r="P433" s="82" t="s">
        <v>2771</v>
      </c>
      <c r="Q433" s="84" t="s">
        <v>1505</v>
      </c>
      <c r="R433" s="84" t="s">
        <v>1068</v>
      </c>
      <c r="S433" s="84">
        <v>0.215</v>
      </c>
      <c r="T433" s="82" t="s">
        <v>2284</v>
      </c>
      <c r="U433" s="84" t="s">
        <v>2255</v>
      </c>
      <c r="V433" s="54"/>
    </row>
    <row r="434" spans="1:22" s="11" customFormat="1" ht="45" customHeight="1" x14ac:dyDescent="0.2">
      <c r="A434" s="66" t="s">
        <v>2222</v>
      </c>
      <c r="B434" s="66" t="s">
        <v>1707</v>
      </c>
      <c r="C434" s="66" t="s">
        <v>2222</v>
      </c>
      <c r="D434" s="66" t="s">
        <v>2772</v>
      </c>
      <c r="E434" s="68" t="s">
        <v>2773</v>
      </c>
      <c r="F434" s="66" t="s">
        <v>2774</v>
      </c>
      <c r="G434" s="71">
        <v>16792</v>
      </c>
      <c r="H434" s="73"/>
      <c r="I434" s="75">
        <v>0.2</v>
      </c>
      <c r="J434" s="77"/>
      <c r="K434" s="66"/>
      <c r="L434" s="66"/>
      <c r="M434" s="79" t="str">
        <f>HYPERLINK("http://www.pristavka.com/catalog/banpresto_series/BNS904/")</f>
        <v>http://www.pristavka.com/catalog/banpresto_series/BNS904/</v>
      </c>
      <c r="N434" s="71">
        <v>25899</v>
      </c>
      <c r="O434" s="66" t="s">
        <v>27</v>
      </c>
      <c r="P434" s="82" t="s">
        <v>2775</v>
      </c>
      <c r="Q434" s="84" t="s">
        <v>1505</v>
      </c>
      <c r="R434" s="84" t="s">
        <v>1068</v>
      </c>
      <c r="S434" s="84">
        <v>0.23</v>
      </c>
      <c r="T434" s="82" t="s">
        <v>2284</v>
      </c>
      <c r="U434" s="84" t="s">
        <v>2255</v>
      </c>
      <c r="V434" s="54"/>
    </row>
    <row r="435" spans="1:22" s="11" customFormat="1" ht="45" customHeight="1" x14ac:dyDescent="0.2">
      <c r="A435" s="66" t="s">
        <v>2222</v>
      </c>
      <c r="B435" s="66" t="s">
        <v>1707</v>
      </c>
      <c r="C435" s="66" t="s">
        <v>2222</v>
      </c>
      <c r="D435" s="66" t="s">
        <v>2776</v>
      </c>
      <c r="E435" s="68" t="s">
        <v>2777</v>
      </c>
      <c r="F435" s="66" t="s">
        <v>2778</v>
      </c>
      <c r="G435" s="71">
        <v>16792</v>
      </c>
      <c r="H435" s="73"/>
      <c r="I435" s="75">
        <v>0.2</v>
      </c>
      <c r="J435" s="77"/>
      <c r="K435" s="66"/>
      <c r="L435" s="66"/>
      <c r="M435" s="79" t="str">
        <f>HYPERLINK("http://www.pristavka.com/catalog/banpresto_series/BNS902/")</f>
        <v>http://www.pristavka.com/catalog/banpresto_series/BNS902/</v>
      </c>
      <c r="N435" s="71">
        <v>25899</v>
      </c>
      <c r="O435" s="66" t="s">
        <v>27</v>
      </c>
      <c r="P435" s="82" t="s">
        <v>2779</v>
      </c>
      <c r="Q435" s="84" t="s">
        <v>1505</v>
      </c>
      <c r="R435" s="84" t="s">
        <v>1068</v>
      </c>
      <c r="S435" s="84">
        <v>0.17799999999999999</v>
      </c>
      <c r="T435" s="82" t="s">
        <v>2399</v>
      </c>
      <c r="U435" s="84" t="s">
        <v>2255</v>
      </c>
      <c r="V435" s="54"/>
    </row>
    <row r="436" spans="1:22" s="11" customFormat="1" ht="45" customHeight="1" x14ac:dyDescent="0.2">
      <c r="A436" s="66" t="s">
        <v>2222</v>
      </c>
      <c r="B436" s="66" t="s">
        <v>1707</v>
      </c>
      <c r="C436" s="66" t="s">
        <v>2222</v>
      </c>
      <c r="D436" s="66" t="s">
        <v>2780</v>
      </c>
      <c r="E436" s="68" t="s">
        <v>2781</v>
      </c>
      <c r="F436" s="66" t="s">
        <v>2782</v>
      </c>
      <c r="G436" s="71">
        <v>16792</v>
      </c>
      <c r="H436" s="73"/>
      <c r="I436" s="75">
        <v>0.2</v>
      </c>
      <c r="J436" s="77"/>
      <c r="K436" s="66"/>
      <c r="L436" s="66"/>
      <c r="M436" s="79" t="str">
        <f>HYPERLINK("http://www.pristavka.com/catalog/banpresto_series/BNS901/")</f>
        <v>http://www.pristavka.com/catalog/banpresto_series/BNS901/</v>
      </c>
      <c r="N436" s="71">
        <v>25899</v>
      </c>
      <c r="O436" s="66" t="s">
        <v>28</v>
      </c>
      <c r="P436" s="82" t="s">
        <v>2783</v>
      </c>
      <c r="Q436" s="84" t="s">
        <v>1505</v>
      </c>
      <c r="R436" s="84" t="s">
        <v>1068</v>
      </c>
      <c r="S436" s="84">
        <v>0.216</v>
      </c>
      <c r="T436" s="82" t="s">
        <v>2784</v>
      </c>
      <c r="U436" s="84" t="s">
        <v>2255</v>
      </c>
      <c r="V436" s="54"/>
    </row>
    <row r="437" spans="1:22" s="11" customFormat="1" ht="45" customHeight="1" x14ac:dyDescent="0.2">
      <c r="A437" s="66" t="s">
        <v>2222</v>
      </c>
      <c r="B437" s="66" t="s">
        <v>1707</v>
      </c>
      <c r="C437" s="66" t="s">
        <v>2222</v>
      </c>
      <c r="D437" s="66" t="s">
        <v>2785</v>
      </c>
      <c r="E437" s="68" t="s">
        <v>2786</v>
      </c>
      <c r="F437" s="66" t="s">
        <v>2787</v>
      </c>
      <c r="G437" s="71">
        <v>17822</v>
      </c>
      <c r="H437" s="73"/>
      <c r="I437" s="75">
        <v>0.2</v>
      </c>
      <c r="J437" s="77"/>
      <c r="K437" s="66"/>
      <c r="L437" s="66"/>
      <c r="M437" s="79" t="str">
        <f>HYPERLINK("http://www.pristavka.com/catalog/banpresto_series/BNS906/")</f>
        <v>http://www.pristavka.com/catalog/banpresto_series/BNS906/</v>
      </c>
      <c r="N437" s="71">
        <v>27499</v>
      </c>
      <c r="O437" s="66" t="s">
        <v>27</v>
      </c>
      <c r="P437" s="82" t="s">
        <v>2788</v>
      </c>
      <c r="Q437" s="84" t="s">
        <v>1505</v>
      </c>
      <c r="R437" s="84" t="s">
        <v>1068</v>
      </c>
      <c r="S437" s="84">
        <v>0.20300000000000001</v>
      </c>
      <c r="T437" s="82" t="s">
        <v>2284</v>
      </c>
      <c r="U437" s="84" t="s">
        <v>2255</v>
      </c>
      <c r="V437" s="54"/>
    </row>
    <row r="438" spans="1:22" s="11" customFormat="1" ht="45" customHeight="1" x14ac:dyDescent="0.2">
      <c r="A438" s="66" t="s">
        <v>2222</v>
      </c>
      <c r="B438" s="66" t="s">
        <v>1707</v>
      </c>
      <c r="C438" s="66" t="s">
        <v>2222</v>
      </c>
      <c r="D438" s="66" t="s">
        <v>2789</v>
      </c>
      <c r="E438" s="68" t="s">
        <v>2790</v>
      </c>
      <c r="F438" s="66" t="s">
        <v>2791</v>
      </c>
      <c r="G438" s="71">
        <v>17822</v>
      </c>
      <c r="H438" s="73"/>
      <c r="I438" s="75">
        <v>0.2</v>
      </c>
      <c r="J438" s="77"/>
      <c r="K438" s="66"/>
      <c r="L438" s="66"/>
      <c r="M438" s="79" t="str">
        <f>HYPERLINK("http://www.pristavka.com/catalog/banpresto_series/BNS900/")</f>
        <v>http://www.pristavka.com/catalog/banpresto_series/BNS900/</v>
      </c>
      <c r="N438" s="71">
        <v>27499</v>
      </c>
      <c r="O438" s="66" t="s">
        <v>27</v>
      </c>
      <c r="P438" s="82" t="s">
        <v>2792</v>
      </c>
      <c r="Q438" s="84" t="s">
        <v>1505</v>
      </c>
      <c r="R438" s="84" t="s">
        <v>1068</v>
      </c>
      <c r="S438" s="84">
        <v>0.17199999999999999</v>
      </c>
      <c r="T438" s="82" t="s">
        <v>2399</v>
      </c>
      <c r="U438" s="84" t="s">
        <v>2255</v>
      </c>
      <c r="V438" s="54"/>
    </row>
    <row r="439" spans="1:22" s="11" customFormat="1" ht="45" customHeight="1" x14ac:dyDescent="0.2">
      <c r="A439" s="66" t="s">
        <v>2222</v>
      </c>
      <c r="B439" s="66" t="s">
        <v>1707</v>
      </c>
      <c r="C439" s="66" t="s">
        <v>2222</v>
      </c>
      <c r="D439" s="66" t="s">
        <v>2793</v>
      </c>
      <c r="E439" s="68" t="s">
        <v>2794</v>
      </c>
      <c r="F439" s="66" t="s">
        <v>2795</v>
      </c>
      <c r="G439" s="71">
        <v>16792</v>
      </c>
      <c r="H439" s="73"/>
      <c r="I439" s="75">
        <v>0.2</v>
      </c>
      <c r="J439" s="77"/>
      <c r="K439" s="66"/>
      <c r="L439" s="66"/>
      <c r="M439" s="79" t="str">
        <f>HYPERLINK("http://www.pristavka.com/catalog/banpresto_series/BNS894/")</f>
        <v>http://www.pristavka.com/catalog/banpresto_series/BNS894/</v>
      </c>
      <c r="N439" s="71">
        <v>25899</v>
      </c>
      <c r="O439" s="66" t="s">
        <v>28</v>
      </c>
      <c r="P439" s="82" t="s">
        <v>2796</v>
      </c>
      <c r="Q439" s="84" t="s">
        <v>2244</v>
      </c>
      <c r="R439" s="84" t="s">
        <v>1068</v>
      </c>
      <c r="S439" s="84">
        <v>0.2</v>
      </c>
      <c r="T439" s="82" t="s">
        <v>2284</v>
      </c>
      <c r="U439" s="84" t="s">
        <v>2255</v>
      </c>
      <c r="V439" s="54"/>
    </row>
    <row r="440" spans="1:22" s="11" customFormat="1" ht="45" customHeight="1" x14ac:dyDescent="0.2">
      <c r="A440" s="66" t="s">
        <v>2222</v>
      </c>
      <c r="B440" s="66" t="s">
        <v>1707</v>
      </c>
      <c r="C440" s="66" t="s">
        <v>2222</v>
      </c>
      <c r="D440" s="66" t="s">
        <v>2797</v>
      </c>
      <c r="E440" s="68" t="s">
        <v>2798</v>
      </c>
      <c r="F440" s="66" t="s">
        <v>2799</v>
      </c>
      <c r="G440" s="71">
        <v>16449</v>
      </c>
      <c r="H440" s="73"/>
      <c r="I440" s="75">
        <v>0.2</v>
      </c>
      <c r="J440" s="77"/>
      <c r="K440" s="66"/>
      <c r="L440" s="66"/>
      <c r="M440" s="79" t="str">
        <f>HYPERLINK("http://www.pristavka.com/catalog/banpresto_series/BNS893/")</f>
        <v>http://www.pristavka.com/catalog/banpresto_series/BNS893/</v>
      </c>
      <c r="N440" s="71">
        <v>25399</v>
      </c>
      <c r="O440" s="66" t="s">
        <v>28</v>
      </c>
      <c r="P440" s="82" t="s">
        <v>2800</v>
      </c>
      <c r="Q440" s="84" t="s">
        <v>2244</v>
      </c>
      <c r="R440" s="84" t="s">
        <v>1068</v>
      </c>
      <c r="S440" s="84">
        <v>0.22</v>
      </c>
      <c r="T440" s="82" t="s">
        <v>2399</v>
      </c>
      <c r="U440" s="84" t="s">
        <v>2255</v>
      </c>
      <c r="V440" s="54"/>
    </row>
    <row r="441" spans="1:22" s="11" customFormat="1" ht="45" customHeight="1" x14ac:dyDescent="0.2">
      <c r="A441" s="66" t="s">
        <v>2222</v>
      </c>
      <c r="B441" s="66" t="s">
        <v>1707</v>
      </c>
      <c r="C441" s="66" t="s">
        <v>2222</v>
      </c>
      <c r="D441" s="66">
        <v>4983164191455</v>
      </c>
      <c r="E441" s="68" t="s">
        <v>2801</v>
      </c>
      <c r="F441" s="66" t="s">
        <v>2802</v>
      </c>
      <c r="G441" s="71">
        <v>12672</v>
      </c>
      <c r="H441" s="73"/>
      <c r="I441" s="75">
        <v>0.2</v>
      </c>
      <c r="J441" s="77"/>
      <c r="K441" s="66"/>
      <c r="L441" s="66"/>
      <c r="M441" s="79" t="str">
        <f>HYPERLINK("http://www.pristavka.com/catalog/banpresto_series/BNS808/")</f>
        <v>http://www.pristavka.com/catalog/banpresto_series/BNS808/</v>
      </c>
      <c r="N441" s="71">
        <v>19499</v>
      </c>
      <c r="O441" s="66" t="s">
        <v>27</v>
      </c>
      <c r="P441" s="82" t="s">
        <v>2803</v>
      </c>
      <c r="Q441" s="84" t="s">
        <v>1505</v>
      </c>
      <c r="R441" s="84" t="s">
        <v>1068</v>
      </c>
      <c r="S441" s="84">
        <v>0.222</v>
      </c>
      <c r="T441" s="82" t="s">
        <v>2284</v>
      </c>
      <c r="U441" s="84"/>
      <c r="V441" s="54"/>
    </row>
    <row r="442" spans="1:22" s="11" customFormat="1" ht="45" customHeight="1" x14ac:dyDescent="0.2">
      <c r="A442" s="66" t="s">
        <v>2222</v>
      </c>
      <c r="B442" s="66" t="s">
        <v>1707</v>
      </c>
      <c r="C442" s="66" t="s">
        <v>2222</v>
      </c>
      <c r="D442" s="66" t="s">
        <v>2804</v>
      </c>
      <c r="E442" s="68" t="s">
        <v>2805</v>
      </c>
      <c r="F442" s="66" t="s">
        <v>2806</v>
      </c>
      <c r="G442" s="71">
        <v>11299</v>
      </c>
      <c r="H442" s="73"/>
      <c r="I442" s="75">
        <v>0.2</v>
      </c>
      <c r="J442" s="77"/>
      <c r="K442" s="66"/>
      <c r="L442" s="66"/>
      <c r="M442" s="79" t="str">
        <f>HYPERLINK("http://www.pristavka.com/catalog/banpresto_series/BNS888/")</f>
        <v>http://www.pristavka.com/catalog/banpresto_series/BNS888/</v>
      </c>
      <c r="N442" s="71">
        <v>17399</v>
      </c>
      <c r="O442" s="66" t="s">
        <v>27</v>
      </c>
      <c r="P442" s="82" t="s">
        <v>2807</v>
      </c>
      <c r="Q442" s="84" t="s">
        <v>2808</v>
      </c>
      <c r="R442" s="84" t="s">
        <v>1068</v>
      </c>
      <c r="S442" s="84">
        <v>0.05</v>
      </c>
      <c r="T442" s="82" t="s">
        <v>2809</v>
      </c>
      <c r="U442" s="84" t="s">
        <v>2255</v>
      </c>
      <c r="V442" s="54"/>
    </row>
    <row r="443" spans="1:22" s="11" customFormat="1" ht="45" customHeight="1" x14ac:dyDescent="0.2">
      <c r="A443" s="66" t="s">
        <v>2222</v>
      </c>
      <c r="B443" s="66" t="s">
        <v>1707</v>
      </c>
      <c r="C443" s="66" t="s">
        <v>2222</v>
      </c>
      <c r="D443" s="66">
        <v>4983164180756</v>
      </c>
      <c r="E443" s="68" t="s">
        <v>2810</v>
      </c>
      <c r="F443" s="66" t="s">
        <v>2811</v>
      </c>
      <c r="G443" s="71">
        <v>13702</v>
      </c>
      <c r="H443" s="73"/>
      <c r="I443" s="75">
        <v>0.2</v>
      </c>
      <c r="J443" s="77"/>
      <c r="K443" s="66"/>
      <c r="L443" s="66"/>
      <c r="M443" s="79" t="str">
        <f>HYPERLINK("http://www.pristavka.com/catalog/banpresto_series/BNS1046/")</f>
        <v>http://www.pristavka.com/catalog/banpresto_series/BNS1046/</v>
      </c>
      <c r="N443" s="71">
        <v>21099</v>
      </c>
      <c r="O443" s="66" t="s">
        <v>28</v>
      </c>
      <c r="P443" s="82" t="s">
        <v>2812</v>
      </c>
      <c r="Q443" s="84" t="s">
        <v>1068</v>
      </c>
      <c r="R443" s="84" t="s">
        <v>1068</v>
      </c>
      <c r="S443" s="84">
        <v>0.215</v>
      </c>
      <c r="T443" s="82" t="s">
        <v>2813</v>
      </c>
      <c r="U443" s="84"/>
      <c r="V443" s="54"/>
    </row>
    <row r="444" spans="1:22" s="11" customFormat="1" ht="45" customHeight="1" x14ac:dyDescent="0.2">
      <c r="A444" s="66" t="s">
        <v>2222</v>
      </c>
      <c r="B444" s="66" t="s">
        <v>1155</v>
      </c>
      <c r="C444" s="66" t="s">
        <v>2232</v>
      </c>
      <c r="D444" s="66">
        <v>4983164286342</v>
      </c>
      <c r="E444" s="68" t="s">
        <v>2814</v>
      </c>
      <c r="F444" s="66" t="s">
        <v>2815</v>
      </c>
      <c r="G444" s="71">
        <v>12672</v>
      </c>
      <c r="H444" s="73"/>
      <c r="I444" s="75">
        <v>0.2</v>
      </c>
      <c r="J444" s="77"/>
      <c r="K444" s="66"/>
      <c r="L444" s="66"/>
      <c r="M444" s="79" t="str">
        <f>HYPERLINK("http://www.pristavka.com/catalog/banpresto_series/BNS340/BNS1118/")</f>
        <v>http://www.pristavka.com/catalog/banpresto_series/BNS340/BNS1118/</v>
      </c>
      <c r="N444" s="71">
        <v>19499</v>
      </c>
      <c r="O444" s="66" t="s">
        <v>27</v>
      </c>
      <c r="P444" s="82" t="s">
        <v>2816</v>
      </c>
      <c r="Q444" s="84" t="s">
        <v>2817</v>
      </c>
      <c r="R444" s="84" t="s">
        <v>2818</v>
      </c>
      <c r="S444" s="84">
        <v>0.27600000000000002</v>
      </c>
      <c r="T444" s="82" t="s">
        <v>2272</v>
      </c>
      <c r="U444" s="84"/>
      <c r="V444" s="54"/>
    </row>
    <row r="445" spans="1:22" s="11" customFormat="1" ht="45" customHeight="1" x14ac:dyDescent="0.2">
      <c r="A445" s="66" t="s">
        <v>2222</v>
      </c>
      <c r="B445" s="66" t="s">
        <v>1155</v>
      </c>
      <c r="C445" s="66" t="s">
        <v>2232</v>
      </c>
      <c r="D445" s="66">
        <v>4983164285192</v>
      </c>
      <c r="E445" s="68" t="s">
        <v>2819</v>
      </c>
      <c r="F445" s="66" t="s">
        <v>2820</v>
      </c>
      <c r="G445" s="71">
        <v>12672</v>
      </c>
      <c r="H445" s="73"/>
      <c r="I445" s="75">
        <v>0.2</v>
      </c>
      <c r="J445" s="77"/>
      <c r="K445" s="66"/>
      <c r="L445" s="66"/>
      <c r="M445" s="79" t="str">
        <f>HYPERLINK("http://www.pristavka.com/catalog/banpresto_series/BNS340/BNS1082/")</f>
        <v>http://www.pristavka.com/catalog/banpresto_series/BNS340/BNS1082/</v>
      </c>
      <c r="N445" s="71">
        <v>19499</v>
      </c>
      <c r="O445" s="66" t="s">
        <v>27</v>
      </c>
      <c r="P445" s="82" t="s">
        <v>2821</v>
      </c>
      <c r="Q445" s="84" t="s">
        <v>2817</v>
      </c>
      <c r="R445" s="84" t="s">
        <v>2818</v>
      </c>
      <c r="S445" s="84">
        <v>0.28199999999999997</v>
      </c>
      <c r="T445" s="82" t="s">
        <v>2272</v>
      </c>
      <c r="U445" s="84"/>
      <c r="V445" s="54"/>
    </row>
    <row r="446" spans="1:22" s="11" customFormat="1" ht="45" customHeight="1" x14ac:dyDescent="0.2">
      <c r="A446" s="66" t="s">
        <v>2222</v>
      </c>
      <c r="B446" s="66" t="s">
        <v>1707</v>
      </c>
      <c r="C446" s="66" t="s">
        <v>2232</v>
      </c>
      <c r="D446" s="66" t="s">
        <v>2822</v>
      </c>
      <c r="E446" s="68" t="s">
        <v>2823</v>
      </c>
      <c r="F446" s="66" t="s">
        <v>2824</v>
      </c>
      <c r="G446" s="71">
        <v>8901</v>
      </c>
      <c r="H446" s="73"/>
      <c r="I446" s="75">
        <v>0.2</v>
      </c>
      <c r="J446" s="77"/>
      <c r="K446" s="66"/>
      <c r="L446" s="66"/>
      <c r="M446" s="79" t="str">
        <f>HYPERLINK("http://www.pristavka.com/catalog/banpresto_series/BNS204/")</f>
        <v>http://www.pristavka.com/catalog/banpresto_series/BNS204/</v>
      </c>
      <c r="N446" s="71">
        <v>13699</v>
      </c>
      <c r="O446" s="66" t="s">
        <v>28</v>
      </c>
      <c r="P446" s="82" t="s">
        <v>2825</v>
      </c>
      <c r="Q446" s="84" t="s">
        <v>2826</v>
      </c>
      <c r="R446" s="84" t="s">
        <v>1068</v>
      </c>
      <c r="S446" s="84">
        <v>0.214</v>
      </c>
      <c r="T446" s="82" t="s">
        <v>2827</v>
      </c>
      <c r="U446" s="84"/>
      <c r="V446" s="54"/>
    </row>
    <row r="447" spans="1:22" s="11" customFormat="1" ht="45" customHeight="1" x14ac:dyDescent="0.2">
      <c r="A447" s="66" t="s">
        <v>2222</v>
      </c>
      <c r="B447" s="66" t="s">
        <v>1707</v>
      </c>
      <c r="C447" s="66" t="s">
        <v>2222</v>
      </c>
      <c r="D447" s="66">
        <v>4983164188790</v>
      </c>
      <c r="E447" s="68" t="s">
        <v>2828</v>
      </c>
      <c r="F447" s="66" t="s">
        <v>2829</v>
      </c>
      <c r="G447" s="71">
        <v>16449</v>
      </c>
      <c r="H447" s="73"/>
      <c r="I447" s="75">
        <v>0.2</v>
      </c>
      <c r="J447" s="77"/>
      <c r="K447" s="66"/>
      <c r="L447" s="66"/>
      <c r="M447" s="79" t="str">
        <f>HYPERLINK("http://www.pristavka.com/catalog/banpresto_series/BNS573/")</f>
        <v>http://www.pristavka.com/catalog/banpresto_series/BNS573/</v>
      </c>
      <c r="N447" s="71">
        <v>25399</v>
      </c>
      <c r="O447" s="66" t="s">
        <v>27</v>
      </c>
      <c r="P447" s="82" t="s">
        <v>2830</v>
      </c>
      <c r="Q447" s="84" t="s">
        <v>2244</v>
      </c>
      <c r="R447" s="84" t="s">
        <v>1068</v>
      </c>
      <c r="S447" s="84">
        <v>0.23400000000000001</v>
      </c>
      <c r="T447" s="82" t="s">
        <v>2530</v>
      </c>
      <c r="U447" s="84"/>
      <c r="V447" s="54"/>
    </row>
    <row r="448" spans="1:22" s="11" customFormat="1" ht="45" customHeight="1" x14ac:dyDescent="0.2">
      <c r="A448" s="66" t="s">
        <v>2222</v>
      </c>
      <c r="B448" s="66" t="s">
        <v>1707</v>
      </c>
      <c r="C448" s="66" t="s">
        <v>2222</v>
      </c>
      <c r="D448" s="66" t="s">
        <v>2831</v>
      </c>
      <c r="E448" s="68" t="s">
        <v>2832</v>
      </c>
      <c r="F448" s="66" t="s">
        <v>2833</v>
      </c>
      <c r="G448" s="71">
        <v>20569</v>
      </c>
      <c r="H448" s="73"/>
      <c r="I448" s="75">
        <v>0.2</v>
      </c>
      <c r="J448" s="77"/>
      <c r="K448" s="66"/>
      <c r="L448" s="66"/>
      <c r="M448" s="79" t="str">
        <f>HYPERLINK("http://www.pristavka.com/catalog/banpresto_series/BNS891/")</f>
        <v>http://www.pristavka.com/catalog/banpresto_series/BNS891/</v>
      </c>
      <c r="N448" s="71">
        <v>31699</v>
      </c>
      <c r="O448" s="66" t="s">
        <v>27</v>
      </c>
      <c r="P448" s="82" t="s">
        <v>2834</v>
      </c>
      <c r="Q448" s="84" t="s">
        <v>1068</v>
      </c>
      <c r="R448" s="84" t="s">
        <v>1068</v>
      </c>
      <c r="S448" s="84">
        <v>0.192</v>
      </c>
      <c r="T448" s="82" t="s">
        <v>2399</v>
      </c>
      <c r="U448" s="84" t="s">
        <v>2255</v>
      </c>
      <c r="V448" s="54"/>
    </row>
    <row r="449" spans="1:22" s="11" customFormat="1" ht="45" customHeight="1" x14ac:dyDescent="0.2">
      <c r="A449" s="66" t="s">
        <v>2222</v>
      </c>
      <c r="B449" s="66" t="s">
        <v>1707</v>
      </c>
      <c r="C449" s="66" t="s">
        <v>2222</v>
      </c>
      <c r="D449" s="66" t="s">
        <v>2835</v>
      </c>
      <c r="E449" s="68" t="s">
        <v>2836</v>
      </c>
      <c r="F449" s="66" t="s">
        <v>2837</v>
      </c>
      <c r="G449" s="71">
        <v>18165</v>
      </c>
      <c r="H449" s="73"/>
      <c r="I449" s="75">
        <v>0.2</v>
      </c>
      <c r="J449" s="77"/>
      <c r="K449" s="66"/>
      <c r="L449" s="66"/>
      <c r="M449" s="79" t="str">
        <f>HYPERLINK("http://www.pristavka.com/catalog/banpresto_series/BNS892/")</f>
        <v>http://www.pristavka.com/catalog/banpresto_series/BNS892/</v>
      </c>
      <c r="N449" s="71">
        <v>27999</v>
      </c>
      <c r="O449" s="66" t="s">
        <v>28</v>
      </c>
      <c r="P449" s="82" t="s">
        <v>2838</v>
      </c>
      <c r="Q449" s="84" t="s">
        <v>2839</v>
      </c>
      <c r="R449" s="84" t="s">
        <v>1068</v>
      </c>
      <c r="S449" s="84">
        <v>0.245</v>
      </c>
      <c r="T449" s="82" t="s">
        <v>2284</v>
      </c>
      <c r="U449" s="84" t="s">
        <v>2255</v>
      </c>
      <c r="V449" s="54"/>
    </row>
    <row r="450" spans="1:22" s="11" customFormat="1" ht="45" customHeight="1" x14ac:dyDescent="0.2">
      <c r="A450" s="66" t="s">
        <v>2222</v>
      </c>
      <c r="B450" s="66" t="s">
        <v>1707</v>
      </c>
      <c r="C450" s="66" t="s">
        <v>2222</v>
      </c>
      <c r="D450" s="66">
        <v>4983164189032</v>
      </c>
      <c r="E450" s="68" t="s">
        <v>2840</v>
      </c>
      <c r="F450" s="66" t="s">
        <v>2841</v>
      </c>
      <c r="G450" s="71">
        <v>17135</v>
      </c>
      <c r="H450" s="73"/>
      <c r="I450" s="75">
        <v>0.2</v>
      </c>
      <c r="J450" s="77"/>
      <c r="K450" s="66"/>
      <c r="L450" s="66"/>
      <c r="M450" s="79" t="str">
        <f>HYPERLINK("http://www.pristavka.com/catalog/banpresto_series/BNS574/")</f>
        <v>http://www.pristavka.com/catalog/banpresto_series/BNS574/</v>
      </c>
      <c r="N450" s="71">
        <v>26399</v>
      </c>
      <c r="O450" s="66" t="s">
        <v>28</v>
      </c>
      <c r="P450" s="82" t="s">
        <v>2842</v>
      </c>
      <c r="Q450" s="84" t="s">
        <v>2244</v>
      </c>
      <c r="R450" s="84" t="s">
        <v>1068</v>
      </c>
      <c r="S450" s="84">
        <v>0.222</v>
      </c>
      <c r="T450" s="82" t="s">
        <v>2276</v>
      </c>
      <c r="U450" s="84"/>
      <c r="V450" s="54"/>
    </row>
    <row r="451" spans="1:22" s="11" customFormat="1" ht="45" customHeight="1" x14ac:dyDescent="0.2">
      <c r="A451" s="66" t="s">
        <v>2222</v>
      </c>
      <c r="B451" s="66" t="s">
        <v>1707</v>
      </c>
      <c r="C451" s="66" t="s">
        <v>2222</v>
      </c>
      <c r="D451" s="66">
        <v>4983164889628</v>
      </c>
      <c r="E451" s="68" t="s">
        <v>2843</v>
      </c>
      <c r="F451" s="66" t="s">
        <v>2844</v>
      </c>
      <c r="G451" s="71">
        <v>20569</v>
      </c>
      <c r="H451" s="73"/>
      <c r="I451" s="75">
        <v>0.2</v>
      </c>
      <c r="J451" s="77"/>
      <c r="K451" s="66"/>
      <c r="L451" s="66"/>
      <c r="M451" s="79" t="str">
        <f>HYPERLINK("http://www.pristavka.com/catalog/banpresto_series/BNS1023/")</f>
        <v>http://www.pristavka.com/catalog/banpresto_series/BNS1023/</v>
      </c>
      <c r="N451" s="71">
        <v>31699</v>
      </c>
      <c r="O451" s="66" t="s">
        <v>28</v>
      </c>
      <c r="P451" s="82" t="s">
        <v>2845</v>
      </c>
      <c r="Q451" s="84" t="s">
        <v>2244</v>
      </c>
      <c r="R451" s="84" t="s">
        <v>1068</v>
      </c>
      <c r="S451" s="84">
        <v>0.55400000000000005</v>
      </c>
      <c r="T451" s="82" t="s">
        <v>2846</v>
      </c>
      <c r="U451" s="84"/>
      <c r="V451" s="54"/>
    </row>
    <row r="452" spans="1:22" s="11" customFormat="1" ht="45" customHeight="1" x14ac:dyDescent="0.2">
      <c r="A452" s="66" t="s">
        <v>2222</v>
      </c>
      <c r="B452" s="66" t="s">
        <v>1707</v>
      </c>
      <c r="C452" s="66" t="s">
        <v>2222</v>
      </c>
      <c r="D452" s="66">
        <v>4983164890839</v>
      </c>
      <c r="E452" s="68" t="s">
        <v>2847</v>
      </c>
      <c r="F452" s="66" t="s">
        <v>2848</v>
      </c>
      <c r="G452" s="71">
        <v>18509</v>
      </c>
      <c r="H452" s="73"/>
      <c r="I452" s="75">
        <v>0.2</v>
      </c>
      <c r="J452" s="77"/>
      <c r="K452" s="66"/>
      <c r="L452" s="66"/>
      <c r="M452" s="79" t="str">
        <f>HYPERLINK("http://www.pristavka.com/catalog/banpresto_series/BNS1049/")</f>
        <v>http://www.pristavka.com/catalog/banpresto_series/BNS1049/</v>
      </c>
      <c r="N452" s="71">
        <v>28499</v>
      </c>
      <c r="O452" s="66" t="s">
        <v>28</v>
      </c>
      <c r="P452" s="82" t="s">
        <v>2849</v>
      </c>
      <c r="Q452" s="84" t="s">
        <v>2244</v>
      </c>
      <c r="R452" s="84" t="s">
        <v>1068</v>
      </c>
      <c r="S452" s="84">
        <v>0.21199999999999999</v>
      </c>
      <c r="T452" s="82" t="s">
        <v>2280</v>
      </c>
      <c r="U452" s="84"/>
      <c r="V452" s="54"/>
    </row>
    <row r="453" spans="1:22" s="11" customFormat="1" ht="45" customHeight="1" x14ac:dyDescent="0.2">
      <c r="A453" s="66" t="s">
        <v>2222</v>
      </c>
      <c r="B453" s="66" t="s">
        <v>1707</v>
      </c>
      <c r="C453" s="66" t="s">
        <v>2222</v>
      </c>
      <c r="D453" s="66">
        <v>4983164193312</v>
      </c>
      <c r="E453" s="68" t="s">
        <v>2850</v>
      </c>
      <c r="F453" s="66" t="s">
        <v>2851</v>
      </c>
      <c r="G453" s="71">
        <v>17822</v>
      </c>
      <c r="H453" s="73"/>
      <c r="I453" s="75">
        <v>0.2</v>
      </c>
      <c r="J453" s="77"/>
      <c r="K453" s="66"/>
      <c r="L453" s="66"/>
      <c r="M453" s="79" t="str">
        <f>HYPERLINK("http://www.pristavka.com/catalog/banpresto_series/BNS1050/")</f>
        <v>http://www.pristavka.com/catalog/banpresto_series/BNS1050/</v>
      </c>
      <c r="N453" s="71">
        <v>27499</v>
      </c>
      <c r="O453" s="66" t="s">
        <v>28</v>
      </c>
      <c r="P453" s="82" t="s">
        <v>2852</v>
      </c>
      <c r="Q453" s="84" t="s">
        <v>2244</v>
      </c>
      <c r="R453" s="84" t="s">
        <v>1068</v>
      </c>
      <c r="S453" s="84">
        <v>0.25600000000000001</v>
      </c>
      <c r="T453" s="82" t="s">
        <v>2272</v>
      </c>
      <c r="U453" s="84"/>
      <c r="V453" s="54"/>
    </row>
    <row r="454" spans="1:22" s="11" customFormat="1" ht="45" customHeight="1" x14ac:dyDescent="0.2">
      <c r="A454" s="66" t="s">
        <v>2222</v>
      </c>
      <c r="B454" s="66" t="s">
        <v>1707</v>
      </c>
      <c r="C454" s="66" t="s">
        <v>2222</v>
      </c>
      <c r="D454" s="66">
        <v>4983164889611</v>
      </c>
      <c r="E454" s="68" t="s">
        <v>2853</v>
      </c>
      <c r="F454" s="66" t="s">
        <v>2854</v>
      </c>
      <c r="G454" s="71">
        <v>19882</v>
      </c>
      <c r="H454" s="73"/>
      <c r="I454" s="75">
        <v>0.2</v>
      </c>
      <c r="J454" s="77"/>
      <c r="K454" s="66"/>
      <c r="L454" s="66"/>
      <c r="M454" s="79" t="str">
        <f>HYPERLINK("http://www.pristavka.com/catalog/banpresto_series/BNS1051/")</f>
        <v>http://www.pristavka.com/catalog/banpresto_series/BNS1051/</v>
      </c>
      <c r="N454" s="71">
        <v>30599</v>
      </c>
      <c r="O454" s="66" t="s">
        <v>27</v>
      </c>
      <c r="P454" s="82" t="s">
        <v>2855</v>
      </c>
      <c r="Q454" s="84" t="s">
        <v>2244</v>
      </c>
      <c r="R454" s="84" t="s">
        <v>1068</v>
      </c>
      <c r="S454" s="84">
        <v>0.34</v>
      </c>
      <c r="T454" s="82" t="s">
        <v>2272</v>
      </c>
      <c r="U454" s="84"/>
      <c r="V454" s="54"/>
    </row>
    <row r="455" spans="1:22" s="11" customFormat="1" ht="45" customHeight="1" x14ac:dyDescent="0.2">
      <c r="A455" s="66" t="s">
        <v>2222</v>
      </c>
      <c r="B455" s="66" t="s">
        <v>1707</v>
      </c>
      <c r="C455" s="66" t="s">
        <v>2222</v>
      </c>
      <c r="D455" s="66">
        <v>4983164190656</v>
      </c>
      <c r="E455" s="68" t="s">
        <v>2856</v>
      </c>
      <c r="F455" s="66" t="s">
        <v>2857</v>
      </c>
      <c r="G455" s="71">
        <v>20226</v>
      </c>
      <c r="H455" s="73"/>
      <c r="I455" s="75">
        <v>0.2</v>
      </c>
      <c r="J455" s="77"/>
      <c r="K455" s="66"/>
      <c r="L455" s="66"/>
      <c r="M455" s="79" t="str">
        <f>HYPERLINK("http://www.pristavka.com/catalog/banpresto_series/BNS588/")</f>
        <v>http://www.pristavka.com/catalog/banpresto_series/BNS588/</v>
      </c>
      <c r="N455" s="71">
        <v>31199</v>
      </c>
      <c r="O455" s="66" t="s">
        <v>27</v>
      </c>
      <c r="P455" s="82" t="s">
        <v>2858</v>
      </c>
      <c r="Q455" s="84" t="s">
        <v>1148</v>
      </c>
      <c r="R455" s="84" t="s">
        <v>1068</v>
      </c>
      <c r="S455" s="84">
        <v>0.214</v>
      </c>
      <c r="T455" s="82" t="s">
        <v>2276</v>
      </c>
      <c r="U455" s="84"/>
      <c r="V455" s="54"/>
    </row>
    <row r="456" spans="1:22" s="11" customFormat="1" ht="45" customHeight="1" x14ac:dyDescent="0.2">
      <c r="A456" s="66" t="s">
        <v>2222</v>
      </c>
      <c r="B456" s="66" t="s">
        <v>1707</v>
      </c>
      <c r="C456" s="66" t="s">
        <v>2222</v>
      </c>
      <c r="D456" s="66" t="s">
        <v>2859</v>
      </c>
      <c r="E456" s="68" t="s">
        <v>2860</v>
      </c>
      <c r="F456" s="66" t="s">
        <v>2861</v>
      </c>
      <c r="G456" s="71">
        <v>19196</v>
      </c>
      <c r="H456" s="73"/>
      <c r="I456" s="75">
        <v>0.2</v>
      </c>
      <c r="J456" s="77"/>
      <c r="K456" s="66"/>
      <c r="L456" s="66"/>
      <c r="M456" s="79" t="str">
        <f>HYPERLINK("http://www.pristavka.com/catalog/banpresto_series/BNS840/")</f>
        <v>http://www.pristavka.com/catalog/banpresto_series/BNS840/</v>
      </c>
      <c r="N456" s="71">
        <v>29599</v>
      </c>
      <c r="O456" s="66" t="s">
        <v>28</v>
      </c>
      <c r="P456" s="82" t="s">
        <v>2862</v>
      </c>
      <c r="Q456" s="84" t="s">
        <v>1068</v>
      </c>
      <c r="R456" s="84" t="s">
        <v>1068</v>
      </c>
      <c r="S456" s="84">
        <v>0.25</v>
      </c>
      <c r="T456" s="82" t="s">
        <v>2254</v>
      </c>
      <c r="U456" s="84" t="s">
        <v>2255</v>
      </c>
      <c r="V456" s="54"/>
    </row>
    <row r="457" spans="1:22" s="11" customFormat="1" ht="45" customHeight="1" x14ac:dyDescent="0.2">
      <c r="A457" s="66" t="s">
        <v>2222</v>
      </c>
      <c r="B457" s="66" t="s">
        <v>1707</v>
      </c>
      <c r="C457" s="66" t="s">
        <v>2222</v>
      </c>
      <c r="D457" s="66">
        <v>4983164184419</v>
      </c>
      <c r="E457" s="68" t="s">
        <v>2863</v>
      </c>
      <c r="F457" s="66" t="s">
        <v>2864</v>
      </c>
      <c r="G457" s="71">
        <v>8552</v>
      </c>
      <c r="H457" s="73"/>
      <c r="I457" s="75">
        <v>0.2</v>
      </c>
      <c r="J457" s="77"/>
      <c r="K457" s="66"/>
      <c r="L457" s="66"/>
      <c r="M457" s="79" t="str">
        <f>HYPERLINK("http://www.pristavka.com/catalog/banpresto_series/BNS968/")</f>
        <v>http://www.pristavka.com/catalog/banpresto_series/BNS968/</v>
      </c>
      <c r="N457" s="71">
        <v>13199</v>
      </c>
      <c r="O457" s="66" t="s">
        <v>28</v>
      </c>
      <c r="P457" s="82" t="s">
        <v>2865</v>
      </c>
      <c r="Q457" s="84" t="s">
        <v>1068</v>
      </c>
      <c r="R457" s="84" t="s">
        <v>1068</v>
      </c>
      <c r="S457" s="84">
        <v>0.23499999999999999</v>
      </c>
      <c r="T457" s="82" t="s">
        <v>2284</v>
      </c>
      <c r="U457" s="84"/>
      <c r="V457" s="54"/>
    </row>
    <row r="458" spans="1:22" s="11" customFormat="1" ht="45" customHeight="1" x14ac:dyDescent="0.2">
      <c r="A458" s="66" t="s">
        <v>2222</v>
      </c>
      <c r="B458" s="66" t="s">
        <v>1707</v>
      </c>
      <c r="C458" s="66" t="s">
        <v>2222</v>
      </c>
      <c r="D458" s="66" t="s">
        <v>2866</v>
      </c>
      <c r="E458" s="68" t="s">
        <v>2867</v>
      </c>
      <c r="F458" s="66" t="s">
        <v>2868</v>
      </c>
      <c r="G458" s="71">
        <v>16792</v>
      </c>
      <c r="H458" s="73"/>
      <c r="I458" s="75">
        <v>0.2</v>
      </c>
      <c r="J458" s="77"/>
      <c r="K458" s="66"/>
      <c r="L458" s="66"/>
      <c r="M458" s="79" t="str">
        <f>HYPERLINK("http://www.pristavka.com/catalog/banpresto_series/BNS896/")</f>
        <v>http://www.pristavka.com/catalog/banpresto_series/BNS896/</v>
      </c>
      <c r="N458" s="71">
        <v>25899</v>
      </c>
      <c r="O458" s="66" t="s">
        <v>27</v>
      </c>
      <c r="P458" s="82" t="s">
        <v>2869</v>
      </c>
      <c r="Q458" s="84" t="s">
        <v>1068</v>
      </c>
      <c r="R458" s="84" t="s">
        <v>1263</v>
      </c>
      <c r="S458" s="84">
        <v>0.223</v>
      </c>
      <c r="T458" s="82" t="s">
        <v>2284</v>
      </c>
      <c r="U458" s="84" t="s">
        <v>2255</v>
      </c>
      <c r="V458" s="54"/>
    </row>
    <row r="459" spans="1:22" s="11" customFormat="1" ht="45" customHeight="1" x14ac:dyDescent="0.2">
      <c r="A459" s="66" t="s">
        <v>2222</v>
      </c>
      <c r="B459" s="66" t="s">
        <v>1707</v>
      </c>
      <c r="C459" s="66" t="s">
        <v>2222</v>
      </c>
      <c r="D459" s="66" t="s">
        <v>2870</v>
      </c>
      <c r="E459" s="68" t="s">
        <v>2871</v>
      </c>
      <c r="F459" s="66" t="s">
        <v>2872</v>
      </c>
      <c r="G459" s="71">
        <v>17822</v>
      </c>
      <c r="H459" s="73"/>
      <c r="I459" s="75">
        <v>0.2</v>
      </c>
      <c r="J459" s="77"/>
      <c r="K459" s="66"/>
      <c r="L459" s="66"/>
      <c r="M459" s="79" t="str">
        <f>HYPERLINK("http://www.pristavka.com/catalog/banpresto_series/BNS897/")</f>
        <v>http://www.pristavka.com/catalog/banpresto_series/BNS897/</v>
      </c>
      <c r="N459" s="71">
        <v>27499</v>
      </c>
      <c r="O459" s="66" t="s">
        <v>28</v>
      </c>
      <c r="P459" s="82" t="s">
        <v>2873</v>
      </c>
      <c r="Q459" s="84" t="s">
        <v>1068</v>
      </c>
      <c r="R459" s="84" t="s">
        <v>1263</v>
      </c>
      <c r="S459" s="84">
        <v>0.22</v>
      </c>
      <c r="T459" s="82" t="s">
        <v>2284</v>
      </c>
      <c r="U459" s="84" t="s">
        <v>2255</v>
      </c>
      <c r="V459" s="54"/>
    </row>
    <row r="460" spans="1:22" s="11" customFormat="1" ht="45" customHeight="1" x14ac:dyDescent="0.2">
      <c r="A460" s="66" t="s">
        <v>2222</v>
      </c>
      <c r="B460" s="66" t="s">
        <v>1707</v>
      </c>
      <c r="C460" s="66" t="s">
        <v>2222</v>
      </c>
      <c r="D460" s="66" t="s">
        <v>2874</v>
      </c>
      <c r="E460" s="68" t="s">
        <v>2875</v>
      </c>
      <c r="F460" s="66" t="s">
        <v>2876</v>
      </c>
      <c r="G460" s="71">
        <v>17822</v>
      </c>
      <c r="H460" s="73"/>
      <c r="I460" s="75">
        <v>0.2</v>
      </c>
      <c r="J460" s="77"/>
      <c r="K460" s="66"/>
      <c r="L460" s="66"/>
      <c r="M460" s="79" t="str">
        <f>HYPERLINK("http://www.pristavka.com/catalog/banpresto_series/BNS898/")</f>
        <v>http://www.pristavka.com/catalog/banpresto_series/BNS898/</v>
      </c>
      <c r="N460" s="71">
        <v>27499</v>
      </c>
      <c r="O460" s="66" t="s">
        <v>27</v>
      </c>
      <c r="P460" s="82" t="s">
        <v>2877</v>
      </c>
      <c r="Q460" s="84" t="s">
        <v>1068</v>
      </c>
      <c r="R460" s="84" t="s">
        <v>1068</v>
      </c>
      <c r="S460" s="84">
        <v>0.23799999999999999</v>
      </c>
      <c r="T460" s="82" t="s">
        <v>2293</v>
      </c>
      <c r="U460" s="84" t="s">
        <v>2255</v>
      </c>
      <c r="V460" s="54"/>
    </row>
    <row r="461" spans="1:22" s="11" customFormat="1" ht="45" customHeight="1" x14ac:dyDescent="0.2">
      <c r="A461" s="66" t="s">
        <v>2222</v>
      </c>
      <c r="B461" s="66" t="s">
        <v>1707</v>
      </c>
      <c r="C461" s="66" t="s">
        <v>2232</v>
      </c>
      <c r="D461" s="66">
        <v>4983164177299</v>
      </c>
      <c r="E461" s="68" t="s">
        <v>2878</v>
      </c>
      <c r="F461" s="66" t="s">
        <v>2879</v>
      </c>
      <c r="G461" s="71">
        <v>17135</v>
      </c>
      <c r="H461" s="73"/>
      <c r="I461" s="75">
        <v>0.2</v>
      </c>
      <c r="J461" s="77"/>
      <c r="K461" s="66"/>
      <c r="L461" s="66"/>
      <c r="M461" s="79" t="str">
        <f>HYPERLINK("http://www.pristavka.com/catalog/banpresto_series/BNS391/")</f>
        <v>http://www.pristavka.com/catalog/banpresto_series/BNS391/</v>
      </c>
      <c r="N461" s="71">
        <v>26399</v>
      </c>
      <c r="O461" s="66" t="s">
        <v>28</v>
      </c>
      <c r="P461" s="82" t="s">
        <v>2880</v>
      </c>
      <c r="Q461" s="84" t="s">
        <v>1505</v>
      </c>
      <c r="R461" s="84" t="s">
        <v>1068</v>
      </c>
      <c r="S461" s="84">
        <v>0.23</v>
      </c>
      <c r="T461" s="82" t="s">
        <v>2809</v>
      </c>
      <c r="U461" s="84"/>
      <c r="V461" s="54"/>
    </row>
    <row r="462" spans="1:22" s="11" customFormat="1" ht="45" customHeight="1" x14ac:dyDescent="0.2">
      <c r="A462" s="66" t="s">
        <v>2222</v>
      </c>
      <c r="B462" s="66" t="s">
        <v>1707</v>
      </c>
      <c r="C462" s="66" t="s">
        <v>2232</v>
      </c>
      <c r="D462" s="66">
        <v>4983164185966</v>
      </c>
      <c r="E462" s="68" t="s">
        <v>2881</v>
      </c>
      <c r="F462" s="66" t="s">
        <v>2882</v>
      </c>
      <c r="G462" s="71">
        <v>12672</v>
      </c>
      <c r="H462" s="73"/>
      <c r="I462" s="75">
        <v>0.2</v>
      </c>
      <c r="J462" s="77"/>
      <c r="K462" s="66"/>
      <c r="L462" s="66"/>
      <c r="M462" s="79" t="str">
        <f>HYPERLINK("http://www.pristavka.com/catalog/banpresto_series/BNS392/")</f>
        <v>http://www.pristavka.com/catalog/banpresto_series/BNS392/</v>
      </c>
      <c r="N462" s="71">
        <v>19499</v>
      </c>
      <c r="O462" s="66" t="s">
        <v>28</v>
      </c>
      <c r="P462" s="82" t="s">
        <v>2883</v>
      </c>
      <c r="Q462" s="84" t="s">
        <v>1505</v>
      </c>
      <c r="R462" s="84" t="s">
        <v>1068</v>
      </c>
      <c r="S462" s="84">
        <v>0.2</v>
      </c>
      <c r="T462" s="82" t="s">
        <v>2884</v>
      </c>
      <c r="U462" s="84"/>
      <c r="V462" s="54"/>
    </row>
    <row r="463" spans="1:22" s="11" customFormat="1" ht="45" customHeight="1" x14ac:dyDescent="0.2">
      <c r="A463" s="66" t="s">
        <v>2222</v>
      </c>
      <c r="B463" s="66" t="s">
        <v>1707</v>
      </c>
      <c r="C463" s="66" t="s">
        <v>2232</v>
      </c>
      <c r="D463" s="66">
        <v>4983164191448</v>
      </c>
      <c r="E463" s="68" t="s">
        <v>2885</v>
      </c>
      <c r="F463" s="66" t="s">
        <v>2886</v>
      </c>
      <c r="G463" s="71">
        <v>12672</v>
      </c>
      <c r="H463" s="73"/>
      <c r="I463" s="75">
        <v>0.2</v>
      </c>
      <c r="J463" s="77"/>
      <c r="K463" s="66"/>
      <c r="L463" s="66"/>
      <c r="M463" s="79" t="str">
        <f>HYPERLINK("http://www.pristavka.com/catalog/banpresto_series/BNS418/")</f>
        <v>http://www.pristavka.com/catalog/banpresto_series/BNS418/</v>
      </c>
      <c r="N463" s="71">
        <v>19499</v>
      </c>
      <c r="O463" s="66" t="s">
        <v>27</v>
      </c>
      <c r="P463" s="82" t="s">
        <v>2887</v>
      </c>
      <c r="Q463" s="84" t="s">
        <v>1505</v>
      </c>
      <c r="R463" s="84" t="s">
        <v>1068</v>
      </c>
      <c r="S463" s="84">
        <v>0.30299999999999999</v>
      </c>
      <c r="T463" s="82" t="s">
        <v>2284</v>
      </c>
      <c r="U463" s="84"/>
      <c r="V463" s="54"/>
    </row>
    <row r="464" spans="1:22" s="11" customFormat="1" ht="45" customHeight="1" x14ac:dyDescent="0.2">
      <c r="A464" s="66" t="s">
        <v>2222</v>
      </c>
      <c r="B464" s="66" t="s">
        <v>1707</v>
      </c>
      <c r="C464" s="66" t="s">
        <v>2222</v>
      </c>
      <c r="D464" s="66">
        <v>4983164188172</v>
      </c>
      <c r="E464" s="68" t="s">
        <v>2888</v>
      </c>
      <c r="F464" s="66" t="s">
        <v>2889</v>
      </c>
      <c r="G464" s="71">
        <v>13702</v>
      </c>
      <c r="H464" s="73"/>
      <c r="I464" s="75">
        <v>0.2</v>
      </c>
      <c r="J464" s="77"/>
      <c r="K464" s="66"/>
      <c r="L464" s="66"/>
      <c r="M464" s="79" t="str">
        <f>HYPERLINK("http://www.pristavka.com/catalog/banpresto_series/BNS524/")</f>
        <v>http://www.pristavka.com/catalog/banpresto_series/BNS524/</v>
      </c>
      <c r="N464" s="71">
        <v>21099</v>
      </c>
      <c r="O464" s="66" t="s">
        <v>27</v>
      </c>
      <c r="P464" s="82" t="s">
        <v>2890</v>
      </c>
      <c r="Q464" s="84" t="s">
        <v>1505</v>
      </c>
      <c r="R464" s="84" t="s">
        <v>1068</v>
      </c>
      <c r="S464" s="84">
        <v>0.20599999999999999</v>
      </c>
      <c r="T464" s="82" t="s">
        <v>2263</v>
      </c>
      <c r="U464" s="84"/>
      <c r="V464" s="54"/>
    </row>
    <row r="465" spans="1:22" s="11" customFormat="1" ht="45" customHeight="1" x14ac:dyDescent="0.2">
      <c r="A465" s="66" t="s">
        <v>2222</v>
      </c>
      <c r="B465" s="66" t="s">
        <v>1707</v>
      </c>
      <c r="C465" s="66" t="s">
        <v>2222</v>
      </c>
      <c r="D465" s="66" t="s">
        <v>2891</v>
      </c>
      <c r="E465" s="68" t="s">
        <v>2892</v>
      </c>
      <c r="F465" s="66" t="s">
        <v>2893</v>
      </c>
      <c r="G465" s="71">
        <v>18509</v>
      </c>
      <c r="H465" s="73"/>
      <c r="I465" s="75">
        <v>0.2</v>
      </c>
      <c r="J465" s="77"/>
      <c r="K465" s="66"/>
      <c r="L465" s="66"/>
      <c r="M465" s="79" t="str">
        <f>HYPERLINK("http://www.pristavka.com/catalog/banpresto_series/BNS899/")</f>
        <v>http://www.pristavka.com/catalog/banpresto_series/BNS899/</v>
      </c>
      <c r="N465" s="71">
        <v>28499</v>
      </c>
      <c r="O465" s="66" t="s">
        <v>27</v>
      </c>
      <c r="P465" s="82" t="s">
        <v>2894</v>
      </c>
      <c r="Q465" s="84" t="s">
        <v>1505</v>
      </c>
      <c r="R465" s="84" t="s">
        <v>1068</v>
      </c>
      <c r="S465" s="84">
        <v>0.35299999999999998</v>
      </c>
      <c r="T465" s="82" t="s">
        <v>2254</v>
      </c>
      <c r="U465" s="84" t="s">
        <v>2255</v>
      </c>
      <c r="V465" s="54"/>
    </row>
    <row r="466" spans="1:22" s="11" customFormat="1" ht="45" customHeight="1" x14ac:dyDescent="0.2">
      <c r="A466" s="66" t="s">
        <v>2222</v>
      </c>
      <c r="B466" s="66" t="s">
        <v>1707</v>
      </c>
      <c r="C466" s="66" t="s">
        <v>2232</v>
      </c>
      <c r="D466" s="66">
        <v>4983164191462</v>
      </c>
      <c r="E466" s="68" t="s">
        <v>2895</v>
      </c>
      <c r="F466" s="66" t="s">
        <v>2896</v>
      </c>
      <c r="G466" s="71">
        <v>12672</v>
      </c>
      <c r="H466" s="73"/>
      <c r="I466" s="75">
        <v>0.2</v>
      </c>
      <c r="J466" s="77"/>
      <c r="K466" s="66"/>
      <c r="L466" s="66"/>
      <c r="M466" s="79" t="str">
        <f>HYPERLINK("http://www.pristavka.com/catalog/banpresto_series/BNS423/")</f>
        <v>http://www.pristavka.com/catalog/banpresto_series/BNS423/</v>
      </c>
      <c r="N466" s="71">
        <v>19499</v>
      </c>
      <c r="O466" s="66" t="s">
        <v>27</v>
      </c>
      <c r="P466" s="82" t="s">
        <v>2897</v>
      </c>
      <c r="Q466" s="84" t="s">
        <v>1505</v>
      </c>
      <c r="R466" s="84" t="s">
        <v>1068</v>
      </c>
      <c r="S466" s="84">
        <v>0.23499999999999999</v>
      </c>
      <c r="T466" s="82" t="s">
        <v>2809</v>
      </c>
      <c r="U466" s="84"/>
      <c r="V466" s="54"/>
    </row>
    <row r="467" spans="1:22" s="11" customFormat="1" ht="45" customHeight="1" x14ac:dyDescent="0.2">
      <c r="A467" s="66" t="s">
        <v>2222</v>
      </c>
      <c r="B467" s="66" t="s">
        <v>1707</v>
      </c>
      <c r="C467" s="66" t="s">
        <v>2222</v>
      </c>
      <c r="D467" s="66">
        <v>4983164186987</v>
      </c>
      <c r="E467" s="68" t="s">
        <v>2898</v>
      </c>
      <c r="F467" s="66" t="s">
        <v>2899</v>
      </c>
      <c r="G467" s="71">
        <v>15762</v>
      </c>
      <c r="H467" s="73"/>
      <c r="I467" s="75">
        <v>0.2</v>
      </c>
      <c r="J467" s="77"/>
      <c r="K467" s="66"/>
      <c r="L467" s="66"/>
      <c r="M467" s="79" t="str">
        <f>HYPERLINK("http://www.pristavka.com/catalog/banpresto_series/BNS1053/")</f>
        <v>http://www.pristavka.com/catalog/banpresto_series/BNS1053/</v>
      </c>
      <c r="N467" s="71">
        <v>24299</v>
      </c>
      <c r="O467" s="66" t="s">
        <v>28</v>
      </c>
      <c r="P467" s="82" t="s">
        <v>2900</v>
      </c>
      <c r="Q467" s="84" t="s">
        <v>1068</v>
      </c>
      <c r="R467" s="84" t="s">
        <v>1068</v>
      </c>
      <c r="S467" s="84">
        <v>0.27900000000000003</v>
      </c>
      <c r="T467" s="82" t="s">
        <v>2530</v>
      </c>
      <c r="U467" s="84"/>
      <c r="V467" s="54"/>
    </row>
    <row r="468" spans="1:22" s="11" customFormat="1" ht="45" customHeight="1" x14ac:dyDescent="0.2">
      <c r="A468" s="66" t="s">
        <v>2222</v>
      </c>
      <c r="B468" s="66" t="s">
        <v>1707</v>
      </c>
      <c r="C468" s="66" t="s">
        <v>2222</v>
      </c>
      <c r="D468" s="66" t="s">
        <v>2901</v>
      </c>
      <c r="E468" s="68" t="s">
        <v>2902</v>
      </c>
      <c r="F468" s="66" t="s">
        <v>2903</v>
      </c>
      <c r="G468" s="71">
        <v>19196</v>
      </c>
      <c r="H468" s="73"/>
      <c r="I468" s="75">
        <v>0.2</v>
      </c>
      <c r="J468" s="77"/>
      <c r="K468" s="66"/>
      <c r="L468" s="66"/>
      <c r="M468" s="79" t="str">
        <f>HYPERLINK("http://www.pristavka.com/catalog/banpresto_series/BNS908/")</f>
        <v>http://www.pristavka.com/catalog/banpresto_series/BNS908/</v>
      </c>
      <c r="N468" s="71">
        <v>29599</v>
      </c>
      <c r="O468" s="66" t="s">
        <v>28</v>
      </c>
      <c r="P468" s="82" t="s">
        <v>2904</v>
      </c>
      <c r="Q468" s="84" t="s">
        <v>1068</v>
      </c>
      <c r="R468" s="84" t="s">
        <v>1068</v>
      </c>
      <c r="S468" s="84">
        <v>0.25600000000000001</v>
      </c>
      <c r="T468" s="82" t="s">
        <v>2254</v>
      </c>
      <c r="U468" s="84" t="s">
        <v>2255</v>
      </c>
      <c r="V468" s="54"/>
    </row>
    <row r="469" spans="1:22" s="11" customFormat="1" ht="45" customHeight="1" x14ac:dyDescent="0.2">
      <c r="A469" s="66" t="s">
        <v>2222</v>
      </c>
      <c r="B469" s="66" t="s">
        <v>1707</v>
      </c>
      <c r="C469" s="66" t="s">
        <v>2222</v>
      </c>
      <c r="D469" s="66" t="s">
        <v>2905</v>
      </c>
      <c r="E469" s="68" t="s">
        <v>2906</v>
      </c>
      <c r="F469" s="66" t="s">
        <v>2907</v>
      </c>
      <c r="G469" s="71">
        <v>19196</v>
      </c>
      <c r="H469" s="73"/>
      <c r="I469" s="75">
        <v>0.2</v>
      </c>
      <c r="J469" s="77"/>
      <c r="K469" s="66"/>
      <c r="L469" s="66"/>
      <c r="M469" s="79" t="str">
        <f>HYPERLINK("http://www.pristavka.com/catalog/banpresto_series/BNS907/")</f>
        <v>http://www.pristavka.com/catalog/banpresto_series/BNS907/</v>
      </c>
      <c r="N469" s="71">
        <v>29599</v>
      </c>
      <c r="O469" s="66" t="s">
        <v>28</v>
      </c>
      <c r="P469" s="82" t="s">
        <v>2908</v>
      </c>
      <c r="Q469" s="84" t="s">
        <v>1068</v>
      </c>
      <c r="R469" s="84" t="s">
        <v>1068</v>
      </c>
      <c r="S469" s="84">
        <v>0.27300000000000002</v>
      </c>
      <c r="T469" s="82" t="s">
        <v>2254</v>
      </c>
      <c r="U469" s="84" t="s">
        <v>2255</v>
      </c>
      <c r="V469" s="54"/>
    </row>
    <row r="470" spans="1:22" s="11" customFormat="1" ht="45" customHeight="1" x14ac:dyDescent="0.2">
      <c r="A470" s="66" t="s">
        <v>2222</v>
      </c>
      <c r="B470" s="66" t="s">
        <v>1707</v>
      </c>
      <c r="C470" s="66" t="s">
        <v>2222</v>
      </c>
      <c r="D470" s="66" t="s">
        <v>2909</v>
      </c>
      <c r="E470" s="68" t="s">
        <v>2910</v>
      </c>
      <c r="F470" s="66" t="s">
        <v>2911</v>
      </c>
      <c r="G470" s="71">
        <v>19196</v>
      </c>
      <c r="H470" s="73"/>
      <c r="I470" s="75">
        <v>0.2</v>
      </c>
      <c r="J470" s="77"/>
      <c r="K470" s="66"/>
      <c r="L470" s="66"/>
      <c r="M470" s="79" t="str">
        <f>HYPERLINK("http://www.pristavka.com/catalog/banpresto_series/BNS863/")</f>
        <v>http://www.pristavka.com/catalog/banpresto_series/BNS863/</v>
      </c>
      <c r="N470" s="71">
        <v>29599</v>
      </c>
      <c r="O470" s="66" t="s">
        <v>27</v>
      </c>
      <c r="P470" s="82" t="s">
        <v>2912</v>
      </c>
      <c r="Q470" s="84" t="s">
        <v>1334</v>
      </c>
      <c r="R470" s="84" t="s">
        <v>1068</v>
      </c>
      <c r="S470" s="84">
        <v>0.26800000000000002</v>
      </c>
      <c r="T470" s="82" t="s">
        <v>2284</v>
      </c>
      <c r="U470" s="84" t="s">
        <v>2255</v>
      </c>
      <c r="V470" s="54"/>
    </row>
    <row r="471" spans="1:22" s="11" customFormat="1" ht="45" customHeight="1" x14ac:dyDescent="0.2">
      <c r="A471" s="66" t="s">
        <v>2222</v>
      </c>
      <c r="B471" s="66" t="s">
        <v>1707</v>
      </c>
      <c r="C471" s="66" t="s">
        <v>2222</v>
      </c>
      <c r="D471" s="66">
        <v>4983164887822</v>
      </c>
      <c r="E471" s="68" t="s">
        <v>2913</v>
      </c>
      <c r="F471" s="66" t="s">
        <v>2914</v>
      </c>
      <c r="G471" s="71">
        <v>19196</v>
      </c>
      <c r="H471" s="73"/>
      <c r="I471" s="75">
        <v>0.2</v>
      </c>
      <c r="J471" s="77"/>
      <c r="K471" s="66"/>
      <c r="L471" s="66"/>
      <c r="M471" s="79" t="str">
        <f>HYPERLINK("http://www.pristavka.com/catalog/banpresto_series/BNS1058/")</f>
        <v>http://www.pristavka.com/catalog/banpresto_series/BNS1058/</v>
      </c>
      <c r="N471" s="71">
        <v>29599</v>
      </c>
      <c r="O471" s="66" t="s">
        <v>27</v>
      </c>
      <c r="P471" s="82" t="s">
        <v>2915</v>
      </c>
      <c r="Q471" s="84" t="s">
        <v>1522</v>
      </c>
      <c r="R471" s="84" t="s">
        <v>1068</v>
      </c>
      <c r="S471" s="84">
        <v>0.248</v>
      </c>
      <c r="T471" s="82" t="s">
        <v>2272</v>
      </c>
      <c r="U471" s="84"/>
      <c r="V471" s="54"/>
    </row>
    <row r="472" spans="1:22" s="11" customFormat="1" ht="45" customHeight="1" x14ac:dyDescent="0.2">
      <c r="A472" s="66" t="s">
        <v>2222</v>
      </c>
      <c r="B472" s="66" t="s">
        <v>1707</v>
      </c>
      <c r="C472" s="66" t="s">
        <v>2222</v>
      </c>
      <c r="D472" s="66">
        <v>4983164887839</v>
      </c>
      <c r="E472" s="68" t="s">
        <v>2916</v>
      </c>
      <c r="F472" s="66" t="s">
        <v>2917</v>
      </c>
      <c r="G472" s="71">
        <v>19196</v>
      </c>
      <c r="H472" s="73"/>
      <c r="I472" s="75">
        <v>0.2</v>
      </c>
      <c r="J472" s="77"/>
      <c r="K472" s="66"/>
      <c r="L472" s="66"/>
      <c r="M472" s="79" t="str">
        <f>HYPERLINK("http://www.pristavka.com/catalog/banpresto_series/BNS1059/")</f>
        <v>http://www.pristavka.com/catalog/banpresto_series/BNS1059/</v>
      </c>
      <c r="N472" s="71">
        <v>29599</v>
      </c>
      <c r="O472" s="66" t="s">
        <v>28</v>
      </c>
      <c r="P472" s="82" t="s">
        <v>2918</v>
      </c>
      <c r="Q472" s="84" t="s">
        <v>1522</v>
      </c>
      <c r="R472" s="84" t="s">
        <v>1068</v>
      </c>
      <c r="S472" s="84">
        <v>0.248</v>
      </c>
      <c r="T472" s="82" t="s">
        <v>2272</v>
      </c>
      <c r="U472" s="84"/>
      <c r="V472" s="54"/>
    </row>
    <row r="473" spans="1:22" s="11" customFormat="1" ht="45" customHeight="1" x14ac:dyDescent="0.2">
      <c r="A473" s="66" t="s">
        <v>2222</v>
      </c>
      <c r="B473" s="66" t="s">
        <v>1707</v>
      </c>
      <c r="C473" s="66" t="s">
        <v>2222</v>
      </c>
      <c r="D473" s="66">
        <v>4983164884869</v>
      </c>
      <c r="E473" s="68" t="s">
        <v>2919</v>
      </c>
      <c r="F473" s="66" t="s">
        <v>2920</v>
      </c>
      <c r="G473" s="71">
        <v>18509</v>
      </c>
      <c r="H473" s="73"/>
      <c r="I473" s="75">
        <v>0.2</v>
      </c>
      <c r="J473" s="77"/>
      <c r="K473" s="66"/>
      <c r="L473" s="66"/>
      <c r="M473" s="79" t="str">
        <f>HYPERLINK("http://www.pristavka.com/catalog/banpresto_series/BNS1060/")</f>
        <v>http://www.pristavka.com/catalog/banpresto_series/BNS1060/</v>
      </c>
      <c r="N473" s="71">
        <v>28499</v>
      </c>
      <c r="O473" s="66" t="s">
        <v>28</v>
      </c>
      <c r="P473" s="82" t="s">
        <v>2921</v>
      </c>
      <c r="Q473" s="84" t="s">
        <v>1522</v>
      </c>
      <c r="R473" s="84" t="s">
        <v>1068</v>
      </c>
      <c r="S473" s="84">
        <v>0.24099999999999999</v>
      </c>
      <c r="T473" s="82" t="s">
        <v>2272</v>
      </c>
      <c r="U473" s="84"/>
      <c r="V473" s="54"/>
    </row>
    <row r="474" spans="1:22" s="11" customFormat="1" ht="45" customHeight="1" x14ac:dyDescent="0.2">
      <c r="A474" s="66" t="s">
        <v>2222</v>
      </c>
      <c r="B474" s="66" t="s">
        <v>1707</v>
      </c>
      <c r="C474" s="66" t="s">
        <v>2222</v>
      </c>
      <c r="D474" s="66">
        <v>4983164890945</v>
      </c>
      <c r="E474" s="68" t="s">
        <v>2922</v>
      </c>
      <c r="F474" s="66" t="s">
        <v>2923</v>
      </c>
      <c r="G474" s="71">
        <v>19882</v>
      </c>
      <c r="H474" s="73"/>
      <c r="I474" s="75">
        <v>0.2</v>
      </c>
      <c r="J474" s="77"/>
      <c r="K474" s="66"/>
      <c r="L474" s="66"/>
      <c r="M474" s="79" t="str">
        <f>HYPERLINK("http://www.pristavka.com/catalog/banpresto_series/BNS1062/")</f>
        <v>http://www.pristavka.com/catalog/banpresto_series/BNS1062/</v>
      </c>
      <c r="N474" s="71">
        <v>30599</v>
      </c>
      <c r="O474" s="66" t="s">
        <v>27</v>
      </c>
      <c r="P474" s="82" t="s">
        <v>2924</v>
      </c>
      <c r="Q474" s="84" t="s">
        <v>1112</v>
      </c>
      <c r="R474" s="84" t="s">
        <v>1068</v>
      </c>
      <c r="S474" s="84">
        <v>0.29599999999999999</v>
      </c>
      <c r="T474" s="82" t="s">
        <v>2280</v>
      </c>
      <c r="U474" s="84"/>
      <c r="V474" s="54"/>
    </row>
    <row r="475" spans="1:22" s="11" customFormat="1" ht="45" customHeight="1" x14ac:dyDescent="0.2">
      <c r="A475" s="66" t="s">
        <v>2222</v>
      </c>
      <c r="B475" s="66" t="s">
        <v>1707</v>
      </c>
      <c r="C475" s="66" t="s">
        <v>2222</v>
      </c>
      <c r="D475" s="66">
        <v>4983164880601</v>
      </c>
      <c r="E475" s="68" t="s">
        <v>2925</v>
      </c>
      <c r="F475" s="66" t="s">
        <v>2926</v>
      </c>
      <c r="G475" s="71">
        <v>17135</v>
      </c>
      <c r="H475" s="73"/>
      <c r="I475" s="75">
        <v>0.2</v>
      </c>
      <c r="J475" s="77"/>
      <c r="K475" s="66"/>
      <c r="L475" s="66"/>
      <c r="M475" s="79" t="str">
        <f>HYPERLINK("http://www.pristavka.com/catalog/banpresto_series/BNS1063/")</f>
        <v>http://www.pristavka.com/catalog/banpresto_series/BNS1063/</v>
      </c>
      <c r="N475" s="71">
        <v>26399</v>
      </c>
      <c r="O475" s="66" t="s">
        <v>28</v>
      </c>
      <c r="P475" s="82" t="s">
        <v>2927</v>
      </c>
      <c r="Q475" s="84" t="s">
        <v>1112</v>
      </c>
      <c r="R475" s="84" t="s">
        <v>1068</v>
      </c>
      <c r="S475" s="84">
        <v>0.28399999999999997</v>
      </c>
      <c r="T475" s="82" t="s">
        <v>2293</v>
      </c>
      <c r="U475" s="84"/>
      <c r="V475" s="54"/>
    </row>
    <row r="476" spans="1:22" s="11" customFormat="1" ht="45" customHeight="1" x14ac:dyDescent="0.2">
      <c r="A476" s="66" t="s">
        <v>2222</v>
      </c>
      <c r="B476" s="66" t="s">
        <v>1707</v>
      </c>
      <c r="C476" s="66" t="s">
        <v>2222</v>
      </c>
      <c r="D476" s="66">
        <v>4983164880618</v>
      </c>
      <c r="E476" s="68" t="s">
        <v>2928</v>
      </c>
      <c r="F476" s="66" t="s">
        <v>2929</v>
      </c>
      <c r="G476" s="71">
        <v>17135</v>
      </c>
      <c r="H476" s="73"/>
      <c r="I476" s="75">
        <v>0.2</v>
      </c>
      <c r="J476" s="77"/>
      <c r="K476" s="66"/>
      <c r="L476" s="66"/>
      <c r="M476" s="79" t="str">
        <f>HYPERLINK("http://www.pristavka.com/catalog/banpresto_series/BNS1064/")</f>
        <v>http://www.pristavka.com/catalog/banpresto_series/BNS1064/</v>
      </c>
      <c r="N476" s="71">
        <v>26399</v>
      </c>
      <c r="O476" s="66" t="s">
        <v>28</v>
      </c>
      <c r="P476" s="82" t="s">
        <v>2930</v>
      </c>
      <c r="Q476" s="84" t="s">
        <v>1112</v>
      </c>
      <c r="R476" s="84" t="s">
        <v>1068</v>
      </c>
      <c r="S476" s="84">
        <v>0.33800000000000002</v>
      </c>
      <c r="T476" s="82" t="s">
        <v>2280</v>
      </c>
      <c r="U476" s="84"/>
      <c r="V476" s="54"/>
    </row>
    <row r="477" spans="1:22" s="11" customFormat="1" ht="45" customHeight="1" x14ac:dyDescent="0.2">
      <c r="A477" s="66" t="s">
        <v>2222</v>
      </c>
      <c r="B477" s="66" t="s">
        <v>1707</v>
      </c>
      <c r="C477" s="66" t="s">
        <v>2222</v>
      </c>
      <c r="D477" s="66">
        <v>4983164881950</v>
      </c>
      <c r="E477" s="68" t="s">
        <v>2931</v>
      </c>
      <c r="F477" s="66" t="s">
        <v>2932</v>
      </c>
      <c r="G477" s="71">
        <v>17135</v>
      </c>
      <c r="H477" s="73"/>
      <c r="I477" s="75">
        <v>0.2</v>
      </c>
      <c r="J477" s="77"/>
      <c r="K477" s="66"/>
      <c r="L477" s="66"/>
      <c r="M477" s="79" t="str">
        <f>HYPERLINK("http://www.pristavka.com/catalog/banpresto_series/BNS1065/")</f>
        <v>http://www.pristavka.com/catalog/banpresto_series/BNS1065/</v>
      </c>
      <c r="N477" s="71">
        <v>26399</v>
      </c>
      <c r="O477" s="66" t="s">
        <v>27</v>
      </c>
      <c r="P477" s="82" t="s">
        <v>2933</v>
      </c>
      <c r="Q477" s="84" t="s">
        <v>1334</v>
      </c>
      <c r="R477" s="84" t="s">
        <v>1068</v>
      </c>
      <c r="S477" s="84">
        <v>0.26600000000000001</v>
      </c>
      <c r="T477" s="82" t="s">
        <v>2272</v>
      </c>
      <c r="U477" s="84"/>
      <c r="V477" s="54"/>
    </row>
    <row r="478" spans="1:22" s="11" customFormat="1" ht="45" customHeight="1" x14ac:dyDescent="0.2">
      <c r="A478" s="66" t="s">
        <v>2222</v>
      </c>
      <c r="B478" s="66" t="s">
        <v>1155</v>
      </c>
      <c r="C478" s="66" t="s">
        <v>2232</v>
      </c>
      <c r="D478" s="66">
        <v>4983164285260</v>
      </c>
      <c r="E478" s="68" t="s">
        <v>2934</v>
      </c>
      <c r="F478" s="66" t="s">
        <v>2935</v>
      </c>
      <c r="G478" s="71">
        <v>13702</v>
      </c>
      <c r="H478" s="73"/>
      <c r="I478" s="75">
        <v>0.2</v>
      </c>
      <c r="J478" s="77"/>
      <c r="K478" s="66"/>
      <c r="L478" s="66"/>
      <c r="M478" s="79" t="str">
        <f>HYPERLINK("http://www.pristavka.com/catalog/banpresto_series/BNS340/BNS1083/")</f>
        <v>http://www.pristavka.com/catalog/banpresto_series/BNS340/BNS1083/</v>
      </c>
      <c r="N478" s="71">
        <v>21099</v>
      </c>
      <c r="O478" s="66" t="s">
        <v>27</v>
      </c>
      <c r="P478" s="82" t="s">
        <v>2936</v>
      </c>
      <c r="Q478" s="84" t="s">
        <v>1068</v>
      </c>
      <c r="R478" s="84" t="s">
        <v>1068</v>
      </c>
      <c r="S478" s="84">
        <v>0.39500000000000002</v>
      </c>
      <c r="T478" s="82" t="s">
        <v>2289</v>
      </c>
      <c r="U478" s="84"/>
      <c r="V478" s="54"/>
    </row>
    <row r="479" spans="1:22" s="11" customFormat="1" ht="45" customHeight="1" x14ac:dyDescent="0.2">
      <c r="A479" s="66" t="s">
        <v>2222</v>
      </c>
      <c r="B479" s="66" t="s">
        <v>1155</v>
      </c>
      <c r="C479" s="66" t="s">
        <v>2232</v>
      </c>
      <c r="D479" s="66">
        <v>4983164286465</v>
      </c>
      <c r="E479" s="68" t="s">
        <v>2937</v>
      </c>
      <c r="F479" s="66" t="s">
        <v>2938</v>
      </c>
      <c r="G479" s="71">
        <v>13702</v>
      </c>
      <c r="H479" s="73"/>
      <c r="I479" s="75">
        <v>0.2</v>
      </c>
      <c r="J479" s="77"/>
      <c r="K479" s="66"/>
      <c r="L479" s="66"/>
      <c r="M479" s="79" t="str">
        <f>HYPERLINK("http://www.pristavka.com/catalog/banpresto_series/BNS340/BNS1121/")</f>
        <v>http://www.pristavka.com/catalog/banpresto_series/BNS340/BNS1121/</v>
      </c>
      <c r="N479" s="71">
        <v>21099</v>
      </c>
      <c r="O479" s="66" t="s">
        <v>27</v>
      </c>
      <c r="P479" s="82" t="s">
        <v>2939</v>
      </c>
      <c r="Q479" s="84" t="s">
        <v>1068</v>
      </c>
      <c r="R479" s="84" t="s">
        <v>1068</v>
      </c>
      <c r="S479" s="84">
        <v>0.39200000000000002</v>
      </c>
      <c r="T479" s="82" t="s">
        <v>2368</v>
      </c>
      <c r="U479" s="84"/>
      <c r="V479" s="54"/>
    </row>
    <row r="480" spans="1:22" s="11" customFormat="1" ht="45" customHeight="1" x14ac:dyDescent="0.2">
      <c r="A480" s="66" t="s">
        <v>2222</v>
      </c>
      <c r="B480" s="66" t="s">
        <v>1707</v>
      </c>
      <c r="C480" s="66" t="s">
        <v>2222</v>
      </c>
      <c r="D480" s="66" t="s">
        <v>2940</v>
      </c>
      <c r="E480" s="68" t="s">
        <v>2941</v>
      </c>
      <c r="F480" s="66" t="s">
        <v>2942</v>
      </c>
      <c r="G480" s="71">
        <v>14732</v>
      </c>
      <c r="H480" s="73"/>
      <c r="I480" s="75">
        <v>0.2</v>
      </c>
      <c r="J480" s="77"/>
      <c r="K480" s="66"/>
      <c r="L480" s="66"/>
      <c r="M480" s="79" t="str">
        <f>HYPERLINK("http://www.pristavka.com/catalog/banpresto_series/BNS890/")</f>
        <v>http://www.pristavka.com/catalog/banpresto_series/BNS890/</v>
      </c>
      <c r="N480" s="71">
        <v>22699</v>
      </c>
      <c r="O480" s="66" t="s">
        <v>27</v>
      </c>
      <c r="P480" s="82" t="s">
        <v>2943</v>
      </c>
      <c r="Q480" s="84" t="s">
        <v>2808</v>
      </c>
      <c r="R480" s="84" t="s">
        <v>1068</v>
      </c>
      <c r="S480" s="84">
        <v>0.35399999999999998</v>
      </c>
      <c r="T480" s="82" t="s">
        <v>2368</v>
      </c>
      <c r="U480" s="84" t="s">
        <v>2255</v>
      </c>
      <c r="V480" s="54"/>
    </row>
    <row r="481" spans="1:22" s="11" customFormat="1" ht="45" customHeight="1" x14ac:dyDescent="0.2">
      <c r="A481" s="66" t="s">
        <v>2222</v>
      </c>
      <c r="B481" s="66" t="s">
        <v>1707</v>
      </c>
      <c r="C481" s="66" t="s">
        <v>2222</v>
      </c>
      <c r="D481" s="66" t="s">
        <v>2944</v>
      </c>
      <c r="E481" s="68" t="s">
        <v>2945</v>
      </c>
      <c r="F481" s="66" t="s">
        <v>2946</v>
      </c>
      <c r="G481" s="71">
        <v>14732</v>
      </c>
      <c r="H481" s="73"/>
      <c r="I481" s="75">
        <v>0.2</v>
      </c>
      <c r="J481" s="77"/>
      <c r="K481" s="66"/>
      <c r="L481" s="66"/>
      <c r="M481" s="79" t="str">
        <f>HYPERLINK("http://www.pristavka.com/catalog/bandai/BNS1076/")</f>
        <v>http://www.pristavka.com/catalog/bandai/BNS1076/</v>
      </c>
      <c r="N481" s="71">
        <v>22699</v>
      </c>
      <c r="O481" s="66" t="s">
        <v>27</v>
      </c>
      <c r="P481" s="82" t="s">
        <v>2947</v>
      </c>
      <c r="Q481" s="84" t="s">
        <v>2808</v>
      </c>
      <c r="R481" s="84" t="s">
        <v>1068</v>
      </c>
      <c r="S481" s="84">
        <v>0.246</v>
      </c>
      <c r="T481" s="82" t="s">
        <v>2948</v>
      </c>
      <c r="U481" s="84"/>
      <c r="V481" s="54"/>
    </row>
    <row r="482" spans="1:22" s="11" customFormat="1" ht="45" customHeight="1" x14ac:dyDescent="0.2">
      <c r="A482" s="66" t="s">
        <v>2222</v>
      </c>
      <c r="B482" s="66" t="s">
        <v>1155</v>
      </c>
      <c r="C482" s="66" t="s">
        <v>2232</v>
      </c>
      <c r="D482" s="66">
        <v>4983164898163</v>
      </c>
      <c r="E482" s="68" t="s">
        <v>2949</v>
      </c>
      <c r="F482" s="66" t="s">
        <v>2950</v>
      </c>
      <c r="G482" s="71">
        <v>13702</v>
      </c>
      <c r="H482" s="73"/>
      <c r="I482" s="75">
        <v>0.2</v>
      </c>
      <c r="J482" s="77"/>
      <c r="K482" s="66"/>
      <c r="L482" s="66"/>
      <c r="M482" s="79" t="str">
        <f>HYPERLINK("http://www.pristavka.com/catalog/banpresto_series/BNS340/BNS1089/")</f>
        <v>http://www.pristavka.com/catalog/banpresto_series/BNS340/BNS1089/</v>
      </c>
      <c r="N482" s="71">
        <v>21099</v>
      </c>
      <c r="O482" s="66" t="s">
        <v>27</v>
      </c>
      <c r="P482" s="82" t="s">
        <v>2951</v>
      </c>
      <c r="Q482" s="84" t="s">
        <v>1068</v>
      </c>
      <c r="R482" s="84" t="s">
        <v>1068</v>
      </c>
      <c r="S482" s="84">
        <v>0.434</v>
      </c>
      <c r="T482" s="82" t="s">
        <v>2368</v>
      </c>
      <c r="U482" s="84"/>
      <c r="V482" s="54"/>
    </row>
    <row r="483" spans="1:22" s="11" customFormat="1" ht="45" customHeight="1" x14ac:dyDescent="0.2">
      <c r="A483" s="66" t="s">
        <v>2222</v>
      </c>
      <c r="B483" s="66" t="s">
        <v>1155</v>
      </c>
      <c r="C483" s="66" t="s">
        <v>2232</v>
      </c>
      <c r="D483" s="66">
        <v>4983164898156</v>
      </c>
      <c r="E483" s="68" t="s">
        <v>2952</v>
      </c>
      <c r="F483" s="66" t="s">
        <v>2953</v>
      </c>
      <c r="G483" s="71">
        <v>13702</v>
      </c>
      <c r="H483" s="73"/>
      <c r="I483" s="75">
        <v>0.2</v>
      </c>
      <c r="J483" s="77"/>
      <c r="K483" s="66"/>
      <c r="L483" s="66"/>
      <c r="M483" s="79" t="str">
        <f>HYPERLINK("http://www.pristavka.com/catalog/banpresto_series/BNS340/BNS1088/")</f>
        <v>http://www.pristavka.com/catalog/banpresto_series/BNS340/BNS1088/</v>
      </c>
      <c r="N483" s="71">
        <v>21099</v>
      </c>
      <c r="O483" s="66" t="s">
        <v>27</v>
      </c>
      <c r="P483" s="82" t="s">
        <v>2954</v>
      </c>
      <c r="Q483" s="84" t="s">
        <v>1068</v>
      </c>
      <c r="R483" s="84" t="s">
        <v>1068</v>
      </c>
      <c r="S483" s="84">
        <v>0.35</v>
      </c>
      <c r="T483" s="82" t="s">
        <v>2626</v>
      </c>
      <c r="U483" s="84"/>
      <c r="V483" s="54"/>
    </row>
    <row r="484" spans="1:22" s="11" customFormat="1" ht="45" customHeight="1" x14ac:dyDescent="0.2">
      <c r="A484" s="66" t="s">
        <v>2222</v>
      </c>
      <c r="B484" s="66" t="s">
        <v>1155</v>
      </c>
      <c r="C484" s="66" t="s">
        <v>2232</v>
      </c>
      <c r="D484" s="66">
        <v>4983164898149</v>
      </c>
      <c r="E484" s="68" t="s">
        <v>2955</v>
      </c>
      <c r="F484" s="66" t="s">
        <v>2956</v>
      </c>
      <c r="G484" s="71">
        <v>13702</v>
      </c>
      <c r="H484" s="73"/>
      <c r="I484" s="75">
        <v>0.2</v>
      </c>
      <c r="J484" s="77"/>
      <c r="K484" s="66"/>
      <c r="L484" s="66"/>
      <c r="M484" s="79" t="str">
        <f>HYPERLINK("http://www.pristavka.com/catalog/banpresto_series/BNS340/BNS1087/")</f>
        <v>http://www.pristavka.com/catalog/banpresto_series/BNS340/BNS1087/</v>
      </c>
      <c r="N484" s="71">
        <v>21099</v>
      </c>
      <c r="O484" s="66" t="s">
        <v>27</v>
      </c>
      <c r="P484" s="82" t="s">
        <v>2957</v>
      </c>
      <c r="Q484" s="84" t="s">
        <v>1068</v>
      </c>
      <c r="R484" s="84" t="s">
        <v>1068</v>
      </c>
      <c r="S484" s="84">
        <v>0.378</v>
      </c>
      <c r="T484" s="82" t="s">
        <v>2368</v>
      </c>
      <c r="U484" s="84"/>
      <c r="V484" s="54"/>
    </row>
    <row r="485" spans="1:22" s="11" customFormat="1" ht="45" customHeight="1" x14ac:dyDescent="0.2">
      <c r="A485" s="66" t="s">
        <v>2222</v>
      </c>
      <c r="B485" s="66" t="s">
        <v>1155</v>
      </c>
      <c r="C485" s="66" t="s">
        <v>2232</v>
      </c>
      <c r="D485" s="66">
        <v>4983164285581</v>
      </c>
      <c r="E485" s="68" t="s">
        <v>2958</v>
      </c>
      <c r="F485" s="66" t="s">
        <v>2959</v>
      </c>
      <c r="G485" s="71">
        <v>13702</v>
      </c>
      <c r="H485" s="73"/>
      <c r="I485" s="75">
        <v>0.2</v>
      </c>
      <c r="J485" s="77"/>
      <c r="K485" s="66"/>
      <c r="L485" s="66"/>
      <c r="M485" s="79" t="str">
        <f>HYPERLINK("http://www.pristavka.com/catalog/banpresto_series/BNS340/BNS1099/")</f>
        <v>http://www.pristavka.com/catalog/banpresto_series/BNS340/BNS1099/</v>
      </c>
      <c r="N485" s="71">
        <v>21099</v>
      </c>
      <c r="O485" s="66" t="s">
        <v>27</v>
      </c>
      <c r="P485" s="82" t="s">
        <v>2960</v>
      </c>
      <c r="Q485" s="84" t="s">
        <v>1068</v>
      </c>
      <c r="R485" s="84" t="s">
        <v>1068</v>
      </c>
      <c r="S485" s="84">
        <v>0.52</v>
      </c>
      <c r="T485" s="82" t="s">
        <v>2961</v>
      </c>
      <c r="U485" s="84"/>
      <c r="V485" s="54"/>
    </row>
    <row r="486" spans="1:22" s="11" customFormat="1" ht="45" customHeight="1" x14ac:dyDescent="0.2">
      <c r="A486" s="66" t="s">
        <v>2222</v>
      </c>
      <c r="B486" s="66" t="s">
        <v>1155</v>
      </c>
      <c r="C486" s="66" t="s">
        <v>2232</v>
      </c>
      <c r="D486" s="66">
        <v>4983164285598</v>
      </c>
      <c r="E486" s="68" t="s">
        <v>2962</v>
      </c>
      <c r="F486" s="66" t="s">
        <v>2963</v>
      </c>
      <c r="G486" s="71">
        <v>13702</v>
      </c>
      <c r="H486" s="73"/>
      <c r="I486" s="75">
        <v>0.2</v>
      </c>
      <c r="J486" s="77"/>
      <c r="K486" s="66"/>
      <c r="L486" s="66"/>
      <c r="M486" s="79" t="str">
        <f>HYPERLINK("http://www.pristavka.com/catalog/banpresto_series/BNS340/BNS1100/")</f>
        <v>http://www.pristavka.com/catalog/banpresto_series/BNS340/BNS1100/</v>
      </c>
      <c r="N486" s="71">
        <v>21099</v>
      </c>
      <c r="O486" s="66" t="s">
        <v>27</v>
      </c>
      <c r="P486" s="82" t="s">
        <v>2964</v>
      </c>
      <c r="Q486" s="84" t="s">
        <v>1068</v>
      </c>
      <c r="R486" s="84" t="s">
        <v>1068</v>
      </c>
      <c r="S486" s="84">
        <v>0.37</v>
      </c>
      <c r="T486" s="82" t="s">
        <v>2272</v>
      </c>
      <c r="U486" s="84"/>
      <c r="V486" s="54"/>
    </row>
    <row r="487" spans="1:22" s="11" customFormat="1" ht="45" customHeight="1" x14ac:dyDescent="0.2">
      <c r="A487" s="66" t="s">
        <v>2222</v>
      </c>
      <c r="B487" s="66" t="s">
        <v>1155</v>
      </c>
      <c r="C487" s="66" t="s">
        <v>2232</v>
      </c>
      <c r="D487" s="66">
        <v>4983164285550</v>
      </c>
      <c r="E487" s="68" t="s">
        <v>2965</v>
      </c>
      <c r="F487" s="66" t="s">
        <v>2966</v>
      </c>
      <c r="G487" s="71">
        <v>13702</v>
      </c>
      <c r="H487" s="73"/>
      <c r="I487" s="75">
        <v>0.2</v>
      </c>
      <c r="J487" s="77"/>
      <c r="K487" s="66"/>
      <c r="L487" s="66"/>
      <c r="M487" s="79" t="str">
        <f>HYPERLINK("http://www.pristavka.com/catalog/banpresto_series/BNS340/BNS1097/")</f>
        <v>http://www.pristavka.com/catalog/banpresto_series/BNS340/BNS1097/</v>
      </c>
      <c r="N487" s="71">
        <v>21099</v>
      </c>
      <c r="O487" s="66" t="s">
        <v>27</v>
      </c>
      <c r="P487" s="82" t="s">
        <v>2967</v>
      </c>
      <c r="Q487" s="84" t="s">
        <v>1334</v>
      </c>
      <c r="R487" s="84" t="s">
        <v>1068</v>
      </c>
      <c r="S487" s="84">
        <v>0.38</v>
      </c>
      <c r="T487" s="82" t="s">
        <v>2272</v>
      </c>
      <c r="U487" s="84"/>
      <c r="V487" s="54"/>
    </row>
    <row r="488" spans="1:22" s="11" customFormat="1" ht="45" customHeight="1" x14ac:dyDescent="0.2">
      <c r="A488" s="66" t="s">
        <v>2222</v>
      </c>
      <c r="B488" s="66" t="s">
        <v>1707</v>
      </c>
      <c r="C488" s="66" t="s">
        <v>2222</v>
      </c>
      <c r="D488" s="66" t="s">
        <v>2968</v>
      </c>
      <c r="E488" s="68" t="s">
        <v>2969</v>
      </c>
      <c r="F488" s="66" t="s">
        <v>2970</v>
      </c>
      <c r="G488" s="71">
        <v>14732</v>
      </c>
      <c r="H488" s="73"/>
      <c r="I488" s="75">
        <v>0.2</v>
      </c>
      <c r="J488" s="77"/>
      <c r="K488" s="66"/>
      <c r="L488" s="66"/>
      <c r="M488" s="79" t="str">
        <f>HYPERLINK("http://www.pristavka.com/catalog/bandai/BNS1075/")</f>
        <v>http://www.pristavka.com/catalog/bandai/BNS1075/</v>
      </c>
      <c r="N488" s="71">
        <v>22699</v>
      </c>
      <c r="O488" s="66" t="s">
        <v>27</v>
      </c>
      <c r="P488" s="82" t="s">
        <v>2971</v>
      </c>
      <c r="Q488" s="84" t="s">
        <v>2972</v>
      </c>
      <c r="R488" s="84" t="s">
        <v>1068</v>
      </c>
      <c r="S488" s="84">
        <v>0.30099999999999999</v>
      </c>
      <c r="T488" s="82" t="s">
        <v>2284</v>
      </c>
      <c r="U488" s="84"/>
      <c r="V488" s="54"/>
    </row>
    <row r="489" spans="1:22" s="11" customFormat="1" ht="45" customHeight="1" x14ac:dyDescent="0.2">
      <c r="A489" s="66" t="s">
        <v>2222</v>
      </c>
      <c r="B489" s="66" t="s">
        <v>1707</v>
      </c>
      <c r="C489" s="66" t="s">
        <v>2222</v>
      </c>
      <c r="D489" s="66">
        <v>4983164881349</v>
      </c>
      <c r="E489" s="68" t="s">
        <v>2973</v>
      </c>
      <c r="F489" s="66" t="s">
        <v>2974</v>
      </c>
      <c r="G489" s="71">
        <v>15419</v>
      </c>
      <c r="H489" s="73"/>
      <c r="I489" s="75">
        <v>0.2</v>
      </c>
      <c r="J489" s="77"/>
      <c r="K489" s="66"/>
      <c r="L489" s="66"/>
      <c r="M489" s="79" t="str">
        <f>HYPERLINK("http://www.pristavka.com/catalog/banpresto_series/BNS1048/")</f>
        <v>http://www.pristavka.com/catalog/banpresto_series/BNS1048/</v>
      </c>
      <c r="N489" s="71">
        <v>23799</v>
      </c>
      <c r="O489" s="66" t="s">
        <v>27</v>
      </c>
      <c r="P489" s="82" t="s">
        <v>2975</v>
      </c>
      <c r="Q489" s="84" t="s">
        <v>2972</v>
      </c>
      <c r="R489" s="84" t="s">
        <v>1068</v>
      </c>
      <c r="S489" s="84">
        <v>0.24</v>
      </c>
      <c r="T489" s="82" t="s">
        <v>2293</v>
      </c>
      <c r="U489" s="84"/>
      <c r="V489" s="54"/>
    </row>
    <row r="490" spans="1:22" s="11" customFormat="1" ht="45" customHeight="1" x14ac:dyDescent="0.2">
      <c r="A490" s="66" t="s">
        <v>2222</v>
      </c>
      <c r="B490" s="66" t="s">
        <v>1155</v>
      </c>
      <c r="C490" s="66" t="s">
        <v>2232</v>
      </c>
      <c r="D490" s="66">
        <v>4983164285499</v>
      </c>
      <c r="E490" s="68" t="s">
        <v>2976</v>
      </c>
      <c r="F490" s="66" t="s">
        <v>2977</v>
      </c>
      <c r="G490" s="71">
        <v>13702</v>
      </c>
      <c r="H490" s="73"/>
      <c r="I490" s="75">
        <v>0.2</v>
      </c>
      <c r="J490" s="77"/>
      <c r="K490" s="66"/>
      <c r="L490" s="66"/>
      <c r="M490" s="79" t="str">
        <f>HYPERLINK("http://www.pristavka.com/catalog/banpresto_series/BNS340/BNS1094/")</f>
        <v>http://www.pristavka.com/catalog/banpresto_series/BNS340/BNS1094/</v>
      </c>
      <c r="N490" s="71">
        <v>21099</v>
      </c>
      <c r="O490" s="66" t="s">
        <v>27</v>
      </c>
      <c r="P490" s="82" t="s">
        <v>2978</v>
      </c>
      <c r="Q490" s="84" t="s">
        <v>1068</v>
      </c>
      <c r="R490" s="84" t="s">
        <v>1068</v>
      </c>
      <c r="S490" s="84">
        <v>0.26</v>
      </c>
      <c r="T490" s="82" t="s">
        <v>2284</v>
      </c>
      <c r="U490" s="84"/>
      <c r="V490" s="54"/>
    </row>
    <row r="491" spans="1:22" s="11" customFormat="1" ht="45" customHeight="1" x14ac:dyDescent="0.2">
      <c r="A491" s="66" t="s">
        <v>2222</v>
      </c>
      <c r="B491" s="66" t="s">
        <v>1155</v>
      </c>
      <c r="C491" s="66" t="s">
        <v>2232</v>
      </c>
      <c r="D491" s="66">
        <v>4983164285918</v>
      </c>
      <c r="E491" s="68" t="s">
        <v>2979</v>
      </c>
      <c r="F491" s="66" t="s">
        <v>2980</v>
      </c>
      <c r="G491" s="71">
        <v>16105</v>
      </c>
      <c r="H491" s="73"/>
      <c r="I491" s="75">
        <v>0.2</v>
      </c>
      <c r="J491" s="77"/>
      <c r="K491" s="66"/>
      <c r="L491" s="66"/>
      <c r="M491" s="79" t="str">
        <f>HYPERLINK("http://www.pristavka.com/catalog/banpresto_series/BNS340/BNS1112/")</f>
        <v>http://www.pristavka.com/catalog/banpresto_series/BNS340/BNS1112/</v>
      </c>
      <c r="N491" s="71">
        <v>24799</v>
      </c>
      <c r="O491" s="66" t="s">
        <v>27</v>
      </c>
      <c r="P491" s="82" t="s">
        <v>2981</v>
      </c>
      <c r="Q491" s="84" t="s">
        <v>1148</v>
      </c>
      <c r="R491" s="84" t="s">
        <v>1068</v>
      </c>
      <c r="S491" s="84">
        <v>0.28399999999999997</v>
      </c>
      <c r="T491" s="82" t="s">
        <v>2272</v>
      </c>
      <c r="U491" s="84"/>
      <c r="V491" s="54"/>
    </row>
    <row r="492" spans="1:22" s="11" customFormat="1" ht="45" customHeight="1" x14ac:dyDescent="0.2">
      <c r="A492" s="66" t="s">
        <v>2222</v>
      </c>
      <c r="B492" s="66" t="s">
        <v>1155</v>
      </c>
      <c r="C492" s="66" t="s">
        <v>2232</v>
      </c>
      <c r="D492" s="66">
        <v>4983164286922</v>
      </c>
      <c r="E492" s="68" t="s">
        <v>2982</v>
      </c>
      <c r="F492" s="66" t="s">
        <v>2983</v>
      </c>
      <c r="G492" s="71">
        <v>16105</v>
      </c>
      <c r="H492" s="73"/>
      <c r="I492" s="75">
        <v>0.2</v>
      </c>
      <c r="J492" s="77"/>
      <c r="K492" s="66"/>
      <c r="L492" s="66"/>
      <c r="M492" s="79" t="str">
        <f>HYPERLINK("http://www.pristavka.com/catalog/banpresto_series/BNS340/BNS1144/")</f>
        <v>http://www.pristavka.com/catalog/banpresto_series/BNS340/BNS1144/</v>
      </c>
      <c r="N492" s="71">
        <v>24799</v>
      </c>
      <c r="O492" s="66" t="s">
        <v>27</v>
      </c>
      <c r="P492" s="82" t="s">
        <v>2984</v>
      </c>
      <c r="Q492" s="84" t="s">
        <v>1148</v>
      </c>
      <c r="R492" s="84" t="s">
        <v>1068</v>
      </c>
      <c r="S492" s="84">
        <v>0.36499999999999999</v>
      </c>
      <c r="T492" s="82" t="s">
        <v>2254</v>
      </c>
      <c r="U492" s="84"/>
      <c r="V492" s="54"/>
    </row>
    <row r="493" spans="1:22" s="11" customFormat="1" ht="45" customHeight="1" x14ac:dyDescent="0.2">
      <c r="A493" s="66" t="s">
        <v>2222</v>
      </c>
      <c r="B493" s="66" t="s">
        <v>1155</v>
      </c>
      <c r="C493" s="66" t="s">
        <v>2232</v>
      </c>
      <c r="D493" s="66">
        <v>4983164287011</v>
      </c>
      <c r="E493" s="68" t="s">
        <v>2985</v>
      </c>
      <c r="F493" s="66" t="s">
        <v>2986</v>
      </c>
      <c r="G493" s="71">
        <v>13702</v>
      </c>
      <c r="H493" s="73"/>
      <c r="I493" s="75">
        <v>0.2</v>
      </c>
      <c r="J493" s="77"/>
      <c r="K493" s="66"/>
      <c r="L493" s="66"/>
      <c r="M493" s="79" t="str">
        <f>HYPERLINK("http://www.pristavka.com/catalog/banpresto_series/BNS340/BNS1146/")</f>
        <v>http://www.pristavka.com/catalog/banpresto_series/BNS340/BNS1146/</v>
      </c>
      <c r="N493" s="71">
        <v>21099</v>
      </c>
      <c r="O493" s="66" t="s">
        <v>28</v>
      </c>
      <c r="P493" s="82" t="s">
        <v>2987</v>
      </c>
      <c r="Q493" s="84" t="s">
        <v>1148</v>
      </c>
      <c r="R493" s="84" t="s">
        <v>1068</v>
      </c>
      <c r="S493" s="84">
        <v>0.29199999999999998</v>
      </c>
      <c r="T493" s="82" t="s">
        <v>2284</v>
      </c>
      <c r="U493" s="84"/>
      <c r="V493" s="54"/>
    </row>
    <row r="494" spans="1:22" s="11" customFormat="1" ht="45" customHeight="1" x14ac:dyDescent="0.2">
      <c r="A494" s="66" t="s">
        <v>2222</v>
      </c>
      <c r="B494" s="66" t="s">
        <v>1155</v>
      </c>
      <c r="C494" s="66" t="s">
        <v>2232</v>
      </c>
      <c r="D494" s="66">
        <v>4983164285901</v>
      </c>
      <c r="E494" s="68" t="s">
        <v>2988</v>
      </c>
      <c r="F494" s="66" t="s">
        <v>2989</v>
      </c>
      <c r="G494" s="71">
        <v>16105</v>
      </c>
      <c r="H494" s="73"/>
      <c r="I494" s="75">
        <v>0.2</v>
      </c>
      <c r="J494" s="77"/>
      <c r="K494" s="66"/>
      <c r="L494" s="66"/>
      <c r="M494" s="79" t="str">
        <f>HYPERLINK("http://www.pristavka.com/catalog/banpresto_series/BNS340/BNS1111/")</f>
        <v>http://www.pristavka.com/catalog/banpresto_series/BNS340/BNS1111/</v>
      </c>
      <c r="N494" s="71">
        <v>24799</v>
      </c>
      <c r="O494" s="66" t="s">
        <v>27</v>
      </c>
      <c r="P494" s="82" t="s">
        <v>2990</v>
      </c>
      <c r="Q494" s="84" t="s">
        <v>1148</v>
      </c>
      <c r="R494" s="84" t="s">
        <v>1068</v>
      </c>
      <c r="S494" s="84">
        <v>0.38</v>
      </c>
      <c r="T494" s="82" t="s">
        <v>2368</v>
      </c>
      <c r="U494" s="84"/>
      <c r="V494" s="54"/>
    </row>
    <row r="495" spans="1:22" s="11" customFormat="1" ht="45" customHeight="1" x14ac:dyDescent="0.2">
      <c r="A495" s="66" t="s">
        <v>2222</v>
      </c>
      <c r="B495" s="66" t="s">
        <v>1155</v>
      </c>
      <c r="C495" s="66" t="s">
        <v>2232</v>
      </c>
      <c r="D495" s="66">
        <v>4983164285949</v>
      </c>
      <c r="E495" s="68" t="s">
        <v>2991</v>
      </c>
      <c r="F495" s="66" t="s">
        <v>2992</v>
      </c>
      <c r="G495" s="71">
        <v>36938</v>
      </c>
      <c r="H495" s="73"/>
      <c r="I495" s="75">
        <v>0.2</v>
      </c>
      <c r="J495" s="77"/>
      <c r="K495" s="66"/>
      <c r="L495" s="66"/>
      <c r="M495" s="79" t="str">
        <f>HYPERLINK("http://www.pristavka.com/catalog/banpresto_series/BNS340/BNS1115/")</f>
        <v>http://www.pristavka.com/catalog/banpresto_series/BNS340/BNS1115/</v>
      </c>
      <c r="N495" s="71">
        <v>52799</v>
      </c>
      <c r="O495" s="66" t="s">
        <v>28</v>
      </c>
      <c r="P495" s="82" t="s">
        <v>2993</v>
      </c>
      <c r="Q495" s="84" t="s">
        <v>1148</v>
      </c>
      <c r="R495" s="84" t="s">
        <v>1068</v>
      </c>
      <c r="S495" s="84">
        <v>1.0820000000000001</v>
      </c>
      <c r="T495" s="82" t="s">
        <v>2994</v>
      </c>
      <c r="U495" s="84"/>
      <c r="V495" s="54"/>
    </row>
    <row r="496" spans="1:22" s="11" customFormat="1" ht="45" customHeight="1" x14ac:dyDescent="0.2">
      <c r="A496" s="66" t="s">
        <v>2222</v>
      </c>
      <c r="B496" s="66" t="s">
        <v>1155</v>
      </c>
      <c r="C496" s="66" t="s">
        <v>2232</v>
      </c>
      <c r="D496" s="66">
        <v>4983164286939</v>
      </c>
      <c r="E496" s="68" t="s">
        <v>2995</v>
      </c>
      <c r="F496" s="66" t="s">
        <v>2996</v>
      </c>
      <c r="G496" s="71">
        <v>22629</v>
      </c>
      <c r="H496" s="73"/>
      <c r="I496" s="75">
        <v>0.2</v>
      </c>
      <c r="J496" s="77"/>
      <c r="K496" s="66"/>
      <c r="L496" s="66"/>
      <c r="M496" s="79" t="str">
        <f>HYPERLINK("http://www.pristavka.com/catalog/banpresto_series/BNS340/BNS1145/")</f>
        <v>http://www.pristavka.com/catalog/banpresto_series/BNS340/BNS1145/</v>
      </c>
      <c r="N496" s="71">
        <v>34899</v>
      </c>
      <c r="O496" s="66" t="s">
        <v>27</v>
      </c>
      <c r="P496" s="82" t="s">
        <v>2997</v>
      </c>
      <c r="Q496" s="84" t="s">
        <v>1148</v>
      </c>
      <c r="R496" s="84" t="s">
        <v>1068</v>
      </c>
      <c r="S496" s="84">
        <v>0.75</v>
      </c>
      <c r="T496" s="82" t="s">
        <v>2998</v>
      </c>
      <c r="U496" s="84"/>
      <c r="V496" s="54"/>
    </row>
    <row r="497" spans="1:22" s="11" customFormat="1" ht="45" customHeight="1" x14ac:dyDescent="0.2">
      <c r="A497" s="66" t="s">
        <v>2222</v>
      </c>
      <c r="B497" s="66" t="s">
        <v>1155</v>
      </c>
      <c r="C497" s="66" t="s">
        <v>2232</v>
      </c>
      <c r="D497" s="66">
        <v>4983164285925</v>
      </c>
      <c r="E497" s="68" t="s">
        <v>2999</v>
      </c>
      <c r="F497" s="66" t="s">
        <v>3000</v>
      </c>
      <c r="G497" s="71">
        <v>26406</v>
      </c>
      <c r="H497" s="73"/>
      <c r="I497" s="75">
        <v>0.2</v>
      </c>
      <c r="J497" s="77"/>
      <c r="K497" s="66"/>
      <c r="L497" s="66"/>
      <c r="M497" s="79" t="str">
        <f>HYPERLINK("http://www.pristavka.com/catalog/banpresto_series/BNS340/BNS1113/")</f>
        <v>http://www.pristavka.com/catalog/banpresto_series/BNS340/BNS1113/</v>
      </c>
      <c r="N497" s="71">
        <v>40699</v>
      </c>
      <c r="O497" s="66" t="s">
        <v>27</v>
      </c>
      <c r="P497" s="82" t="s">
        <v>3001</v>
      </c>
      <c r="Q497" s="84" t="s">
        <v>1148</v>
      </c>
      <c r="R497" s="84" t="s">
        <v>1068</v>
      </c>
      <c r="S497" s="84">
        <v>0.45</v>
      </c>
      <c r="T497" s="82" t="s">
        <v>3002</v>
      </c>
      <c r="U497" s="84"/>
      <c r="V497" s="54"/>
    </row>
    <row r="498" spans="1:22" s="11" customFormat="1" ht="45" customHeight="1" x14ac:dyDescent="0.2">
      <c r="A498" s="66" t="s">
        <v>2222</v>
      </c>
      <c r="B498" s="66" t="s">
        <v>1155</v>
      </c>
      <c r="C498" s="66" t="s">
        <v>2232</v>
      </c>
      <c r="D498" s="66">
        <v>4983164285888</v>
      </c>
      <c r="E498" s="68" t="s">
        <v>3003</v>
      </c>
      <c r="F498" s="66" t="s">
        <v>3004</v>
      </c>
      <c r="G498" s="71">
        <v>13702</v>
      </c>
      <c r="H498" s="73"/>
      <c r="I498" s="75">
        <v>0.2</v>
      </c>
      <c r="J498" s="77"/>
      <c r="K498" s="66"/>
      <c r="L498" s="66"/>
      <c r="M498" s="79" t="str">
        <f>HYPERLINK("http://www.pristavka.com/catalog/banpresto_series/BNS340/BNS1109/")</f>
        <v>http://www.pristavka.com/catalog/banpresto_series/BNS340/BNS1109/</v>
      </c>
      <c r="N498" s="71">
        <v>21099</v>
      </c>
      <c r="O498" s="66" t="s">
        <v>27</v>
      </c>
      <c r="P498" s="82" t="s">
        <v>3005</v>
      </c>
      <c r="Q498" s="84" t="s">
        <v>1148</v>
      </c>
      <c r="R498" s="84" t="s">
        <v>1068</v>
      </c>
      <c r="S498" s="84">
        <v>0.2</v>
      </c>
      <c r="T498" s="82" t="s">
        <v>2293</v>
      </c>
      <c r="U498" s="84"/>
      <c r="V498" s="54"/>
    </row>
    <row r="499" spans="1:22" s="11" customFormat="1" ht="45" customHeight="1" x14ac:dyDescent="0.2">
      <c r="A499" s="66" t="s">
        <v>2222</v>
      </c>
      <c r="B499" s="66" t="s">
        <v>1155</v>
      </c>
      <c r="C499" s="66" t="s">
        <v>2232</v>
      </c>
      <c r="D499" s="66">
        <v>4983164285895</v>
      </c>
      <c r="E499" s="68" t="s">
        <v>3006</v>
      </c>
      <c r="F499" s="66" t="s">
        <v>3007</v>
      </c>
      <c r="G499" s="71">
        <v>16105</v>
      </c>
      <c r="H499" s="73"/>
      <c r="I499" s="75">
        <v>0.2</v>
      </c>
      <c r="J499" s="77"/>
      <c r="K499" s="66"/>
      <c r="L499" s="66"/>
      <c r="M499" s="79" t="str">
        <f>HYPERLINK("http://www.pristavka.com/catalog/banpresto_series/BNS340/BNS1110/")</f>
        <v>http://www.pristavka.com/catalog/banpresto_series/BNS340/BNS1110/</v>
      </c>
      <c r="N499" s="71">
        <v>24799</v>
      </c>
      <c r="O499" s="66" t="s">
        <v>27</v>
      </c>
      <c r="P499" s="82" t="s">
        <v>3008</v>
      </c>
      <c r="Q499" s="84" t="s">
        <v>1148</v>
      </c>
      <c r="R499" s="84" t="s">
        <v>1068</v>
      </c>
      <c r="S499" s="84">
        <v>0.33</v>
      </c>
      <c r="T499" s="82" t="s">
        <v>2254</v>
      </c>
      <c r="U499" s="84"/>
      <c r="V499" s="54"/>
    </row>
    <row r="500" spans="1:22" s="11" customFormat="1" ht="45" customHeight="1" x14ac:dyDescent="0.2">
      <c r="A500" s="66" t="s">
        <v>2222</v>
      </c>
      <c r="B500" s="66" t="s">
        <v>1155</v>
      </c>
      <c r="C500" s="66" t="s">
        <v>2232</v>
      </c>
      <c r="D500" s="66">
        <v>4983164286915</v>
      </c>
      <c r="E500" s="68" t="s">
        <v>3009</v>
      </c>
      <c r="F500" s="66" t="s">
        <v>3010</v>
      </c>
      <c r="G500" s="71">
        <v>16105</v>
      </c>
      <c r="H500" s="73"/>
      <c r="I500" s="75">
        <v>0.2</v>
      </c>
      <c r="J500" s="77"/>
      <c r="K500" s="66"/>
      <c r="L500" s="66"/>
      <c r="M500" s="79" t="str">
        <f>HYPERLINK("http://www.pristavka.com/catalog/banpresto_series/BNS340/BNS1143/")</f>
        <v>http://www.pristavka.com/catalog/banpresto_series/BNS340/BNS1143/</v>
      </c>
      <c r="N500" s="71">
        <v>24799</v>
      </c>
      <c r="O500" s="66" t="s">
        <v>27</v>
      </c>
      <c r="P500" s="82" t="s">
        <v>3011</v>
      </c>
      <c r="Q500" s="84" t="s">
        <v>1148</v>
      </c>
      <c r="R500" s="84" t="s">
        <v>1068</v>
      </c>
      <c r="S500" s="84">
        <v>0.29199999999999998</v>
      </c>
      <c r="T500" s="82" t="s">
        <v>2272</v>
      </c>
      <c r="U500" s="84"/>
      <c r="V500" s="54"/>
    </row>
    <row r="501" spans="1:22" s="11" customFormat="1" ht="45" customHeight="1" x14ac:dyDescent="0.2">
      <c r="A501" s="66" t="s">
        <v>2222</v>
      </c>
      <c r="B501" s="66" t="s">
        <v>1155</v>
      </c>
      <c r="C501" s="66" t="s">
        <v>2232</v>
      </c>
      <c r="D501" s="66">
        <v>4983164286908</v>
      </c>
      <c r="E501" s="68" t="s">
        <v>3012</v>
      </c>
      <c r="F501" s="66" t="s">
        <v>3013</v>
      </c>
      <c r="G501" s="71">
        <v>16105</v>
      </c>
      <c r="H501" s="73"/>
      <c r="I501" s="75">
        <v>0.2</v>
      </c>
      <c r="J501" s="77"/>
      <c r="K501" s="66"/>
      <c r="L501" s="66"/>
      <c r="M501" s="79" t="str">
        <f>HYPERLINK("http://www.pristavka.com/catalog/banpresto_series/BNS340/BNS1142/")</f>
        <v>http://www.pristavka.com/catalog/banpresto_series/BNS340/BNS1142/</v>
      </c>
      <c r="N501" s="71">
        <v>24799</v>
      </c>
      <c r="O501" s="66" t="s">
        <v>27</v>
      </c>
      <c r="P501" s="82" t="s">
        <v>3014</v>
      </c>
      <c r="Q501" s="84" t="s">
        <v>1148</v>
      </c>
      <c r="R501" s="84" t="s">
        <v>1068</v>
      </c>
      <c r="S501" s="84">
        <v>0.32</v>
      </c>
      <c r="T501" s="82" t="s">
        <v>2961</v>
      </c>
      <c r="U501" s="84"/>
      <c r="V501" s="54"/>
    </row>
    <row r="502" spans="1:22" s="11" customFormat="1" ht="45" customHeight="1" x14ac:dyDescent="0.2">
      <c r="A502" s="66" t="s">
        <v>2222</v>
      </c>
      <c r="B502" s="66" t="s">
        <v>1155</v>
      </c>
      <c r="C502" s="66" t="s">
        <v>2232</v>
      </c>
      <c r="D502" s="66">
        <v>4983164286885</v>
      </c>
      <c r="E502" s="68" t="s">
        <v>3015</v>
      </c>
      <c r="F502" s="66" t="s">
        <v>3016</v>
      </c>
      <c r="G502" s="71">
        <v>13702</v>
      </c>
      <c r="H502" s="73"/>
      <c r="I502" s="75">
        <v>0.2</v>
      </c>
      <c r="J502" s="77"/>
      <c r="K502" s="66"/>
      <c r="L502" s="66"/>
      <c r="M502" s="79" t="str">
        <f>HYPERLINK("http://www.pristavka.com/catalog/banpresto_series/BNS340/BNS1140/")</f>
        <v>http://www.pristavka.com/catalog/banpresto_series/BNS340/BNS1140/</v>
      </c>
      <c r="N502" s="71">
        <v>21099</v>
      </c>
      <c r="O502" s="66" t="s">
        <v>27</v>
      </c>
      <c r="P502" s="82" t="s">
        <v>3017</v>
      </c>
      <c r="Q502" s="84" t="s">
        <v>1148</v>
      </c>
      <c r="R502" s="84" t="s">
        <v>1068</v>
      </c>
      <c r="S502" s="84">
        <v>0.128</v>
      </c>
      <c r="T502" s="82" t="s">
        <v>2293</v>
      </c>
      <c r="U502" s="84"/>
      <c r="V502" s="54"/>
    </row>
    <row r="503" spans="1:22" s="11" customFormat="1" ht="45" customHeight="1" x14ac:dyDescent="0.2">
      <c r="A503" s="66" t="s">
        <v>2222</v>
      </c>
      <c r="B503" s="66" t="s">
        <v>1155</v>
      </c>
      <c r="C503" s="66" t="s">
        <v>2232</v>
      </c>
      <c r="D503" s="66">
        <v>4983164286892</v>
      </c>
      <c r="E503" s="68" t="s">
        <v>3018</v>
      </c>
      <c r="F503" s="66" t="s">
        <v>3019</v>
      </c>
      <c r="G503" s="71">
        <v>13702</v>
      </c>
      <c r="H503" s="73"/>
      <c r="I503" s="75">
        <v>0.2</v>
      </c>
      <c r="J503" s="77"/>
      <c r="K503" s="66"/>
      <c r="L503" s="66"/>
      <c r="M503" s="79" t="str">
        <f>HYPERLINK("http://www.pristavka.com/catalog/banpresto_series/BNS340/BNS1141/")</f>
        <v>http://www.pristavka.com/catalog/banpresto_series/BNS340/BNS1141/</v>
      </c>
      <c r="N503" s="71">
        <v>21099</v>
      </c>
      <c r="O503" s="66" t="s">
        <v>27</v>
      </c>
      <c r="P503" s="82" t="s">
        <v>3020</v>
      </c>
      <c r="Q503" s="84" t="s">
        <v>1148</v>
      </c>
      <c r="R503" s="84" t="s">
        <v>1068</v>
      </c>
      <c r="S503" s="84">
        <v>0.245</v>
      </c>
      <c r="T503" s="82" t="s">
        <v>2254</v>
      </c>
      <c r="U503" s="84"/>
      <c r="V503" s="54"/>
    </row>
    <row r="504" spans="1:22" s="11" customFormat="1" ht="45" customHeight="1" x14ac:dyDescent="0.2">
      <c r="A504" s="66" t="s">
        <v>2222</v>
      </c>
      <c r="B504" s="66" t="s">
        <v>1155</v>
      </c>
      <c r="C504" s="66" t="s">
        <v>2232</v>
      </c>
      <c r="D504" s="66">
        <v>4983164894776</v>
      </c>
      <c r="E504" s="68" t="s">
        <v>3021</v>
      </c>
      <c r="F504" s="66" t="s">
        <v>3022</v>
      </c>
      <c r="G504" s="71">
        <v>13702</v>
      </c>
      <c r="H504" s="73"/>
      <c r="I504" s="75">
        <v>0.2</v>
      </c>
      <c r="J504" s="77"/>
      <c r="K504" s="66"/>
      <c r="L504" s="66"/>
      <c r="M504" s="79" t="str">
        <f>HYPERLINK("http://www.pristavka.com/catalog/banpresto_series/BNS340/BNS1116/")</f>
        <v>http://www.pristavka.com/catalog/banpresto_series/BNS340/BNS1116/</v>
      </c>
      <c r="N504" s="71">
        <v>21099</v>
      </c>
      <c r="O504" s="66" t="s">
        <v>27</v>
      </c>
      <c r="P504" s="82" t="s">
        <v>3023</v>
      </c>
      <c r="Q504" s="84" t="s">
        <v>1148</v>
      </c>
      <c r="R504" s="84" t="s">
        <v>1068</v>
      </c>
      <c r="S504" s="84">
        <v>0.25</v>
      </c>
      <c r="T504" s="82" t="s">
        <v>2293</v>
      </c>
      <c r="U504" s="84"/>
      <c r="V504" s="54"/>
    </row>
    <row r="505" spans="1:22" s="11" customFormat="1" ht="45" customHeight="1" x14ac:dyDescent="0.2">
      <c r="A505" s="66" t="s">
        <v>2222</v>
      </c>
      <c r="B505" s="66" t="s">
        <v>1155</v>
      </c>
      <c r="C505" s="66" t="s">
        <v>2232</v>
      </c>
      <c r="D505" s="66">
        <v>4983164285871</v>
      </c>
      <c r="E505" s="68" t="s">
        <v>3024</v>
      </c>
      <c r="F505" s="66" t="s">
        <v>3025</v>
      </c>
      <c r="G505" s="71">
        <v>13702</v>
      </c>
      <c r="H505" s="73"/>
      <c r="I505" s="75">
        <v>0.2</v>
      </c>
      <c r="J505" s="77"/>
      <c r="K505" s="66"/>
      <c r="L505" s="66"/>
      <c r="M505" s="79" t="str">
        <f>HYPERLINK("http://www.pristavka.com/catalog/banpresto_series/BNS340/BNS1108/")</f>
        <v>http://www.pristavka.com/catalog/banpresto_series/BNS340/BNS1108/</v>
      </c>
      <c r="N505" s="71">
        <v>21099</v>
      </c>
      <c r="O505" s="66" t="s">
        <v>27</v>
      </c>
      <c r="P505" s="82" t="s">
        <v>3026</v>
      </c>
      <c r="Q505" s="84" t="s">
        <v>1148</v>
      </c>
      <c r="R505" s="84" t="s">
        <v>1068</v>
      </c>
      <c r="S505" s="84">
        <v>0.245</v>
      </c>
      <c r="T505" s="82" t="s">
        <v>2272</v>
      </c>
      <c r="U505" s="84"/>
      <c r="V505" s="54"/>
    </row>
    <row r="506" spans="1:22" s="11" customFormat="1" ht="45" customHeight="1" x14ac:dyDescent="0.2">
      <c r="A506" s="66" t="s">
        <v>2222</v>
      </c>
      <c r="B506" s="66" t="s">
        <v>1155</v>
      </c>
      <c r="C506" s="66" t="s">
        <v>2232</v>
      </c>
      <c r="D506" s="66">
        <v>4983164286410</v>
      </c>
      <c r="E506" s="68" t="s">
        <v>3027</v>
      </c>
      <c r="F506" s="66" t="s">
        <v>3028</v>
      </c>
      <c r="G506" s="71">
        <v>13702</v>
      </c>
      <c r="H506" s="73"/>
      <c r="I506" s="75">
        <v>0.2</v>
      </c>
      <c r="J506" s="77"/>
      <c r="K506" s="66"/>
      <c r="L506" s="66"/>
      <c r="M506" s="79" t="str">
        <f>HYPERLINK("http://www.pristavka.com/catalog/banpresto_series/BNS340/BNS1119/")</f>
        <v>http://www.pristavka.com/catalog/banpresto_series/BNS340/BNS1119/</v>
      </c>
      <c r="N506" s="71">
        <v>21099</v>
      </c>
      <c r="O506" s="66" t="s">
        <v>27</v>
      </c>
      <c r="P506" s="82" t="s">
        <v>3029</v>
      </c>
      <c r="Q506" s="84" t="s">
        <v>1068</v>
      </c>
      <c r="R506" s="84" t="s">
        <v>1068</v>
      </c>
      <c r="S506" s="84">
        <v>0.38500000000000001</v>
      </c>
      <c r="T506" s="82" t="s">
        <v>2626</v>
      </c>
      <c r="U506" s="84"/>
      <c r="V506" s="54"/>
    </row>
    <row r="507" spans="1:22" s="11" customFormat="1" ht="45" customHeight="1" x14ac:dyDescent="0.2">
      <c r="A507" s="66" t="s">
        <v>2222</v>
      </c>
      <c r="B507" s="66" t="s">
        <v>1155</v>
      </c>
      <c r="C507" s="66" t="s">
        <v>2232</v>
      </c>
      <c r="D507" s="66">
        <v>4983164286557</v>
      </c>
      <c r="E507" s="68" t="s">
        <v>3030</v>
      </c>
      <c r="F507" s="66" t="s">
        <v>3031</v>
      </c>
      <c r="G507" s="71">
        <v>13702</v>
      </c>
      <c r="H507" s="73"/>
      <c r="I507" s="75">
        <v>0.2</v>
      </c>
      <c r="J507" s="77"/>
      <c r="K507" s="66"/>
      <c r="L507" s="66"/>
      <c r="M507" s="79" t="str">
        <f>HYPERLINK("http://www.pristavka.com/catalog/banpresto_series/BNS340/BNS1126/")</f>
        <v>http://www.pristavka.com/catalog/banpresto_series/BNS340/BNS1126/</v>
      </c>
      <c r="N507" s="71">
        <v>21099</v>
      </c>
      <c r="O507" s="66" t="s">
        <v>28</v>
      </c>
      <c r="P507" s="82" t="s">
        <v>3032</v>
      </c>
      <c r="Q507" s="84" t="s">
        <v>1068</v>
      </c>
      <c r="R507" s="84" t="s">
        <v>1068</v>
      </c>
      <c r="S507" s="84">
        <v>0.45500000000000002</v>
      </c>
      <c r="T507" s="82" t="s">
        <v>2272</v>
      </c>
      <c r="U507" s="84"/>
      <c r="V507" s="54"/>
    </row>
    <row r="508" spans="1:22" s="11" customFormat="1" ht="45" customHeight="1" x14ac:dyDescent="0.2">
      <c r="A508" s="66" t="s">
        <v>2222</v>
      </c>
      <c r="B508" s="66" t="s">
        <v>1155</v>
      </c>
      <c r="C508" s="66" t="s">
        <v>2232</v>
      </c>
      <c r="D508" s="66">
        <v>4983164286540</v>
      </c>
      <c r="E508" s="68" t="s">
        <v>3033</v>
      </c>
      <c r="F508" s="66" t="s">
        <v>3034</v>
      </c>
      <c r="G508" s="71">
        <v>13702</v>
      </c>
      <c r="H508" s="73"/>
      <c r="I508" s="75">
        <v>0.2</v>
      </c>
      <c r="J508" s="77"/>
      <c r="K508" s="66"/>
      <c r="L508" s="66"/>
      <c r="M508" s="79" t="str">
        <f>HYPERLINK("http://www.pristavka.com/catalog/banpresto_series/BNS340/BNS1125/")</f>
        <v>http://www.pristavka.com/catalog/banpresto_series/BNS340/BNS1125/</v>
      </c>
      <c r="N508" s="71">
        <v>21099</v>
      </c>
      <c r="O508" s="66" t="s">
        <v>27</v>
      </c>
      <c r="P508" s="82" t="s">
        <v>3035</v>
      </c>
      <c r="Q508" s="84" t="s">
        <v>1068</v>
      </c>
      <c r="R508" s="84" t="s">
        <v>1068</v>
      </c>
      <c r="S508" s="84">
        <v>0.41</v>
      </c>
      <c r="T508" s="82" t="s">
        <v>2272</v>
      </c>
      <c r="U508" s="84"/>
      <c r="V508" s="54"/>
    </row>
    <row r="509" spans="1:22" s="11" customFormat="1" ht="45" customHeight="1" x14ac:dyDescent="0.2">
      <c r="A509" s="66" t="s">
        <v>2222</v>
      </c>
      <c r="B509" s="66" t="s">
        <v>1155</v>
      </c>
      <c r="C509" s="66" t="s">
        <v>2232</v>
      </c>
      <c r="D509" s="66">
        <v>4983164286717</v>
      </c>
      <c r="E509" s="68" t="s">
        <v>3036</v>
      </c>
      <c r="F509" s="66" t="s">
        <v>3037</v>
      </c>
      <c r="G509" s="71">
        <v>13702</v>
      </c>
      <c r="H509" s="73"/>
      <c r="I509" s="75">
        <v>0.2</v>
      </c>
      <c r="J509" s="77"/>
      <c r="K509" s="66"/>
      <c r="L509" s="66"/>
      <c r="M509" s="79" t="str">
        <f>HYPERLINK("http://www.pristavka.com/catalog/banpresto_series/BNS340/BNS1135/")</f>
        <v>http://www.pristavka.com/catalog/banpresto_series/BNS340/BNS1135/</v>
      </c>
      <c r="N509" s="71">
        <v>21099</v>
      </c>
      <c r="O509" s="66" t="s">
        <v>27</v>
      </c>
      <c r="P509" s="82" t="s">
        <v>3038</v>
      </c>
      <c r="Q509" s="84" t="s">
        <v>1068</v>
      </c>
      <c r="R509" s="84" t="s">
        <v>1068</v>
      </c>
      <c r="S509" s="84">
        <v>0.24199999999999999</v>
      </c>
      <c r="T509" s="82" t="s">
        <v>2272</v>
      </c>
      <c r="U509" s="84"/>
      <c r="V509" s="54"/>
    </row>
    <row r="510" spans="1:22" s="11" customFormat="1" ht="45" customHeight="1" x14ac:dyDescent="0.2">
      <c r="A510" s="66" t="s">
        <v>2222</v>
      </c>
      <c r="B510" s="66" t="s">
        <v>1155</v>
      </c>
      <c r="C510" s="66" t="s">
        <v>2232</v>
      </c>
      <c r="D510" s="66">
        <v>4983164286724</v>
      </c>
      <c r="E510" s="68" t="s">
        <v>3039</v>
      </c>
      <c r="F510" s="66" t="s">
        <v>3040</v>
      </c>
      <c r="G510" s="71">
        <v>13702</v>
      </c>
      <c r="H510" s="73"/>
      <c r="I510" s="75">
        <v>0.2</v>
      </c>
      <c r="J510" s="77"/>
      <c r="K510" s="66"/>
      <c r="L510" s="66"/>
      <c r="M510" s="79" t="str">
        <f>HYPERLINK("http://www.pristavka.com/catalog/banpresto_series/BNS340/BNS1136/")</f>
        <v>http://www.pristavka.com/catalog/banpresto_series/BNS340/BNS1136/</v>
      </c>
      <c r="N510" s="71">
        <v>21099</v>
      </c>
      <c r="O510" s="66" t="s">
        <v>27</v>
      </c>
      <c r="P510" s="82" t="s">
        <v>3041</v>
      </c>
      <c r="Q510" s="84" t="s">
        <v>1068</v>
      </c>
      <c r="R510" s="84" t="s">
        <v>1068</v>
      </c>
      <c r="S510" s="84">
        <v>0.26800000000000002</v>
      </c>
      <c r="T510" s="82" t="s">
        <v>2272</v>
      </c>
      <c r="U510" s="84"/>
      <c r="V510" s="54"/>
    </row>
    <row r="511" spans="1:22" s="11" customFormat="1" ht="45" customHeight="1" x14ac:dyDescent="0.2">
      <c r="A511" s="66" t="s">
        <v>2222</v>
      </c>
      <c r="B511" s="66" t="s">
        <v>1155</v>
      </c>
      <c r="C511" s="66" t="s">
        <v>2232</v>
      </c>
      <c r="D511" s="66">
        <v>4983164285574</v>
      </c>
      <c r="E511" s="68" t="s">
        <v>3042</v>
      </c>
      <c r="F511" s="66" t="s">
        <v>3043</v>
      </c>
      <c r="G511" s="71">
        <v>13702</v>
      </c>
      <c r="H511" s="73"/>
      <c r="I511" s="75">
        <v>0.2</v>
      </c>
      <c r="J511" s="77"/>
      <c r="K511" s="66"/>
      <c r="L511" s="66"/>
      <c r="M511" s="79" t="str">
        <f>HYPERLINK("http://www.pristavka.com/catalog/banpresto_series/BNS340/BNS1098/")</f>
        <v>http://www.pristavka.com/catalog/banpresto_series/BNS340/BNS1098/</v>
      </c>
      <c r="N511" s="71">
        <v>21099</v>
      </c>
      <c r="O511" s="66" t="s">
        <v>27</v>
      </c>
      <c r="P511" s="82" t="s">
        <v>3044</v>
      </c>
      <c r="Q511" s="84" t="s">
        <v>1068</v>
      </c>
      <c r="R511" s="84" t="s">
        <v>1068</v>
      </c>
      <c r="S511" s="84">
        <v>0.35199999999999998</v>
      </c>
      <c r="T511" s="82" t="s">
        <v>2272</v>
      </c>
      <c r="U511" s="84"/>
      <c r="V511" s="54"/>
    </row>
    <row r="512" spans="1:22" s="11" customFormat="1" ht="45" customHeight="1" x14ac:dyDescent="0.2">
      <c r="A512" s="66" t="s">
        <v>2222</v>
      </c>
      <c r="B512" s="66" t="s">
        <v>1155</v>
      </c>
      <c r="C512" s="66" t="s">
        <v>2232</v>
      </c>
      <c r="D512" s="66">
        <v>4983164286021</v>
      </c>
      <c r="E512" s="68" t="s">
        <v>3045</v>
      </c>
      <c r="F512" s="66" t="s">
        <v>3046</v>
      </c>
      <c r="G512" s="71">
        <v>13702</v>
      </c>
      <c r="H512" s="73"/>
      <c r="I512" s="75">
        <v>0.2</v>
      </c>
      <c r="J512" s="77"/>
      <c r="K512" s="66"/>
      <c r="L512" s="66"/>
      <c r="M512" s="79" t="str">
        <f>HYPERLINK("http://www.pristavka.com/catalog/banpresto_series/BNS340/BNS1091/")</f>
        <v>http://www.pristavka.com/catalog/banpresto_series/BNS340/BNS1091/</v>
      </c>
      <c r="N512" s="71">
        <v>21099</v>
      </c>
      <c r="O512" s="66" t="s">
        <v>27</v>
      </c>
      <c r="P512" s="82" t="s">
        <v>3047</v>
      </c>
      <c r="Q512" s="84" t="s">
        <v>1068</v>
      </c>
      <c r="R512" s="84" t="s">
        <v>1068</v>
      </c>
      <c r="S512" s="84">
        <v>0.42099999999999999</v>
      </c>
      <c r="T512" s="82" t="s">
        <v>3048</v>
      </c>
      <c r="U512" s="84"/>
      <c r="V512" s="54"/>
    </row>
    <row r="513" spans="1:22" s="11" customFormat="1" ht="45" customHeight="1" x14ac:dyDescent="0.2">
      <c r="A513" s="66" t="s">
        <v>2222</v>
      </c>
      <c r="B513" s="66" t="s">
        <v>1155</v>
      </c>
      <c r="C513" s="66" t="s">
        <v>2232</v>
      </c>
      <c r="D513" s="66">
        <v>4983164285277</v>
      </c>
      <c r="E513" s="68" t="s">
        <v>3049</v>
      </c>
      <c r="F513" s="66" t="s">
        <v>3050</v>
      </c>
      <c r="G513" s="71">
        <v>13702</v>
      </c>
      <c r="H513" s="73"/>
      <c r="I513" s="75">
        <v>0.2</v>
      </c>
      <c r="J513" s="77"/>
      <c r="K513" s="66"/>
      <c r="L513" s="66"/>
      <c r="M513" s="79" t="str">
        <f>HYPERLINK("http://www.pristavka.com/catalog/banpresto_series/BNS340/BNS1084/")</f>
        <v>http://www.pristavka.com/catalog/banpresto_series/BNS340/BNS1084/</v>
      </c>
      <c r="N513" s="71">
        <v>21099</v>
      </c>
      <c r="O513" s="66" t="s">
        <v>28</v>
      </c>
      <c r="P513" s="82" t="s">
        <v>3051</v>
      </c>
      <c r="Q513" s="84" t="s">
        <v>1068</v>
      </c>
      <c r="R513" s="84" t="s">
        <v>1068</v>
      </c>
      <c r="S513" s="84">
        <v>0.27200000000000002</v>
      </c>
      <c r="T513" s="82" t="s">
        <v>2272</v>
      </c>
      <c r="U513" s="84"/>
      <c r="V513" s="54"/>
    </row>
    <row r="514" spans="1:22" s="11" customFormat="1" ht="45" customHeight="1" x14ac:dyDescent="0.2">
      <c r="A514" s="66" t="s">
        <v>2222</v>
      </c>
      <c r="B514" s="66" t="s">
        <v>1155</v>
      </c>
      <c r="C514" s="66" t="s">
        <v>2232</v>
      </c>
      <c r="D514" s="66">
        <v>4983164285284</v>
      </c>
      <c r="E514" s="68" t="s">
        <v>3052</v>
      </c>
      <c r="F514" s="66" t="s">
        <v>3053</v>
      </c>
      <c r="G514" s="71">
        <v>13702</v>
      </c>
      <c r="H514" s="73"/>
      <c r="I514" s="75">
        <v>0.2</v>
      </c>
      <c r="J514" s="77"/>
      <c r="K514" s="66"/>
      <c r="L514" s="66"/>
      <c r="M514" s="79" t="str">
        <f>HYPERLINK("http://www.pristavka.com/catalog/banpresto_series/BNS340/BNS1085/")</f>
        <v>http://www.pristavka.com/catalog/banpresto_series/BNS340/BNS1085/</v>
      </c>
      <c r="N514" s="71">
        <v>21099</v>
      </c>
      <c r="O514" s="66" t="s">
        <v>27</v>
      </c>
      <c r="P514" s="82" t="s">
        <v>3054</v>
      </c>
      <c r="Q514" s="84" t="s">
        <v>1068</v>
      </c>
      <c r="R514" s="84" t="s">
        <v>1068</v>
      </c>
      <c r="S514" s="84">
        <v>0.3</v>
      </c>
      <c r="T514" s="82" t="s">
        <v>2254</v>
      </c>
      <c r="U514" s="84"/>
      <c r="V514" s="54"/>
    </row>
    <row r="515" spans="1:22" s="11" customFormat="1" ht="45" customHeight="1" x14ac:dyDescent="0.2">
      <c r="A515" s="66" t="s">
        <v>2222</v>
      </c>
      <c r="B515" s="66" t="s">
        <v>1155</v>
      </c>
      <c r="C515" s="66" t="s">
        <v>2232</v>
      </c>
      <c r="D515" s="66">
        <v>4983164286489</v>
      </c>
      <c r="E515" s="68" t="s">
        <v>3055</v>
      </c>
      <c r="F515" s="66" t="s">
        <v>3056</v>
      </c>
      <c r="G515" s="71">
        <v>13702</v>
      </c>
      <c r="H515" s="73"/>
      <c r="I515" s="75">
        <v>0.2</v>
      </c>
      <c r="J515" s="77"/>
      <c r="K515" s="66"/>
      <c r="L515" s="66"/>
      <c r="M515" s="79" t="str">
        <f>HYPERLINK("http://www.pristavka.com/catalog/banpresto_series/BNS340/BNS1124/")</f>
        <v>http://www.pristavka.com/catalog/banpresto_series/BNS340/BNS1124/</v>
      </c>
      <c r="N515" s="71">
        <v>21099</v>
      </c>
      <c r="O515" s="66" t="s">
        <v>27</v>
      </c>
      <c r="P515" s="82" t="s">
        <v>3057</v>
      </c>
      <c r="Q515" s="84" t="s">
        <v>1068</v>
      </c>
      <c r="R515" s="84" t="s">
        <v>1068</v>
      </c>
      <c r="S515" s="84">
        <v>0.33400000000000002</v>
      </c>
      <c r="T515" s="82" t="s">
        <v>2284</v>
      </c>
      <c r="U515" s="84"/>
      <c r="V515" s="54"/>
    </row>
    <row r="516" spans="1:22" s="11" customFormat="1" ht="45" customHeight="1" x14ac:dyDescent="0.2">
      <c r="A516" s="66" t="s">
        <v>2222</v>
      </c>
      <c r="B516" s="66" t="s">
        <v>1155</v>
      </c>
      <c r="C516" s="66" t="s">
        <v>2232</v>
      </c>
      <c r="D516" s="66">
        <v>4983164896916</v>
      </c>
      <c r="E516" s="68" t="s">
        <v>3058</v>
      </c>
      <c r="F516" s="66" t="s">
        <v>3059</v>
      </c>
      <c r="G516" s="71">
        <v>13702</v>
      </c>
      <c r="H516" s="73"/>
      <c r="I516" s="75">
        <v>0.2</v>
      </c>
      <c r="J516" s="77"/>
      <c r="K516" s="66"/>
      <c r="L516" s="66"/>
      <c r="M516" s="79" t="str">
        <f>HYPERLINK("http://www.pristavka.com/catalog/banpresto_series/BNS340/BNS1086/")</f>
        <v>http://www.pristavka.com/catalog/banpresto_series/BNS340/BNS1086/</v>
      </c>
      <c r="N516" s="71">
        <v>21099</v>
      </c>
      <c r="O516" s="66" t="s">
        <v>27</v>
      </c>
      <c r="P516" s="82" t="s">
        <v>3060</v>
      </c>
      <c r="Q516" s="84" t="s">
        <v>1068</v>
      </c>
      <c r="R516" s="84" t="s">
        <v>1068</v>
      </c>
      <c r="S516" s="84">
        <v>0.28000000000000003</v>
      </c>
      <c r="T516" s="82" t="s">
        <v>2284</v>
      </c>
      <c r="U516" s="84"/>
      <c r="V516" s="54"/>
    </row>
    <row r="517" spans="1:22" s="11" customFormat="1" ht="45" customHeight="1" x14ac:dyDescent="0.2">
      <c r="A517" s="66" t="s">
        <v>2222</v>
      </c>
      <c r="B517" s="66" t="s">
        <v>1155</v>
      </c>
      <c r="C517" s="66" t="s">
        <v>2232</v>
      </c>
      <c r="D517" s="66">
        <v>4983164896015</v>
      </c>
      <c r="E517" s="68" t="s">
        <v>3061</v>
      </c>
      <c r="F517" s="66" t="s">
        <v>3062</v>
      </c>
      <c r="G517" s="71">
        <v>13702</v>
      </c>
      <c r="H517" s="73"/>
      <c r="I517" s="75">
        <v>0.2</v>
      </c>
      <c r="J517" s="77"/>
      <c r="K517" s="66"/>
      <c r="L517" s="66"/>
      <c r="M517" s="79" t="str">
        <f>HYPERLINK("http://www.pristavka.com/catalog/banpresto_series/BNS340/BNS1123/")</f>
        <v>http://www.pristavka.com/catalog/banpresto_series/BNS340/BNS1123/</v>
      </c>
      <c r="N517" s="71">
        <v>21099</v>
      </c>
      <c r="O517" s="66" t="s">
        <v>27</v>
      </c>
      <c r="P517" s="82" t="s">
        <v>3063</v>
      </c>
      <c r="Q517" s="84" t="s">
        <v>1068</v>
      </c>
      <c r="R517" s="84" t="s">
        <v>1068</v>
      </c>
      <c r="S517" s="84">
        <v>0.245</v>
      </c>
      <c r="T517" s="82" t="s">
        <v>2284</v>
      </c>
      <c r="U517" s="84"/>
      <c r="V517" s="54"/>
    </row>
    <row r="518" spans="1:22" s="11" customFormat="1" ht="45" customHeight="1" x14ac:dyDescent="0.2">
      <c r="A518" s="66" t="s">
        <v>2222</v>
      </c>
      <c r="B518" s="66" t="s">
        <v>1155</v>
      </c>
      <c r="C518" s="66" t="s">
        <v>2232</v>
      </c>
      <c r="D518" s="66">
        <v>4983164287066</v>
      </c>
      <c r="E518" s="68" t="s">
        <v>3064</v>
      </c>
      <c r="F518" s="66" t="s">
        <v>3065</v>
      </c>
      <c r="G518" s="71">
        <v>48031</v>
      </c>
      <c r="H518" s="73"/>
      <c r="I518" s="75">
        <v>0.2</v>
      </c>
      <c r="J518" s="77"/>
      <c r="K518" s="66"/>
      <c r="L518" s="66"/>
      <c r="M518" s="79" t="str">
        <f>HYPERLINK("http://www.pristavka.com/catalog/banpresto_series/BNS340/BNS1147/")</f>
        <v>http://www.pristavka.com/catalog/banpresto_series/BNS340/BNS1147/</v>
      </c>
      <c r="N518" s="71">
        <v>68699</v>
      </c>
      <c r="O518" s="66" t="s">
        <v>27</v>
      </c>
      <c r="P518" s="82" t="s">
        <v>3066</v>
      </c>
      <c r="Q518" s="84" t="s">
        <v>1068</v>
      </c>
      <c r="R518" s="84" t="s">
        <v>1068</v>
      </c>
      <c r="S518" s="84">
        <v>0.31</v>
      </c>
      <c r="T518" s="82" t="s">
        <v>3067</v>
      </c>
      <c r="U518" s="84"/>
      <c r="V518" s="54"/>
    </row>
    <row r="519" spans="1:22" s="11" customFormat="1" ht="45" customHeight="1" x14ac:dyDescent="0.2">
      <c r="A519" s="66" t="s">
        <v>2222</v>
      </c>
      <c r="B519" s="66" t="s">
        <v>1155</v>
      </c>
      <c r="C519" s="66" t="s">
        <v>2232</v>
      </c>
      <c r="D519" s="66">
        <v>4983164285963</v>
      </c>
      <c r="E519" s="68" t="s">
        <v>3068</v>
      </c>
      <c r="F519" s="66" t="s">
        <v>3069</v>
      </c>
      <c r="G519" s="71">
        <v>48031</v>
      </c>
      <c r="H519" s="73"/>
      <c r="I519" s="75">
        <v>0.2</v>
      </c>
      <c r="J519" s="77"/>
      <c r="K519" s="66"/>
      <c r="L519" s="66"/>
      <c r="M519" s="79" t="str">
        <f>HYPERLINK("http://www.pristavka.com/catalog/banpresto_series/BNS340/BNS1114/")</f>
        <v>http://www.pristavka.com/catalog/banpresto_series/BNS340/BNS1114/</v>
      </c>
      <c r="N519" s="71">
        <v>68699</v>
      </c>
      <c r="O519" s="66" t="s">
        <v>27</v>
      </c>
      <c r="P519" s="82" t="s">
        <v>3070</v>
      </c>
      <c r="Q519" s="84" t="s">
        <v>1068</v>
      </c>
      <c r="R519" s="84" t="s">
        <v>1068</v>
      </c>
      <c r="S519" s="84">
        <v>0.32200000000000001</v>
      </c>
      <c r="T519" s="82" t="s">
        <v>3071</v>
      </c>
      <c r="U519" s="84"/>
      <c r="V519" s="54"/>
    </row>
    <row r="520" spans="1:22" s="11" customFormat="1" ht="45" customHeight="1" x14ac:dyDescent="0.2">
      <c r="A520" s="66" t="s">
        <v>2222</v>
      </c>
      <c r="B520" s="66" t="s">
        <v>1155</v>
      </c>
      <c r="C520" s="66" t="s">
        <v>2232</v>
      </c>
      <c r="D520" s="66">
        <v>4983164285697</v>
      </c>
      <c r="E520" s="68" t="s">
        <v>3072</v>
      </c>
      <c r="F520" s="66" t="s">
        <v>3073</v>
      </c>
      <c r="G520" s="71">
        <v>13702</v>
      </c>
      <c r="H520" s="73"/>
      <c r="I520" s="75">
        <v>0.2</v>
      </c>
      <c r="J520" s="77"/>
      <c r="K520" s="66"/>
      <c r="L520" s="66"/>
      <c r="M520" s="79" t="str">
        <f>HYPERLINK("http://www.pristavka.com/catalog/banpresto_series/BNS340/BNS1104/")</f>
        <v>http://www.pristavka.com/catalog/banpresto_series/BNS340/BNS1104/</v>
      </c>
      <c r="N520" s="71">
        <v>21099</v>
      </c>
      <c r="O520" s="66" t="s">
        <v>27</v>
      </c>
      <c r="P520" s="82" t="s">
        <v>3074</v>
      </c>
      <c r="Q520" s="84" t="s">
        <v>1522</v>
      </c>
      <c r="R520" s="84" t="s">
        <v>1068</v>
      </c>
      <c r="S520" s="84">
        <v>0.3</v>
      </c>
      <c r="T520" s="82" t="s">
        <v>2284</v>
      </c>
      <c r="U520" s="84"/>
      <c r="V520" s="54"/>
    </row>
    <row r="521" spans="1:22" s="11" customFormat="1" ht="45" customHeight="1" x14ac:dyDescent="0.2">
      <c r="A521" s="66" t="s">
        <v>2222</v>
      </c>
      <c r="B521" s="66" t="s">
        <v>1155</v>
      </c>
      <c r="C521" s="66" t="s">
        <v>2232</v>
      </c>
      <c r="D521" s="66">
        <v>4983164285680</v>
      </c>
      <c r="E521" s="68" t="s">
        <v>3075</v>
      </c>
      <c r="F521" s="66" t="s">
        <v>3076</v>
      </c>
      <c r="G521" s="71">
        <v>13702</v>
      </c>
      <c r="H521" s="73"/>
      <c r="I521" s="75">
        <v>0.2</v>
      </c>
      <c r="J521" s="77"/>
      <c r="K521" s="66"/>
      <c r="L521" s="66"/>
      <c r="M521" s="79" t="str">
        <f>HYPERLINK("http://www.pristavka.com/catalog/banpresto_series/BNS340/BNS1103/")</f>
        <v>http://www.pristavka.com/catalog/banpresto_series/BNS340/BNS1103/</v>
      </c>
      <c r="N521" s="71">
        <v>21099</v>
      </c>
      <c r="O521" s="66" t="s">
        <v>27</v>
      </c>
      <c r="P521" s="82" t="s">
        <v>3077</v>
      </c>
      <c r="Q521" s="84" t="s">
        <v>1522</v>
      </c>
      <c r="R521" s="84" t="s">
        <v>1068</v>
      </c>
      <c r="S521" s="84">
        <v>0.27</v>
      </c>
      <c r="T521" s="82" t="s">
        <v>2284</v>
      </c>
      <c r="U521" s="84"/>
      <c r="V521" s="54"/>
    </row>
    <row r="522" spans="1:22" s="11" customFormat="1" ht="45" customHeight="1" x14ac:dyDescent="0.2">
      <c r="A522" s="66" t="s">
        <v>2222</v>
      </c>
      <c r="B522" s="66" t="s">
        <v>1155</v>
      </c>
      <c r="C522" s="66" t="s">
        <v>2232</v>
      </c>
      <c r="D522" s="66">
        <v>4983164285673</v>
      </c>
      <c r="E522" s="68" t="s">
        <v>3078</v>
      </c>
      <c r="F522" s="66" t="s">
        <v>3079</v>
      </c>
      <c r="G522" s="71">
        <v>13702</v>
      </c>
      <c r="H522" s="73"/>
      <c r="I522" s="75">
        <v>0.2</v>
      </c>
      <c r="J522" s="77"/>
      <c r="K522" s="66"/>
      <c r="L522" s="66"/>
      <c r="M522" s="79" t="str">
        <f>HYPERLINK("http://www.pristavka.com/catalog/banpresto_series/BNS340/BNS1139/")</f>
        <v>http://www.pristavka.com/catalog/banpresto_series/BNS340/BNS1139/</v>
      </c>
      <c r="N522" s="71">
        <v>21099</v>
      </c>
      <c r="O522" s="66" t="s">
        <v>27</v>
      </c>
      <c r="P522" s="82" t="s">
        <v>3080</v>
      </c>
      <c r="Q522" s="84" t="s">
        <v>1522</v>
      </c>
      <c r="R522" s="84" t="s">
        <v>1068</v>
      </c>
      <c r="S522" s="84">
        <v>0.438</v>
      </c>
      <c r="T522" s="82" t="s">
        <v>3081</v>
      </c>
      <c r="U522" s="84"/>
      <c r="V522" s="54"/>
    </row>
    <row r="523" spans="1:22" s="11" customFormat="1" ht="45" customHeight="1" x14ac:dyDescent="0.2">
      <c r="A523" s="66" t="s">
        <v>2222</v>
      </c>
      <c r="B523" s="66" t="s">
        <v>1707</v>
      </c>
      <c r="C523" s="66" t="s">
        <v>2222</v>
      </c>
      <c r="D523" s="66" t="s">
        <v>3082</v>
      </c>
      <c r="E523" s="68" t="s">
        <v>3083</v>
      </c>
      <c r="F523" s="66" t="s">
        <v>3084</v>
      </c>
      <c r="G523" s="71">
        <v>14732</v>
      </c>
      <c r="H523" s="73"/>
      <c r="I523" s="75">
        <v>0.2</v>
      </c>
      <c r="J523" s="77"/>
      <c r="K523" s="66"/>
      <c r="L523" s="66"/>
      <c r="M523" s="79" t="str">
        <f>HYPERLINK("http://www.pristavka.com/catalog/bandai/BNS1069/")</f>
        <v>http://www.pristavka.com/catalog/bandai/BNS1069/</v>
      </c>
      <c r="N523" s="71">
        <v>22699</v>
      </c>
      <c r="O523" s="66" t="s">
        <v>27</v>
      </c>
      <c r="P523" s="82" t="s">
        <v>3085</v>
      </c>
      <c r="Q523" s="84" t="s">
        <v>1117</v>
      </c>
      <c r="R523" s="84" t="s">
        <v>1068</v>
      </c>
      <c r="S523" s="84">
        <v>0.154</v>
      </c>
      <c r="T523" s="82" t="s">
        <v>2293</v>
      </c>
      <c r="U523" s="84"/>
      <c r="V523" s="54"/>
    </row>
    <row r="524" spans="1:22" s="11" customFormat="1" ht="45" customHeight="1" x14ac:dyDescent="0.2">
      <c r="A524" s="66" t="s">
        <v>2222</v>
      </c>
      <c r="B524" s="66" t="s">
        <v>1707</v>
      </c>
      <c r="C524" s="66" t="s">
        <v>2222</v>
      </c>
      <c r="D524" s="66" t="s">
        <v>3086</v>
      </c>
      <c r="E524" s="68" t="s">
        <v>3087</v>
      </c>
      <c r="F524" s="66" t="s">
        <v>3088</v>
      </c>
      <c r="G524" s="71">
        <v>14732</v>
      </c>
      <c r="H524" s="73"/>
      <c r="I524" s="75">
        <v>0.2</v>
      </c>
      <c r="J524" s="77"/>
      <c r="K524" s="66"/>
      <c r="L524" s="66"/>
      <c r="M524" s="79" t="str">
        <f>HYPERLINK("http://www.pristavka.com/catalog/bandai/BNS1079/")</f>
        <v>http://www.pristavka.com/catalog/bandai/BNS1079/</v>
      </c>
      <c r="N524" s="71">
        <v>22699</v>
      </c>
      <c r="O524" s="66" t="s">
        <v>27</v>
      </c>
      <c r="P524" s="82" t="s">
        <v>3089</v>
      </c>
      <c r="Q524" s="84" t="s">
        <v>1117</v>
      </c>
      <c r="R524" s="84" t="s">
        <v>1068</v>
      </c>
      <c r="S524" s="84">
        <v>0.161</v>
      </c>
      <c r="T524" s="82" t="s">
        <v>2293</v>
      </c>
      <c r="U524" s="84"/>
      <c r="V524" s="54"/>
    </row>
    <row r="525" spans="1:22" s="11" customFormat="1" ht="45" customHeight="1" x14ac:dyDescent="0.2">
      <c r="A525" s="66" t="s">
        <v>2222</v>
      </c>
      <c r="B525" s="66" t="s">
        <v>1707</v>
      </c>
      <c r="C525" s="66" t="s">
        <v>2222</v>
      </c>
      <c r="D525" s="66" t="s">
        <v>3090</v>
      </c>
      <c r="E525" s="68" t="s">
        <v>3091</v>
      </c>
      <c r="F525" s="66" t="s">
        <v>3092</v>
      </c>
      <c r="G525" s="71">
        <v>14732</v>
      </c>
      <c r="H525" s="73"/>
      <c r="I525" s="75">
        <v>0.2</v>
      </c>
      <c r="J525" s="77"/>
      <c r="K525" s="66"/>
      <c r="L525" s="66"/>
      <c r="M525" s="79" t="str">
        <f>HYPERLINK("http://www.pristavka.com/catalog/bandai/BNS1067/")</f>
        <v>http://www.pristavka.com/catalog/bandai/BNS1067/</v>
      </c>
      <c r="N525" s="71">
        <v>22699</v>
      </c>
      <c r="O525" s="66" t="s">
        <v>27</v>
      </c>
      <c r="P525" s="82" t="s">
        <v>3093</v>
      </c>
      <c r="Q525" s="84" t="s">
        <v>1117</v>
      </c>
      <c r="R525" s="84" t="s">
        <v>1068</v>
      </c>
      <c r="S525" s="84">
        <v>0.155</v>
      </c>
      <c r="T525" s="82" t="s">
        <v>2284</v>
      </c>
      <c r="U525" s="84"/>
      <c r="V525" s="54"/>
    </row>
    <row r="526" spans="1:22" s="11" customFormat="1" ht="45" customHeight="1" x14ac:dyDescent="0.2">
      <c r="A526" s="66" t="s">
        <v>2222</v>
      </c>
      <c r="B526" s="66" t="s">
        <v>1707</v>
      </c>
      <c r="C526" s="66" t="s">
        <v>2222</v>
      </c>
      <c r="D526" s="66" t="s">
        <v>3094</v>
      </c>
      <c r="E526" s="68" t="s">
        <v>3095</v>
      </c>
      <c r="F526" s="66" t="s">
        <v>3096</v>
      </c>
      <c r="G526" s="71">
        <v>15075</v>
      </c>
      <c r="H526" s="73"/>
      <c r="I526" s="75">
        <v>0.2</v>
      </c>
      <c r="J526" s="77"/>
      <c r="K526" s="66"/>
      <c r="L526" s="66"/>
      <c r="M526" s="79" t="str">
        <f>HYPERLINK("http://www.pristavka.com/catalog/bandai/BNS1071/")</f>
        <v>http://www.pristavka.com/catalog/bandai/BNS1071/</v>
      </c>
      <c r="N526" s="71">
        <v>23199</v>
      </c>
      <c r="O526" s="66" t="s">
        <v>27</v>
      </c>
      <c r="P526" s="82" t="s">
        <v>3097</v>
      </c>
      <c r="Q526" s="84" t="s">
        <v>1117</v>
      </c>
      <c r="R526" s="84" t="s">
        <v>1068</v>
      </c>
      <c r="S526" s="84">
        <v>0.18</v>
      </c>
      <c r="T526" s="82" t="s">
        <v>2312</v>
      </c>
      <c r="U526" s="84"/>
      <c r="V526" s="54"/>
    </row>
    <row r="527" spans="1:22" s="11" customFormat="1" ht="45" customHeight="1" x14ac:dyDescent="0.2">
      <c r="A527" s="66" t="s">
        <v>2222</v>
      </c>
      <c r="B527" s="66" t="s">
        <v>1707</v>
      </c>
      <c r="C527" s="66" t="s">
        <v>2222</v>
      </c>
      <c r="D527" s="66" t="s">
        <v>3098</v>
      </c>
      <c r="E527" s="68" t="s">
        <v>3099</v>
      </c>
      <c r="F527" s="66" t="s">
        <v>3100</v>
      </c>
      <c r="G527" s="71">
        <v>14732</v>
      </c>
      <c r="H527" s="73"/>
      <c r="I527" s="75">
        <v>0.2</v>
      </c>
      <c r="J527" s="77"/>
      <c r="K527" s="66"/>
      <c r="L527" s="66"/>
      <c r="M527" s="79" t="str">
        <f>HYPERLINK("http://www.pristavka.com/catalog/bandai/BNS1068/")</f>
        <v>http://www.pristavka.com/catalog/bandai/BNS1068/</v>
      </c>
      <c r="N527" s="71">
        <v>22699</v>
      </c>
      <c r="O527" s="66" t="s">
        <v>27</v>
      </c>
      <c r="P527" s="82" t="s">
        <v>3101</v>
      </c>
      <c r="Q527" s="84" t="s">
        <v>1117</v>
      </c>
      <c r="R527" s="84" t="s">
        <v>1068</v>
      </c>
      <c r="S527" s="84">
        <v>0.34499999999999997</v>
      </c>
      <c r="T527" s="82" t="s">
        <v>2254</v>
      </c>
      <c r="U527" s="84"/>
      <c r="V527" s="54"/>
    </row>
    <row r="528" spans="1:22" s="11" customFormat="1" ht="45" customHeight="1" x14ac:dyDescent="0.2">
      <c r="A528" s="66" t="s">
        <v>2222</v>
      </c>
      <c r="B528" s="66" t="s">
        <v>1155</v>
      </c>
      <c r="C528" s="66" t="s">
        <v>2232</v>
      </c>
      <c r="D528" s="66">
        <v>4983164285345</v>
      </c>
      <c r="E528" s="68" t="s">
        <v>3102</v>
      </c>
      <c r="F528" s="66" t="s">
        <v>3103</v>
      </c>
      <c r="G528" s="71">
        <v>13702</v>
      </c>
      <c r="H528" s="73"/>
      <c r="I528" s="75">
        <v>0.2</v>
      </c>
      <c r="J528" s="77"/>
      <c r="K528" s="66"/>
      <c r="L528" s="66"/>
      <c r="M528" s="79" t="str">
        <f>HYPERLINK("http://www.pristavka.com/catalog/banpresto_series/BNS340/BNS1090/")</f>
        <v>http://www.pristavka.com/catalog/banpresto_series/BNS340/BNS1090/</v>
      </c>
      <c r="N528" s="71">
        <v>21099</v>
      </c>
      <c r="O528" s="66" t="s">
        <v>27</v>
      </c>
      <c r="P528" s="82" t="s">
        <v>3104</v>
      </c>
      <c r="Q528" s="84" t="s">
        <v>1068</v>
      </c>
      <c r="R528" s="84" t="s">
        <v>1068</v>
      </c>
      <c r="S528" s="84">
        <v>0.43</v>
      </c>
      <c r="T528" s="82" t="s">
        <v>2289</v>
      </c>
      <c r="U528" s="84"/>
      <c r="V528" s="54"/>
    </row>
    <row r="529" spans="1:22" s="11" customFormat="1" ht="45" customHeight="1" x14ac:dyDescent="0.2">
      <c r="A529" s="66" t="s">
        <v>2222</v>
      </c>
      <c r="B529" s="66" t="s">
        <v>1155</v>
      </c>
      <c r="C529" s="66" t="s">
        <v>2232</v>
      </c>
      <c r="D529" s="66">
        <v>4983164286571</v>
      </c>
      <c r="E529" s="68" t="s">
        <v>3105</v>
      </c>
      <c r="F529" s="66" t="s">
        <v>3106</v>
      </c>
      <c r="G529" s="71">
        <v>13702</v>
      </c>
      <c r="H529" s="73"/>
      <c r="I529" s="75">
        <v>0.2</v>
      </c>
      <c r="J529" s="77"/>
      <c r="K529" s="66"/>
      <c r="L529" s="66"/>
      <c r="M529" s="79" t="str">
        <f>HYPERLINK("http://www.pristavka.com/catalog/banpresto_series/BNS340/BNS1127/")</f>
        <v>http://www.pristavka.com/catalog/banpresto_series/BNS340/BNS1127/</v>
      </c>
      <c r="N529" s="71">
        <v>21099</v>
      </c>
      <c r="O529" s="66" t="s">
        <v>27</v>
      </c>
      <c r="P529" s="82" t="s">
        <v>3107</v>
      </c>
      <c r="Q529" s="84" t="s">
        <v>1068</v>
      </c>
      <c r="R529" s="84" t="s">
        <v>1068</v>
      </c>
      <c r="S529" s="84">
        <v>0.30199999999999999</v>
      </c>
      <c r="T529" s="82" t="s">
        <v>2272</v>
      </c>
      <c r="U529" s="84"/>
      <c r="V529" s="54"/>
    </row>
    <row r="530" spans="1:22" s="11" customFormat="1" ht="45" customHeight="1" x14ac:dyDescent="0.2">
      <c r="A530" s="66" t="s">
        <v>2222</v>
      </c>
      <c r="B530" s="66" t="s">
        <v>1707</v>
      </c>
      <c r="C530" s="66" t="s">
        <v>2222</v>
      </c>
      <c r="D530" s="66" t="s">
        <v>3108</v>
      </c>
      <c r="E530" s="68" t="s">
        <v>3109</v>
      </c>
      <c r="F530" s="66" t="s">
        <v>3110</v>
      </c>
      <c r="G530" s="71">
        <v>14732</v>
      </c>
      <c r="H530" s="73"/>
      <c r="I530" s="75">
        <v>0.2</v>
      </c>
      <c r="J530" s="77"/>
      <c r="K530" s="66"/>
      <c r="L530" s="66"/>
      <c r="M530" s="79" t="str">
        <f>HYPERLINK("http://www.pristavka.com/catalog/bandai/BNS1077/")</f>
        <v>http://www.pristavka.com/catalog/bandai/BNS1077/</v>
      </c>
      <c r="N530" s="71">
        <v>22699</v>
      </c>
      <c r="O530" s="66" t="s">
        <v>27</v>
      </c>
      <c r="P530" s="82" t="s">
        <v>3111</v>
      </c>
      <c r="Q530" s="84" t="s">
        <v>1334</v>
      </c>
      <c r="R530" s="84" t="s">
        <v>1068</v>
      </c>
      <c r="S530" s="84">
        <v>0.33</v>
      </c>
      <c r="T530" s="82" t="s">
        <v>2284</v>
      </c>
      <c r="U530" s="84"/>
      <c r="V530" s="54"/>
    </row>
    <row r="531" spans="1:22" s="11" customFormat="1" ht="45" customHeight="1" x14ac:dyDescent="0.2">
      <c r="A531" s="66" t="s">
        <v>2222</v>
      </c>
      <c r="B531" s="66" t="s">
        <v>1707</v>
      </c>
      <c r="C531" s="66" t="s">
        <v>2222</v>
      </c>
      <c r="D531" s="66" t="s">
        <v>3112</v>
      </c>
      <c r="E531" s="68" t="s">
        <v>3113</v>
      </c>
      <c r="F531" s="66" t="s">
        <v>3114</v>
      </c>
      <c r="G531" s="71">
        <v>15075</v>
      </c>
      <c r="H531" s="73"/>
      <c r="I531" s="75">
        <v>0.2</v>
      </c>
      <c r="J531" s="77"/>
      <c r="K531" s="66"/>
      <c r="L531" s="66"/>
      <c r="M531" s="79" t="str">
        <f>HYPERLINK("http://www.pristavka.com/catalog/bandai/BNS1074/")</f>
        <v>http://www.pristavka.com/catalog/bandai/BNS1074/</v>
      </c>
      <c r="N531" s="71">
        <v>23199</v>
      </c>
      <c r="O531" s="66" t="s">
        <v>27</v>
      </c>
      <c r="P531" s="82" t="s">
        <v>3115</v>
      </c>
      <c r="Q531" s="84" t="s">
        <v>1334</v>
      </c>
      <c r="R531" s="84" t="s">
        <v>1068</v>
      </c>
      <c r="S531" s="84">
        <v>0.43</v>
      </c>
      <c r="T531" s="82" t="s">
        <v>2254</v>
      </c>
      <c r="U531" s="84"/>
      <c r="V531" s="54"/>
    </row>
    <row r="532" spans="1:22" s="11" customFormat="1" ht="45" customHeight="1" x14ac:dyDescent="0.2">
      <c r="A532" s="66" t="s">
        <v>2222</v>
      </c>
      <c r="B532" s="66" t="s">
        <v>1155</v>
      </c>
      <c r="C532" s="66" t="s">
        <v>2232</v>
      </c>
      <c r="D532" s="66">
        <v>4983164286670</v>
      </c>
      <c r="E532" s="68" t="s">
        <v>3116</v>
      </c>
      <c r="F532" s="66" t="s">
        <v>3117</v>
      </c>
      <c r="G532" s="71">
        <v>13702</v>
      </c>
      <c r="H532" s="73"/>
      <c r="I532" s="75">
        <v>0.2</v>
      </c>
      <c r="J532" s="77"/>
      <c r="K532" s="66"/>
      <c r="L532" s="66"/>
      <c r="M532" s="79" t="str">
        <f>HYPERLINK("http://www.pristavka.com/catalog/banpresto_series/BNS340/BNS1132/")</f>
        <v>http://www.pristavka.com/catalog/banpresto_series/BNS340/BNS1132/</v>
      </c>
      <c r="N532" s="71">
        <v>21099</v>
      </c>
      <c r="O532" s="66" t="s">
        <v>27</v>
      </c>
      <c r="P532" s="82" t="s">
        <v>3118</v>
      </c>
      <c r="Q532" s="84" t="s">
        <v>1334</v>
      </c>
      <c r="R532" s="84" t="s">
        <v>1068</v>
      </c>
      <c r="S532" s="84">
        <v>0.34499999999999997</v>
      </c>
      <c r="T532" s="82" t="s">
        <v>2254</v>
      </c>
      <c r="U532" s="84"/>
      <c r="V532" s="54"/>
    </row>
    <row r="533" spans="1:22" s="11" customFormat="1" ht="45" customHeight="1" x14ac:dyDescent="0.2">
      <c r="A533" s="66" t="s">
        <v>2222</v>
      </c>
      <c r="B533" s="66" t="s">
        <v>1155</v>
      </c>
      <c r="C533" s="66" t="s">
        <v>2232</v>
      </c>
      <c r="D533" s="66">
        <v>4983164286687</v>
      </c>
      <c r="E533" s="68" t="s">
        <v>3119</v>
      </c>
      <c r="F533" s="66" t="s">
        <v>3120</v>
      </c>
      <c r="G533" s="71">
        <v>13702</v>
      </c>
      <c r="H533" s="73"/>
      <c r="I533" s="75">
        <v>0.2</v>
      </c>
      <c r="J533" s="77"/>
      <c r="K533" s="66"/>
      <c r="L533" s="66"/>
      <c r="M533" s="79" t="str">
        <f>HYPERLINK("http://www.pristavka.com/catalog/banpresto_series/BNS340/BNS1133/")</f>
        <v>http://www.pristavka.com/catalog/banpresto_series/BNS340/BNS1133/</v>
      </c>
      <c r="N533" s="71">
        <v>21099</v>
      </c>
      <c r="O533" s="66" t="s">
        <v>27</v>
      </c>
      <c r="P533" s="82" t="s">
        <v>3121</v>
      </c>
      <c r="Q533" s="84" t="s">
        <v>1334</v>
      </c>
      <c r="R533" s="84" t="s">
        <v>1068</v>
      </c>
      <c r="S533" s="84">
        <v>0.32800000000000001</v>
      </c>
      <c r="T533" s="82" t="s">
        <v>2272</v>
      </c>
      <c r="U533" s="84"/>
      <c r="V533" s="54"/>
    </row>
    <row r="534" spans="1:22" s="11" customFormat="1" ht="45" customHeight="1" x14ac:dyDescent="0.2">
      <c r="A534" s="66" t="s">
        <v>2222</v>
      </c>
      <c r="B534" s="66" t="s">
        <v>1155</v>
      </c>
      <c r="C534" s="66" t="s">
        <v>2232</v>
      </c>
      <c r="D534" s="66">
        <v>4983164286700</v>
      </c>
      <c r="E534" s="68" t="s">
        <v>3122</v>
      </c>
      <c r="F534" s="66" t="s">
        <v>3123</v>
      </c>
      <c r="G534" s="71">
        <v>20569</v>
      </c>
      <c r="H534" s="73"/>
      <c r="I534" s="75">
        <v>0.2</v>
      </c>
      <c r="J534" s="77"/>
      <c r="K534" s="66"/>
      <c r="L534" s="66"/>
      <c r="M534" s="79" t="str">
        <f>HYPERLINK("http://www.pristavka.com/catalog/banpresto_series/BNS340/BNS1134/")</f>
        <v>http://www.pristavka.com/catalog/banpresto_series/BNS340/BNS1134/</v>
      </c>
      <c r="N534" s="71">
        <v>31699</v>
      </c>
      <c r="O534" s="66" t="s">
        <v>27</v>
      </c>
      <c r="P534" s="82" t="s">
        <v>3124</v>
      </c>
      <c r="Q534" s="84" t="s">
        <v>1334</v>
      </c>
      <c r="R534" s="84" t="s">
        <v>1068</v>
      </c>
      <c r="S534" s="84">
        <v>0.76500000000000001</v>
      </c>
      <c r="T534" s="82" t="s">
        <v>3125</v>
      </c>
      <c r="U534" s="84"/>
      <c r="V534" s="54"/>
    </row>
    <row r="535" spans="1:22" s="11" customFormat="1" ht="45" customHeight="1" x14ac:dyDescent="0.2">
      <c r="A535" s="66" t="s">
        <v>2222</v>
      </c>
      <c r="B535" s="66" t="s">
        <v>1155</v>
      </c>
      <c r="C535" s="66" t="s">
        <v>2232</v>
      </c>
      <c r="D535" s="66">
        <v>4983164285505</v>
      </c>
      <c r="E535" s="68" t="s">
        <v>3126</v>
      </c>
      <c r="F535" s="66" t="s">
        <v>3127</v>
      </c>
      <c r="G535" s="71">
        <v>13702</v>
      </c>
      <c r="H535" s="73"/>
      <c r="I535" s="75">
        <v>0.2</v>
      </c>
      <c r="J535" s="77"/>
      <c r="K535" s="66"/>
      <c r="L535" s="66"/>
      <c r="M535" s="79" t="str">
        <f>HYPERLINK("http://www.pristavka.com/catalog/banpresto_series/BNS340/BNS1095/")</f>
        <v>http://www.pristavka.com/catalog/banpresto_series/BNS340/BNS1095/</v>
      </c>
      <c r="N535" s="71">
        <v>21099</v>
      </c>
      <c r="O535" s="66" t="s">
        <v>27</v>
      </c>
      <c r="P535" s="82" t="s">
        <v>3128</v>
      </c>
      <c r="Q535" s="84" t="s">
        <v>1334</v>
      </c>
      <c r="R535" s="84" t="s">
        <v>1068</v>
      </c>
      <c r="S535" s="84">
        <v>0.40200000000000002</v>
      </c>
      <c r="T535" s="82" t="s">
        <v>2272</v>
      </c>
      <c r="U535" s="84"/>
      <c r="V535" s="54"/>
    </row>
    <row r="536" spans="1:22" s="11" customFormat="1" ht="45" customHeight="1" x14ac:dyDescent="0.2">
      <c r="A536" s="66" t="s">
        <v>2222</v>
      </c>
      <c r="B536" s="66" t="s">
        <v>1155</v>
      </c>
      <c r="C536" s="66" t="s">
        <v>2232</v>
      </c>
      <c r="D536" s="66">
        <v>4983164285512</v>
      </c>
      <c r="E536" s="68" t="s">
        <v>3129</v>
      </c>
      <c r="F536" s="66" t="s">
        <v>3130</v>
      </c>
      <c r="G536" s="71">
        <v>13702</v>
      </c>
      <c r="H536" s="73"/>
      <c r="I536" s="75">
        <v>0.2</v>
      </c>
      <c r="J536" s="77"/>
      <c r="K536" s="66"/>
      <c r="L536" s="66"/>
      <c r="M536" s="79" t="str">
        <f>HYPERLINK("http://www.pristavka.com/catalog/banpresto_series/BNS340/BNS1096/")</f>
        <v>http://www.pristavka.com/catalog/banpresto_series/BNS340/BNS1096/</v>
      </c>
      <c r="N536" s="71">
        <v>21099</v>
      </c>
      <c r="O536" s="66" t="s">
        <v>27</v>
      </c>
      <c r="P536" s="82" t="s">
        <v>3131</v>
      </c>
      <c r="Q536" s="84" t="s">
        <v>1334</v>
      </c>
      <c r="R536" s="84" t="s">
        <v>1068</v>
      </c>
      <c r="S536" s="84">
        <v>0.245</v>
      </c>
      <c r="T536" s="82" t="s">
        <v>2254</v>
      </c>
      <c r="U536" s="84"/>
      <c r="V536" s="54"/>
    </row>
    <row r="537" spans="1:22" s="11" customFormat="1" ht="45" customHeight="1" x14ac:dyDescent="0.2">
      <c r="A537" s="66" t="s">
        <v>2222</v>
      </c>
      <c r="B537" s="66" t="s">
        <v>1707</v>
      </c>
      <c r="C537" s="66" t="s">
        <v>2222</v>
      </c>
      <c r="D537" s="66">
        <v>4983164196771</v>
      </c>
      <c r="E537" s="68" t="s">
        <v>3132</v>
      </c>
      <c r="F537" s="66" t="s">
        <v>3133</v>
      </c>
      <c r="G537" s="71">
        <v>14732</v>
      </c>
      <c r="H537" s="73"/>
      <c r="I537" s="75">
        <v>0.2</v>
      </c>
      <c r="J537" s="77"/>
      <c r="K537" s="66"/>
      <c r="L537" s="66"/>
      <c r="M537" s="79" t="str">
        <f>HYPERLINK("http://www.pristavka.com/catalog/banpresto_series/BNS769/")</f>
        <v>http://www.pristavka.com/catalog/banpresto_series/BNS769/</v>
      </c>
      <c r="N537" s="71">
        <v>22699</v>
      </c>
      <c r="O537" s="66" t="s">
        <v>27</v>
      </c>
      <c r="P537" s="82" t="s">
        <v>3134</v>
      </c>
      <c r="Q537" s="84" t="s">
        <v>2244</v>
      </c>
      <c r="R537" s="84" t="s">
        <v>1068</v>
      </c>
      <c r="S537" s="84">
        <v>0.19800000000000001</v>
      </c>
      <c r="T537" s="82" t="s">
        <v>2284</v>
      </c>
      <c r="U537" s="84"/>
      <c r="V537" s="54"/>
    </row>
    <row r="538" spans="1:22" s="11" customFormat="1" ht="45" customHeight="1" x14ac:dyDescent="0.2">
      <c r="A538" s="66" t="s">
        <v>2222</v>
      </c>
      <c r="B538" s="66" t="s">
        <v>1707</v>
      </c>
      <c r="C538" s="66" t="s">
        <v>2222</v>
      </c>
      <c r="D538" s="66" t="s">
        <v>3135</v>
      </c>
      <c r="E538" s="68" t="s">
        <v>3136</v>
      </c>
      <c r="F538" s="66" t="s">
        <v>3137</v>
      </c>
      <c r="G538" s="71">
        <v>14732</v>
      </c>
      <c r="H538" s="73"/>
      <c r="I538" s="75">
        <v>0.2</v>
      </c>
      <c r="J538" s="77"/>
      <c r="K538" s="66"/>
      <c r="L538" s="66"/>
      <c r="M538" s="79" t="str">
        <f>HYPERLINK("http://www.pristavka.com/catalog/bandai/BNS1070/")</f>
        <v>http://www.pristavka.com/catalog/bandai/BNS1070/</v>
      </c>
      <c r="N538" s="71">
        <v>22699</v>
      </c>
      <c r="O538" s="66" t="s">
        <v>27</v>
      </c>
      <c r="P538" s="82" t="s">
        <v>3138</v>
      </c>
      <c r="Q538" s="84" t="s">
        <v>2244</v>
      </c>
      <c r="R538" s="84" t="s">
        <v>1068</v>
      </c>
      <c r="S538" s="84">
        <v>0.28000000000000003</v>
      </c>
      <c r="T538" s="82" t="s">
        <v>2312</v>
      </c>
      <c r="U538" s="84"/>
      <c r="V538" s="54"/>
    </row>
    <row r="539" spans="1:22" s="11" customFormat="1" ht="45" customHeight="1" x14ac:dyDescent="0.2">
      <c r="A539" s="66" t="s">
        <v>2222</v>
      </c>
      <c r="B539" s="66" t="s">
        <v>1155</v>
      </c>
      <c r="C539" s="66" t="s">
        <v>2232</v>
      </c>
      <c r="D539" s="66">
        <v>4983164285666</v>
      </c>
      <c r="E539" s="68" t="s">
        <v>3139</v>
      </c>
      <c r="F539" s="66" t="s">
        <v>3140</v>
      </c>
      <c r="G539" s="71">
        <v>13702</v>
      </c>
      <c r="H539" s="73"/>
      <c r="I539" s="75">
        <v>0.2</v>
      </c>
      <c r="J539" s="77"/>
      <c r="K539" s="66"/>
      <c r="L539" s="66"/>
      <c r="M539" s="79" t="str">
        <f>HYPERLINK("http://www.pristavka.com/catalog/banpresto_series/BNS340/BNS1102/")</f>
        <v>http://www.pristavka.com/catalog/banpresto_series/BNS340/BNS1102/</v>
      </c>
      <c r="N539" s="71">
        <v>21099</v>
      </c>
      <c r="O539" s="66" t="s">
        <v>27</v>
      </c>
      <c r="P539" s="82" t="s">
        <v>3141</v>
      </c>
      <c r="Q539" s="84" t="s">
        <v>1068</v>
      </c>
      <c r="R539" s="84" t="s">
        <v>1068</v>
      </c>
      <c r="S539" s="84">
        <v>0.36099999999999999</v>
      </c>
      <c r="T539" s="82" t="s">
        <v>2289</v>
      </c>
      <c r="U539" s="84"/>
      <c r="V539" s="54"/>
    </row>
    <row r="540" spans="1:22" s="11" customFormat="1" ht="45" customHeight="1" x14ac:dyDescent="0.2">
      <c r="A540" s="66" t="s">
        <v>2222</v>
      </c>
      <c r="B540" s="66" t="s">
        <v>1707</v>
      </c>
      <c r="C540" s="66" t="s">
        <v>2222</v>
      </c>
      <c r="D540" s="66">
        <v>4983164197914</v>
      </c>
      <c r="E540" s="68" t="s">
        <v>3142</v>
      </c>
      <c r="F540" s="66" t="s">
        <v>3143</v>
      </c>
      <c r="G540" s="71">
        <v>14732</v>
      </c>
      <c r="H540" s="73"/>
      <c r="I540" s="75">
        <v>0.2</v>
      </c>
      <c r="J540" s="77"/>
      <c r="K540" s="66"/>
      <c r="L540" s="66"/>
      <c r="M540" s="79" t="str">
        <f>HYPERLINK("http://www.pristavka.com/catalog/banpresto_series/BNS611/")</f>
        <v>http://www.pristavka.com/catalog/banpresto_series/BNS611/</v>
      </c>
      <c r="N540" s="71">
        <v>22699</v>
      </c>
      <c r="O540" s="66" t="s">
        <v>27</v>
      </c>
      <c r="P540" s="82" t="s">
        <v>3144</v>
      </c>
      <c r="Q540" s="84" t="s">
        <v>2244</v>
      </c>
      <c r="R540" s="84" t="s">
        <v>1068</v>
      </c>
      <c r="S540" s="84">
        <v>0.36199999999999999</v>
      </c>
      <c r="T540" s="82" t="s">
        <v>3145</v>
      </c>
      <c r="U540" s="84"/>
      <c r="V540" s="54"/>
    </row>
    <row r="541" spans="1:22" s="11" customFormat="1" ht="45" customHeight="1" x14ac:dyDescent="0.2">
      <c r="A541" s="66" t="s">
        <v>2222</v>
      </c>
      <c r="B541" s="66" t="s">
        <v>1155</v>
      </c>
      <c r="C541" s="66" t="s">
        <v>2232</v>
      </c>
      <c r="D541" s="66">
        <v>4983164285765</v>
      </c>
      <c r="E541" s="68" t="s">
        <v>3146</v>
      </c>
      <c r="F541" s="66" t="s">
        <v>3147</v>
      </c>
      <c r="G541" s="71">
        <v>13702</v>
      </c>
      <c r="H541" s="73"/>
      <c r="I541" s="75">
        <v>0.2</v>
      </c>
      <c r="J541" s="77"/>
      <c r="K541" s="66"/>
      <c r="L541" s="66"/>
      <c r="M541" s="79" t="str">
        <f>HYPERLINK("http://www.pristavka.com/catalog/banpresto_series/BNS340/BNS1107/")</f>
        <v>http://www.pristavka.com/catalog/banpresto_series/BNS340/BNS1107/</v>
      </c>
      <c r="N541" s="71">
        <v>21099</v>
      </c>
      <c r="O541" s="66" t="s">
        <v>27</v>
      </c>
      <c r="P541" s="82" t="s">
        <v>3148</v>
      </c>
      <c r="Q541" s="84" t="s">
        <v>1068</v>
      </c>
      <c r="R541" s="84" t="s">
        <v>1068</v>
      </c>
      <c r="S541" s="84">
        <v>0.20799999999999999</v>
      </c>
      <c r="T541" s="82" t="s">
        <v>2293</v>
      </c>
      <c r="U541" s="84"/>
      <c r="V541" s="54"/>
    </row>
    <row r="542" spans="1:22" s="11" customFormat="1" ht="45" customHeight="1" x14ac:dyDescent="0.2">
      <c r="A542" s="66" t="s">
        <v>2222</v>
      </c>
      <c r="B542" s="66" t="s">
        <v>1155</v>
      </c>
      <c r="C542" s="66" t="s">
        <v>2232</v>
      </c>
      <c r="D542" s="66">
        <v>4983164286632</v>
      </c>
      <c r="E542" s="68" t="s">
        <v>3149</v>
      </c>
      <c r="F542" s="66" t="s">
        <v>3150</v>
      </c>
      <c r="G542" s="71">
        <v>13702</v>
      </c>
      <c r="H542" s="73"/>
      <c r="I542" s="75">
        <v>0.2</v>
      </c>
      <c r="J542" s="77"/>
      <c r="K542" s="66"/>
      <c r="L542" s="66"/>
      <c r="M542" s="79" t="str">
        <f>HYPERLINK("http://www.pristavka.com/catalog/banpresto_series/BNS340/BNS1130/")</f>
        <v>http://www.pristavka.com/catalog/banpresto_series/BNS340/BNS1130/</v>
      </c>
      <c r="N542" s="71">
        <v>21099</v>
      </c>
      <c r="O542" s="66" t="s">
        <v>27</v>
      </c>
      <c r="P542" s="82" t="s">
        <v>3151</v>
      </c>
      <c r="Q542" s="84" t="s">
        <v>1068</v>
      </c>
      <c r="R542" s="84" t="s">
        <v>1068</v>
      </c>
      <c r="S542" s="84">
        <v>0.39500000000000002</v>
      </c>
      <c r="T542" s="82" t="s">
        <v>2289</v>
      </c>
      <c r="U542" s="84"/>
      <c r="V542" s="54"/>
    </row>
    <row r="543" spans="1:22" s="11" customFormat="1" ht="45" customHeight="1" x14ac:dyDescent="0.2">
      <c r="A543" s="66" t="s">
        <v>2222</v>
      </c>
      <c r="B543" s="66" t="s">
        <v>1155</v>
      </c>
      <c r="C543" s="66" t="s">
        <v>2232</v>
      </c>
      <c r="D543" s="66">
        <v>4983164286472</v>
      </c>
      <c r="E543" s="68" t="s">
        <v>3152</v>
      </c>
      <c r="F543" s="66" t="s">
        <v>3153</v>
      </c>
      <c r="G543" s="71">
        <v>13702</v>
      </c>
      <c r="H543" s="73"/>
      <c r="I543" s="75">
        <v>0.2</v>
      </c>
      <c r="J543" s="77"/>
      <c r="K543" s="66"/>
      <c r="L543" s="66"/>
      <c r="M543" s="79" t="str">
        <f>HYPERLINK("http://www.pristavka.com/catalog/banpresto_series/BNS340/BNS1122/")</f>
        <v>http://www.pristavka.com/catalog/banpresto_series/BNS340/BNS1122/</v>
      </c>
      <c r="N543" s="71">
        <v>21099</v>
      </c>
      <c r="O543" s="66" t="s">
        <v>27</v>
      </c>
      <c r="P543" s="82" t="s">
        <v>3154</v>
      </c>
      <c r="Q543" s="84" t="s">
        <v>1068</v>
      </c>
      <c r="R543" s="84" t="s">
        <v>1068</v>
      </c>
      <c r="S543" s="84">
        <v>0.43</v>
      </c>
      <c r="T543" s="82" t="s">
        <v>2289</v>
      </c>
      <c r="U543" s="84"/>
      <c r="V543" s="54"/>
    </row>
    <row r="544" spans="1:22" s="11" customFormat="1" ht="45" customHeight="1" x14ac:dyDescent="0.2">
      <c r="A544" s="66" t="s">
        <v>2222</v>
      </c>
      <c r="B544" s="66" t="s">
        <v>1155</v>
      </c>
      <c r="C544" s="66" t="s">
        <v>2232</v>
      </c>
      <c r="D544" s="66">
        <v>4983164285642</v>
      </c>
      <c r="E544" s="68" t="s">
        <v>3155</v>
      </c>
      <c r="F544" s="66" t="s">
        <v>3156</v>
      </c>
      <c r="G544" s="71">
        <v>13702</v>
      </c>
      <c r="H544" s="73"/>
      <c r="I544" s="75">
        <v>0.2</v>
      </c>
      <c r="J544" s="77"/>
      <c r="K544" s="66"/>
      <c r="L544" s="66"/>
      <c r="M544" s="79" t="str">
        <f>HYPERLINK("http://www.pristavka.com/catalog/banpresto_series/BNS340/BNS1138/")</f>
        <v>http://www.pristavka.com/catalog/banpresto_series/BNS340/BNS1138/</v>
      </c>
      <c r="N544" s="71">
        <v>21099</v>
      </c>
      <c r="O544" s="66" t="s">
        <v>27</v>
      </c>
      <c r="P544" s="82" t="s">
        <v>3157</v>
      </c>
      <c r="Q544" s="84" t="s">
        <v>1086</v>
      </c>
      <c r="R544" s="84" t="s">
        <v>1068</v>
      </c>
      <c r="S544" s="84">
        <v>0.27500000000000002</v>
      </c>
      <c r="T544" s="82" t="s">
        <v>2254</v>
      </c>
      <c r="U544" s="84"/>
      <c r="V544" s="54"/>
    </row>
    <row r="545" spans="1:22" s="11" customFormat="1" ht="45" customHeight="1" x14ac:dyDescent="0.2">
      <c r="A545" s="66" t="s">
        <v>2222</v>
      </c>
      <c r="B545" s="66" t="s">
        <v>1707</v>
      </c>
      <c r="C545" s="66" t="s">
        <v>2222</v>
      </c>
      <c r="D545" s="66" t="s">
        <v>3158</v>
      </c>
      <c r="E545" s="68" t="s">
        <v>3159</v>
      </c>
      <c r="F545" s="66" t="s">
        <v>3160</v>
      </c>
      <c r="G545" s="71">
        <v>15075</v>
      </c>
      <c r="H545" s="73"/>
      <c r="I545" s="75">
        <v>0.2</v>
      </c>
      <c r="J545" s="77"/>
      <c r="K545" s="66"/>
      <c r="L545" s="66"/>
      <c r="M545" s="79" t="str">
        <f>HYPERLINK("http://www.pristavka.com/catalog/bandai/BNS1072/")</f>
        <v>http://www.pristavka.com/catalog/bandai/BNS1072/</v>
      </c>
      <c r="N545" s="71">
        <v>23199</v>
      </c>
      <c r="O545" s="66" t="s">
        <v>27</v>
      </c>
      <c r="P545" s="82" t="s">
        <v>3161</v>
      </c>
      <c r="Q545" s="84" t="s">
        <v>1505</v>
      </c>
      <c r="R545" s="84" t="s">
        <v>1068</v>
      </c>
      <c r="S545" s="84">
        <v>0.26</v>
      </c>
      <c r="T545" s="82" t="s">
        <v>2284</v>
      </c>
      <c r="U545" s="84"/>
      <c r="V545" s="54"/>
    </row>
    <row r="546" spans="1:22" s="11" customFormat="1" ht="45" customHeight="1" x14ac:dyDescent="0.2">
      <c r="A546" s="66" t="s">
        <v>2222</v>
      </c>
      <c r="B546" s="66" t="s">
        <v>1155</v>
      </c>
      <c r="C546" s="66" t="s">
        <v>2232</v>
      </c>
      <c r="D546" s="66">
        <v>4983164899214</v>
      </c>
      <c r="E546" s="68" t="s">
        <v>3162</v>
      </c>
      <c r="F546" s="66" t="s">
        <v>3163</v>
      </c>
      <c r="G546" s="71">
        <v>13702</v>
      </c>
      <c r="H546" s="73"/>
      <c r="I546" s="75">
        <v>0.2</v>
      </c>
      <c r="J546" s="77"/>
      <c r="K546" s="66"/>
      <c r="L546" s="66"/>
      <c r="M546" s="79" t="str">
        <f>HYPERLINK("http://www.pristavka.com/catalog/banpresto_series/BNS340/BNS1129/")</f>
        <v>http://www.pristavka.com/catalog/banpresto_series/BNS340/BNS1129/</v>
      </c>
      <c r="N546" s="71">
        <v>21099</v>
      </c>
      <c r="O546" s="66" t="s">
        <v>27</v>
      </c>
      <c r="P546" s="82" t="s">
        <v>3164</v>
      </c>
      <c r="Q546" s="84" t="s">
        <v>1068</v>
      </c>
      <c r="R546" s="84" t="s">
        <v>1068</v>
      </c>
      <c r="S546" s="84">
        <v>0.41</v>
      </c>
      <c r="T546" s="82" t="s">
        <v>2368</v>
      </c>
      <c r="U546" s="84"/>
      <c r="V546" s="54"/>
    </row>
    <row r="547" spans="1:22" s="11" customFormat="1" ht="45" customHeight="1" x14ac:dyDescent="0.2">
      <c r="A547" s="66" t="s">
        <v>2222</v>
      </c>
      <c r="B547" s="66" t="s">
        <v>1155</v>
      </c>
      <c r="C547" s="66" t="s">
        <v>2232</v>
      </c>
      <c r="D547" s="66">
        <v>4983164285604</v>
      </c>
      <c r="E547" s="68" t="s">
        <v>3165</v>
      </c>
      <c r="F547" s="66" t="s">
        <v>3166</v>
      </c>
      <c r="G547" s="71">
        <v>13702</v>
      </c>
      <c r="H547" s="73"/>
      <c r="I547" s="75">
        <v>0.2</v>
      </c>
      <c r="J547" s="77"/>
      <c r="K547" s="66"/>
      <c r="L547" s="66"/>
      <c r="M547" s="79" t="str">
        <f>HYPERLINK("http://www.pristavka.com/catalog/banpresto_series/BNS340/BNS1101/")</f>
        <v>http://www.pristavka.com/catalog/banpresto_series/BNS340/BNS1101/</v>
      </c>
      <c r="N547" s="71">
        <v>21099</v>
      </c>
      <c r="O547" s="66" t="s">
        <v>27</v>
      </c>
      <c r="P547" s="82" t="s">
        <v>3167</v>
      </c>
      <c r="Q547" s="84" t="s">
        <v>1091</v>
      </c>
      <c r="R547" s="84" t="s">
        <v>1068</v>
      </c>
      <c r="S547" s="84">
        <v>0.33</v>
      </c>
      <c r="T547" s="82" t="s">
        <v>2254</v>
      </c>
      <c r="U547" s="84"/>
      <c r="V547" s="54"/>
    </row>
    <row r="548" spans="1:22" s="11" customFormat="1" ht="45" customHeight="1" x14ac:dyDescent="0.2">
      <c r="A548" s="66" t="s">
        <v>2222</v>
      </c>
      <c r="B548" s="66" t="s">
        <v>1155</v>
      </c>
      <c r="C548" s="66" t="s">
        <v>2232</v>
      </c>
      <c r="D548" s="66">
        <v>4983164286731</v>
      </c>
      <c r="E548" s="68" t="s">
        <v>3168</v>
      </c>
      <c r="F548" s="66" t="s">
        <v>3169</v>
      </c>
      <c r="G548" s="71">
        <v>13702</v>
      </c>
      <c r="H548" s="73"/>
      <c r="I548" s="75">
        <v>0.2</v>
      </c>
      <c r="J548" s="77"/>
      <c r="K548" s="66"/>
      <c r="L548" s="66"/>
      <c r="M548" s="79" t="str">
        <f>HYPERLINK("http://www.pristavka.com/catalog/banpresto_series/BNS340/BNS1137/")</f>
        <v>http://www.pristavka.com/catalog/banpresto_series/BNS340/BNS1137/</v>
      </c>
      <c r="N548" s="71">
        <v>21099</v>
      </c>
      <c r="O548" s="66" t="s">
        <v>27</v>
      </c>
      <c r="P548" s="82" t="s">
        <v>3170</v>
      </c>
      <c r="Q548" s="84" t="s">
        <v>1091</v>
      </c>
      <c r="R548" s="84" t="s">
        <v>1068</v>
      </c>
      <c r="S548" s="84">
        <v>0.53200000000000003</v>
      </c>
      <c r="T548" s="82" t="s">
        <v>3171</v>
      </c>
      <c r="U548" s="84"/>
      <c r="V548" s="54"/>
    </row>
    <row r="549" spans="1:22" s="11" customFormat="1" ht="45" customHeight="1" x14ac:dyDescent="0.2">
      <c r="A549" s="66" t="s">
        <v>2222</v>
      </c>
      <c r="B549" s="66" t="s">
        <v>1707</v>
      </c>
      <c r="C549" s="66" t="s">
        <v>2222</v>
      </c>
      <c r="D549" s="66">
        <v>4983164191400</v>
      </c>
      <c r="E549" s="68" t="s">
        <v>3172</v>
      </c>
      <c r="F549" s="66" t="s">
        <v>3173</v>
      </c>
      <c r="G549" s="71">
        <v>18852</v>
      </c>
      <c r="H549" s="73"/>
      <c r="I549" s="75">
        <v>0.2</v>
      </c>
      <c r="J549" s="77"/>
      <c r="K549" s="66"/>
      <c r="L549" s="66"/>
      <c r="M549" s="79" t="str">
        <f>HYPERLINK("http://www.pristavka.com/catalog/banpresto_series/BNS522/")</f>
        <v>http://www.pristavka.com/catalog/banpresto_series/BNS522/</v>
      </c>
      <c r="N549" s="71">
        <v>28999</v>
      </c>
      <c r="O549" s="66" t="s">
        <v>27</v>
      </c>
      <c r="P549" s="82" t="s">
        <v>3174</v>
      </c>
      <c r="Q549" s="84" t="s">
        <v>1091</v>
      </c>
      <c r="R549" s="84" t="s">
        <v>1068</v>
      </c>
      <c r="S549" s="84">
        <v>0.28000000000000003</v>
      </c>
      <c r="T549" s="82" t="s">
        <v>2331</v>
      </c>
      <c r="U549" s="84"/>
      <c r="V549" s="54"/>
    </row>
    <row r="550" spans="1:22" s="11" customFormat="1" ht="45" customHeight="1" x14ac:dyDescent="0.2">
      <c r="A550" s="66" t="s">
        <v>2222</v>
      </c>
      <c r="B550" s="66" t="s">
        <v>1707</v>
      </c>
      <c r="C550" s="66" t="s">
        <v>2222</v>
      </c>
      <c r="D550" s="66">
        <v>4983164880915</v>
      </c>
      <c r="E550" s="68" t="s">
        <v>3175</v>
      </c>
      <c r="F550" s="66" t="s">
        <v>3176</v>
      </c>
      <c r="G550" s="71">
        <v>19196</v>
      </c>
      <c r="H550" s="73"/>
      <c r="I550" s="75">
        <v>0.2</v>
      </c>
      <c r="J550" s="77"/>
      <c r="K550" s="66"/>
      <c r="L550" s="66"/>
      <c r="M550" s="79" t="str">
        <f>HYPERLINK("http://www.pristavka.com/catalog/banpresto_series/BNS751/")</f>
        <v>http://www.pristavka.com/catalog/banpresto_series/BNS751/</v>
      </c>
      <c r="N550" s="71">
        <v>29599</v>
      </c>
      <c r="O550" s="66" t="s">
        <v>27</v>
      </c>
      <c r="P550" s="82" t="s">
        <v>3177</v>
      </c>
      <c r="Q550" s="84" t="s">
        <v>1091</v>
      </c>
      <c r="R550" s="84" t="s">
        <v>1068</v>
      </c>
      <c r="S550" s="84">
        <v>0.16</v>
      </c>
      <c r="T550" s="82" t="s">
        <v>2284</v>
      </c>
      <c r="U550" s="84"/>
      <c r="V550" s="54"/>
    </row>
    <row r="551" spans="1:22" s="11" customFormat="1" ht="45" customHeight="1" x14ac:dyDescent="0.2">
      <c r="A551" s="66" t="s">
        <v>2222</v>
      </c>
      <c r="B551" s="66" t="s">
        <v>1707</v>
      </c>
      <c r="C551" s="66" t="s">
        <v>2222</v>
      </c>
      <c r="D551" s="66">
        <v>4983164880953</v>
      </c>
      <c r="E551" s="68" t="s">
        <v>3178</v>
      </c>
      <c r="F551" s="66" t="s">
        <v>3179</v>
      </c>
      <c r="G551" s="71">
        <v>15075</v>
      </c>
      <c r="H551" s="73"/>
      <c r="I551" s="75">
        <v>0.2</v>
      </c>
      <c r="J551" s="77"/>
      <c r="K551" s="66"/>
      <c r="L551" s="66"/>
      <c r="M551" s="79" t="str">
        <f>HYPERLINK("http://www.pristavka.com/catalog/banpresto_series/BNS753/")</f>
        <v>http://www.pristavka.com/catalog/banpresto_series/BNS753/</v>
      </c>
      <c r="N551" s="71">
        <v>23199</v>
      </c>
      <c r="O551" s="66" t="s">
        <v>27</v>
      </c>
      <c r="P551" s="82" t="s">
        <v>3180</v>
      </c>
      <c r="Q551" s="84" t="s">
        <v>1091</v>
      </c>
      <c r="R551" s="84" t="s">
        <v>1068</v>
      </c>
      <c r="S551" s="84">
        <v>0.16600000000000001</v>
      </c>
      <c r="T551" s="82" t="s">
        <v>2284</v>
      </c>
      <c r="U551" s="84"/>
      <c r="V551" s="54"/>
    </row>
    <row r="552" spans="1:22" s="11" customFormat="1" ht="45" customHeight="1" x14ac:dyDescent="0.2">
      <c r="A552" s="66" t="s">
        <v>2222</v>
      </c>
      <c r="B552" s="66" t="s">
        <v>1707</v>
      </c>
      <c r="C552" s="66" t="s">
        <v>2222</v>
      </c>
      <c r="D552" s="66">
        <v>4983164881448</v>
      </c>
      <c r="E552" s="68" t="s">
        <v>3181</v>
      </c>
      <c r="F552" s="66" t="s">
        <v>3182</v>
      </c>
      <c r="G552" s="71">
        <v>15419</v>
      </c>
      <c r="H552" s="73"/>
      <c r="I552" s="75">
        <v>0.2</v>
      </c>
      <c r="J552" s="77"/>
      <c r="K552" s="66"/>
      <c r="L552" s="66"/>
      <c r="M552" s="79" t="str">
        <f>HYPERLINK("http://www.pristavka.com/catalog/banpresto_series/BNS754/")</f>
        <v>http://www.pristavka.com/catalog/banpresto_series/BNS754/</v>
      </c>
      <c r="N552" s="71">
        <v>23799</v>
      </c>
      <c r="O552" s="66" t="s">
        <v>27</v>
      </c>
      <c r="P552" s="82" t="s">
        <v>3183</v>
      </c>
      <c r="Q552" s="84" t="s">
        <v>1091</v>
      </c>
      <c r="R552" s="84" t="s">
        <v>1068</v>
      </c>
      <c r="S552" s="84">
        <v>0.27600000000000002</v>
      </c>
      <c r="T552" s="82" t="s">
        <v>2331</v>
      </c>
      <c r="U552" s="84"/>
      <c r="V552" s="54"/>
    </row>
    <row r="553" spans="1:22" s="11" customFormat="1" ht="45" customHeight="1" x14ac:dyDescent="0.2">
      <c r="A553" s="66" t="s">
        <v>2222</v>
      </c>
      <c r="B553" s="66" t="s">
        <v>1155</v>
      </c>
      <c r="C553" s="66" t="s">
        <v>2232</v>
      </c>
      <c r="D553" s="66">
        <v>4983164286618</v>
      </c>
      <c r="E553" s="68" t="s">
        <v>3184</v>
      </c>
      <c r="F553" s="66" t="s">
        <v>3185</v>
      </c>
      <c r="G553" s="71">
        <v>13702</v>
      </c>
      <c r="H553" s="73"/>
      <c r="I553" s="75">
        <v>0.2</v>
      </c>
      <c r="J553" s="77"/>
      <c r="K553" s="66"/>
      <c r="L553" s="66"/>
      <c r="M553" s="79" t="str">
        <f>HYPERLINK("http://www.pristavka.com/catalog/banpresto_series/BNS340/BNS1128/")</f>
        <v>http://www.pristavka.com/catalog/banpresto_series/BNS340/BNS1128/</v>
      </c>
      <c r="N553" s="71">
        <v>21099</v>
      </c>
      <c r="O553" s="66" t="s">
        <v>27</v>
      </c>
      <c r="P553" s="82" t="s">
        <v>3186</v>
      </c>
      <c r="Q553" s="84" t="s">
        <v>1068</v>
      </c>
      <c r="R553" s="84" t="s">
        <v>1068</v>
      </c>
      <c r="S553" s="84">
        <v>0.35499999999999998</v>
      </c>
      <c r="T553" s="82" t="s">
        <v>3187</v>
      </c>
      <c r="U553" s="84"/>
      <c r="V553" s="54"/>
    </row>
    <row r="554" spans="1:22" s="11" customFormat="1" ht="45" customHeight="1" x14ac:dyDescent="0.2">
      <c r="A554" s="66" t="s">
        <v>2222</v>
      </c>
      <c r="B554" s="66" t="s">
        <v>1707</v>
      </c>
      <c r="C554" s="66" t="s">
        <v>2232</v>
      </c>
      <c r="D554" s="66">
        <v>4549660719373</v>
      </c>
      <c r="E554" s="68" t="s">
        <v>3188</v>
      </c>
      <c r="F554" s="66" t="s">
        <v>3189</v>
      </c>
      <c r="G554" s="71">
        <v>3428</v>
      </c>
      <c r="H554" s="73"/>
      <c r="I554" s="75">
        <v>0.2</v>
      </c>
      <c r="J554" s="77"/>
      <c r="K554" s="66"/>
      <c r="L554" s="66"/>
      <c r="M554" s="79" t="str">
        <f>HYPERLINK("http://www.pristavka.com/catalog/banpresto_series/BNS822/")</f>
        <v>http://www.pristavka.com/catalog/banpresto_series/BNS822/</v>
      </c>
      <c r="N554" s="71">
        <v>5299</v>
      </c>
      <c r="O554" s="66" t="s">
        <v>27</v>
      </c>
      <c r="P554" s="82" t="s">
        <v>3190</v>
      </c>
      <c r="Q554" s="84" t="s">
        <v>1102</v>
      </c>
      <c r="R554" s="84" t="s">
        <v>1303</v>
      </c>
      <c r="S554" s="84">
        <v>9.1999999999999998E-2</v>
      </c>
      <c r="T554" s="82" t="s">
        <v>2503</v>
      </c>
      <c r="U554" s="84"/>
      <c r="V554" s="54"/>
    </row>
    <row r="555" spans="1:22" s="11" customFormat="1" ht="45" customHeight="1" x14ac:dyDescent="0.2">
      <c r="A555" s="66" t="s">
        <v>2222</v>
      </c>
      <c r="B555" s="66" t="s">
        <v>1707</v>
      </c>
      <c r="C555" s="66" t="s">
        <v>2222</v>
      </c>
      <c r="D555" s="66">
        <v>4983164887792</v>
      </c>
      <c r="E555" s="68" t="s">
        <v>3191</v>
      </c>
      <c r="F555" s="66" t="s">
        <v>3192</v>
      </c>
      <c r="G555" s="71">
        <v>17135</v>
      </c>
      <c r="H555" s="73"/>
      <c r="I555" s="75">
        <v>0.2</v>
      </c>
      <c r="J555" s="77"/>
      <c r="K555" s="66"/>
      <c r="L555" s="66"/>
      <c r="M555" s="79" t="str">
        <f>HYPERLINK("http://www.pristavka.com/catalog/banpresto_series/BNS934/")</f>
        <v>http://www.pristavka.com/catalog/banpresto_series/BNS934/</v>
      </c>
      <c r="N555" s="71">
        <v>26399</v>
      </c>
      <c r="O555" s="66" t="s">
        <v>27</v>
      </c>
      <c r="P555" s="82" t="s">
        <v>3193</v>
      </c>
      <c r="Q555" s="84" t="s">
        <v>1522</v>
      </c>
      <c r="R555" s="84" t="s">
        <v>1068</v>
      </c>
      <c r="S555" s="84">
        <v>0.2</v>
      </c>
      <c r="T555" s="82" t="s">
        <v>2284</v>
      </c>
      <c r="U555" s="84"/>
      <c r="V555" s="54"/>
    </row>
    <row r="556" spans="1:22" s="11" customFormat="1" ht="45" customHeight="1" x14ac:dyDescent="0.2">
      <c r="A556" s="66" t="s">
        <v>2222</v>
      </c>
      <c r="B556" s="66" t="s">
        <v>1707</v>
      </c>
      <c r="C556" s="66" t="s">
        <v>2222</v>
      </c>
      <c r="D556" s="66">
        <v>4983164886740</v>
      </c>
      <c r="E556" s="68" t="s">
        <v>3194</v>
      </c>
      <c r="F556" s="66" t="s">
        <v>3195</v>
      </c>
      <c r="G556" s="71">
        <v>17135</v>
      </c>
      <c r="H556" s="73"/>
      <c r="I556" s="75">
        <v>0.2</v>
      </c>
      <c r="J556" s="77"/>
      <c r="K556" s="66"/>
      <c r="L556" s="66"/>
      <c r="M556" s="79" t="str">
        <f>HYPERLINK("http://www.pristavka.com/catalog/banpresto_series/BNS928/")</f>
        <v>http://www.pristavka.com/catalog/banpresto_series/BNS928/</v>
      </c>
      <c r="N556" s="71">
        <v>26399</v>
      </c>
      <c r="O556" s="66" t="s">
        <v>27</v>
      </c>
      <c r="P556" s="82" t="s">
        <v>3196</v>
      </c>
      <c r="Q556" s="84" t="s">
        <v>1522</v>
      </c>
      <c r="R556" s="84" t="s">
        <v>1068</v>
      </c>
      <c r="S556" s="84">
        <v>0.24199999999999999</v>
      </c>
      <c r="T556" s="82" t="s">
        <v>2259</v>
      </c>
      <c r="U556" s="84"/>
      <c r="V556" s="54"/>
    </row>
    <row r="557" spans="1:22" s="11" customFormat="1" ht="45" customHeight="1" x14ac:dyDescent="0.2">
      <c r="A557" s="66" t="s">
        <v>2222</v>
      </c>
      <c r="B557" s="66" t="s">
        <v>1707</v>
      </c>
      <c r="C557" s="66" t="s">
        <v>2222</v>
      </c>
      <c r="D557" s="66">
        <v>4983164887815</v>
      </c>
      <c r="E557" s="68" t="s">
        <v>3197</v>
      </c>
      <c r="F557" s="66" t="s">
        <v>3198</v>
      </c>
      <c r="G557" s="71">
        <v>17135</v>
      </c>
      <c r="H557" s="73"/>
      <c r="I557" s="75">
        <v>0.2</v>
      </c>
      <c r="J557" s="77"/>
      <c r="K557" s="66"/>
      <c r="L557" s="66"/>
      <c r="M557" s="79" t="str">
        <f>HYPERLINK("http://www.pristavka.com/catalog/banpresto_series/BNS935/")</f>
        <v>http://www.pristavka.com/catalog/banpresto_series/BNS935/</v>
      </c>
      <c r="N557" s="71">
        <v>26399</v>
      </c>
      <c r="O557" s="66" t="s">
        <v>27</v>
      </c>
      <c r="P557" s="82" t="s">
        <v>3199</v>
      </c>
      <c r="Q557" s="84" t="s">
        <v>1522</v>
      </c>
      <c r="R557" s="84" t="s">
        <v>1068</v>
      </c>
      <c r="S557" s="84">
        <v>0.20799999999999999</v>
      </c>
      <c r="T557" s="82" t="s">
        <v>2259</v>
      </c>
      <c r="U557" s="84"/>
      <c r="V557" s="54"/>
    </row>
    <row r="558" spans="1:22" s="11" customFormat="1" ht="45" customHeight="1" x14ac:dyDescent="0.2">
      <c r="A558" s="66" t="s">
        <v>2222</v>
      </c>
      <c r="B558" s="66" t="s">
        <v>1707</v>
      </c>
      <c r="C558" s="66" t="s">
        <v>2232</v>
      </c>
      <c r="D558" s="66">
        <v>4549660737490</v>
      </c>
      <c r="E558" s="68" t="s">
        <v>3200</v>
      </c>
      <c r="F558" s="66" t="s">
        <v>3201</v>
      </c>
      <c r="G558" s="71">
        <v>3428</v>
      </c>
      <c r="H558" s="73"/>
      <c r="I558" s="75">
        <v>0.2</v>
      </c>
      <c r="J558" s="77"/>
      <c r="K558" s="66"/>
      <c r="L558" s="66"/>
      <c r="M558" s="79" t="str">
        <f>HYPERLINK("http://www.pristavka.com/catalog/banpresto_series/BNS815/")</f>
        <v>http://www.pristavka.com/catalog/banpresto_series/BNS815/</v>
      </c>
      <c r="N558" s="71">
        <v>5299</v>
      </c>
      <c r="O558" s="66" t="s">
        <v>27</v>
      </c>
      <c r="P558" s="82" t="s">
        <v>3202</v>
      </c>
      <c r="Q558" s="84" t="s">
        <v>1522</v>
      </c>
      <c r="R558" s="84" t="s">
        <v>1068</v>
      </c>
      <c r="S558" s="84">
        <v>0.03</v>
      </c>
      <c r="T558" s="82" t="s">
        <v>2386</v>
      </c>
      <c r="U558" s="84"/>
      <c r="V558" s="54"/>
    </row>
    <row r="559" spans="1:22" s="11" customFormat="1" ht="45" customHeight="1" x14ac:dyDescent="0.2">
      <c r="A559" s="66" t="s">
        <v>2222</v>
      </c>
      <c r="B559" s="66" t="s">
        <v>1707</v>
      </c>
      <c r="C559" s="66" t="s">
        <v>2232</v>
      </c>
      <c r="D559" s="66">
        <v>4549660770770</v>
      </c>
      <c r="E559" s="68" t="s">
        <v>3203</v>
      </c>
      <c r="F559" s="66" t="s">
        <v>3204</v>
      </c>
      <c r="G559" s="71">
        <v>3428</v>
      </c>
      <c r="H559" s="73"/>
      <c r="I559" s="75">
        <v>0.2</v>
      </c>
      <c r="J559" s="77"/>
      <c r="K559" s="66"/>
      <c r="L559" s="66"/>
      <c r="M559" s="79" t="str">
        <f>HYPERLINK("http://www.pristavka.com/catalog/banpresto_series/BNS820/")</f>
        <v>http://www.pristavka.com/catalog/banpresto_series/BNS820/</v>
      </c>
      <c r="N559" s="71">
        <v>5299</v>
      </c>
      <c r="O559" s="66" t="s">
        <v>27</v>
      </c>
      <c r="P559" s="82" t="s">
        <v>3205</v>
      </c>
      <c r="Q559" s="84" t="s">
        <v>1522</v>
      </c>
      <c r="R559" s="84" t="s">
        <v>1068</v>
      </c>
      <c r="S559" s="84">
        <v>9.4E-2</v>
      </c>
      <c r="T559" s="82" t="s">
        <v>2503</v>
      </c>
      <c r="U559" s="84"/>
      <c r="V559" s="54"/>
    </row>
    <row r="560" spans="1:22" s="11" customFormat="1" ht="45" customHeight="1" x14ac:dyDescent="0.2">
      <c r="A560" s="66" t="s">
        <v>2222</v>
      </c>
      <c r="B560" s="66" t="s">
        <v>1707</v>
      </c>
      <c r="C560" s="66" t="s">
        <v>2222</v>
      </c>
      <c r="D560" s="66">
        <v>4983164195750</v>
      </c>
      <c r="E560" s="68" t="s">
        <v>3206</v>
      </c>
      <c r="F560" s="66" t="s">
        <v>3207</v>
      </c>
      <c r="G560" s="71">
        <v>14732</v>
      </c>
      <c r="H560" s="73"/>
      <c r="I560" s="75">
        <v>0.2</v>
      </c>
      <c r="J560" s="77"/>
      <c r="K560" s="66"/>
      <c r="L560" s="66"/>
      <c r="M560" s="79" t="str">
        <f>HYPERLINK("http://www.pristavka.com/catalog/banpresto_series/BNS755/")</f>
        <v>http://www.pristavka.com/catalog/banpresto_series/BNS755/</v>
      </c>
      <c r="N560" s="71">
        <v>22699</v>
      </c>
      <c r="O560" s="66" t="s">
        <v>28</v>
      </c>
      <c r="P560" s="82" t="s">
        <v>3208</v>
      </c>
      <c r="Q560" s="84" t="s">
        <v>1522</v>
      </c>
      <c r="R560" s="84" t="s">
        <v>1068</v>
      </c>
      <c r="S560" s="84">
        <v>0.24399999999999999</v>
      </c>
      <c r="T560" s="82" t="s">
        <v>2284</v>
      </c>
      <c r="U560" s="84"/>
      <c r="V560" s="54"/>
    </row>
    <row r="561" spans="1:22" s="11" customFormat="1" ht="45" customHeight="1" x14ac:dyDescent="0.2">
      <c r="A561" s="66" t="s">
        <v>2222</v>
      </c>
      <c r="B561" s="66" t="s">
        <v>1707</v>
      </c>
      <c r="C561" s="66" t="s">
        <v>2232</v>
      </c>
      <c r="D561" s="66">
        <v>4983164162066</v>
      </c>
      <c r="E561" s="68" t="s">
        <v>3209</v>
      </c>
      <c r="F561" s="66" t="s">
        <v>3210</v>
      </c>
      <c r="G561" s="71">
        <v>13702</v>
      </c>
      <c r="H561" s="73"/>
      <c r="I561" s="75">
        <v>0.2</v>
      </c>
      <c r="J561" s="77"/>
      <c r="K561" s="66"/>
      <c r="L561" s="66"/>
      <c r="M561" s="79" t="str">
        <f>HYPERLINK("http://www.pristavka.com/catalog/banpresto_series/BNS335/")</f>
        <v>http://www.pristavka.com/catalog/banpresto_series/BNS335/</v>
      </c>
      <c r="N561" s="71">
        <v>21099</v>
      </c>
      <c r="O561" s="66" t="s">
        <v>28</v>
      </c>
      <c r="P561" s="82" t="s">
        <v>3211</v>
      </c>
      <c r="Q561" s="84" t="s">
        <v>1522</v>
      </c>
      <c r="R561" s="84" t="s">
        <v>1068</v>
      </c>
      <c r="S561" s="84">
        <v>0.18</v>
      </c>
      <c r="T561" s="82" t="s">
        <v>2284</v>
      </c>
      <c r="U561" s="84"/>
      <c r="V561" s="54"/>
    </row>
    <row r="562" spans="1:22" s="11" customFormat="1" ht="45" customHeight="1" x14ac:dyDescent="0.2">
      <c r="A562" s="66" t="s">
        <v>2222</v>
      </c>
      <c r="B562" s="66" t="s">
        <v>1707</v>
      </c>
      <c r="C562" s="66" t="s">
        <v>2222</v>
      </c>
      <c r="D562" s="66">
        <v>4983164189247</v>
      </c>
      <c r="E562" s="68" t="s">
        <v>3212</v>
      </c>
      <c r="F562" s="66" t="s">
        <v>3213</v>
      </c>
      <c r="G562" s="71">
        <v>13702</v>
      </c>
      <c r="H562" s="73"/>
      <c r="I562" s="75">
        <v>0.2</v>
      </c>
      <c r="J562" s="77"/>
      <c r="K562" s="66"/>
      <c r="L562" s="66"/>
      <c r="M562" s="79" t="str">
        <f>HYPERLINK("http://www.pristavka.com/catalog/banpresto_series/BNS760/")</f>
        <v>http://www.pristavka.com/catalog/banpresto_series/BNS760/</v>
      </c>
      <c r="N562" s="71">
        <v>21099</v>
      </c>
      <c r="O562" s="66" t="s">
        <v>28</v>
      </c>
      <c r="P562" s="82" t="s">
        <v>3214</v>
      </c>
      <c r="Q562" s="84" t="s">
        <v>1522</v>
      </c>
      <c r="R562" s="84" t="s">
        <v>1068</v>
      </c>
      <c r="S562" s="84">
        <v>0.19600000000000001</v>
      </c>
      <c r="T562" s="82" t="s">
        <v>2284</v>
      </c>
      <c r="U562" s="84"/>
      <c r="V562" s="54"/>
    </row>
    <row r="563" spans="1:22" s="11" customFormat="1" ht="45" customHeight="1" x14ac:dyDescent="0.2">
      <c r="A563" s="66" t="s">
        <v>2222</v>
      </c>
      <c r="B563" s="66" t="s">
        <v>1707</v>
      </c>
      <c r="C563" s="66" t="s">
        <v>2222</v>
      </c>
      <c r="D563" s="66">
        <v>4983164190403</v>
      </c>
      <c r="E563" s="68" t="s">
        <v>3215</v>
      </c>
      <c r="F563" s="66" t="s">
        <v>3216</v>
      </c>
      <c r="G563" s="71">
        <v>13702</v>
      </c>
      <c r="H563" s="73"/>
      <c r="I563" s="75">
        <v>0.2</v>
      </c>
      <c r="J563" s="77"/>
      <c r="K563" s="66"/>
      <c r="L563" s="66"/>
      <c r="M563" s="79" t="str">
        <f>HYPERLINK("http://www.pristavka.com/catalog/banpresto_series/BNS761/")</f>
        <v>http://www.pristavka.com/catalog/banpresto_series/BNS761/</v>
      </c>
      <c r="N563" s="71">
        <v>21099</v>
      </c>
      <c r="O563" s="66" t="s">
        <v>28</v>
      </c>
      <c r="P563" s="82" t="s">
        <v>3217</v>
      </c>
      <c r="Q563" s="84" t="s">
        <v>1522</v>
      </c>
      <c r="R563" s="84" t="s">
        <v>1068</v>
      </c>
      <c r="S563" s="84">
        <v>0.214</v>
      </c>
      <c r="T563" s="82" t="s">
        <v>2284</v>
      </c>
      <c r="U563" s="84"/>
      <c r="V563" s="54"/>
    </row>
    <row r="564" spans="1:22" s="11" customFormat="1" ht="45" customHeight="1" x14ac:dyDescent="0.2">
      <c r="A564" s="66" t="s">
        <v>2222</v>
      </c>
      <c r="B564" s="66" t="s">
        <v>1707</v>
      </c>
      <c r="C564" s="66" t="s">
        <v>2222</v>
      </c>
      <c r="D564" s="66">
        <v>4983164193596</v>
      </c>
      <c r="E564" s="68" t="s">
        <v>3218</v>
      </c>
      <c r="F564" s="66" t="s">
        <v>3219</v>
      </c>
      <c r="G564" s="71">
        <v>17135</v>
      </c>
      <c r="H564" s="73"/>
      <c r="I564" s="75">
        <v>0.2</v>
      </c>
      <c r="J564" s="77"/>
      <c r="K564" s="66"/>
      <c r="L564" s="66"/>
      <c r="M564" s="79" t="str">
        <f>HYPERLINK("http://www.pristavka.com/catalog/banpresto_series/BNS763/")</f>
        <v>http://www.pristavka.com/catalog/banpresto_series/BNS763/</v>
      </c>
      <c r="N564" s="71">
        <v>26399</v>
      </c>
      <c r="O564" s="66" t="s">
        <v>27</v>
      </c>
      <c r="P564" s="82" t="s">
        <v>3220</v>
      </c>
      <c r="Q564" s="84" t="s">
        <v>1522</v>
      </c>
      <c r="R564" s="84" t="s">
        <v>1068</v>
      </c>
      <c r="S564" s="84">
        <v>0.21199999999999999</v>
      </c>
      <c r="T564" s="82" t="s">
        <v>2284</v>
      </c>
      <c r="U564" s="84"/>
      <c r="V564" s="54"/>
    </row>
    <row r="565" spans="1:22" s="11" customFormat="1" ht="45" customHeight="1" x14ac:dyDescent="0.2">
      <c r="A565" s="66" t="s">
        <v>2222</v>
      </c>
      <c r="B565" s="66" t="s">
        <v>1707</v>
      </c>
      <c r="C565" s="66" t="s">
        <v>2222</v>
      </c>
      <c r="D565" s="66">
        <v>4983164174342</v>
      </c>
      <c r="E565" s="68" t="s">
        <v>3221</v>
      </c>
      <c r="F565" s="66" t="s">
        <v>3222</v>
      </c>
      <c r="G565" s="71">
        <v>17135</v>
      </c>
      <c r="H565" s="73"/>
      <c r="I565" s="75">
        <v>0.2</v>
      </c>
      <c r="J565" s="77"/>
      <c r="K565" s="66"/>
      <c r="L565" s="66"/>
      <c r="M565" s="79" t="str">
        <f>HYPERLINK("http://www.pristavka.com/catalog/banpresto_series/BNS565/")</f>
        <v>http://www.pristavka.com/catalog/banpresto_series/BNS565/</v>
      </c>
      <c r="N565" s="71">
        <v>26399</v>
      </c>
      <c r="O565" s="66" t="s">
        <v>27</v>
      </c>
      <c r="P565" s="82" t="s">
        <v>3223</v>
      </c>
      <c r="Q565" s="84" t="s">
        <v>1522</v>
      </c>
      <c r="R565" s="84" t="s">
        <v>1068</v>
      </c>
      <c r="S565" s="84">
        <v>0.24199999999999999</v>
      </c>
      <c r="T565" s="82" t="s">
        <v>2276</v>
      </c>
      <c r="U565" s="84"/>
      <c r="V565" s="54"/>
    </row>
    <row r="566" spans="1:22" s="11" customFormat="1" ht="45" customHeight="1" x14ac:dyDescent="0.2">
      <c r="A566" s="66" t="s">
        <v>2222</v>
      </c>
      <c r="B566" s="66" t="s">
        <v>1707</v>
      </c>
      <c r="C566" s="66" t="s">
        <v>2222</v>
      </c>
      <c r="D566" s="66">
        <v>4983164170313</v>
      </c>
      <c r="E566" s="68" t="s">
        <v>3224</v>
      </c>
      <c r="F566" s="66" t="s">
        <v>3225</v>
      </c>
      <c r="G566" s="71">
        <v>17135</v>
      </c>
      <c r="H566" s="73"/>
      <c r="I566" s="75">
        <v>0.2</v>
      </c>
      <c r="J566" s="77"/>
      <c r="K566" s="66"/>
      <c r="L566" s="66"/>
      <c r="M566" s="79" t="str">
        <f>HYPERLINK("http://www.pristavka.com/catalog/banpresto_series/BNS564/")</f>
        <v>http://www.pristavka.com/catalog/banpresto_series/BNS564/</v>
      </c>
      <c r="N566" s="71">
        <v>26399</v>
      </c>
      <c r="O566" s="66" t="s">
        <v>28</v>
      </c>
      <c r="P566" s="82" t="s">
        <v>3226</v>
      </c>
      <c r="Q566" s="84" t="s">
        <v>1522</v>
      </c>
      <c r="R566" s="84" t="s">
        <v>1068</v>
      </c>
      <c r="S566" s="84">
        <v>0.26400000000000001</v>
      </c>
      <c r="T566" s="82" t="s">
        <v>2284</v>
      </c>
      <c r="U566" s="84"/>
      <c r="V566" s="54"/>
    </row>
    <row r="567" spans="1:22" s="11" customFormat="1" ht="45" customHeight="1" x14ac:dyDescent="0.2">
      <c r="A567" s="66" t="s">
        <v>2222</v>
      </c>
      <c r="B567" s="66" t="s">
        <v>1707</v>
      </c>
      <c r="C567" s="66" t="s">
        <v>2232</v>
      </c>
      <c r="D567" s="66">
        <v>4983164184570</v>
      </c>
      <c r="E567" s="68" t="s">
        <v>3227</v>
      </c>
      <c r="F567" s="66" t="s">
        <v>3228</v>
      </c>
      <c r="G567" s="71">
        <v>8552</v>
      </c>
      <c r="H567" s="73"/>
      <c r="I567" s="75">
        <v>0.2</v>
      </c>
      <c r="J567" s="77"/>
      <c r="K567" s="66"/>
      <c r="L567" s="66"/>
      <c r="M567" s="79" t="str">
        <f>HYPERLINK("http://www.pristavka.com/catalog/banpresto_series/BNS380/")</f>
        <v>http://www.pristavka.com/catalog/banpresto_series/BNS380/</v>
      </c>
      <c r="N567" s="71">
        <v>13199</v>
      </c>
      <c r="O567" s="66" t="s">
        <v>27</v>
      </c>
      <c r="P567" s="82" t="s">
        <v>3229</v>
      </c>
      <c r="Q567" s="84" t="s">
        <v>1522</v>
      </c>
      <c r="R567" s="84" t="s">
        <v>1068</v>
      </c>
      <c r="S567" s="84">
        <v>0.189</v>
      </c>
      <c r="T567" s="82" t="s">
        <v>2284</v>
      </c>
      <c r="U567" s="84"/>
      <c r="V567" s="54"/>
    </row>
    <row r="568" spans="1:22" s="11" customFormat="1" ht="45" customHeight="1" x14ac:dyDescent="0.2">
      <c r="A568" s="66" t="s">
        <v>2222</v>
      </c>
      <c r="B568" s="66" t="s">
        <v>1707</v>
      </c>
      <c r="C568" s="66" t="s">
        <v>2232</v>
      </c>
      <c r="D568" s="66">
        <v>4983164183108</v>
      </c>
      <c r="E568" s="68" t="s">
        <v>3230</v>
      </c>
      <c r="F568" s="66" t="s">
        <v>3231</v>
      </c>
      <c r="G568" s="71">
        <v>8552</v>
      </c>
      <c r="H568" s="73"/>
      <c r="I568" s="75">
        <v>0.2</v>
      </c>
      <c r="J568" s="77"/>
      <c r="K568" s="66"/>
      <c r="L568" s="66"/>
      <c r="M568" s="79" t="str">
        <f>HYPERLINK("http://www.pristavka.com/catalog/banpresto_series/BNS377/")</f>
        <v>http://www.pristavka.com/catalog/banpresto_series/BNS377/</v>
      </c>
      <c r="N568" s="71">
        <v>13199</v>
      </c>
      <c r="O568" s="66" t="s">
        <v>27</v>
      </c>
      <c r="P568" s="82" t="s">
        <v>3232</v>
      </c>
      <c r="Q568" s="84" t="s">
        <v>1522</v>
      </c>
      <c r="R568" s="84" t="s">
        <v>1068</v>
      </c>
      <c r="S568" s="84">
        <v>0.193</v>
      </c>
      <c r="T568" s="82" t="s">
        <v>3233</v>
      </c>
      <c r="U568" s="84"/>
      <c r="V568" s="54"/>
    </row>
    <row r="569" spans="1:22" s="11" customFormat="1" ht="45" customHeight="1" x14ac:dyDescent="0.2">
      <c r="A569" s="66" t="s">
        <v>2222</v>
      </c>
      <c r="B569" s="66" t="s">
        <v>1707</v>
      </c>
      <c r="C569" s="66" t="s">
        <v>2232</v>
      </c>
      <c r="D569" s="66">
        <v>4983164180916</v>
      </c>
      <c r="E569" s="68" t="s">
        <v>3234</v>
      </c>
      <c r="F569" s="66" t="s">
        <v>3235</v>
      </c>
      <c r="G569" s="71">
        <v>12646</v>
      </c>
      <c r="H569" s="73"/>
      <c r="I569" s="75">
        <v>0.2</v>
      </c>
      <c r="J569" s="77"/>
      <c r="K569" s="66"/>
      <c r="L569" s="66"/>
      <c r="M569" s="79" t="str">
        <f>HYPERLINK("http://www.pristavka.com/catalog/banpresto_series/BNS373/")</f>
        <v>http://www.pristavka.com/catalog/banpresto_series/BNS373/</v>
      </c>
      <c r="N569" s="71">
        <v>21099</v>
      </c>
      <c r="O569" s="66" t="s">
        <v>27</v>
      </c>
      <c r="P569" s="82" t="s">
        <v>3236</v>
      </c>
      <c r="Q569" s="84" t="s">
        <v>1522</v>
      </c>
      <c r="R569" s="84" t="s">
        <v>1068</v>
      </c>
      <c r="S569" s="84">
        <v>0.255</v>
      </c>
      <c r="T569" s="82" t="s">
        <v>3233</v>
      </c>
      <c r="U569" s="84"/>
      <c r="V569" s="54"/>
    </row>
    <row r="570" spans="1:22" s="11" customFormat="1" ht="45" customHeight="1" x14ac:dyDescent="0.2">
      <c r="A570" s="66" t="s">
        <v>2222</v>
      </c>
      <c r="B570" s="66" t="s">
        <v>1707</v>
      </c>
      <c r="C570" s="66" t="s">
        <v>2232</v>
      </c>
      <c r="D570" s="66">
        <v>4983164184587</v>
      </c>
      <c r="E570" s="68" t="s">
        <v>3237</v>
      </c>
      <c r="F570" s="66" t="s">
        <v>3238</v>
      </c>
      <c r="G570" s="71">
        <v>8552</v>
      </c>
      <c r="H570" s="73"/>
      <c r="I570" s="75">
        <v>0.2</v>
      </c>
      <c r="J570" s="77"/>
      <c r="K570" s="66"/>
      <c r="L570" s="66"/>
      <c r="M570" s="79" t="str">
        <f>HYPERLINK("http://www.pristavka.com/catalog/banpresto_series/BNS381/")</f>
        <v>http://www.pristavka.com/catalog/banpresto_series/BNS381/</v>
      </c>
      <c r="N570" s="71">
        <v>13199</v>
      </c>
      <c r="O570" s="66" t="s">
        <v>27</v>
      </c>
      <c r="P570" s="82" t="s">
        <v>3239</v>
      </c>
      <c r="Q570" s="84" t="s">
        <v>1522</v>
      </c>
      <c r="R570" s="84" t="s">
        <v>1068</v>
      </c>
      <c r="S570" s="84">
        <v>0.21099999999999999</v>
      </c>
      <c r="T570" s="82" t="s">
        <v>3233</v>
      </c>
      <c r="U570" s="84"/>
      <c r="V570" s="54"/>
    </row>
    <row r="571" spans="1:22" s="11" customFormat="1" ht="45" customHeight="1" x14ac:dyDescent="0.2">
      <c r="A571" s="66" t="s">
        <v>2222</v>
      </c>
      <c r="B571" s="66" t="s">
        <v>1707</v>
      </c>
      <c r="C571" s="66" t="s">
        <v>2232</v>
      </c>
      <c r="D571" s="66">
        <v>4983164191530</v>
      </c>
      <c r="E571" s="68" t="s">
        <v>3240</v>
      </c>
      <c r="F571" s="66" t="s">
        <v>3241</v>
      </c>
      <c r="G571" s="71">
        <v>13274</v>
      </c>
      <c r="H571" s="73"/>
      <c r="I571" s="75">
        <v>0.2</v>
      </c>
      <c r="J571" s="77"/>
      <c r="K571" s="66"/>
      <c r="L571" s="66"/>
      <c r="M571" s="79" t="str">
        <f>HYPERLINK("http://www.pristavka.com/catalog/banpresto_series/BNS422/")</f>
        <v>http://www.pristavka.com/catalog/banpresto_series/BNS422/</v>
      </c>
      <c r="N571" s="71">
        <v>18999</v>
      </c>
      <c r="O571" s="66" t="s">
        <v>27</v>
      </c>
      <c r="P571" s="82" t="s">
        <v>3242</v>
      </c>
      <c r="Q571" s="84" t="s">
        <v>1522</v>
      </c>
      <c r="R571" s="84" t="s">
        <v>1068</v>
      </c>
      <c r="S571" s="84">
        <v>3.9E-2</v>
      </c>
      <c r="T571" s="82" t="s">
        <v>2809</v>
      </c>
      <c r="U571" s="84"/>
      <c r="V571" s="54"/>
    </row>
    <row r="572" spans="1:22" s="11" customFormat="1" ht="45" customHeight="1" x14ac:dyDescent="0.2">
      <c r="A572" s="66" t="s">
        <v>2222</v>
      </c>
      <c r="B572" s="66" t="s">
        <v>1707</v>
      </c>
      <c r="C572" s="66" t="s">
        <v>2222</v>
      </c>
      <c r="D572" s="66">
        <v>4983164190236</v>
      </c>
      <c r="E572" s="68" t="s">
        <v>3243</v>
      </c>
      <c r="F572" s="66" t="s">
        <v>3244</v>
      </c>
      <c r="G572" s="71">
        <v>17822</v>
      </c>
      <c r="H572" s="73"/>
      <c r="I572" s="75">
        <v>0.2</v>
      </c>
      <c r="J572" s="77"/>
      <c r="K572" s="66"/>
      <c r="L572" s="66"/>
      <c r="M572" s="79" t="str">
        <f>HYPERLINK("http://www.pristavka.com/catalog/banpresto_series/BNS585/")</f>
        <v>http://www.pristavka.com/catalog/banpresto_series/BNS585/</v>
      </c>
      <c r="N572" s="71">
        <v>27499</v>
      </c>
      <c r="O572" s="66" t="s">
        <v>27</v>
      </c>
      <c r="P572" s="82" t="s">
        <v>3245</v>
      </c>
      <c r="Q572" s="84" t="s">
        <v>2244</v>
      </c>
      <c r="R572" s="84" t="s">
        <v>1068</v>
      </c>
      <c r="S572" s="84">
        <v>0.19600000000000001</v>
      </c>
      <c r="T572" s="82" t="s">
        <v>2276</v>
      </c>
      <c r="U572" s="84"/>
      <c r="V572" s="54"/>
    </row>
    <row r="573" spans="1:22" s="11" customFormat="1" ht="45" customHeight="1" x14ac:dyDescent="0.2">
      <c r="A573" s="66" t="s">
        <v>2222</v>
      </c>
      <c r="B573" s="66" t="s">
        <v>1707</v>
      </c>
      <c r="C573" s="66" t="s">
        <v>2222</v>
      </c>
      <c r="D573" s="66">
        <v>4983164182835</v>
      </c>
      <c r="E573" s="68" t="s">
        <v>3246</v>
      </c>
      <c r="F573" s="66" t="s">
        <v>3247</v>
      </c>
      <c r="G573" s="71">
        <v>8552</v>
      </c>
      <c r="H573" s="73"/>
      <c r="I573" s="75">
        <v>0.2</v>
      </c>
      <c r="J573" s="77"/>
      <c r="K573" s="66"/>
      <c r="L573" s="66"/>
      <c r="M573" s="79" t="str">
        <f>HYPERLINK("http://www.pristavka.com/catalog/banpresto_series/BNS979/")</f>
        <v>http://www.pristavka.com/catalog/banpresto_series/BNS979/</v>
      </c>
      <c r="N573" s="71">
        <v>13199</v>
      </c>
      <c r="O573" s="66" t="s">
        <v>27</v>
      </c>
      <c r="P573" s="82" t="s">
        <v>3248</v>
      </c>
      <c r="Q573" s="84" t="s">
        <v>2244</v>
      </c>
      <c r="R573" s="84" t="s">
        <v>1068</v>
      </c>
      <c r="S573" s="84">
        <v>0.185</v>
      </c>
      <c r="T573" s="82" t="s">
        <v>2284</v>
      </c>
      <c r="U573" s="84"/>
      <c r="V573" s="54"/>
    </row>
    <row r="574" spans="1:22" s="11" customFormat="1" ht="45" customHeight="1" x14ac:dyDescent="0.2">
      <c r="A574" s="66" t="s">
        <v>2222</v>
      </c>
      <c r="B574" s="66" t="s">
        <v>1707</v>
      </c>
      <c r="C574" s="66" t="s">
        <v>2222</v>
      </c>
      <c r="D574" s="66">
        <v>4983164194456</v>
      </c>
      <c r="E574" s="68" t="s">
        <v>3249</v>
      </c>
      <c r="F574" s="66" t="s">
        <v>3250</v>
      </c>
      <c r="G574" s="71">
        <v>18165</v>
      </c>
      <c r="H574" s="73"/>
      <c r="I574" s="75">
        <v>0.2</v>
      </c>
      <c r="J574" s="77"/>
      <c r="K574" s="66"/>
      <c r="L574" s="66"/>
      <c r="M574" s="79" t="str">
        <f>HYPERLINK("http://www.pristavka.com/catalog/banpresto_series/BNS600/")</f>
        <v>http://www.pristavka.com/catalog/banpresto_series/BNS600/</v>
      </c>
      <c r="N574" s="71">
        <v>27999</v>
      </c>
      <c r="O574" s="66" t="s">
        <v>27</v>
      </c>
      <c r="P574" s="82" t="s">
        <v>3251</v>
      </c>
      <c r="Q574" s="84" t="s">
        <v>2244</v>
      </c>
      <c r="R574" s="84" t="s">
        <v>1068</v>
      </c>
      <c r="S574" s="84">
        <v>0.17599999999999999</v>
      </c>
      <c r="T574" s="82" t="s">
        <v>2276</v>
      </c>
      <c r="U574" s="84"/>
      <c r="V574" s="54"/>
    </row>
    <row r="575" spans="1:22" s="11" customFormat="1" ht="45" customHeight="1" x14ac:dyDescent="0.2">
      <c r="A575" s="66" t="s">
        <v>2222</v>
      </c>
      <c r="B575" s="66" t="s">
        <v>1707</v>
      </c>
      <c r="C575" s="66" t="s">
        <v>2222</v>
      </c>
      <c r="D575" s="66">
        <v>4983164182842</v>
      </c>
      <c r="E575" s="68" t="s">
        <v>3252</v>
      </c>
      <c r="F575" s="66" t="s">
        <v>3253</v>
      </c>
      <c r="G575" s="71">
        <v>8552</v>
      </c>
      <c r="H575" s="73"/>
      <c r="I575" s="75">
        <v>0.2</v>
      </c>
      <c r="J575" s="77"/>
      <c r="K575" s="66"/>
      <c r="L575" s="66"/>
      <c r="M575" s="79" t="str">
        <f>HYPERLINK("http://www.pristavka.com/catalog/banpresto_series/BNS980/")</f>
        <v>http://www.pristavka.com/catalog/banpresto_series/BNS980/</v>
      </c>
      <c r="N575" s="71">
        <v>13199</v>
      </c>
      <c r="O575" s="66" t="s">
        <v>27</v>
      </c>
      <c r="P575" s="82" t="s">
        <v>3254</v>
      </c>
      <c r="Q575" s="84" t="s">
        <v>2244</v>
      </c>
      <c r="R575" s="84" t="s">
        <v>1068</v>
      </c>
      <c r="S575" s="84">
        <v>0.25600000000000001</v>
      </c>
      <c r="T575" s="82" t="s">
        <v>3255</v>
      </c>
      <c r="U575" s="84"/>
      <c r="V575" s="54"/>
    </row>
    <row r="576" spans="1:22" s="11" customFormat="1" ht="45" customHeight="1" x14ac:dyDescent="0.2">
      <c r="A576" s="66" t="s">
        <v>2222</v>
      </c>
      <c r="B576" s="66" t="s">
        <v>1707</v>
      </c>
      <c r="C576" s="66" t="s">
        <v>2222</v>
      </c>
      <c r="D576" s="66">
        <v>4983164194449</v>
      </c>
      <c r="E576" s="68" t="s">
        <v>3256</v>
      </c>
      <c r="F576" s="66" t="s">
        <v>3257</v>
      </c>
      <c r="G576" s="71">
        <v>14732</v>
      </c>
      <c r="H576" s="73"/>
      <c r="I576" s="75">
        <v>0.2</v>
      </c>
      <c r="J576" s="77"/>
      <c r="K576" s="66"/>
      <c r="L576" s="66"/>
      <c r="M576" s="79" t="str">
        <f>HYPERLINK("http://www.pristavka.com/catalog/banpresto_series/BNS599/")</f>
        <v>http://www.pristavka.com/catalog/banpresto_series/BNS599/</v>
      </c>
      <c r="N576" s="71">
        <v>22699</v>
      </c>
      <c r="O576" s="66" t="s">
        <v>27</v>
      </c>
      <c r="P576" s="82" t="s">
        <v>3258</v>
      </c>
      <c r="Q576" s="84" t="s">
        <v>2244</v>
      </c>
      <c r="R576" s="84" t="s">
        <v>1068</v>
      </c>
      <c r="S576" s="84">
        <v>0.21</v>
      </c>
      <c r="T576" s="82" t="s">
        <v>2284</v>
      </c>
      <c r="U576" s="84"/>
      <c r="V576" s="54"/>
    </row>
    <row r="577" spans="1:22" s="11" customFormat="1" ht="45" customHeight="1" x14ac:dyDescent="0.2">
      <c r="A577" s="66" t="s">
        <v>2222</v>
      </c>
      <c r="B577" s="66" t="s">
        <v>1707</v>
      </c>
      <c r="C577" s="66" t="s">
        <v>2222</v>
      </c>
      <c r="D577" s="66">
        <v>4983164885743</v>
      </c>
      <c r="E577" s="68" t="s">
        <v>3259</v>
      </c>
      <c r="F577" s="66" t="s">
        <v>3260</v>
      </c>
      <c r="G577" s="71">
        <v>16792</v>
      </c>
      <c r="H577" s="73"/>
      <c r="I577" s="75">
        <v>0.2</v>
      </c>
      <c r="J577" s="77"/>
      <c r="K577" s="66"/>
      <c r="L577" s="66"/>
      <c r="M577" s="79" t="str">
        <f>HYPERLINK("http://www.pristavka.com/catalog/banpresto_series/BNS919/")</f>
        <v>http://www.pristavka.com/catalog/banpresto_series/BNS919/</v>
      </c>
      <c r="N577" s="71">
        <v>25899</v>
      </c>
      <c r="O577" s="66" t="s">
        <v>27</v>
      </c>
      <c r="P577" s="82" t="s">
        <v>3261</v>
      </c>
      <c r="Q577" s="84" t="s">
        <v>2244</v>
      </c>
      <c r="R577" s="84" t="s">
        <v>1068</v>
      </c>
      <c r="S577" s="84">
        <v>0.218</v>
      </c>
      <c r="T577" s="82" t="s">
        <v>2284</v>
      </c>
      <c r="U577" s="84"/>
      <c r="V577" s="54"/>
    </row>
    <row r="578" spans="1:22" s="11" customFormat="1" ht="45" customHeight="1" x14ac:dyDescent="0.2">
      <c r="A578" s="66" t="s">
        <v>2222</v>
      </c>
      <c r="B578" s="66" t="s">
        <v>1707</v>
      </c>
      <c r="C578" s="66" t="s">
        <v>2222</v>
      </c>
      <c r="D578" s="66">
        <v>4983164883732</v>
      </c>
      <c r="E578" s="68" t="s">
        <v>3262</v>
      </c>
      <c r="F578" s="66" t="s">
        <v>3263</v>
      </c>
      <c r="G578" s="71">
        <v>15762</v>
      </c>
      <c r="H578" s="73"/>
      <c r="I578" s="75">
        <v>0.2</v>
      </c>
      <c r="J578" s="77"/>
      <c r="K578" s="66"/>
      <c r="L578" s="66"/>
      <c r="M578" s="79" t="str">
        <f>HYPERLINK("http://www.pristavka.com/catalog/banpresto_series/BNS947/")</f>
        <v>http://www.pristavka.com/catalog/banpresto_series/BNS947/</v>
      </c>
      <c r="N578" s="71">
        <v>24299</v>
      </c>
      <c r="O578" s="66" t="s">
        <v>27</v>
      </c>
      <c r="P578" s="82" t="s">
        <v>3264</v>
      </c>
      <c r="Q578" s="84" t="s">
        <v>2244</v>
      </c>
      <c r="R578" s="84" t="s">
        <v>1068</v>
      </c>
      <c r="S578" s="84">
        <v>0.2</v>
      </c>
      <c r="T578" s="82" t="s">
        <v>2284</v>
      </c>
      <c r="U578" s="84"/>
      <c r="V578" s="54"/>
    </row>
    <row r="579" spans="1:22" s="11" customFormat="1" ht="45" customHeight="1" x14ac:dyDescent="0.2">
      <c r="A579" s="66" t="s">
        <v>2222</v>
      </c>
      <c r="B579" s="66" t="s">
        <v>1707</v>
      </c>
      <c r="C579" s="66" t="s">
        <v>2222</v>
      </c>
      <c r="D579" s="66">
        <v>4983164885750</v>
      </c>
      <c r="E579" s="68" t="s">
        <v>3265</v>
      </c>
      <c r="F579" s="66" t="s">
        <v>3266</v>
      </c>
      <c r="G579" s="71">
        <v>15762</v>
      </c>
      <c r="H579" s="73"/>
      <c r="I579" s="75">
        <v>0.2</v>
      </c>
      <c r="J579" s="77"/>
      <c r="K579" s="66"/>
      <c r="L579" s="66"/>
      <c r="M579" s="79" t="str">
        <f>HYPERLINK("http://www.pristavka.com/catalog/banpresto_series/BNS922/")</f>
        <v>http://www.pristavka.com/catalog/banpresto_series/BNS922/</v>
      </c>
      <c r="N579" s="71">
        <v>24299</v>
      </c>
      <c r="O579" s="66" t="s">
        <v>28</v>
      </c>
      <c r="P579" s="82" t="s">
        <v>3267</v>
      </c>
      <c r="Q579" s="84" t="s">
        <v>2244</v>
      </c>
      <c r="R579" s="84" t="s">
        <v>1068</v>
      </c>
      <c r="S579" s="84">
        <v>0.19500000000000001</v>
      </c>
      <c r="T579" s="82" t="s">
        <v>2284</v>
      </c>
      <c r="U579" s="84"/>
      <c r="V579" s="54"/>
    </row>
    <row r="580" spans="1:22" s="11" customFormat="1" ht="45" customHeight="1" x14ac:dyDescent="0.2">
      <c r="A580" s="66" t="s">
        <v>2222</v>
      </c>
      <c r="B580" s="66" t="s">
        <v>1707</v>
      </c>
      <c r="C580" s="66" t="s">
        <v>2222</v>
      </c>
      <c r="D580" s="66">
        <v>4983164181661</v>
      </c>
      <c r="E580" s="68" t="s">
        <v>3268</v>
      </c>
      <c r="F580" s="66" t="s">
        <v>3269</v>
      </c>
      <c r="G580" s="71">
        <v>17822</v>
      </c>
      <c r="H580" s="73"/>
      <c r="I580" s="75">
        <v>0.2</v>
      </c>
      <c r="J580" s="77"/>
      <c r="K580" s="66"/>
      <c r="L580" s="66"/>
      <c r="M580" s="79" t="str">
        <f>HYPERLINK("http://www.pristavka.com/catalog/banpresto_series/BNS568/")</f>
        <v>http://www.pristavka.com/catalog/banpresto_series/BNS568/</v>
      </c>
      <c r="N580" s="71">
        <v>27499</v>
      </c>
      <c r="O580" s="66" t="s">
        <v>27</v>
      </c>
      <c r="P580" s="82" t="s">
        <v>3270</v>
      </c>
      <c r="Q580" s="84" t="s">
        <v>2244</v>
      </c>
      <c r="R580" s="84" t="s">
        <v>1068</v>
      </c>
      <c r="S580" s="84">
        <v>0.17499999999999999</v>
      </c>
      <c r="T580" s="82" t="s">
        <v>2276</v>
      </c>
      <c r="U580" s="84"/>
      <c r="V580" s="54"/>
    </row>
    <row r="581" spans="1:22" s="11" customFormat="1" ht="45" customHeight="1" x14ac:dyDescent="0.2">
      <c r="A581" s="66" t="s">
        <v>2222</v>
      </c>
      <c r="B581" s="66" t="s">
        <v>1707</v>
      </c>
      <c r="C581" s="66" t="s">
        <v>2222</v>
      </c>
      <c r="D581" s="66">
        <v>4983164189049</v>
      </c>
      <c r="E581" s="68" t="s">
        <v>3271</v>
      </c>
      <c r="F581" s="66" t="s">
        <v>3272</v>
      </c>
      <c r="G581" s="71">
        <v>16792</v>
      </c>
      <c r="H581" s="73"/>
      <c r="I581" s="75">
        <v>0.2</v>
      </c>
      <c r="J581" s="77"/>
      <c r="K581" s="66"/>
      <c r="L581" s="66"/>
      <c r="M581" s="79" t="str">
        <f>HYPERLINK("http://www.pristavka.com/catalog/banpresto_series/BNS575/")</f>
        <v>http://www.pristavka.com/catalog/banpresto_series/BNS575/</v>
      </c>
      <c r="N581" s="71">
        <v>25899</v>
      </c>
      <c r="O581" s="66" t="s">
        <v>27</v>
      </c>
      <c r="P581" s="82" t="s">
        <v>3273</v>
      </c>
      <c r="Q581" s="84" t="s">
        <v>2244</v>
      </c>
      <c r="R581" s="84" t="s">
        <v>1068</v>
      </c>
      <c r="S581" s="84">
        <v>0.187</v>
      </c>
      <c r="T581" s="82" t="s">
        <v>2284</v>
      </c>
      <c r="U581" s="84"/>
      <c r="V581" s="54"/>
    </row>
    <row r="582" spans="1:22" s="11" customFormat="1" ht="45" customHeight="1" x14ac:dyDescent="0.2">
      <c r="A582" s="66" t="s">
        <v>2222</v>
      </c>
      <c r="B582" s="66" t="s">
        <v>1707</v>
      </c>
      <c r="C582" s="66" t="s">
        <v>2222</v>
      </c>
      <c r="D582" s="66">
        <v>4983164190243</v>
      </c>
      <c r="E582" s="68" t="s">
        <v>3274</v>
      </c>
      <c r="F582" s="66" t="s">
        <v>3275</v>
      </c>
      <c r="G582" s="71">
        <v>17822</v>
      </c>
      <c r="H582" s="73"/>
      <c r="I582" s="75">
        <v>0.2</v>
      </c>
      <c r="J582" s="77"/>
      <c r="K582" s="66"/>
      <c r="L582" s="66"/>
      <c r="M582" s="79" t="str">
        <f>HYPERLINK("http://www.pristavka.com/catalog/banpresto_series/BNS586/")</f>
        <v>http://www.pristavka.com/catalog/banpresto_series/BNS586/</v>
      </c>
      <c r="N582" s="71">
        <v>27499</v>
      </c>
      <c r="O582" s="66" t="s">
        <v>27</v>
      </c>
      <c r="P582" s="82" t="s">
        <v>3276</v>
      </c>
      <c r="Q582" s="84" t="s">
        <v>2244</v>
      </c>
      <c r="R582" s="84" t="s">
        <v>1068</v>
      </c>
      <c r="S582" s="84">
        <v>0.17499999999999999</v>
      </c>
      <c r="T582" s="82" t="s">
        <v>2276</v>
      </c>
      <c r="U582" s="84"/>
      <c r="V582" s="54"/>
    </row>
    <row r="583" spans="1:22" s="11" customFormat="1" ht="45" customHeight="1" x14ac:dyDescent="0.2">
      <c r="A583" s="66" t="s">
        <v>2222</v>
      </c>
      <c r="B583" s="66" t="s">
        <v>1707</v>
      </c>
      <c r="C583" s="66" t="s">
        <v>2222</v>
      </c>
      <c r="D583" s="66">
        <v>4983164883749</v>
      </c>
      <c r="E583" s="68" t="s">
        <v>3277</v>
      </c>
      <c r="F583" s="66" t="s">
        <v>3278</v>
      </c>
      <c r="G583" s="71">
        <v>17135</v>
      </c>
      <c r="H583" s="73"/>
      <c r="I583" s="75">
        <v>0.2</v>
      </c>
      <c r="J583" s="77"/>
      <c r="K583" s="66"/>
      <c r="L583" s="66"/>
      <c r="M583" s="79" t="str">
        <f>HYPERLINK("http://www.pristavka.com/catalog/banpresto_series/BNS1035/")</f>
        <v>http://www.pristavka.com/catalog/banpresto_series/BNS1035/</v>
      </c>
      <c r="N583" s="71">
        <v>26399</v>
      </c>
      <c r="O583" s="66" t="s">
        <v>27</v>
      </c>
      <c r="P583" s="82" t="s">
        <v>3279</v>
      </c>
      <c r="Q583" s="84" t="s">
        <v>2244</v>
      </c>
      <c r="R583" s="84" t="s">
        <v>1068</v>
      </c>
      <c r="S583" s="84">
        <v>0.253</v>
      </c>
      <c r="T583" s="82" t="s">
        <v>2293</v>
      </c>
      <c r="U583" s="84"/>
      <c r="V583" s="54"/>
    </row>
    <row r="584" spans="1:22" s="11" customFormat="1" ht="45" customHeight="1" x14ac:dyDescent="0.2">
      <c r="A584" s="66" t="s">
        <v>2222</v>
      </c>
      <c r="B584" s="66" t="s">
        <v>1707</v>
      </c>
      <c r="C584" s="66" t="s">
        <v>2222</v>
      </c>
      <c r="D584" s="66">
        <v>4983164192438</v>
      </c>
      <c r="E584" s="68" t="s">
        <v>3280</v>
      </c>
      <c r="F584" s="66" t="s">
        <v>3281</v>
      </c>
      <c r="G584" s="71">
        <v>11985</v>
      </c>
      <c r="H584" s="73"/>
      <c r="I584" s="75">
        <v>0.2</v>
      </c>
      <c r="J584" s="77"/>
      <c r="K584" s="66"/>
      <c r="L584" s="66"/>
      <c r="M584" s="79" t="str">
        <f>HYPERLINK("http://www.pristavka.com/catalog/banpresto_series/BNS773/")</f>
        <v>http://www.pristavka.com/catalog/banpresto_series/BNS773/</v>
      </c>
      <c r="N584" s="71">
        <v>18499</v>
      </c>
      <c r="O584" s="66" t="s">
        <v>27</v>
      </c>
      <c r="P584" s="82" t="s">
        <v>3282</v>
      </c>
      <c r="Q584" s="84" t="s">
        <v>2244</v>
      </c>
      <c r="R584" s="84" t="s">
        <v>1068</v>
      </c>
      <c r="S584" s="84">
        <v>0.19800000000000001</v>
      </c>
      <c r="T584" s="82" t="s">
        <v>2284</v>
      </c>
      <c r="U584" s="84"/>
      <c r="V584" s="54"/>
    </row>
    <row r="585" spans="1:22" s="11" customFormat="1" ht="45" customHeight="1" x14ac:dyDescent="0.2">
      <c r="A585" s="66" t="s">
        <v>2222</v>
      </c>
      <c r="B585" s="66" t="s">
        <v>1707</v>
      </c>
      <c r="C585" s="66" t="s">
        <v>2222</v>
      </c>
      <c r="D585" s="66">
        <v>4983164192421</v>
      </c>
      <c r="E585" s="68" t="s">
        <v>3283</v>
      </c>
      <c r="F585" s="66" t="s">
        <v>3284</v>
      </c>
      <c r="G585" s="71">
        <v>12672</v>
      </c>
      <c r="H585" s="73"/>
      <c r="I585" s="75">
        <v>0.2</v>
      </c>
      <c r="J585" s="77"/>
      <c r="K585" s="66"/>
      <c r="L585" s="66"/>
      <c r="M585" s="79" t="str">
        <f>HYPERLINK("http://www.pristavka.com/catalog/banpresto_series/BNS775/")</f>
        <v>http://www.pristavka.com/catalog/banpresto_series/BNS775/</v>
      </c>
      <c r="N585" s="71">
        <v>19499</v>
      </c>
      <c r="O585" s="66" t="s">
        <v>28</v>
      </c>
      <c r="P585" s="82" t="s">
        <v>3285</v>
      </c>
      <c r="Q585" s="84" t="s">
        <v>2244</v>
      </c>
      <c r="R585" s="84" t="s">
        <v>1068</v>
      </c>
      <c r="S585" s="84">
        <v>0.21199999999999999</v>
      </c>
      <c r="T585" s="82" t="s">
        <v>2284</v>
      </c>
      <c r="U585" s="84"/>
      <c r="V585" s="54"/>
    </row>
    <row r="586" spans="1:22" s="11" customFormat="1" ht="45" customHeight="1" x14ac:dyDescent="0.2">
      <c r="A586" s="66" t="s">
        <v>2222</v>
      </c>
      <c r="B586" s="66" t="s">
        <v>1707</v>
      </c>
      <c r="C586" s="66" t="s">
        <v>2222</v>
      </c>
      <c r="D586" s="66">
        <v>4983164188141</v>
      </c>
      <c r="E586" s="68" t="s">
        <v>3286</v>
      </c>
      <c r="F586" s="66" t="s">
        <v>3287</v>
      </c>
      <c r="G586" s="71">
        <v>17822</v>
      </c>
      <c r="H586" s="73"/>
      <c r="I586" s="75">
        <v>0.2</v>
      </c>
      <c r="J586" s="77"/>
      <c r="K586" s="66"/>
      <c r="L586" s="66"/>
      <c r="M586" s="79" t="str">
        <f>HYPERLINK("http://www.pristavka.com/catalog/banpresto_series/BNS771/")</f>
        <v>http://www.pristavka.com/catalog/banpresto_series/BNS771/</v>
      </c>
      <c r="N586" s="71">
        <v>27499</v>
      </c>
      <c r="O586" s="66" t="s">
        <v>28</v>
      </c>
      <c r="P586" s="82" t="s">
        <v>3288</v>
      </c>
      <c r="Q586" s="84" t="s">
        <v>2244</v>
      </c>
      <c r="R586" s="84" t="s">
        <v>1068</v>
      </c>
      <c r="S586" s="84">
        <v>0.22</v>
      </c>
      <c r="T586" s="82" t="s">
        <v>2548</v>
      </c>
      <c r="U586" s="84"/>
      <c r="V586" s="54"/>
    </row>
    <row r="587" spans="1:22" s="11" customFormat="1" ht="45" customHeight="1" x14ac:dyDescent="0.2">
      <c r="A587" s="66" t="s">
        <v>2222</v>
      </c>
      <c r="B587" s="66" t="s">
        <v>1707</v>
      </c>
      <c r="C587" s="66" t="s">
        <v>2222</v>
      </c>
      <c r="D587" s="66">
        <v>4983164885736</v>
      </c>
      <c r="E587" s="68" t="s">
        <v>3289</v>
      </c>
      <c r="F587" s="66" t="s">
        <v>3290</v>
      </c>
      <c r="G587" s="71">
        <v>15762</v>
      </c>
      <c r="H587" s="73"/>
      <c r="I587" s="75">
        <v>0.2</v>
      </c>
      <c r="J587" s="77"/>
      <c r="K587" s="66"/>
      <c r="L587" s="66"/>
      <c r="M587" s="79" t="str">
        <f>HYPERLINK("http://www.pristavka.com/catalog/banpresto_series/BNS921/")</f>
        <v>http://www.pristavka.com/catalog/banpresto_series/BNS921/</v>
      </c>
      <c r="N587" s="71">
        <v>24299</v>
      </c>
      <c r="O587" s="66" t="s">
        <v>28</v>
      </c>
      <c r="P587" s="82" t="s">
        <v>3291</v>
      </c>
      <c r="Q587" s="84" t="s">
        <v>2244</v>
      </c>
      <c r="R587" s="84" t="s">
        <v>1068</v>
      </c>
      <c r="S587" s="84">
        <v>0.22</v>
      </c>
      <c r="T587" s="82" t="s">
        <v>2284</v>
      </c>
      <c r="U587" s="84"/>
      <c r="V587" s="54"/>
    </row>
    <row r="588" spans="1:22" s="11" customFormat="1" ht="45" customHeight="1" x14ac:dyDescent="0.2">
      <c r="A588" s="66" t="s">
        <v>2222</v>
      </c>
      <c r="B588" s="66" t="s">
        <v>1707</v>
      </c>
      <c r="C588" s="66" t="s">
        <v>2222</v>
      </c>
      <c r="D588" s="66">
        <v>4983164183658</v>
      </c>
      <c r="E588" s="68" t="s">
        <v>3292</v>
      </c>
      <c r="F588" s="66" t="s">
        <v>3293</v>
      </c>
      <c r="G588" s="71">
        <v>8552</v>
      </c>
      <c r="H588" s="73"/>
      <c r="I588" s="75">
        <v>0.2</v>
      </c>
      <c r="J588" s="77"/>
      <c r="K588" s="66"/>
      <c r="L588" s="66"/>
      <c r="M588" s="79" t="str">
        <f>HYPERLINK("http://www.pristavka.com/catalog/banpresto_series/BNS975/")</f>
        <v>http://www.pristavka.com/catalog/banpresto_series/BNS975/</v>
      </c>
      <c r="N588" s="71">
        <v>13199</v>
      </c>
      <c r="O588" s="66" t="s">
        <v>27</v>
      </c>
      <c r="P588" s="82" t="s">
        <v>3294</v>
      </c>
      <c r="Q588" s="84" t="s">
        <v>2244</v>
      </c>
      <c r="R588" s="84" t="s">
        <v>1068</v>
      </c>
      <c r="S588" s="84">
        <v>0.24199999999999999</v>
      </c>
      <c r="T588" s="82" t="s">
        <v>2399</v>
      </c>
      <c r="U588" s="84"/>
      <c r="V588" s="54"/>
    </row>
    <row r="589" spans="1:22" s="11" customFormat="1" ht="45" customHeight="1" x14ac:dyDescent="0.2">
      <c r="A589" s="66" t="s">
        <v>2222</v>
      </c>
      <c r="B589" s="66" t="s">
        <v>1707</v>
      </c>
      <c r="C589" s="66" t="s">
        <v>2222</v>
      </c>
      <c r="D589" s="66">
        <v>4983164181678</v>
      </c>
      <c r="E589" s="68" t="s">
        <v>3295</v>
      </c>
      <c r="F589" s="66" t="s">
        <v>3296</v>
      </c>
      <c r="G589" s="71">
        <v>16792</v>
      </c>
      <c r="H589" s="73"/>
      <c r="I589" s="75">
        <v>0.2</v>
      </c>
      <c r="J589" s="77"/>
      <c r="K589" s="66"/>
      <c r="L589" s="66"/>
      <c r="M589" s="79" t="str">
        <f>HYPERLINK("http://www.pristavka.com/catalog/banpresto_series/BNS569/")</f>
        <v>http://www.pristavka.com/catalog/banpresto_series/BNS569/</v>
      </c>
      <c r="N589" s="71">
        <v>25899</v>
      </c>
      <c r="O589" s="66" t="s">
        <v>28</v>
      </c>
      <c r="P589" s="82" t="s">
        <v>3297</v>
      </c>
      <c r="Q589" s="84" t="s">
        <v>2244</v>
      </c>
      <c r="R589" s="84" t="s">
        <v>1068</v>
      </c>
      <c r="S589" s="84">
        <v>0.23799999999999999</v>
      </c>
      <c r="T589" s="82" t="s">
        <v>2284</v>
      </c>
      <c r="U589" s="84"/>
      <c r="V589" s="54"/>
    </row>
    <row r="590" spans="1:22" s="11" customFormat="1" ht="45" customHeight="1" x14ac:dyDescent="0.2">
      <c r="A590" s="66" t="s">
        <v>2222</v>
      </c>
      <c r="B590" s="66" t="s">
        <v>1707</v>
      </c>
      <c r="C590" s="66" t="s">
        <v>2222</v>
      </c>
      <c r="D590" s="66">
        <v>4983164882452</v>
      </c>
      <c r="E590" s="68" t="s">
        <v>3298</v>
      </c>
      <c r="F590" s="66" t="s">
        <v>3299</v>
      </c>
      <c r="G590" s="71">
        <v>13359</v>
      </c>
      <c r="H590" s="73"/>
      <c r="I590" s="75">
        <v>0.2</v>
      </c>
      <c r="J590" s="77"/>
      <c r="K590" s="66"/>
      <c r="L590" s="66"/>
      <c r="M590" s="79" t="str">
        <f>HYPERLINK("http://www.pristavka.com/catalog/banpresto_series/BNS804/")</f>
        <v>http://www.pristavka.com/catalog/banpresto_series/BNS804/</v>
      </c>
      <c r="N590" s="71">
        <v>20599</v>
      </c>
      <c r="O590" s="66" t="s">
        <v>28</v>
      </c>
      <c r="P590" s="82" t="s">
        <v>3300</v>
      </c>
      <c r="Q590" s="84" t="s">
        <v>1067</v>
      </c>
      <c r="R590" s="84" t="s">
        <v>1068</v>
      </c>
      <c r="S590" s="84">
        <v>0.218</v>
      </c>
      <c r="T590" s="82" t="s">
        <v>2284</v>
      </c>
      <c r="U590" s="84"/>
      <c r="V590" s="54"/>
    </row>
    <row r="591" spans="1:22" s="11" customFormat="1" ht="45" customHeight="1" x14ac:dyDescent="0.2">
      <c r="A591" s="66" t="s">
        <v>2222</v>
      </c>
      <c r="B591" s="66" t="s">
        <v>1707</v>
      </c>
      <c r="C591" s="66" t="s">
        <v>2222</v>
      </c>
      <c r="D591" s="66">
        <v>4983164881240</v>
      </c>
      <c r="E591" s="68" t="s">
        <v>3301</v>
      </c>
      <c r="F591" s="66" t="s">
        <v>3302</v>
      </c>
      <c r="G591" s="71">
        <v>14732</v>
      </c>
      <c r="H591" s="73"/>
      <c r="I591" s="75">
        <v>0.2</v>
      </c>
      <c r="J591" s="77"/>
      <c r="K591" s="66"/>
      <c r="L591" s="66"/>
      <c r="M591" s="79" t="str">
        <f>HYPERLINK("http://www.pristavka.com/catalog/banpresto_series/BNS803/")</f>
        <v>http://www.pristavka.com/catalog/banpresto_series/BNS803/</v>
      </c>
      <c r="N591" s="71">
        <v>22699</v>
      </c>
      <c r="O591" s="66" t="s">
        <v>28</v>
      </c>
      <c r="P591" s="82" t="s">
        <v>3303</v>
      </c>
      <c r="Q591" s="84" t="s">
        <v>1067</v>
      </c>
      <c r="R591" s="84" t="s">
        <v>1068</v>
      </c>
      <c r="S591" s="84">
        <v>0.188</v>
      </c>
      <c r="T591" s="82" t="s">
        <v>2284</v>
      </c>
      <c r="U591" s="84"/>
      <c r="V591" s="54"/>
    </row>
    <row r="592" spans="1:22" s="11" customFormat="1" ht="45" customHeight="1" x14ac:dyDescent="0.2">
      <c r="A592" s="66" t="s">
        <v>2222</v>
      </c>
      <c r="B592" s="66" t="s">
        <v>1707</v>
      </c>
      <c r="C592" s="66" t="s">
        <v>2222</v>
      </c>
      <c r="D592" s="66">
        <v>4983164192483</v>
      </c>
      <c r="E592" s="68" t="s">
        <v>3304</v>
      </c>
      <c r="F592" s="66" t="s">
        <v>3305</v>
      </c>
      <c r="G592" s="71">
        <v>12672</v>
      </c>
      <c r="H592" s="73"/>
      <c r="I592" s="75">
        <v>0.2</v>
      </c>
      <c r="J592" s="77"/>
      <c r="K592" s="66"/>
      <c r="L592" s="66"/>
      <c r="M592" s="79" t="str">
        <f>HYPERLINK("http://www.pristavka.com/catalog/banpresto_series/BNS810/")</f>
        <v>http://www.pristavka.com/catalog/banpresto_series/BNS810/</v>
      </c>
      <c r="N592" s="71">
        <v>19499</v>
      </c>
      <c r="O592" s="66" t="s">
        <v>27</v>
      </c>
      <c r="P592" s="82" t="s">
        <v>3306</v>
      </c>
      <c r="Q592" s="84" t="s">
        <v>1505</v>
      </c>
      <c r="R592" s="84" t="s">
        <v>1068</v>
      </c>
      <c r="S592" s="84">
        <v>0.23799999999999999</v>
      </c>
      <c r="T592" s="82" t="s">
        <v>2284</v>
      </c>
      <c r="U592" s="84"/>
      <c r="V592" s="54"/>
    </row>
    <row r="593" spans="1:22" s="11" customFormat="1" ht="45" customHeight="1" x14ac:dyDescent="0.2">
      <c r="A593" s="66" t="s">
        <v>2222</v>
      </c>
      <c r="B593" s="66" t="s">
        <v>1707</v>
      </c>
      <c r="C593" s="66" t="s">
        <v>2222</v>
      </c>
      <c r="D593" s="66">
        <v>4983164881943</v>
      </c>
      <c r="E593" s="68" t="s">
        <v>3307</v>
      </c>
      <c r="F593" s="66" t="s">
        <v>3308</v>
      </c>
      <c r="G593" s="71">
        <v>19539</v>
      </c>
      <c r="H593" s="73"/>
      <c r="I593" s="75">
        <v>0.2</v>
      </c>
      <c r="J593" s="77"/>
      <c r="K593" s="66"/>
      <c r="L593" s="66"/>
      <c r="M593" s="79" t="str">
        <f>HYPERLINK("http://www.pristavka.com/catalog/banpresto_series/BNS750/")</f>
        <v>http://www.pristavka.com/catalog/banpresto_series/BNS750/</v>
      </c>
      <c r="N593" s="71">
        <v>30099</v>
      </c>
      <c r="O593" s="66" t="s">
        <v>27</v>
      </c>
      <c r="P593" s="82" t="s">
        <v>3309</v>
      </c>
      <c r="Q593" s="84" t="s">
        <v>1091</v>
      </c>
      <c r="R593" s="84" t="s">
        <v>1068</v>
      </c>
      <c r="S593" s="84">
        <v>0.16800000000000001</v>
      </c>
      <c r="T593" s="82" t="s">
        <v>2284</v>
      </c>
      <c r="U593" s="84"/>
      <c r="V593" s="54"/>
    </row>
    <row r="594" spans="1:22" s="11" customFormat="1" ht="45" customHeight="1" x14ac:dyDescent="0.2">
      <c r="A594" s="66" t="s">
        <v>3310</v>
      </c>
      <c r="B594" s="66" t="s">
        <v>1155</v>
      </c>
      <c r="C594" s="66" t="s">
        <v>3310</v>
      </c>
      <c r="D594" s="66">
        <v>5060502917942</v>
      </c>
      <c r="E594" s="68" t="s">
        <v>3311</v>
      </c>
      <c r="F594" s="66" t="s">
        <v>3312</v>
      </c>
      <c r="G594" s="71">
        <v>6835</v>
      </c>
      <c r="H594" s="73"/>
      <c r="I594" s="75">
        <v>0.2</v>
      </c>
      <c r="J594" s="77"/>
      <c r="K594" s="66"/>
      <c r="L594" s="66"/>
      <c r="M594" s="79" t="str">
        <f>HYPERLINK("http://www.pristavka.com/catalog/Blue_Sky/BLSK25/")</f>
        <v>http://www.pristavka.com/catalog/Blue_Sky/BLSK25/</v>
      </c>
      <c r="N594" s="71">
        <v>10599</v>
      </c>
      <c r="O594" s="66" t="s">
        <v>27</v>
      </c>
      <c r="P594" s="82" t="s">
        <v>3313</v>
      </c>
      <c r="Q594" s="84" t="s">
        <v>1102</v>
      </c>
      <c r="R594" s="84" t="s">
        <v>1303</v>
      </c>
      <c r="S594" s="84">
        <v>0.3</v>
      </c>
      <c r="T594" s="82" t="s">
        <v>3314</v>
      </c>
      <c r="U594" s="84"/>
      <c r="V594" s="54"/>
    </row>
    <row r="595" spans="1:22" s="11" customFormat="1" ht="45" customHeight="1" x14ac:dyDescent="0.2">
      <c r="A595" s="66" t="s">
        <v>3310</v>
      </c>
      <c r="B595" s="66" t="s">
        <v>1155</v>
      </c>
      <c r="C595" s="66" t="s">
        <v>3310</v>
      </c>
      <c r="D595" s="66">
        <v>5060718149618</v>
      </c>
      <c r="E595" s="68" t="s">
        <v>3315</v>
      </c>
      <c r="F595" s="66" t="s">
        <v>3316</v>
      </c>
      <c r="G595" s="71">
        <v>3402</v>
      </c>
      <c r="H595" s="73"/>
      <c r="I595" s="75">
        <v>0.2</v>
      </c>
      <c r="J595" s="77"/>
      <c r="K595" s="66"/>
      <c r="L595" s="66"/>
      <c r="M595" s="79" t="str">
        <f>HYPERLINK("http://www.pristavka.com/catalog/Blue_Sky/BLSK15/")</f>
        <v>http://www.pristavka.com/catalog/Blue_Sky/BLSK15/</v>
      </c>
      <c r="N595" s="71">
        <v>5299</v>
      </c>
      <c r="O595" s="66" t="s">
        <v>27</v>
      </c>
      <c r="P595" s="82" t="s">
        <v>3317</v>
      </c>
      <c r="Q595" s="84" t="s">
        <v>1102</v>
      </c>
      <c r="R595" s="84" t="s">
        <v>1303</v>
      </c>
      <c r="S595" s="84">
        <v>0.28000000000000003</v>
      </c>
      <c r="T595" s="82" t="s">
        <v>3318</v>
      </c>
      <c r="U595" s="84"/>
      <c r="V595" s="54"/>
    </row>
    <row r="596" spans="1:22" s="11" customFormat="1" ht="45" customHeight="1" x14ac:dyDescent="0.2">
      <c r="A596" s="66" t="s">
        <v>3310</v>
      </c>
      <c r="B596" s="66" t="s">
        <v>1155</v>
      </c>
      <c r="C596" s="66" t="s">
        <v>3310</v>
      </c>
      <c r="D596" s="66">
        <v>5056563712824</v>
      </c>
      <c r="E596" s="68" t="s">
        <v>3319</v>
      </c>
      <c r="F596" s="66" t="s">
        <v>3320</v>
      </c>
      <c r="G596" s="71">
        <v>5118</v>
      </c>
      <c r="H596" s="73"/>
      <c r="I596" s="75">
        <v>0.2</v>
      </c>
      <c r="J596" s="77"/>
      <c r="K596" s="66"/>
      <c r="L596" s="66"/>
      <c r="M596" s="79" t="str">
        <f>HYPERLINK("http://www.pristavka.com/catalog/Blue_Sky/BLSK18/")</f>
        <v>http://www.pristavka.com/catalog/Blue_Sky/BLSK18/</v>
      </c>
      <c r="N596" s="71">
        <v>7899</v>
      </c>
      <c r="O596" s="66" t="s">
        <v>27</v>
      </c>
      <c r="P596" s="82" t="s">
        <v>3321</v>
      </c>
      <c r="Q596" s="84" t="s">
        <v>1102</v>
      </c>
      <c r="R596" s="84" t="s">
        <v>1303</v>
      </c>
      <c r="S596" s="84">
        <v>0.22600000000000001</v>
      </c>
      <c r="T596" s="82" t="s">
        <v>3322</v>
      </c>
      <c r="U596" s="84"/>
      <c r="V596" s="54"/>
    </row>
    <row r="597" spans="1:22" s="11" customFormat="1" ht="45" customHeight="1" x14ac:dyDescent="0.2">
      <c r="A597" s="66" t="s">
        <v>3310</v>
      </c>
      <c r="B597" s="66" t="s">
        <v>1155</v>
      </c>
      <c r="C597" s="66" t="s">
        <v>3310</v>
      </c>
      <c r="D597" s="66">
        <v>5056563717461</v>
      </c>
      <c r="E597" s="68" t="s">
        <v>3323</v>
      </c>
      <c r="F597" s="66" t="s">
        <v>3324</v>
      </c>
      <c r="G597" s="71">
        <v>15762</v>
      </c>
      <c r="H597" s="73"/>
      <c r="I597" s="75">
        <v>0.2</v>
      </c>
      <c r="J597" s="77"/>
      <c r="K597" s="66"/>
      <c r="L597" s="66"/>
      <c r="M597" s="79" t="str">
        <f>HYPERLINK("http://www.pristavka.com/catalog/Blue_Sky/BLSK6/")</f>
        <v>http://www.pristavka.com/catalog/Blue_Sky/BLSK6/</v>
      </c>
      <c r="N597" s="71">
        <v>24299</v>
      </c>
      <c r="O597" s="66" t="s">
        <v>27</v>
      </c>
      <c r="P597" s="82" t="s">
        <v>3325</v>
      </c>
      <c r="Q597" s="84" t="s">
        <v>3326</v>
      </c>
      <c r="R597" s="84" t="s">
        <v>3327</v>
      </c>
      <c r="S597" s="84">
        <v>0.74199999999999999</v>
      </c>
      <c r="T597" s="82" t="s">
        <v>3328</v>
      </c>
      <c r="U597" s="84"/>
      <c r="V597" s="54"/>
    </row>
    <row r="598" spans="1:22" s="11" customFormat="1" ht="45" customHeight="1" x14ac:dyDescent="0.2">
      <c r="A598" s="66" t="s">
        <v>3310</v>
      </c>
      <c r="B598" s="66" t="s">
        <v>1155</v>
      </c>
      <c r="C598" s="66" t="s">
        <v>3310</v>
      </c>
      <c r="D598" s="66">
        <v>5056563713395</v>
      </c>
      <c r="E598" s="68" t="s">
        <v>3329</v>
      </c>
      <c r="F598" s="66" t="s">
        <v>3330</v>
      </c>
      <c r="G598" s="71">
        <v>9239</v>
      </c>
      <c r="H598" s="73"/>
      <c r="I598" s="75">
        <v>0.2</v>
      </c>
      <c r="J598" s="77"/>
      <c r="K598" s="66"/>
      <c r="L598" s="66"/>
      <c r="M598" s="79" t="str">
        <f>HYPERLINK("http://www.pristavka.com/catalog/Blue_Sky/BLSK20/")</f>
        <v>http://www.pristavka.com/catalog/Blue_Sky/BLSK20/</v>
      </c>
      <c r="N598" s="71">
        <v>14299</v>
      </c>
      <c r="O598" s="66" t="s">
        <v>27</v>
      </c>
      <c r="P598" s="82" t="s">
        <v>3331</v>
      </c>
      <c r="Q598" s="84" t="s">
        <v>1102</v>
      </c>
      <c r="R598" s="84" t="s">
        <v>1303</v>
      </c>
      <c r="S598" s="84">
        <v>0.38500000000000001</v>
      </c>
      <c r="T598" s="82" t="s">
        <v>3332</v>
      </c>
      <c r="U598" s="84"/>
      <c r="V598" s="54"/>
    </row>
    <row r="599" spans="1:22" s="11" customFormat="1" ht="45" customHeight="1" x14ac:dyDescent="0.2">
      <c r="A599" s="66" t="s">
        <v>3310</v>
      </c>
      <c r="B599" s="66" t="s">
        <v>1155</v>
      </c>
      <c r="C599" s="66" t="s">
        <v>3310</v>
      </c>
      <c r="D599" s="66">
        <v>5060718148451</v>
      </c>
      <c r="E599" s="68" t="s">
        <v>3333</v>
      </c>
      <c r="F599" s="66" t="s">
        <v>3334</v>
      </c>
      <c r="G599" s="71">
        <v>11299</v>
      </c>
      <c r="H599" s="73"/>
      <c r="I599" s="75">
        <v>0.2</v>
      </c>
      <c r="J599" s="77"/>
      <c r="K599" s="66"/>
      <c r="L599" s="66"/>
      <c r="M599" s="79" t="str">
        <f>HYPERLINK("http://www.pristavka.com/catalog/Blue_Sky/BLSK14/")</f>
        <v>http://www.pristavka.com/catalog/Blue_Sky/BLSK14/</v>
      </c>
      <c r="N599" s="71">
        <v>17399</v>
      </c>
      <c r="O599" s="66" t="s">
        <v>27</v>
      </c>
      <c r="P599" s="82" t="s">
        <v>3335</v>
      </c>
      <c r="Q599" s="84" t="s">
        <v>1102</v>
      </c>
      <c r="R599" s="84" t="s">
        <v>1303</v>
      </c>
      <c r="S599" s="84">
        <v>0.375</v>
      </c>
      <c r="T599" s="82" t="s">
        <v>3336</v>
      </c>
      <c r="U599" s="84"/>
      <c r="V599" s="54"/>
    </row>
    <row r="600" spans="1:22" s="11" customFormat="1" ht="45" customHeight="1" x14ac:dyDescent="0.2">
      <c r="A600" s="66" t="s">
        <v>3310</v>
      </c>
      <c r="B600" s="66" t="s">
        <v>1155</v>
      </c>
      <c r="C600" s="66" t="s">
        <v>3310</v>
      </c>
      <c r="D600" s="66">
        <v>5056563716945</v>
      </c>
      <c r="E600" s="68" t="s">
        <v>3337</v>
      </c>
      <c r="F600" s="66" t="s">
        <v>3338</v>
      </c>
      <c r="G600" s="71">
        <v>8209</v>
      </c>
      <c r="H600" s="73"/>
      <c r="I600" s="75">
        <v>0.2</v>
      </c>
      <c r="J600" s="77"/>
      <c r="K600" s="66"/>
      <c r="L600" s="66"/>
      <c r="M600" s="79" t="str">
        <f>HYPERLINK("http://www.pristavka.com/catalog/Blue_Sky/BLSK2/")</f>
        <v>http://www.pristavka.com/catalog/Blue_Sky/BLSK2/</v>
      </c>
      <c r="N600" s="71">
        <v>12699</v>
      </c>
      <c r="O600" s="66" t="s">
        <v>27</v>
      </c>
      <c r="P600" s="82" t="s">
        <v>3339</v>
      </c>
      <c r="Q600" s="84" t="s">
        <v>3326</v>
      </c>
      <c r="R600" s="84" t="s">
        <v>3327</v>
      </c>
      <c r="S600" s="84">
        <v>0.41399999999999998</v>
      </c>
      <c r="T600" s="82" t="s">
        <v>3340</v>
      </c>
      <c r="U600" s="84"/>
      <c r="V600" s="54"/>
    </row>
    <row r="601" spans="1:22" s="11" customFormat="1" ht="45" customHeight="1" x14ac:dyDescent="0.2">
      <c r="A601" s="66" t="s">
        <v>3310</v>
      </c>
      <c r="B601" s="66" t="s">
        <v>1155</v>
      </c>
      <c r="C601" s="66" t="s">
        <v>3310</v>
      </c>
      <c r="D601" s="66">
        <v>5056563714309</v>
      </c>
      <c r="E601" s="68" t="s">
        <v>3341</v>
      </c>
      <c r="F601" s="66" t="s">
        <v>3342</v>
      </c>
      <c r="G601" s="71">
        <v>8552</v>
      </c>
      <c r="H601" s="73"/>
      <c r="I601" s="75">
        <v>0.2</v>
      </c>
      <c r="J601" s="77"/>
      <c r="K601" s="66"/>
      <c r="L601" s="66"/>
      <c r="M601" s="79" t="str">
        <f>HYPERLINK("http://www.pristavka.com/catalog/Blue_Sky/BLSK21/")</f>
        <v>http://www.pristavka.com/catalog/Blue_Sky/BLSK21/</v>
      </c>
      <c r="N601" s="71">
        <v>13199</v>
      </c>
      <c r="O601" s="66" t="s">
        <v>27</v>
      </c>
      <c r="P601" s="82" t="s">
        <v>3343</v>
      </c>
      <c r="Q601" s="84" t="s">
        <v>1102</v>
      </c>
      <c r="R601" s="84" t="s">
        <v>1303</v>
      </c>
      <c r="S601" s="84">
        <v>0.38500000000000001</v>
      </c>
      <c r="T601" s="82" t="s">
        <v>3344</v>
      </c>
      <c r="U601" s="84"/>
      <c r="V601" s="54"/>
    </row>
    <row r="602" spans="1:22" s="11" customFormat="1" ht="45" customHeight="1" x14ac:dyDescent="0.2">
      <c r="A602" s="66" t="s">
        <v>3310</v>
      </c>
      <c r="B602" s="66" t="s">
        <v>1155</v>
      </c>
      <c r="C602" s="66" t="s">
        <v>3310</v>
      </c>
      <c r="D602" s="66">
        <v>5056563713807</v>
      </c>
      <c r="E602" s="68" t="s">
        <v>3345</v>
      </c>
      <c r="F602" s="66" t="s">
        <v>3346</v>
      </c>
      <c r="G602" s="71">
        <v>8552</v>
      </c>
      <c r="H602" s="73"/>
      <c r="I602" s="75">
        <v>0.2</v>
      </c>
      <c r="J602" s="77"/>
      <c r="K602" s="66"/>
      <c r="L602" s="66"/>
      <c r="M602" s="79" t="str">
        <f>HYPERLINK("http://www.pristavka.com/catalog/Blue_Sky/BLSK28/")</f>
        <v>http://www.pristavka.com/catalog/Blue_Sky/BLSK28/</v>
      </c>
      <c r="N602" s="71">
        <v>13199</v>
      </c>
      <c r="O602" s="66" t="s">
        <v>27</v>
      </c>
      <c r="P602" s="82" t="s">
        <v>3347</v>
      </c>
      <c r="Q602" s="84" t="s">
        <v>1297</v>
      </c>
      <c r="R602" s="84" t="s">
        <v>1303</v>
      </c>
      <c r="S602" s="84">
        <v>0.372</v>
      </c>
      <c r="T602" s="82" t="s">
        <v>3348</v>
      </c>
      <c r="U602" s="84"/>
      <c r="V602" s="54"/>
    </row>
    <row r="603" spans="1:22" s="11" customFormat="1" ht="45" customHeight="1" x14ac:dyDescent="0.2">
      <c r="A603" s="66" t="s">
        <v>3310</v>
      </c>
      <c r="B603" s="66" t="s">
        <v>1155</v>
      </c>
      <c r="C603" s="66" t="s">
        <v>3310</v>
      </c>
      <c r="D603" s="66">
        <v>5056563719724</v>
      </c>
      <c r="E603" s="68" t="s">
        <v>3349</v>
      </c>
      <c r="F603" s="66" t="s">
        <v>3350</v>
      </c>
      <c r="G603" s="71">
        <v>11299</v>
      </c>
      <c r="H603" s="73"/>
      <c r="I603" s="75">
        <v>0.2</v>
      </c>
      <c r="J603" s="77"/>
      <c r="K603" s="66"/>
      <c r="L603" s="66"/>
      <c r="M603" s="79" t="str">
        <f>HYPERLINK("http://www.pristavka.com/catalog/Blue_Sky/BLSK9/")</f>
        <v>http://www.pristavka.com/catalog/Blue_Sky/BLSK9/</v>
      </c>
      <c r="N603" s="71">
        <v>17399</v>
      </c>
      <c r="O603" s="66" t="s">
        <v>27</v>
      </c>
      <c r="P603" s="82" t="s">
        <v>3351</v>
      </c>
      <c r="Q603" s="84" t="s">
        <v>3326</v>
      </c>
      <c r="R603" s="84" t="s">
        <v>3327</v>
      </c>
      <c r="S603" s="84">
        <v>0.218</v>
      </c>
      <c r="T603" s="82" t="s">
        <v>3352</v>
      </c>
      <c r="U603" s="84"/>
      <c r="V603" s="54"/>
    </row>
    <row r="604" spans="1:22" s="11" customFormat="1" ht="45" customHeight="1" x14ac:dyDescent="0.2">
      <c r="A604" s="66" t="s">
        <v>3310</v>
      </c>
      <c r="B604" s="66" t="s">
        <v>1155</v>
      </c>
      <c r="C604" s="66" t="s">
        <v>3310</v>
      </c>
      <c r="D604" s="66">
        <v>5060718143975</v>
      </c>
      <c r="E604" s="68" t="s">
        <v>3353</v>
      </c>
      <c r="F604" s="66" t="s">
        <v>3354</v>
      </c>
      <c r="G604" s="71">
        <v>11299</v>
      </c>
      <c r="H604" s="73"/>
      <c r="I604" s="75">
        <v>0.2</v>
      </c>
      <c r="J604" s="77"/>
      <c r="K604" s="66"/>
      <c r="L604" s="66"/>
      <c r="M604" s="79" t="str">
        <f>HYPERLINK("http://www.pristavka.com/catalog/Blue_Sky/BLSK27/")</f>
        <v>http://www.pristavka.com/catalog/Blue_Sky/BLSK27/</v>
      </c>
      <c r="N604" s="71">
        <v>17399</v>
      </c>
      <c r="O604" s="66" t="s">
        <v>27</v>
      </c>
      <c r="P604" s="82" t="s">
        <v>3355</v>
      </c>
      <c r="Q604" s="84" t="s">
        <v>1102</v>
      </c>
      <c r="R604" s="84" t="s">
        <v>1303</v>
      </c>
      <c r="S604" s="84">
        <v>0.25</v>
      </c>
      <c r="T604" s="82" t="s">
        <v>3356</v>
      </c>
      <c r="U604" s="84"/>
      <c r="V604" s="54"/>
    </row>
    <row r="605" spans="1:22" s="11" customFormat="1" ht="45" customHeight="1" x14ac:dyDescent="0.2">
      <c r="A605" s="66" t="s">
        <v>3310</v>
      </c>
      <c r="B605" s="66" t="s">
        <v>1155</v>
      </c>
      <c r="C605" s="66" t="s">
        <v>3310</v>
      </c>
      <c r="D605" s="66">
        <v>5056563716952</v>
      </c>
      <c r="E605" s="68" t="s">
        <v>3357</v>
      </c>
      <c r="F605" s="66" t="s">
        <v>3358</v>
      </c>
      <c r="G605" s="71">
        <v>9239</v>
      </c>
      <c r="H605" s="73"/>
      <c r="I605" s="75">
        <v>0.2</v>
      </c>
      <c r="J605" s="77"/>
      <c r="K605" s="66"/>
      <c r="L605" s="66"/>
      <c r="M605" s="79" t="str">
        <f>HYPERLINK("http://www.pristavka.com/catalog/Blue_Sky/BLSK3/")</f>
        <v>http://www.pristavka.com/catalog/Blue_Sky/BLSK3/</v>
      </c>
      <c r="N605" s="71">
        <v>14299</v>
      </c>
      <c r="O605" s="66" t="s">
        <v>27</v>
      </c>
      <c r="P605" s="82" t="s">
        <v>3359</v>
      </c>
      <c r="Q605" s="84" t="s">
        <v>3326</v>
      </c>
      <c r="R605" s="84" t="s">
        <v>3327</v>
      </c>
      <c r="S605" s="84">
        <v>0.22800000000000001</v>
      </c>
      <c r="T605" s="82" t="s">
        <v>3360</v>
      </c>
      <c r="U605" s="84"/>
      <c r="V605" s="54"/>
    </row>
    <row r="606" spans="1:22" s="11" customFormat="1" ht="45" customHeight="1" x14ac:dyDescent="0.2">
      <c r="A606" s="66" t="s">
        <v>3310</v>
      </c>
      <c r="B606" s="66" t="s">
        <v>1155</v>
      </c>
      <c r="C606" s="66" t="s">
        <v>3310</v>
      </c>
      <c r="D606" s="66">
        <v>5056563714859</v>
      </c>
      <c r="E606" s="68" t="s">
        <v>3361</v>
      </c>
      <c r="F606" s="66" t="s">
        <v>3362</v>
      </c>
      <c r="G606" s="71">
        <v>9239</v>
      </c>
      <c r="H606" s="73"/>
      <c r="I606" s="75">
        <v>0.2</v>
      </c>
      <c r="J606" s="77"/>
      <c r="K606" s="66"/>
      <c r="L606" s="66"/>
      <c r="M606" s="79" t="str">
        <f>HYPERLINK("http://www.pristavka.com/catalog/Blue_Sky/BLSK32/")</f>
        <v>http://www.pristavka.com/catalog/Blue_Sky/BLSK32/</v>
      </c>
      <c r="N606" s="71">
        <v>14299</v>
      </c>
      <c r="O606" s="66" t="s">
        <v>27</v>
      </c>
      <c r="P606" s="82" t="s">
        <v>3363</v>
      </c>
      <c r="Q606" s="84" t="s">
        <v>1297</v>
      </c>
      <c r="R606" s="84" t="s">
        <v>1303</v>
      </c>
      <c r="S606" s="84">
        <v>0.51</v>
      </c>
      <c r="T606" s="82" t="s">
        <v>3364</v>
      </c>
      <c r="U606" s="84"/>
      <c r="V606" s="54"/>
    </row>
    <row r="607" spans="1:22" s="11" customFormat="1" ht="45" customHeight="1" x14ac:dyDescent="0.2">
      <c r="A607" s="66" t="s">
        <v>3310</v>
      </c>
      <c r="B607" s="66" t="s">
        <v>1155</v>
      </c>
      <c r="C607" s="66" t="s">
        <v>3310</v>
      </c>
      <c r="D607" s="66">
        <v>5056563712411</v>
      </c>
      <c r="E607" s="68" t="s">
        <v>3365</v>
      </c>
      <c r="F607" s="66" t="s">
        <v>3366</v>
      </c>
      <c r="G607" s="71">
        <v>9239</v>
      </c>
      <c r="H607" s="73"/>
      <c r="I607" s="75">
        <v>0.2</v>
      </c>
      <c r="J607" s="77"/>
      <c r="K607" s="66"/>
      <c r="L607" s="66"/>
      <c r="M607" s="79" t="str">
        <f>HYPERLINK("http://www.pristavka.com/catalog/Blue_Sky/BLSK17/")</f>
        <v>http://www.pristavka.com/catalog/Blue_Sky/BLSK17/</v>
      </c>
      <c r="N607" s="71">
        <v>14299</v>
      </c>
      <c r="O607" s="66" t="s">
        <v>27</v>
      </c>
      <c r="P607" s="82" t="s">
        <v>3367</v>
      </c>
      <c r="Q607" s="84" t="s">
        <v>1102</v>
      </c>
      <c r="R607" s="84" t="s">
        <v>1303</v>
      </c>
      <c r="S607" s="84">
        <v>0.13200000000000001</v>
      </c>
      <c r="T607" s="82" t="s">
        <v>3368</v>
      </c>
      <c r="U607" s="84"/>
      <c r="V607" s="54"/>
    </row>
    <row r="608" spans="1:22" s="11" customFormat="1" ht="45" customHeight="1" x14ac:dyDescent="0.2">
      <c r="A608" s="66" t="s">
        <v>3310</v>
      </c>
      <c r="B608" s="66" t="s">
        <v>1155</v>
      </c>
      <c r="C608" s="66" t="s">
        <v>3310</v>
      </c>
      <c r="D608" s="66">
        <v>5056563719731</v>
      </c>
      <c r="E608" s="68" t="s">
        <v>3369</v>
      </c>
      <c r="F608" s="66" t="s">
        <v>3370</v>
      </c>
      <c r="G608" s="71">
        <v>18852</v>
      </c>
      <c r="H608" s="73"/>
      <c r="I608" s="75">
        <v>0.2</v>
      </c>
      <c r="J608" s="77"/>
      <c r="K608" s="66"/>
      <c r="L608" s="66"/>
      <c r="M608" s="79" t="str">
        <f>HYPERLINK("http://www.pristavka.com/catalog/Blue_Sky/BLSK11/")</f>
        <v>http://www.pristavka.com/catalog/Blue_Sky/BLSK11/</v>
      </c>
      <c r="N608" s="71">
        <v>28999</v>
      </c>
      <c r="O608" s="66" t="s">
        <v>27</v>
      </c>
      <c r="P608" s="82" t="s">
        <v>3371</v>
      </c>
      <c r="Q608" s="84" t="s">
        <v>3326</v>
      </c>
      <c r="R608" s="84" t="s">
        <v>3327</v>
      </c>
      <c r="S608" s="84">
        <v>0.28499999999999998</v>
      </c>
      <c r="T608" s="82" t="s">
        <v>3372</v>
      </c>
      <c r="U608" s="84"/>
      <c r="V608" s="54"/>
    </row>
    <row r="609" spans="1:22" s="11" customFormat="1" ht="45" customHeight="1" x14ac:dyDescent="0.2">
      <c r="A609" s="66" t="s">
        <v>3310</v>
      </c>
      <c r="B609" s="66" t="s">
        <v>1155</v>
      </c>
      <c r="C609" s="66" t="s">
        <v>3310</v>
      </c>
      <c r="D609" s="66">
        <v>5056563717638</v>
      </c>
      <c r="E609" s="68" t="s">
        <v>3373</v>
      </c>
      <c r="F609" s="66" t="s">
        <v>3374</v>
      </c>
      <c r="G609" s="71">
        <v>22629</v>
      </c>
      <c r="H609" s="73"/>
      <c r="I609" s="75">
        <v>0.2</v>
      </c>
      <c r="J609" s="77"/>
      <c r="K609" s="66"/>
      <c r="L609" s="66"/>
      <c r="M609" s="79" t="str">
        <f>HYPERLINK("http://www.pristavka.com/catalog/Blue_Sky/BLSK8/")</f>
        <v>http://www.pristavka.com/catalog/Blue_Sky/BLSK8/</v>
      </c>
      <c r="N609" s="71">
        <v>34899</v>
      </c>
      <c r="O609" s="66" t="s">
        <v>27</v>
      </c>
      <c r="P609" s="82" t="s">
        <v>3375</v>
      </c>
      <c r="Q609" s="84" t="s">
        <v>3326</v>
      </c>
      <c r="R609" s="84" t="s">
        <v>3327</v>
      </c>
      <c r="S609" s="84">
        <v>0.502</v>
      </c>
      <c r="T609" s="82" t="s">
        <v>3376</v>
      </c>
      <c r="U609" s="84"/>
      <c r="V609" s="54"/>
    </row>
    <row r="610" spans="1:22" s="11" customFormat="1" ht="45" customHeight="1" x14ac:dyDescent="0.2">
      <c r="A610" s="66" t="s">
        <v>3310</v>
      </c>
      <c r="B610" s="66" t="s">
        <v>1155</v>
      </c>
      <c r="C610" s="66" t="s">
        <v>3310</v>
      </c>
      <c r="D610" s="66">
        <v>5056563713258</v>
      </c>
      <c r="E610" s="68" t="s">
        <v>3377</v>
      </c>
      <c r="F610" s="66" t="s">
        <v>3378</v>
      </c>
      <c r="G610" s="71">
        <v>17135</v>
      </c>
      <c r="H610" s="73"/>
      <c r="I610" s="75">
        <v>0.2</v>
      </c>
      <c r="J610" s="77"/>
      <c r="K610" s="66"/>
      <c r="L610" s="66"/>
      <c r="M610" s="79" t="str">
        <f>HYPERLINK("http://www.pristavka.com/catalog/Blue_Sky/BLSK19/")</f>
        <v>http://www.pristavka.com/catalog/Blue_Sky/BLSK19/</v>
      </c>
      <c r="N610" s="71">
        <v>26399</v>
      </c>
      <c r="O610" s="66" t="s">
        <v>27</v>
      </c>
      <c r="P610" s="82" t="s">
        <v>3379</v>
      </c>
      <c r="Q610" s="84" t="s">
        <v>1102</v>
      </c>
      <c r="R610" s="84" t="s">
        <v>1303</v>
      </c>
      <c r="S610" s="84">
        <v>0.33100000000000002</v>
      </c>
      <c r="T610" s="82" t="s">
        <v>3380</v>
      </c>
      <c r="U610" s="84"/>
      <c r="V610" s="54"/>
    </row>
    <row r="611" spans="1:22" s="11" customFormat="1" ht="45" customHeight="1" x14ac:dyDescent="0.2">
      <c r="A611" s="66" t="s">
        <v>3310</v>
      </c>
      <c r="B611" s="66" t="s">
        <v>1155</v>
      </c>
      <c r="C611" s="66" t="s">
        <v>3310</v>
      </c>
      <c r="D611" s="66">
        <v>5060718144002</v>
      </c>
      <c r="E611" s="68" t="s">
        <v>3381</v>
      </c>
      <c r="F611" s="66" t="s">
        <v>3382</v>
      </c>
      <c r="G611" s="71">
        <v>20569</v>
      </c>
      <c r="H611" s="73"/>
      <c r="I611" s="75">
        <v>0.2</v>
      </c>
      <c r="J611" s="77"/>
      <c r="K611" s="66"/>
      <c r="L611" s="66"/>
      <c r="M611" s="79" t="str">
        <f>HYPERLINK("http://www.pristavka.com/catalog/Blue_Sky/BLSK26/")</f>
        <v>http://www.pristavka.com/catalog/Blue_Sky/BLSK26/</v>
      </c>
      <c r="N611" s="71">
        <v>31699</v>
      </c>
      <c r="O611" s="66" t="s">
        <v>27</v>
      </c>
      <c r="P611" s="82" t="s">
        <v>3383</v>
      </c>
      <c r="Q611" s="84" t="s">
        <v>1102</v>
      </c>
      <c r="R611" s="84" t="s">
        <v>1303</v>
      </c>
      <c r="S611" s="84">
        <v>0.42399999999999999</v>
      </c>
      <c r="T611" s="82" t="s">
        <v>3384</v>
      </c>
      <c r="U611" s="84"/>
      <c r="V611" s="54"/>
    </row>
    <row r="612" spans="1:22" s="11" customFormat="1" ht="45" customHeight="1" x14ac:dyDescent="0.2">
      <c r="A612" s="66" t="s">
        <v>3310</v>
      </c>
      <c r="B612" s="66" t="s">
        <v>1155</v>
      </c>
      <c r="C612" s="66" t="s">
        <v>3310</v>
      </c>
      <c r="D612" s="66">
        <v>5056563713944</v>
      </c>
      <c r="E612" s="68" t="s">
        <v>3385</v>
      </c>
      <c r="F612" s="66" t="s">
        <v>3386</v>
      </c>
      <c r="G612" s="71">
        <v>18852</v>
      </c>
      <c r="H612" s="73"/>
      <c r="I612" s="75">
        <v>0.2</v>
      </c>
      <c r="J612" s="77"/>
      <c r="K612" s="66"/>
      <c r="L612" s="66"/>
      <c r="M612" s="79" t="str">
        <f>HYPERLINK("http://www.pristavka.com/catalog/Blue_Sky/BLSK31/")</f>
        <v>http://www.pristavka.com/catalog/Blue_Sky/BLSK31/</v>
      </c>
      <c r="N612" s="71">
        <v>28999</v>
      </c>
      <c r="O612" s="66" t="s">
        <v>27</v>
      </c>
      <c r="P612" s="82" t="s">
        <v>3387</v>
      </c>
      <c r="Q612" s="84" t="s">
        <v>1297</v>
      </c>
      <c r="R612" s="84" t="s">
        <v>1303</v>
      </c>
      <c r="S612" s="84">
        <v>0.27400000000000002</v>
      </c>
      <c r="T612" s="82" t="s">
        <v>3380</v>
      </c>
      <c r="U612" s="84"/>
      <c r="V612" s="54"/>
    </row>
    <row r="613" spans="1:22" s="11" customFormat="1" ht="45" customHeight="1" x14ac:dyDescent="0.2">
      <c r="A613" s="66" t="s">
        <v>3310</v>
      </c>
      <c r="B613" s="66" t="s">
        <v>1155</v>
      </c>
      <c r="C613" s="66" t="s">
        <v>3310</v>
      </c>
      <c r="D613" s="66">
        <v>5056563717478</v>
      </c>
      <c r="E613" s="68" t="s">
        <v>3388</v>
      </c>
      <c r="F613" s="66" t="s">
        <v>3389</v>
      </c>
      <c r="G613" s="71">
        <v>17135</v>
      </c>
      <c r="H613" s="73"/>
      <c r="I613" s="75">
        <v>0.2</v>
      </c>
      <c r="J613" s="77"/>
      <c r="K613" s="66"/>
      <c r="L613" s="66"/>
      <c r="M613" s="79" t="str">
        <f>HYPERLINK("http://www.pristavka.com/catalog/Blue_Sky/BLSK12/")</f>
        <v>http://www.pristavka.com/catalog/Blue_Sky/BLSK12/</v>
      </c>
      <c r="N613" s="71">
        <v>26399</v>
      </c>
      <c r="O613" s="66" t="s">
        <v>27</v>
      </c>
      <c r="P613" s="82" t="s">
        <v>3390</v>
      </c>
      <c r="Q613" s="84" t="s">
        <v>3326</v>
      </c>
      <c r="R613" s="84" t="s">
        <v>3327</v>
      </c>
      <c r="S613" s="84">
        <v>0.35</v>
      </c>
      <c r="T613" s="82" t="s">
        <v>3391</v>
      </c>
      <c r="U613" s="84"/>
      <c r="V613" s="54"/>
    </row>
    <row r="614" spans="1:22" s="11" customFormat="1" ht="45" customHeight="1" x14ac:dyDescent="0.2">
      <c r="A614" s="66" t="s">
        <v>3310</v>
      </c>
      <c r="B614" s="66" t="s">
        <v>1155</v>
      </c>
      <c r="C614" s="66" t="s">
        <v>3310</v>
      </c>
      <c r="D614" s="66">
        <v>5056563716976</v>
      </c>
      <c r="E614" s="68" t="s">
        <v>3392</v>
      </c>
      <c r="F614" s="66" t="s">
        <v>3393</v>
      </c>
      <c r="G614" s="71">
        <v>5118</v>
      </c>
      <c r="H614" s="73"/>
      <c r="I614" s="75">
        <v>0.2</v>
      </c>
      <c r="J614" s="77"/>
      <c r="K614" s="66"/>
      <c r="L614" s="66"/>
      <c r="M614" s="79" t="str">
        <f>HYPERLINK("http://www.pristavka.com/catalog/Blue_Sky/BLSK1/")</f>
        <v>http://www.pristavka.com/catalog/Blue_Sky/BLSK1/</v>
      </c>
      <c r="N614" s="71">
        <v>7899</v>
      </c>
      <c r="O614" s="66" t="s">
        <v>27</v>
      </c>
      <c r="P614" s="82" t="s">
        <v>3394</v>
      </c>
      <c r="Q614" s="84" t="s">
        <v>3326</v>
      </c>
      <c r="R614" s="84" t="s">
        <v>3327</v>
      </c>
      <c r="S614" s="84">
        <v>5.6000000000000001E-2</v>
      </c>
      <c r="T614" s="82" t="s">
        <v>3395</v>
      </c>
      <c r="U614" s="84"/>
      <c r="V614" s="54"/>
    </row>
    <row r="615" spans="1:22" s="11" customFormat="1" ht="45" customHeight="1" x14ac:dyDescent="0.2">
      <c r="A615" s="66" t="s">
        <v>3310</v>
      </c>
      <c r="B615" s="66" t="s">
        <v>1155</v>
      </c>
      <c r="C615" s="66" t="s">
        <v>3310</v>
      </c>
      <c r="D615" s="66">
        <v>5056563716990</v>
      </c>
      <c r="E615" s="68" t="s">
        <v>3396</v>
      </c>
      <c r="F615" s="66" t="s">
        <v>3397</v>
      </c>
      <c r="G615" s="71">
        <v>17135</v>
      </c>
      <c r="H615" s="73"/>
      <c r="I615" s="75">
        <v>0.2</v>
      </c>
      <c r="J615" s="77"/>
      <c r="K615" s="66"/>
      <c r="L615" s="66"/>
      <c r="M615" s="79" t="str">
        <f>HYPERLINK("http://www.pristavka.com/catalog/Blue_Sky/BLSK4/")</f>
        <v>http://www.pristavka.com/catalog/Blue_Sky/BLSK4/</v>
      </c>
      <c r="N615" s="71">
        <v>26399</v>
      </c>
      <c r="O615" s="66" t="s">
        <v>27</v>
      </c>
      <c r="P615" s="82" t="s">
        <v>3398</v>
      </c>
      <c r="Q615" s="84" t="s">
        <v>3326</v>
      </c>
      <c r="R615" s="84" t="s">
        <v>3327</v>
      </c>
      <c r="S615" s="84">
        <v>0.48399999999999999</v>
      </c>
      <c r="T615" s="82" t="s">
        <v>3399</v>
      </c>
      <c r="U615" s="84"/>
      <c r="V615" s="54"/>
    </row>
    <row r="616" spans="1:22" s="11" customFormat="1" ht="45" customHeight="1" x14ac:dyDescent="0.2">
      <c r="A616" s="66" t="s">
        <v>3310</v>
      </c>
      <c r="B616" s="66" t="s">
        <v>1155</v>
      </c>
      <c r="C616" s="66" t="s">
        <v>3310</v>
      </c>
      <c r="D616" s="66">
        <v>5056563717409</v>
      </c>
      <c r="E616" s="68" t="s">
        <v>3400</v>
      </c>
      <c r="F616" s="66" t="s">
        <v>3401</v>
      </c>
      <c r="G616" s="71">
        <v>13702</v>
      </c>
      <c r="H616" s="73"/>
      <c r="I616" s="75">
        <v>0.2</v>
      </c>
      <c r="J616" s="77"/>
      <c r="K616" s="66"/>
      <c r="L616" s="66"/>
      <c r="M616" s="79" t="str">
        <f>HYPERLINK("http://www.pristavka.com/catalog/Blue_Sky/BLSK5/")</f>
        <v>http://www.pristavka.com/catalog/Blue_Sky/BLSK5/</v>
      </c>
      <c r="N616" s="71">
        <v>21099</v>
      </c>
      <c r="O616" s="66" t="s">
        <v>27</v>
      </c>
      <c r="P616" s="82" t="s">
        <v>3402</v>
      </c>
      <c r="Q616" s="84" t="s">
        <v>3326</v>
      </c>
      <c r="R616" s="84" t="s">
        <v>3327</v>
      </c>
      <c r="S616" s="84">
        <v>0.29399999999999998</v>
      </c>
      <c r="T616" s="82" t="s">
        <v>3403</v>
      </c>
      <c r="U616" s="84"/>
      <c r="V616" s="54"/>
    </row>
    <row r="617" spans="1:22" s="11" customFormat="1" ht="45" customHeight="1" x14ac:dyDescent="0.2">
      <c r="A617" s="66" t="s">
        <v>3310</v>
      </c>
      <c r="B617" s="66" t="s">
        <v>1155</v>
      </c>
      <c r="C617" s="66" t="s">
        <v>3310</v>
      </c>
      <c r="D617" s="66">
        <v>5056563716938</v>
      </c>
      <c r="E617" s="68" t="s">
        <v>3404</v>
      </c>
      <c r="F617" s="66" t="s">
        <v>3405</v>
      </c>
      <c r="G617" s="71">
        <v>5118</v>
      </c>
      <c r="H617" s="73"/>
      <c r="I617" s="75">
        <v>0.2</v>
      </c>
      <c r="J617" s="77"/>
      <c r="K617" s="66"/>
      <c r="L617" s="66"/>
      <c r="M617" s="79" t="str">
        <f>HYPERLINK("http://www.pristavka.com/catalog/Blue_Sky/BLSK13/")</f>
        <v>http://www.pristavka.com/catalog/Blue_Sky/BLSK13/</v>
      </c>
      <c r="N617" s="71">
        <v>7899</v>
      </c>
      <c r="O617" s="66" t="s">
        <v>27</v>
      </c>
      <c r="P617" s="82" t="s">
        <v>3406</v>
      </c>
      <c r="Q617" s="84" t="s">
        <v>1102</v>
      </c>
      <c r="R617" s="84" t="s">
        <v>1303</v>
      </c>
      <c r="S617" s="84">
        <v>5.0999999999999997E-2</v>
      </c>
      <c r="T617" s="82" t="s">
        <v>3407</v>
      </c>
      <c r="U617" s="84"/>
      <c r="V617" s="54"/>
    </row>
    <row r="618" spans="1:22" s="11" customFormat="1" ht="45" customHeight="1" x14ac:dyDescent="0.2">
      <c r="A618" s="66" t="s">
        <v>3310</v>
      </c>
      <c r="B618" s="66" t="s">
        <v>1155</v>
      </c>
      <c r="C618" s="66" t="s">
        <v>3310</v>
      </c>
      <c r="D618" s="66">
        <v>5056563717034</v>
      </c>
      <c r="E618" s="68" t="s">
        <v>3408</v>
      </c>
      <c r="F618" s="66" t="s">
        <v>3409</v>
      </c>
      <c r="G618" s="71">
        <v>17135</v>
      </c>
      <c r="H618" s="73"/>
      <c r="I618" s="75">
        <v>0.2</v>
      </c>
      <c r="J618" s="77"/>
      <c r="K618" s="66"/>
      <c r="L618" s="66"/>
      <c r="M618" s="79" t="str">
        <f>HYPERLINK("http://www.pristavka.com/catalog/Blue_Sky/BLSK24/")</f>
        <v>http://www.pristavka.com/catalog/Blue_Sky/BLSK24/</v>
      </c>
      <c r="N618" s="71">
        <v>26399</v>
      </c>
      <c r="O618" s="66" t="s">
        <v>27</v>
      </c>
      <c r="P618" s="82" t="s">
        <v>3410</v>
      </c>
      <c r="Q618" s="84" t="s">
        <v>1102</v>
      </c>
      <c r="R618" s="84" t="s">
        <v>1303</v>
      </c>
      <c r="S618" s="84">
        <v>0.46</v>
      </c>
      <c r="T618" s="82" t="s">
        <v>3411</v>
      </c>
      <c r="U618" s="84"/>
      <c r="V618" s="54"/>
    </row>
    <row r="619" spans="1:22" s="11" customFormat="1" ht="45" customHeight="1" x14ac:dyDescent="0.2">
      <c r="A619" s="66" t="s">
        <v>3310</v>
      </c>
      <c r="B619" s="66" t="s">
        <v>1155</v>
      </c>
      <c r="C619" s="66" t="s">
        <v>3310</v>
      </c>
      <c r="D619" s="66">
        <v>5056563719779</v>
      </c>
      <c r="E619" s="68" t="s">
        <v>3412</v>
      </c>
      <c r="F619" s="66" t="s">
        <v>3413</v>
      </c>
      <c r="G619" s="71">
        <v>6835</v>
      </c>
      <c r="H619" s="73"/>
      <c r="I619" s="75">
        <v>0.2</v>
      </c>
      <c r="J619" s="77"/>
      <c r="K619" s="66"/>
      <c r="L619" s="66"/>
      <c r="M619" s="79" t="str">
        <f>HYPERLINK("http://www.pristavka.com/catalog/Blue_Sky/BLSK10/")</f>
        <v>http://www.pristavka.com/catalog/Blue_Sky/BLSK10/</v>
      </c>
      <c r="N619" s="71">
        <v>10599</v>
      </c>
      <c r="O619" s="66" t="s">
        <v>27</v>
      </c>
      <c r="P619" s="82" t="s">
        <v>3414</v>
      </c>
      <c r="Q619" s="84" t="s">
        <v>3326</v>
      </c>
      <c r="R619" s="84" t="s">
        <v>3327</v>
      </c>
      <c r="S619" s="84">
        <v>0.215</v>
      </c>
      <c r="T619" s="82" t="s">
        <v>3415</v>
      </c>
      <c r="U619" s="84"/>
      <c r="V619" s="54"/>
    </row>
    <row r="620" spans="1:22" s="11" customFormat="1" ht="45" customHeight="1" x14ac:dyDescent="0.2">
      <c r="A620" s="66" t="s">
        <v>3310</v>
      </c>
      <c r="B620" s="66" t="s">
        <v>1155</v>
      </c>
      <c r="C620" s="66" t="s">
        <v>3310</v>
      </c>
      <c r="D620" s="66">
        <v>5056563714330</v>
      </c>
      <c r="E620" s="68" t="s">
        <v>3416</v>
      </c>
      <c r="F620" s="66" t="s">
        <v>3417</v>
      </c>
      <c r="G620" s="71">
        <v>8209</v>
      </c>
      <c r="H620" s="73"/>
      <c r="I620" s="75">
        <v>0.2</v>
      </c>
      <c r="J620" s="77"/>
      <c r="K620" s="66"/>
      <c r="L620" s="66"/>
      <c r="M620" s="79" t="str">
        <f>HYPERLINK("http://www.pristavka.com/catalog/Blue_Sky/BLSK22/")</f>
        <v>http://www.pristavka.com/catalog/Blue_Sky/BLSK22/</v>
      </c>
      <c r="N620" s="71">
        <v>12699</v>
      </c>
      <c r="O620" s="66" t="s">
        <v>27</v>
      </c>
      <c r="P620" s="82" t="s">
        <v>3418</v>
      </c>
      <c r="Q620" s="84" t="s">
        <v>1102</v>
      </c>
      <c r="R620" s="84" t="s">
        <v>1303</v>
      </c>
      <c r="S620" s="84">
        <v>0.122</v>
      </c>
      <c r="T620" s="82" t="s">
        <v>3419</v>
      </c>
      <c r="U620" s="84"/>
      <c r="V620" s="54"/>
    </row>
    <row r="621" spans="1:22" s="11" customFormat="1" ht="45" customHeight="1" x14ac:dyDescent="0.2">
      <c r="A621" s="66" t="s">
        <v>3310</v>
      </c>
      <c r="B621" s="66" t="s">
        <v>1155</v>
      </c>
      <c r="C621" s="66" t="s">
        <v>3310</v>
      </c>
      <c r="D621" s="66">
        <v>5056563713906</v>
      </c>
      <c r="E621" s="68" t="s">
        <v>3420</v>
      </c>
      <c r="F621" s="66" t="s">
        <v>3421</v>
      </c>
      <c r="G621" s="71">
        <v>8209</v>
      </c>
      <c r="H621" s="73"/>
      <c r="I621" s="75">
        <v>0.2</v>
      </c>
      <c r="J621" s="77"/>
      <c r="K621" s="66"/>
      <c r="L621" s="66"/>
      <c r="M621" s="79" t="str">
        <f>HYPERLINK("http://www.pristavka.com/catalog/Blue_Sky/BLSK30/")</f>
        <v>http://www.pristavka.com/catalog/Blue_Sky/BLSK30/</v>
      </c>
      <c r="N621" s="71">
        <v>12699</v>
      </c>
      <c r="O621" s="66" t="s">
        <v>27</v>
      </c>
      <c r="P621" s="82" t="s">
        <v>3422</v>
      </c>
      <c r="Q621" s="84" t="s">
        <v>1297</v>
      </c>
      <c r="R621" s="84" t="s">
        <v>1303</v>
      </c>
      <c r="S621" s="84">
        <v>0.124</v>
      </c>
      <c r="T621" s="82" t="s">
        <v>3423</v>
      </c>
      <c r="U621" s="84"/>
      <c r="V621" s="54"/>
    </row>
    <row r="622" spans="1:22" s="11" customFormat="1" ht="45" customHeight="1" x14ac:dyDescent="0.2">
      <c r="A622" s="66" t="s">
        <v>3310</v>
      </c>
      <c r="B622" s="66" t="s">
        <v>1155</v>
      </c>
      <c r="C622" s="66" t="s">
        <v>3310</v>
      </c>
      <c r="D622" s="66">
        <v>5056563717485</v>
      </c>
      <c r="E622" s="68" t="s">
        <v>3424</v>
      </c>
      <c r="F622" s="66" t="s">
        <v>3425</v>
      </c>
      <c r="G622" s="71">
        <v>6835</v>
      </c>
      <c r="H622" s="73"/>
      <c r="I622" s="75">
        <v>0.2</v>
      </c>
      <c r="J622" s="77"/>
      <c r="K622" s="66"/>
      <c r="L622" s="66"/>
      <c r="M622" s="79" t="str">
        <f>HYPERLINK("http://www.pristavka.com/catalog/Blue_Sky/BLSK7/")</f>
        <v>http://www.pristavka.com/catalog/Blue_Sky/BLSK7/</v>
      </c>
      <c r="N622" s="71">
        <v>10599</v>
      </c>
      <c r="O622" s="66" t="s">
        <v>27</v>
      </c>
      <c r="P622" s="82" t="s">
        <v>3426</v>
      </c>
      <c r="Q622" s="84" t="s">
        <v>3326</v>
      </c>
      <c r="R622" s="84" t="s">
        <v>3327</v>
      </c>
      <c r="S622" s="84">
        <v>0.14499999999999999</v>
      </c>
      <c r="T622" s="82" t="s">
        <v>3427</v>
      </c>
      <c r="U622" s="84"/>
      <c r="V622" s="54"/>
    </row>
    <row r="623" spans="1:22" s="11" customFormat="1" ht="45" customHeight="1" x14ac:dyDescent="0.2">
      <c r="A623" s="66" t="s">
        <v>3310</v>
      </c>
      <c r="B623" s="66" t="s">
        <v>1155</v>
      </c>
      <c r="C623" s="66" t="s">
        <v>3310</v>
      </c>
      <c r="D623" s="66">
        <v>5056563714354</v>
      </c>
      <c r="E623" s="68" t="s">
        <v>3428</v>
      </c>
      <c r="F623" s="66" t="s">
        <v>3429</v>
      </c>
      <c r="G623" s="71">
        <v>6835</v>
      </c>
      <c r="H623" s="73"/>
      <c r="I623" s="75">
        <v>0.2</v>
      </c>
      <c r="J623" s="77"/>
      <c r="K623" s="66"/>
      <c r="L623" s="66"/>
      <c r="M623" s="79" t="str">
        <f>HYPERLINK("http://www.pristavka.com/catalog/Blue_Sky/BLSK23/")</f>
        <v>http://www.pristavka.com/catalog/Blue_Sky/BLSK23/</v>
      </c>
      <c r="N623" s="71">
        <v>10599</v>
      </c>
      <c r="O623" s="66" t="s">
        <v>28</v>
      </c>
      <c r="P623" s="82" t="s">
        <v>3430</v>
      </c>
      <c r="Q623" s="84" t="s">
        <v>1102</v>
      </c>
      <c r="R623" s="84" t="s">
        <v>1303</v>
      </c>
      <c r="S623" s="84">
        <v>0.14499999999999999</v>
      </c>
      <c r="T623" s="82" t="s">
        <v>3427</v>
      </c>
      <c r="U623" s="84"/>
      <c r="V623" s="54"/>
    </row>
    <row r="624" spans="1:22" s="11" customFormat="1" ht="45" customHeight="1" x14ac:dyDescent="0.2">
      <c r="A624" s="66" t="s">
        <v>3310</v>
      </c>
      <c r="B624" s="66" t="s">
        <v>1155</v>
      </c>
      <c r="C624" s="66" t="s">
        <v>3310</v>
      </c>
      <c r="D624" s="66">
        <v>5056563711155</v>
      </c>
      <c r="E624" s="68" t="s">
        <v>3431</v>
      </c>
      <c r="F624" s="66" t="s">
        <v>3432</v>
      </c>
      <c r="G624" s="71">
        <v>6835</v>
      </c>
      <c r="H624" s="73"/>
      <c r="I624" s="75">
        <v>0.2</v>
      </c>
      <c r="J624" s="77"/>
      <c r="K624" s="66"/>
      <c r="L624" s="66"/>
      <c r="M624" s="79" t="str">
        <f>HYPERLINK("http://www.pristavka.com/catalog/Blue_Sky/BLSK16/")</f>
        <v>http://www.pristavka.com/catalog/Blue_Sky/BLSK16/</v>
      </c>
      <c r="N624" s="71">
        <v>10599</v>
      </c>
      <c r="O624" s="66" t="s">
        <v>28</v>
      </c>
      <c r="P624" s="82" t="s">
        <v>3433</v>
      </c>
      <c r="Q624" s="84" t="s">
        <v>1102</v>
      </c>
      <c r="R624" s="84" t="s">
        <v>1303</v>
      </c>
      <c r="S624" s="84">
        <v>0.14199999999999999</v>
      </c>
      <c r="T624" s="82" t="s">
        <v>3434</v>
      </c>
      <c r="U624" s="84"/>
      <c r="V624" s="54"/>
    </row>
    <row r="625" spans="1:22" s="11" customFormat="1" ht="45" customHeight="1" x14ac:dyDescent="0.2">
      <c r="A625" s="66" t="s">
        <v>3310</v>
      </c>
      <c r="B625" s="66" t="s">
        <v>1155</v>
      </c>
      <c r="C625" s="66" t="s">
        <v>3310</v>
      </c>
      <c r="D625" s="66">
        <v>5056563713838</v>
      </c>
      <c r="E625" s="68" t="s">
        <v>3435</v>
      </c>
      <c r="F625" s="66" t="s">
        <v>3436</v>
      </c>
      <c r="G625" s="71">
        <v>6835</v>
      </c>
      <c r="H625" s="73"/>
      <c r="I625" s="75">
        <v>0.2</v>
      </c>
      <c r="J625" s="77"/>
      <c r="K625" s="66"/>
      <c r="L625" s="66"/>
      <c r="M625" s="79" t="str">
        <f>HYPERLINK("http://www.pristavka.com/catalog/Blue_Sky/BLSK29/")</f>
        <v>http://www.pristavka.com/catalog/Blue_Sky/BLSK29/</v>
      </c>
      <c r="N625" s="71">
        <v>10599</v>
      </c>
      <c r="O625" s="66" t="s">
        <v>27</v>
      </c>
      <c r="P625" s="82" t="s">
        <v>3437</v>
      </c>
      <c r="Q625" s="84" t="s">
        <v>1297</v>
      </c>
      <c r="R625" s="84" t="s">
        <v>1303</v>
      </c>
      <c r="S625" s="84">
        <v>0.14299999999999999</v>
      </c>
      <c r="T625" s="82" t="s">
        <v>2062</v>
      </c>
      <c r="U625" s="84"/>
      <c r="V625" s="54"/>
    </row>
    <row r="626" spans="1:22" s="11" customFormat="1" ht="45" customHeight="1" x14ac:dyDescent="0.2">
      <c r="A626" s="66" t="s">
        <v>3438</v>
      </c>
      <c r="B626" s="66" t="s">
        <v>1155</v>
      </c>
      <c r="C626" s="66" t="s">
        <v>3438</v>
      </c>
      <c r="D626" s="66">
        <v>6973731516345</v>
      </c>
      <c r="E626" s="68" t="s">
        <v>3439</v>
      </c>
      <c r="F626" s="66" t="s">
        <v>3440</v>
      </c>
      <c r="G626" s="71">
        <v>1188</v>
      </c>
      <c r="H626" s="73"/>
      <c r="I626" s="75">
        <v>0.2</v>
      </c>
      <c r="J626" s="77"/>
      <c r="K626" s="66"/>
      <c r="L626" s="66"/>
      <c r="M626" s="79" t="str">
        <f>HYPERLINK("http://www.pristavka.com/catalog/Card_Fun/CFUN10/")</f>
        <v>http://www.pristavka.com/catalog/Card_Fun/CFUN10/</v>
      </c>
      <c r="N626" s="71">
        <v>1999</v>
      </c>
      <c r="O626" s="66" t="s">
        <v>27</v>
      </c>
      <c r="P626" s="82" t="s">
        <v>3441</v>
      </c>
      <c r="Q626" s="84" t="s">
        <v>1068</v>
      </c>
      <c r="R626" s="84" t="s">
        <v>1068</v>
      </c>
      <c r="S626" s="84">
        <v>6.0000000000000001E-3</v>
      </c>
      <c r="T626" s="82" t="s">
        <v>3442</v>
      </c>
      <c r="U626" s="84"/>
      <c r="V626" s="54"/>
    </row>
    <row r="627" spans="1:22" s="11" customFormat="1" ht="45" customHeight="1" x14ac:dyDescent="0.2">
      <c r="A627" s="66" t="s">
        <v>3438</v>
      </c>
      <c r="B627" s="66" t="s">
        <v>1155</v>
      </c>
      <c r="C627" s="66" t="s">
        <v>3438</v>
      </c>
      <c r="D627" s="66">
        <v>6973731516215</v>
      </c>
      <c r="E627" s="68" t="s">
        <v>3443</v>
      </c>
      <c r="F627" s="66" t="s">
        <v>3444</v>
      </c>
      <c r="G627" s="71">
        <v>708</v>
      </c>
      <c r="H627" s="73"/>
      <c r="I627" s="75">
        <v>0.2</v>
      </c>
      <c r="J627" s="77"/>
      <c r="K627" s="66"/>
      <c r="L627" s="66"/>
      <c r="M627" s="79" t="str">
        <f>HYPERLINK("http://www.pristavka.com/catalog/Card_Fun/CFUN8/")</f>
        <v>http://www.pristavka.com/catalog/Card_Fun/CFUN8/</v>
      </c>
      <c r="N627" s="71">
        <v>1199</v>
      </c>
      <c r="O627" s="66" t="s">
        <v>27</v>
      </c>
      <c r="P627" s="82" t="s">
        <v>3445</v>
      </c>
      <c r="Q627" s="84" t="s">
        <v>1068</v>
      </c>
      <c r="R627" s="84" t="s">
        <v>1068</v>
      </c>
      <c r="S627" s="84">
        <v>3.0000000000000001E-3</v>
      </c>
      <c r="T627" s="82" t="s">
        <v>3446</v>
      </c>
      <c r="U627" s="84"/>
      <c r="V627" s="54"/>
    </row>
    <row r="628" spans="1:22" s="11" customFormat="1" ht="45" customHeight="1" x14ac:dyDescent="0.2">
      <c r="A628" s="66" t="s">
        <v>3438</v>
      </c>
      <c r="B628" s="66" t="s">
        <v>1155</v>
      </c>
      <c r="C628" s="66" t="s">
        <v>3438</v>
      </c>
      <c r="D628" s="66">
        <v>6973731515157</v>
      </c>
      <c r="E628" s="68" t="s">
        <v>3447</v>
      </c>
      <c r="F628" s="66" t="s">
        <v>3448</v>
      </c>
      <c r="G628" s="71">
        <v>1188</v>
      </c>
      <c r="H628" s="73"/>
      <c r="I628" s="75">
        <v>0.2</v>
      </c>
      <c r="J628" s="77"/>
      <c r="K628" s="66"/>
      <c r="L628" s="66"/>
      <c r="M628" s="79" t="str">
        <f>HYPERLINK("http://www.pristavka.com/catalog/Card_Fun/CFUN9/")</f>
        <v>http://www.pristavka.com/catalog/Card_Fun/CFUN9/</v>
      </c>
      <c r="N628" s="71">
        <v>1999</v>
      </c>
      <c r="O628" s="66" t="s">
        <v>27</v>
      </c>
      <c r="P628" s="82" t="s">
        <v>3449</v>
      </c>
      <c r="Q628" s="84" t="s">
        <v>1068</v>
      </c>
      <c r="R628" s="84" t="s">
        <v>1068</v>
      </c>
      <c r="S628" s="84">
        <v>1.2E-2</v>
      </c>
      <c r="T628" s="82" t="s">
        <v>3442</v>
      </c>
      <c r="U628" s="84"/>
      <c r="V628" s="54"/>
    </row>
    <row r="629" spans="1:22" s="11" customFormat="1" ht="45" customHeight="1" x14ac:dyDescent="0.2">
      <c r="A629" s="66" t="s">
        <v>3450</v>
      </c>
      <c r="B629" s="66" t="s">
        <v>1155</v>
      </c>
      <c r="C629" s="66" t="s">
        <v>3451</v>
      </c>
      <c r="D629" s="66">
        <v>4895205618473</v>
      </c>
      <c r="E629" s="68" t="s">
        <v>3452</v>
      </c>
      <c r="F629" s="66" t="s">
        <v>3453</v>
      </c>
      <c r="G629" s="71">
        <v>18515</v>
      </c>
      <c r="H629" s="73"/>
      <c r="I629" s="75">
        <v>0.1</v>
      </c>
      <c r="J629" s="66"/>
      <c r="K629" s="66"/>
      <c r="L629" s="66"/>
      <c r="M629" s="79" t="str">
        <f>HYPERLINK("http://www.pristavka.com/catalog/cinereplicas/CIN15/")</f>
        <v>http://www.pristavka.com/catalog/cinereplicas/CIN15/</v>
      </c>
      <c r="N629" s="71">
        <v>26499</v>
      </c>
      <c r="O629" s="66" t="s">
        <v>27</v>
      </c>
      <c r="P629" s="82" t="s">
        <v>3454</v>
      </c>
      <c r="Q629" s="84" t="s">
        <v>1148</v>
      </c>
      <c r="R629" s="84" t="s">
        <v>1068</v>
      </c>
      <c r="S629" s="84">
        <v>0.41</v>
      </c>
      <c r="T629" s="82" t="s">
        <v>3455</v>
      </c>
      <c r="U629" s="84"/>
      <c r="V629" s="54"/>
    </row>
    <row r="630" spans="1:22" s="11" customFormat="1" ht="45" customHeight="1" x14ac:dyDescent="0.2">
      <c r="A630" s="66" t="s">
        <v>3450</v>
      </c>
      <c r="B630" s="66" t="s">
        <v>1155</v>
      </c>
      <c r="C630" s="66" t="s">
        <v>3451</v>
      </c>
      <c r="D630" s="66">
        <v>4895205618480</v>
      </c>
      <c r="E630" s="68" t="s">
        <v>3456</v>
      </c>
      <c r="F630" s="66" t="s">
        <v>3457</v>
      </c>
      <c r="G630" s="71">
        <v>30212</v>
      </c>
      <c r="H630" s="73"/>
      <c r="I630" s="75">
        <v>0.1</v>
      </c>
      <c r="J630" s="66"/>
      <c r="K630" s="66"/>
      <c r="L630" s="66"/>
      <c r="M630" s="79" t="str">
        <f>HYPERLINK("http://www.pristavka.com/catalog/cinereplicas/CIN13/")</f>
        <v>http://www.pristavka.com/catalog/cinereplicas/CIN13/</v>
      </c>
      <c r="N630" s="71">
        <v>43199</v>
      </c>
      <c r="O630" s="66" t="s">
        <v>27</v>
      </c>
      <c r="P630" s="82" t="s">
        <v>3458</v>
      </c>
      <c r="Q630" s="84" t="s">
        <v>1148</v>
      </c>
      <c r="R630" s="84" t="s">
        <v>1068</v>
      </c>
      <c r="S630" s="84">
        <v>1.2070000000000001</v>
      </c>
      <c r="T630" s="82" t="s">
        <v>3459</v>
      </c>
      <c r="U630" s="84"/>
      <c r="V630" s="54"/>
    </row>
    <row r="631" spans="1:22" s="11" customFormat="1" ht="45" customHeight="1" x14ac:dyDescent="0.2">
      <c r="A631" s="66" t="s">
        <v>3450</v>
      </c>
      <c r="B631" s="66" t="s">
        <v>1155</v>
      </c>
      <c r="C631" s="66" t="s">
        <v>3451</v>
      </c>
      <c r="D631" s="66">
        <v>4895205618411</v>
      </c>
      <c r="E631" s="68" t="s">
        <v>3460</v>
      </c>
      <c r="F631" s="66" t="s">
        <v>3461</v>
      </c>
      <c r="G631" s="71">
        <v>18515</v>
      </c>
      <c r="H631" s="73"/>
      <c r="I631" s="75">
        <v>0.1</v>
      </c>
      <c r="J631" s="66"/>
      <c r="K631" s="66"/>
      <c r="L631" s="66"/>
      <c r="M631" s="79" t="str">
        <f>HYPERLINK("http://www.pristavka.com/catalog/cinereplicas/CIN8/")</f>
        <v>http://www.pristavka.com/catalog/cinereplicas/CIN8/</v>
      </c>
      <c r="N631" s="71">
        <v>26499</v>
      </c>
      <c r="O631" s="66" t="s">
        <v>27</v>
      </c>
      <c r="P631" s="82" t="s">
        <v>3462</v>
      </c>
      <c r="Q631" s="84" t="s">
        <v>1103</v>
      </c>
      <c r="R631" s="84" t="s">
        <v>1102</v>
      </c>
      <c r="S631" s="84">
        <v>0.41199999999999998</v>
      </c>
      <c r="T631" s="82" t="s">
        <v>3463</v>
      </c>
      <c r="U631" s="84"/>
      <c r="V631" s="54"/>
    </row>
    <row r="632" spans="1:22" s="11" customFormat="1" ht="45" customHeight="1" x14ac:dyDescent="0.2">
      <c r="A632" s="66" t="s">
        <v>3450</v>
      </c>
      <c r="B632" s="66" t="s">
        <v>1155</v>
      </c>
      <c r="C632" s="66" t="s">
        <v>3451</v>
      </c>
      <c r="D632" s="66">
        <v>4895205618428</v>
      </c>
      <c r="E632" s="68" t="s">
        <v>3464</v>
      </c>
      <c r="F632" s="66" t="s">
        <v>3465</v>
      </c>
      <c r="G632" s="71">
        <v>30212</v>
      </c>
      <c r="H632" s="73"/>
      <c r="I632" s="75">
        <v>0.1</v>
      </c>
      <c r="J632" s="66"/>
      <c r="K632" s="66"/>
      <c r="L632" s="66"/>
      <c r="M632" s="79" t="str">
        <f>HYPERLINK("http://www.pristavka.com/catalog/cinereplicas/CIN9/")</f>
        <v>http://www.pristavka.com/catalog/cinereplicas/CIN9/</v>
      </c>
      <c r="N632" s="71">
        <v>43199</v>
      </c>
      <c r="O632" s="66" t="s">
        <v>27</v>
      </c>
      <c r="P632" s="82" t="s">
        <v>3466</v>
      </c>
      <c r="Q632" s="84" t="s">
        <v>1103</v>
      </c>
      <c r="R632" s="84" t="s">
        <v>1102</v>
      </c>
      <c r="S632" s="84">
        <v>0.86</v>
      </c>
      <c r="T632" s="82" t="s">
        <v>3467</v>
      </c>
      <c r="U632" s="84"/>
      <c r="V632" s="54"/>
    </row>
    <row r="633" spans="1:22" s="11" customFormat="1" ht="45" customHeight="1" x14ac:dyDescent="0.2">
      <c r="A633" s="66" t="s">
        <v>3450</v>
      </c>
      <c r="B633" s="66" t="s">
        <v>1155</v>
      </c>
      <c r="C633" s="66" t="s">
        <v>3451</v>
      </c>
      <c r="D633" s="66">
        <v>4895205618466</v>
      </c>
      <c r="E633" s="68" t="s">
        <v>3468</v>
      </c>
      <c r="F633" s="66" t="s">
        <v>3469</v>
      </c>
      <c r="G633" s="71">
        <v>30212</v>
      </c>
      <c r="H633" s="73"/>
      <c r="I633" s="75">
        <v>0.1</v>
      </c>
      <c r="J633" s="66"/>
      <c r="K633" s="66"/>
      <c r="L633" s="66"/>
      <c r="M633" s="79" t="str">
        <f>HYPERLINK("http://www.pristavka.com/catalog/cinereplicas/CIN12/")</f>
        <v>http://www.pristavka.com/catalog/cinereplicas/CIN12/</v>
      </c>
      <c r="N633" s="71">
        <v>43199</v>
      </c>
      <c r="O633" s="66" t="s">
        <v>27</v>
      </c>
      <c r="P633" s="82" t="s">
        <v>3470</v>
      </c>
      <c r="Q633" s="84" t="s">
        <v>3471</v>
      </c>
      <c r="R633" s="84" t="s">
        <v>3327</v>
      </c>
      <c r="S633" s="84">
        <v>1.2250000000000001</v>
      </c>
      <c r="T633" s="82" t="s">
        <v>3472</v>
      </c>
      <c r="U633" s="84"/>
      <c r="V633" s="54"/>
    </row>
    <row r="634" spans="1:22" s="11" customFormat="1" ht="45" customHeight="1" x14ac:dyDescent="0.2">
      <c r="A634" s="66" t="s">
        <v>3450</v>
      </c>
      <c r="B634" s="66" t="s">
        <v>1155</v>
      </c>
      <c r="C634" s="66" t="s">
        <v>3451</v>
      </c>
      <c r="D634" s="66">
        <v>4895205618435</v>
      </c>
      <c r="E634" s="68" t="s">
        <v>3473</v>
      </c>
      <c r="F634" s="66" t="s">
        <v>3474</v>
      </c>
      <c r="G634" s="71">
        <v>18515</v>
      </c>
      <c r="H634" s="73"/>
      <c r="I634" s="75">
        <v>0.1</v>
      </c>
      <c r="J634" s="66"/>
      <c r="K634" s="66"/>
      <c r="L634" s="66"/>
      <c r="M634" s="79" t="str">
        <f>HYPERLINK("http://www.pristavka.com/catalog/cinereplicas/CIN810/")</f>
        <v>http://www.pristavka.com/catalog/cinereplicas/CIN810/</v>
      </c>
      <c r="N634" s="71">
        <v>26499</v>
      </c>
      <c r="O634" s="66" t="s">
        <v>27</v>
      </c>
      <c r="P634" s="82" t="s">
        <v>3475</v>
      </c>
      <c r="Q634" s="84" t="s">
        <v>3326</v>
      </c>
      <c r="R634" s="84" t="s">
        <v>3327</v>
      </c>
      <c r="S634" s="84">
        <v>0.42199999999999999</v>
      </c>
      <c r="T634" s="82" t="s">
        <v>3463</v>
      </c>
      <c r="U634" s="84"/>
      <c r="V634" s="54"/>
    </row>
    <row r="635" spans="1:22" s="11" customFormat="1" ht="45" customHeight="1" x14ac:dyDescent="0.2">
      <c r="A635" s="66" t="s">
        <v>3476</v>
      </c>
      <c r="B635" s="66" t="s">
        <v>1707</v>
      </c>
      <c r="C635" s="66" t="s">
        <v>3476</v>
      </c>
      <c r="D635" s="66">
        <v>761568008364</v>
      </c>
      <c r="E635" s="68" t="s">
        <v>3477</v>
      </c>
      <c r="F635" s="66" t="s">
        <v>3478</v>
      </c>
      <c r="G635" s="71">
        <v>37736</v>
      </c>
      <c r="H635" s="73"/>
      <c r="I635" s="75">
        <v>0.2</v>
      </c>
      <c r="J635" s="77"/>
      <c r="K635" s="66"/>
      <c r="L635" s="66"/>
      <c r="M635" s="79" t="str">
        <f>HYPERLINK("http://www.pristavka.com/catalog/Dark_Horse/DH20/")</f>
        <v>http://www.pristavka.com/catalog/Dark_Horse/DH20/</v>
      </c>
      <c r="N635" s="71">
        <v>58099</v>
      </c>
      <c r="O635" s="66" t="s">
        <v>28</v>
      </c>
      <c r="P635" s="82" t="s">
        <v>3479</v>
      </c>
      <c r="Q635" s="84" t="s">
        <v>3480</v>
      </c>
      <c r="R635" s="84" t="s">
        <v>3481</v>
      </c>
      <c r="S635" s="84">
        <v>1.05</v>
      </c>
      <c r="T635" s="82" t="s">
        <v>3482</v>
      </c>
      <c r="U635" s="84"/>
      <c r="V635" s="54"/>
    </row>
    <row r="636" spans="1:22" s="11" customFormat="1" ht="45" customHeight="1" x14ac:dyDescent="0.2">
      <c r="A636" s="66" t="s">
        <v>3476</v>
      </c>
      <c r="B636" s="66" t="s">
        <v>1707</v>
      </c>
      <c r="C636" s="66" t="s">
        <v>3476</v>
      </c>
      <c r="D636" s="66">
        <v>761568010091</v>
      </c>
      <c r="E636" s="68" t="s">
        <v>3483</v>
      </c>
      <c r="F636" s="66" t="s">
        <v>3484</v>
      </c>
      <c r="G636" s="71">
        <v>53186</v>
      </c>
      <c r="H636" s="73"/>
      <c r="I636" s="75">
        <v>0.2</v>
      </c>
      <c r="J636" s="77"/>
      <c r="K636" s="66"/>
      <c r="L636" s="66"/>
      <c r="M636" s="79" t="str">
        <f>HYPERLINK("http://www.pristavka.com/catalog/Dark_Horse/DH12/")</f>
        <v>http://www.pristavka.com/catalog/Dark_Horse/DH12/</v>
      </c>
      <c r="N636" s="71">
        <v>81899</v>
      </c>
      <c r="O636" s="66" t="s">
        <v>27</v>
      </c>
      <c r="P636" s="82" t="s">
        <v>3485</v>
      </c>
      <c r="Q636" s="84" t="s">
        <v>3486</v>
      </c>
      <c r="R636" s="84" t="s">
        <v>58</v>
      </c>
      <c r="S636" s="84">
        <v>0.93600000000000005</v>
      </c>
      <c r="T636" s="82" t="s">
        <v>3487</v>
      </c>
      <c r="U636" s="84"/>
      <c r="V636" s="54"/>
    </row>
    <row r="637" spans="1:22" s="11" customFormat="1" ht="45" customHeight="1" x14ac:dyDescent="0.2">
      <c r="A637" s="66" t="s">
        <v>3476</v>
      </c>
      <c r="B637" s="66" t="s">
        <v>1707</v>
      </c>
      <c r="C637" s="66" t="s">
        <v>3476</v>
      </c>
      <c r="D637" s="66">
        <v>761568009965</v>
      </c>
      <c r="E637" s="68" t="s">
        <v>3488</v>
      </c>
      <c r="F637" s="66" t="s">
        <v>3489</v>
      </c>
      <c r="G637" s="71">
        <v>37736</v>
      </c>
      <c r="H637" s="73"/>
      <c r="I637" s="75">
        <v>0.2</v>
      </c>
      <c r="J637" s="77"/>
      <c r="K637" s="66"/>
      <c r="L637" s="66"/>
      <c r="M637" s="79" t="str">
        <f>HYPERLINK("http://www.pristavka.com/catalog/Dark_Horse/DH9/")</f>
        <v>http://www.pristavka.com/catalog/Dark_Horse/DH9/</v>
      </c>
      <c r="N637" s="71">
        <v>58099</v>
      </c>
      <c r="O637" s="66" t="s">
        <v>28</v>
      </c>
      <c r="P637" s="82" t="s">
        <v>3490</v>
      </c>
      <c r="Q637" s="84" t="s">
        <v>3491</v>
      </c>
      <c r="R637" s="84" t="s">
        <v>3492</v>
      </c>
      <c r="S637" s="84">
        <v>1.3440000000000001</v>
      </c>
      <c r="T637" s="82" t="s">
        <v>3493</v>
      </c>
      <c r="U637" s="84"/>
      <c r="V637" s="54"/>
    </row>
    <row r="638" spans="1:22" s="11" customFormat="1" ht="45" customHeight="1" x14ac:dyDescent="0.2">
      <c r="A638" s="66" t="s">
        <v>3494</v>
      </c>
      <c r="B638" s="66" t="s">
        <v>1707</v>
      </c>
      <c r="C638" s="66" t="s">
        <v>3494</v>
      </c>
      <c r="D638" s="66">
        <v>699788844267</v>
      </c>
      <c r="E638" s="68" t="s">
        <v>3495</v>
      </c>
      <c r="F638" s="66" t="s">
        <v>3496</v>
      </c>
      <c r="G638" s="71">
        <v>54715</v>
      </c>
      <c r="H638" s="73"/>
      <c r="I638" s="75">
        <v>0.2</v>
      </c>
      <c r="J638" s="77"/>
      <c r="K638" s="66"/>
      <c r="L638" s="66"/>
      <c r="M638" s="79" t="str">
        <f>HYPERLINK("http://www.pristavka.com/catalog/Diamond_Select/DS37/")</f>
        <v>http://www.pristavka.com/catalog/Diamond_Select/DS37/</v>
      </c>
      <c r="N638" s="71">
        <v>39599</v>
      </c>
      <c r="O638" s="66" t="s">
        <v>27</v>
      </c>
      <c r="P638" s="82" t="s">
        <v>3497</v>
      </c>
      <c r="Q638" s="84" t="s">
        <v>1840</v>
      </c>
      <c r="R638" s="84" t="s">
        <v>1840</v>
      </c>
      <c r="S638" s="84">
        <v>1.02</v>
      </c>
      <c r="T638" s="82" t="s">
        <v>3498</v>
      </c>
      <c r="U638" s="84"/>
      <c r="V638" s="54"/>
    </row>
    <row r="639" spans="1:22" s="11" customFormat="1" ht="45" customHeight="1" x14ac:dyDescent="0.2">
      <c r="A639" s="66" t="s">
        <v>3494</v>
      </c>
      <c r="B639" s="66" t="s">
        <v>1707</v>
      </c>
      <c r="C639" s="66" t="s">
        <v>3494</v>
      </c>
      <c r="D639" s="66">
        <v>699788848104</v>
      </c>
      <c r="E639" s="68" t="s">
        <v>3499</v>
      </c>
      <c r="F639" s="66" t="s">
        <v>3500</v>
      </c>
      <c r="G639" s="71">
        <v>53067</v>
      </c>
      <c r="H639" s="73"/>
      <c r="I639" s="75">
        <v>0.2</v>
      </c>
      <c r="J639" s="77"/>
      <c r="K639" s="66"/>
      <c r="L639" s="66"/>
      <c r="M639" s="79" t="str">
        <f>HYPERLINK("http://www.pristavka.com/catalog/Diamond_Select/DS25/")</f>
        <v>http://www.pristavka.com/catalog/Diamond_Select/DS25/</v>
      </c>
      <c r="N639" s="71">
        <v>69799</v>
      </c>
      <c r="O639" s="66" t="s">
        <v>28</v>
      </c>
      <c r="P639" s="82" t="s">
        <v>3501</v>
      </c>
      <c r="Q639" s="84" t="s">
        <v>3502</v>
      </c>
      <c r="R639" s="84" t="s">
        <v>1303</v>
      </c>
      <c r="S639" s="84">
        <v>0.70699999999999996</v>
      </c>
      <c r="T639" s="82" t="s">
        <v>3503</v>
      </c>
      <c r="U639" s="84"/>
      <c r="V639" s="54"/>
    </row>
    <row r="640" spans="1:22" s="11" customFormat="1" ht="45" customHeight="1" x14ac:dyDescent="0.2">
      <c r="A640" s="66" t="s">
        <v>3494</v>
      </c>
      <c r="B640" s="66" t="s">
        <v>1707</v>
      </c>
      <c r="C640" s="66" t="s">
        <v>3494</v>
      </c>
      <c r="D640" s="66">
        <v>699788848098</v>
      </c>
      <c r="E640" s="68" t="s">
        <v>3504</v>
      </c>
      <c r="F640" s="66" t="s">
        <v>3505</v>
      </c>
      <c r="G640" s="71">
        <v>68403</v>
      </c>
      <c r="H640" s="73"/>
      <c r="I640" s="75">
        <v>0.2</v>
      </c>
      <c r="J640" s="77"/>
      <c r="K640" s="66"/>
      <c r="L640" s="66"/>
      <c r="M640" s="79" t="str">
        <f>HYPERLINK("http://www.pristavka.com/catalog/Diamond_Select/DS43/")</f>
        <v>http://www.pristavka.com/catalog/Diamond_Select/DS43/</v>
      </c>
      <c r="N640" s="71">
        <v>89799</v>
      </c>
      <c r="O640" s="66" t="s">
        <v>27</v>
      </c>
      <c r="P640" s="82" t="s">
        <v>3506</v>
      </c>
      <c r="Q640" s="84" t="s">
        <v>3502</v>
      </c>
      <c r="R640" s="84" t="s">
        <v>1303</v>
      </c>
      <c r="S640" s="84">
        <v>1.355</v>
      </c>
      <c r="T640" s="82" t="s">
        <v>3507</v>
      </c>
      <c r="U640" s="84"/>
      <c r="V640" s="54"/>
    </row>
    <row r="641" spans="1:22" s="11" customFormat="1" ht="45" customHeight="1" x14ac:dyDescent="0.2">
      <c r="A641" s="66" t="s">
        <v>3494</v>
      </c>
      <c r="B641" s="66" t="s">
        <v>1707</v>
      </c>
      <c r="C641" s="66" t="s">
        <v>3494</v>
      </c>
      <c r="D641" s="66">
        <v>699788828618</v>
      </c>
      <c r="E641" s="68" t="s">
        <v>3508</v>
      </c>
      <c r="F641" s="66" t="s">
        <v>3509</v>
      </c>
      <c r="G641" s="71">
        <v>33959</v>
      </c>
      <c r="H641" s="73"/>
      <c r="I641" s="75">
        <v>0.2</v>
      </c>
      <c r="J641" s="77"/>
      <c r="K641" s="66"/>
      <c r="L641" s="66"/>
      <c r="M641" s="79" t="str">
        <f>HYPERLINK("http://www.pristavka.com/catalog/Diamond_Select/DS47/")</f>
        <v>http://www.pristavka.com/catalog/Diamond_Select/DS47/</v>
      </c>
      <c r="N641" s="71">
        <v>52299</v>
      </c>
      <c r="O641" s="66" t="s">
        <v>27</v>
      </c>
      <c r="P641" s="82" t="s">
        <v>3510</v>
      </c>
      <c r="Q641" s="84" t="s">
        <v>3511</v>
      </c>
      <c r="R641" s="84" t="s">
        <v>3512</v>
      </c>
      <c r="S641" s="84">
        <v>0.82199999999999995</v>
      </c>
      <c r="T641" s="82" t="s">
        <v>3513</v>
      </c>
      <c r="U641" s="84"/>
      <c r="V641" s="54"/>
    </row>
    <row r="642" spans="1:22" s="11" customFormat="1" ht="45" customHeight="1" x14ac:dyDescent="0.2">
      <c r="A642" s="66" t="s">
        <v>3494</v>
      </c>
      <c r="B642" s="66" t="s">
        <v>1707</v>
      </c>
      <c r="C642" s="66" t="s">
        <v>3494</v>
      </c>
      <c r="D642" s="66">
        <v>699788828649</v>
      </c>
      <c r="E642" s="68" t="s">
        <v>3514</v>
      </c>
      <c r="F642" s="66" t="s">
        <v>3515</v>
      </c>
      <c r="G642" s="71">
        <v>25376</v>
      </c>
      <c r="H642" s="73"/>
      <c r="I642" s="75">
        <v>0.2</v>
      </c>
      <c r="J642" s="77"/>
      <c r="K642" s="66"/>
      <c r="L642" s="66"/>
      <c r="M642" s="79" t="str">
        <f>HYPERLINK("http://www.pristavka.com/catalog/Diamond_Select/DS7/")</f>
        <v>http://www.pristavka.com/catalog/Diamond_Select/DS7/</v>
      </c>
      <c r="N642" s="71">
        <v>39099</v>
      </c>
      <c r="O642" s="66" t="s">
        <v>28</v>
      </c>
      <c r="P642" s="82" t="s">
        <v>3516</v>
      </c>
      <c r="Q642" s="84" t="s">
        <v>3517</v>
      </c>
      <c r="R642" s="84" t="s">
        <v>3512</v>
      </c>
      <c r="S642" s="84">
        <v>1.28</v>
      </c>
      <c r="T642" s="82" t="s">
        <v>3518</v>
      </c>
      <c r="U642" s="84"/>
      <c r="V642" s="54"/>
    </row>
    <row r="643" spans="1:22" s="11" customFormat="1" ht="45" customHeight="1" x14ac:dyDescent="0.2">
      <c r="A643" s="66" t="s">
        <v>3494</v>
      </c>
      <c r="B643" s="66" t="s">
        <v>1707</v>
      </c>
      <c r="C643" s="66" t="s">
        <v>3494</v>
      </c>
      <c r="D643" s="66">
        <v>699788827536</v>
      </c>
      <c r="E643" s="68" t="s">
        <v>3519</v>
      </c>
      <c r="F643" s="66" t="s">
        <v>3520</v>
      </c>
      <c r="G643" s="71">
        <v>41169</v>
      </c>
      <c r="H643" s="73"/>
      <c r="I643" s="75">
        <v>0.2</v>
      </c>
      <c r="J643" s="77"/>
      <c r="K643" s="66"/>
      <c r="L643" s="66"/>
      <c r="M643" s="79" t="str">
        <f>HYPERLINK("http://www.pristavka.com/catalog/Diamond_Select/DS35/")</f>
        <v>http://www.pristavka.com/catalog/Diamond_Select/DS35/</v>
      </c>
      <c r="N643" s="71">
        <v>63399</v>
      </c>
      <c r="O643" s="66" t="s">
        <v>28</v>
      </c>
      <c r="P643" s="82" t="s">
        <v>3521</v>
      </c>
      <c r="Q643" s="84" t="s">
        <v>3522</v>
      </c>
      <c r="R643" s="84" t="s">
        <v>3512</v>
      </c>
      <c r="S643" s="84">
        <v>0.86</v>
      </c>
      <c r="T643" s="82" t="s">
        <v>3523</v>
      </c>
      <c r="U643" s="84"/>
      <c r="V643" s="54"/>
    </row>
    <row r="644" spans="1:22" s="11" customFormat="1" ht="45" customHeight="1" x14ac:dyDescent="0.2">
      <c r="A644" s="66" t="s">
        <v>3494</v>
      </c>
      <c r="B644" s="66" t="s">
        <v>1707</v>
      </c>
      <c r="C644" s="66" t="s">
        <v>3494</v>
      </c>
      <c r="D644" s="66">
        <v>83404</v>
      </c>
      <c r="E644" s="68" t="s">
        <v>3524</v>
      </c>
      <c r="F644" s="66" t="s">
        <v>3525</v>
      </c>
      <c r="G644" s="71">
        <v>33959</v>
      </c>
      <c r="H644" s="73"/>
      <c r="I644" s="75">
        <v>0.2</v>
      </c>
      <c r="J644" s="77"/>
      <c r="K644" s="66"/>
      <c r="L644" s="66"/>
      <c r="M644" s="79" t="str">
        <f>HYPERLINK("http://www.pristavka.com/catalog/Diamond_Select/DS1/")</f>
        <v>http://www.pristavka.com/catalog/Diamond_Select/DS1/</v>
      </c>
      <c r="N644" s="71">
        <v>52299</v>
      </c>
      <c r="O644" s="66" t="s">
        <v>27</v>
      </c>
      <c r="P644" s="82" t="s">
        <v>3526</v>
      </c>
      <c r="Q644" s="84" t="s">
        <v>3527</v>
      </c>
      <c r="R644" s="84" t="s">
        <v>3512</v>
      </c>
      <c r="S644" s="84">
        <v>0.69599999999999995</v>
      </c>
      <c r="T644" s="82" t="s">
        <v>3528</v>
      </c>
      <c r="U644" s="84"/>
      <c r="V644" s="54"/>
    </row>
    <row r="645" spans="1:22" s="11" customFormat="1" ht="45" customHeight="1" x14ac:dyDescent="0.2">
      <c r="A645" s="66" t="s">
        <v>3494</v>
      </c>
      <c r="B645" s="66" t="s">
        <v>1707</v>
      </c>
      <c r="C645" s="66" t="s">
        <v>3494</v>
      </c>
      <c r="D645" s="66">
        <v>699788828267</v>
      </c>
      <c r="E645" s="68" t="s">
        <v>3529</v>
      </c>
      <c r="F645" s="66" t="s">
        <v>3530</v>
      </c>
      <c r="G645" s="71">
        <v>32929</v>
      </c>
      <c r="H645" s="73"/>
      <c r="I645" s="75">
        <v>0.2</v>
      </c>
      <c r="J645" s="77"/>
      <c r="K645" s="66"/>
      <c r="L645" s="66"/>
      <c r="M645" s="79" t="str">
        <f>HYPERLINK("http://www.pristavka.com/catalog/Diamond_Select/DS49/")</f>
        <v>http://www.pristavka.com/catalog/Diamond_Select/DS49/</v>
      </c>
      <c r="N645" s="71">
        <v>50699</v>
      </c>
      <c r="O645" s="66" t="s">
        <v>28</v>
      </c>
      <c r="P645" s="82" t="s">
        <v>3531</v>
      </c>
      <c r="Q645" s="84" t="s">
        <v>3532</v>
      </c>
      <c r="R645" s="84" t="s">
        <v>3512</v>
      </c>
      <c r="S645" s="84">
        <v>0.998</v>
      </c>
      <c r="T645" s="82" t="s">
        <v>3533</v>
      </c>
      <c r="U645" s="84"/>
      <c r="V645" s="54"/>
    </row>
    <row r="646" spans="1:22" s="11" customFormat="1" ht="45" customHeight="1" x14ac:dyDescent="0.2">
      <c r="A646" s="66" t="s">
        <v>3494</v>
      </c>
      <c r="B646" s="66" t="s">
        <v>1707</v>
      </c>
      <c r="C646" s="66" t="s">
        <v>3494</v>
      </c>
      <c r="D646" s="66">
        <v>699788835067</v>
      </c>
      <c r="E646" s="68" t="s">
        <v>3534</v>
      </c>
      <c r="F646" s="66" t="s">
        <v>3535</v>
      </c>
      <c r="G646" s="71">
        <v>40483</v>
      </c>
      <c r="H646" s="73"/>
      <c r="I646" s="75">
        <v>0.2</v>
      </c>
      <c r="J646" s="77"/>
      <c r="K646" s="66"/>
      <c r="L646" s="66"/>
      <c r="M646" s="79" t="str">
        <f>HYPERLINK("http://www.pristavka.com/catalog/Diamond_Select/DS55/")</f>
        <v>http://www.pristavka.com/catalog/Diamond_Select/DS55/</v>
      </c>
      <c r="N646" s="71">
        <v>62299</v>
      </c>
      <c r="O646" s="66" t="s">
        <v>28</v>
      </c>
      <c r="P646" s="82" t="s">
        <v>3536</v>
      </c>
      <c r="Q646" s="84" t="s">
        <v>3532</v>
      </c>
      <c r="R646" s="84" t="s">
        <v>3512</v>
      </c>
      <c r="S646" s="84">
        <v>0.9</v>
      </c>
      <c r="T646" s="82" t="s">
        <v>3537</v>
      </c>
      <c r="U646" s="84"/>
      <c r="V646" s="54"/>
    </row>
    <row r="647" spans="1:22" s="11" customFormat="1" ht="45" customHeight="1" x14ac:dyDescent="0.2">
      <c r="A647" s="66" t="s">
        <v>3494</v>
      </c>
      <c r="B647" s="66" t="s">
        <v>1707</v>
      </c>
      <c r="C647" s="66" t="s">
        <v>3494</v>
      </c>
      <c r="D647" s="66">
        <v>699788835210</v>
      </c>
      <c r="E647" s="68" t="s">
        <v>3538</v>
      </c>
      <c r="F647" s="66" t="s">
        <v>3539</v>
      </c>
      <c r="G647" s="71">
        <v>21736</v>
      </c>
      <c r="H647" s="73"/>
      <c r="I647" s="75">
        <v>0.2</v>
      </c>
      <c r="J647" s="77"/>
      <c r="K647" s="66"/>
      <c r="L647" s="66"/>
      <c r="M647" s="79" t="str">
        <f>HYPERLINK("http://www.pristavka.com/catalog/Diamond_Select/DS36/")</f>
        <v>http://www.pristavka.com/catalog/Diamond_Select/DS36/</v>
      </c>
      <c r="N647" s="71">
        <v>34399</v>
      </c>
      <c r="O647" s="66" t="s">
        <v>27</v>
      </c>
      <c r="P647" s="82" t="s">
        <v>3540</v>
      </c>
      <c r="Q647" s="84" t="s">
        <v>3541</v>
      </c>
      <c r="R647" s="84" t="s">
        <v>58</v>
      </c>
      <c r="S647" s="84">
        <v>0.79</v>
      </c>
      <c r="T647" s="82" t="s">
        <v>3542</v>
      </c>
      <c r="U647" s="84"/>
      <c r="V647" s="54"/>
    </row>
    <row r="648" spans="1:22" s="11" customFormat="1" ht="45" customHeight="1" x14ac:dyDescent="0.2">
      <c r="A648" s="66" t="s">
        <v>3494</v>
      </c>
      <c r="B648" s="66" t="s">
        <v>1707</v>
      </c>
      <c r="C648" s="66" t="s">
        <v>3494</v>
      </c>
      <c r="D648" s="66">
        <v>699788843437</v>
      </c>
      <c r="E648" s="68" t="s">
        <v>3543</v>
      </c>
      <c r="F648" s="66" t="s">
        <v>3544</v>
      </c>
      <c r="G648" s="71">
        <v>40483</v>
      </c>
      <c r="H648" s="73"/>
      <c r="I648" s="75">
        <v>0.2</v>
      </c>
      <c r="J648" s="77"/>
      <c r="K648" s="66"/>
      <c r="L648" s="66"/>
      <c r="M648" s="79" t="str">
        <f>HYPERLINK("http://www.pristavka.com/catalog/Diamond_Select/DS24/")</f>
        <v>http://www.pristavka.com/catalog/Diamond_Select/DS24/</v>
      </c>
      <c r="N648" s="71">
        <v>62299</v>
      </c>
      <c r="O648" s="66" t="s">
        <v>27</v>
      </c>
      <c r="P648" s="82" t="s">
        <v>3545</v>
      </c>
      <c r="Q648" s="84" t="s">
        <v>3527</v>
      </c>
      <c r="R648" s="84" t="s">
        <v>3512</v>
      </c>
      <c r="S648" s="84">
        <v>0.46700000000000003</v>
      </c>
      <c r="T648" s="82" t="s">
        <v>3546</v>
      </c>
      <c r="U648" s="84"/>
      <c r="V648" s="54"/>
    </row>
    <row r="649" spans="1:22" s="11" customFormat="1" ht="45" customHeight="1" x14ac:dyDescent="0.2">
      <c r="A649" s="66" t="s">
        <v>3494</v>
      </c>
      <c r="B649" s="66" t="s">
        <v>1707</v>
      </c>
      <c r="C649" s="66" t="s">
        <v>3494</v>
      </c>
      <c r="D649" s="66">
        <v>699788844076</v>
      </c>
      <c r="E649" s="68" t="s">
        <v>3547</v>
      </c>
      <c r="F649" s="66" t="s">
        <v>3548</v>
      </c>
      <c r="G649" s="71">
        <v>159595</v>
      </c>
      <c r="H649" s="73"/>
      <c r="I649" s="75">
        <v>0.2</v>
      </c>
      <c r="J649" s="77"/>
      <c r="K649" s="66"/>
      <c r="L649" s="66"/>
      <c r="M649" s="79" t="str">
        <f>HYPERLINK("http://www.pristavka.com/catalog/Diamond_Select/DS38/")</f>
        <v>http://www.pristavka.com/catalog/Diamond_Select/DS38/</v>
      </c>
      <c r="N649" s="71">
        <v>163699</v>
      </c>
      <c r="O649" s="66" t="s">
        <v>28</v>
      </c>
      <c r="P649" s="82" t="s">
        <v>3549</v>
      </c>
      <c r="Q649" s="84" t="s">
        <v>1840</v>
      </c>
      <c r="R649" s="84" t="s">
        <v>1840</v>
      </c>
      <c r="S649" s="84">
        <v>1.45</v>
      </c>
      <c r="T649" s="82" t="s">
        <v>3550</v>
      </c>
      <c r="U649" s="84"/>
      <c r="V649" s="54"/>
    </row>
    <row r="650" spans="1:22" s="11" customFormat="1" ht="45" customHeight="1" x14ac:dyDescent="0.2">
      <c r="A650" s="66" t="s">
        <v>3494</v>
      </c>
      <c r="B650" s="66" t="s">
        <v>1707</v>
      </c>
      <c r="C650" s="66" t="s">
        <v>3494</v>
      </c>
      <c r="D650" s="66">
        <v>699788849804</v>
      </c>
      <c r="E650" s="68" t="s">
        <v>3551</v>
      </c>
      <c r="F650" s="66" t="s">
        <v>3552</v>
      </c>
      <c r="G650" s="71">
        <v>51126</v>
      </c>
      <c r="H650" s="73"/>
      <c r="I650" s="75">
        <v>0.2</v>
      </c>
      <c r="J650" s="77"/>
      <c r="K650" s="66"/>
      <c r="L650" s="66"/>
      <c r="M650" s="79" t="str">
        <f>HYPERLINK("http://www.pristavka.com/catalog/Diamond_Select/DS53/")</f>
        <v>http://www.pristavka.com/catalog/Diamond_Select/DS53/</v>
      </c>
      <c r="N650" s="71">
        <v>78699</v>
      </c>
      <c r="O650" s="66" t="s">
        <v>27</v>
      </c>
      <c r="P650" s="82" t="s">
        <v>3553</v>
      </c>
      <c r="Q650" s="84" t="s">
        <v>3554</v>
      </c>
      <c r="R650" s="84" t="s">
        <v>1303</v>
      </c>
      <c r="S650" s="84">
        <v>1.722</v>
      </c>
      <c r="T650" s="82" t="s">
        <v>3555</v>
      </c>
      <c r="U650" s="84"/>
      <c r="V650" s="54"/>
    </row>
    <row r="651" spans="1:22" s="11" customFormat="1" ht="45" customHeight="1" x14ac:dyDescent="0.2">
      <c r="A651" s="66" t="s">
        <v>3494</v>
      </c>
      <c r="B651" s="66" t="s">
        <v>1707</v>
      </c>
      <c r="C651" s="66" t="s">
        <v>3494</v>
      </c>
      <c r="D651" s="66">
        <v>699788839904</v>
      </c>
      <c r="E651" s="68" t="s">
        <v>3556</v>
      </c>
      <c r="F651" s="66" t="s">
        <v>3557</v>
      </c>
      <c r="G651" s="71">
        <v>32871</v>
      </c>
      <c r="H651" s="73"/>
      <c r="I651" s="75">
        <v>0.2</v>
      </c>
      <c r="J651" s="77"/>
      <c r="K651" s="66"/>
      <c r="L651" s="66"/>
      <c r="M651" s="79" t="str">
        <f>HYPERLINK("http://www.pristavka.com/catalog/Diamond_Select/DS32/")</f>
        <v>http://www.pristavka.com/catalog/Diamond_Select/DS32/</v>
      </c>
      <c r="N651" s="71">
        <v>46999</v>
      </c>
      <c r="O651" s="66" t="s">
        <v>28</v>
      </c>
      <c r="P651" s="82" t="s">
        <v>3558</v>
      </c>
      <c r="Q651" s="84" t="s">
        <v>3517</v>
      </c>
      <c r="R651" s="84" t="s">
        <v>3512</v>
      </c>
      <c r="S651" s="84">
        <v>0.51200000000000001</v>
      </c>
      <c r="T651" s="82" t="s">
        <v>3559</v>
      </c>
      <c r="U651" s="84"/>
      <c r="V651" s="54"/>
    </row>
    <row r="652" spans="1:22" s="11" customFormat="1" ht="45" customHeight="1" x14ac:dyDescent="0.2">
      <c r="A652" s="66" t="s">
        <v>3560</v>
      </c>
      <c r="B652" s="66" t="s">
        <v>1155</v>
      </c>
      <c r="C652" s="66" t="s">
        <v>3561</v>
      </c>
      <c r="D652" s="66" t="s">
        <v>3562</v>
      </c>
      <c r="E652" s="68" t="s">
        <v>3563</v>
      </c>
      <c r="F652" s="66" t="s">
        <v>3564</v>
      </c>
      <c r="G652" s="71">
        <v>0</v>
      </c>
      <c r="H652" s="73"/>
      <c r="I652" s="75">
        <v>0.2</v>
      </c>
      <c r="J652" s="77"/>
      <c r="K652" s="66"/>
      <c r="L652" s="66"/>
      <c r="M652" s="79" t="str">
        <f>HYPERLINK("http://www.pristavka.com/catalog/difuzed_ryukzaki_sumki_koshelki/DIFB74/")</f>
        <v>http://www.pristavka.com/catalog/difuzed_ryukzaki_sumki_koshelki/DIFB74/</v>
      </c>
      <c r="N652" s="71">
        <v>13999</v>
      </c>
      <c r="O652" s="66" t="s">
        <v>28</v>
      </c>
      <c r="P652" s="82" t="s">
        <v>3565</v>
      </c>
      <c r="Q652" s="84" t="s">
        <v>3566</v>
      </c>
      <c r="R652" s="84" t="s">
        <v>1303</v>
      </c>
      <c r="S652" s="84">
        <v>0.12</v>
      </c>
      <c r="T652" s="82" t="s">
        <v>3567</v>
      </c>
      <c r="U652" s="84"/>
      <c r="V652" s="54"/>
    </row>
    <row r="653" spans="1:22" s="11" customFormat="1" ht="45" customHeight="1" x14ac:dyDescent="0.2">
      <c r="A653" s="66" t="s">
        <v>3560</v>
      </c>
      <c r="B653" s="66" t="s">
        <v>1155</v>
      </c>
      <c r="C653" s="66" t="s">
        <v>3561</v>
      </c>
      <c r="D653" s="66" t="s">
        <v>3568</v>
      </c>
      <c r="E653" s="68" t="s">
        <v>3569</v>
      </c>
      <c r="F653" s="66" t="s">
        <v>3570</v>
      </c>
      <c r="G653" s="71">
        <v>15399</v>
      </c>
      <c r="H653" s="73"/>
      <c r="I653" s="75">
        <v>0.2</v>
      </c>
      <c r="J653" s="77"/>
      <c r="K653" s="66"/>
      <c r="L653" s="66"/>
      <c r="M653" s="79" t="str">
        <f>HYPERLINK("http://www.pristavka.com/catalog/difuzed_ryukzaki_sumki_koshelki/DIFB69/")</f>
        <v>http://www.pristavka.com/catalog/difuzed_ryukzaki_sumki_koshelki/DIFB69/</v>
      </c>
      <c r="N653" s="71">
        <v>26899</v>
      </c>
      <c r="O653" s="66" t="s">
        <v>28</v>
      </c>
      <c r="P653" s="82" t="s">
        <v>3571</v>
      </c>
      <c r="Q653" s="84" t="s">
        <v>1396</v>
      </c>
      <c r="R653" s="84" t="s">
        <v>859</v>
      </c>
      <c r="S653" s="84">
        <v>0.12</v>
      </c>
      <c r="T653" s="82" t="s">
        <v>3567</v>
      </c>
      <c r="U653" s="84"/>
      <c r="V653" s="54"/>
    </row>
    <row r="654" spans="1:22" s="11" customFormat="1" ht="45" customHeight="1" x14ac:dyDescent="0.2">
      <c r="A654" s="66" t="s">
        <v>3560</v>
      </c>
      <c r="B654" s="66" t="s">
        <v>1155</v>
      </c>
      <c r="C654" s="66" t="s">
        <v>3561</v>
      </c>
      <c r="D654" s="66" t="s">
        <v>3572</v>
      </c>
      <c r="E654" s="68" t="s">
        <v>3573</v>
      </c>
      <c r="F654" s="66" t="s">
        <v>3574</v>
      </c>
      <c r="G654" s="71">
        <v>7899</v>
      </c>
      <c r="H654" s="73"/>
      <c r="I654" s="75">
        <v>0.2</v>
      </c>
      <c r="J654" s="77"/>
      <c r="K654" s="66"/>
      <c r="L654" s="66"/>
      <c r="M654" s="79" t="str">
        <f>HYPERLINK("http://www.pristavka.com/catalog/difuzed_ryukzaki_sumki_koshelki/DIFB28/")</f>
        <v>http://www.pristavka.com/catalog/difuzed_ryukzaki_sumki_koshelki/DIFB28/</v>
      </c>
      <c r="N654" s="71">
        <v>18599</v>
      </c>
      <c r="O654" s="66" t="s">
        <v>28</v>
      </c>
      <c r="P654" s="82" t="s">
        <v>3575</v>
      </c>
      <c r="Q654" s="84" t="s">
        <v>1391</v>
      </c>
      <c r="R654" s="84" t="s">
        <v>1391</v>
      </c>
      <c r="S654" s="84">
        <v>7.0000000000000007E-2</v>
      </c>
      <c r="T654" s="82" t="s">
        <v>3576</v>
      </c>
      <c r="U654" s="84"/>
      <c r="V654" s="54"/>
    </row>
    <row r="655" spans="1:22" s="11" customFormat="1" ht="45" customHeight="1" x14ac:dyDescent="0.2">
      <c r="A655" s="66" t="s">
        <v>3577</v>
      </c>
      <c r="B655" s="66" t="s">
        <v>1707</v>
      </c>
      <c r="C655" s="66" t="s">
        <v>3578</v>
      </c>
      <c r="D655" s="66">
        <v>85536</v>
      </c>
      <c r="E655" s="68" t="s">
        <v>3579</v>
      </c>
      <c r="F655" s="66" t="s">
        <v>3580</v>
      </c>
      <c r="G655" s="71">
        <v>0</v>
      </c>
      <c r="H655" s="73"/>
      <c r="I655" s="75">
        <v>0.1</v>
      </c>
      <c r="J655" s="77"/>
      <c r="K655" s="66"/>
      <c r="L655" s="66"/>
      <c r="M655" s="79" t="str">
        <f>HYPERLINK("http://www.pristavka.com/catalog/funko/Fun85536/")</f>
        <v>http://www.pristavka.com/catalog/funko/Fun85536/</v>
      </c>
      <c r="N655" s="71"/>
      <c r="O655" s="66" t="s">
        <v>27</v>
      </c>
      <c r="P655" s="82" t="s">
        <v>3581</v>
      </c>
      <c r="Q655" s="84" t="s">
        <v>3582</v>
      </c>
      <c r="R655" s="84" t="s">
        <v>1315</v>
      </c>
      <c r="S655" s="84">
        <v>0.61</v>
      </c>
      <c r="T655" s="82" t="s">
        <v>3583</v>
      </c>
      <c r="U655" s="84" t="s">
        <v>3584</v>
      </c>
      <c r="V655" s="54"/>
    </row>
    <row r="656" spans="1:22" s="11" customFormat="1" ht="45" customHeight="1" x14ac:dyDescent="0.2">
      <c r="A656" s="66" t="s">
        <v>3577</v>
      </c>
      <c r="B656" s="66" t="s">
        <v>1707</v>
      </c>
      <c r="C656" s="66" t="s">
        <v>3578</v>
      </c>
      <c r="D656" s="66">
        <v>85533</v>
      </c>
      <c r="E656" s="68" t="s">
        <v>3585</v>
      </c>
      <c r="F656" s="66" t="s">
        <v>3586</v>
      </c>
      <c r="G656" s="71">
        <v>0</v>
      </c>
      <c r="H656" s="73"/>
      <c r="I656" s="75">
        <v>0.1</v>
      </c>
      <c r="J656" s="77"/>
      <c r="K656" s="66"/>
      <c r="L656" s="66"/>
      <c r="M656" s="79" t="str">
        <f>HYPERLINK("http://www.pristavka.com/catalog/funko/Fun85533/")</f>
        <v>http://www.pristavka.com/catalog/funko/Fun85533/</v>
      </c>
      <c r="N656" s="71"/>
      <c r="O656" s="66" t="s">
        <v>27</v>
      </c>
      <c r="P656" s="82" t="s">
        <v>3587</v>
      </c>
      <c r="Q656" s="84" t="s">
        <v>1102</v>
      </c>
      <c r="R656" s="84" t="s">
        <v>1103</v>
      </c>
      <c r="S656" s="84">
        <v>0.65</v>
      </c>
      <c r="T656" s="82" t="s">
        <v>3588</v>
      </c>
      <c r="U656" s="84" t="s">
        <v>3584</v>
      </c>
      <c r="V656" s="54"/>
    </row>
    <row r="657" spans="1:22" s="11" customFormat="1" ht="45" customHeight="1" x14ac:dyDescent="0.2">
      <c r="A657" s="66" t="s">
        <v>3577</v>
      </c>
      <c r="B657" s="66" t="s">
        <v>1707</v>
      </c>
      <c r="C657" s="66" t="s">
        <v>3578</v>
      </c>
      <c r="D657" s="66">
        <v>85535</v>
      </c>
      <c r="E657" s="68" t="s">
        <v>3589</v>
      </c>
      <c r="F657" s="66" t="s">
        <v>3590</v>
      </c>
      <c r="G657" s="71">
        <v>0</v>
      </c>
      <c r="H657" s="73"/>
      <c r="I657" s="75">
        <v>0.2</v>
      </c>
      <c r="J657" s="77"/>
      <c r="K657" s="66"/>
      <c r="L657" s="66"/>
      <c r="M657" s="79" t="str">
        <f>HYPERLINK("http://www.pristavka.com/catalog/funko/Fun85535/")</f>
        <v>http://www.pristavka.com/catalog/funko/Fun85535/</v>
      </c>
      <c r="N657" s="71"/>
      <c r="O657" s="66" t="s">
        <v>27</v>
      </c>
      <c r="P657" s="82" t="s">
        <v>3591</v>
      </c>
      <c r="Q657" s="84" t="s">
        <v>3592</v>
      </c>
      <c r="R657" s="84" t="s">
        <v>1303</v>
      </c>
      <c r="S657" s="84">
        <v>0.64500000000000002</v>
      </c>
      <c r="T657" s="82" t="s">
        <v>3588</v>
      </c>
      <c r="U657" s="84" t="s">
        <v>3593</v>
      </c>
      <c r="V657" s="54"/>
    </row>
    <row r="658" spans="1:22" s="11" customFormat="1" ht="45" customHeight="1" x14ac:dyDescent="0.2">
      <c r="A658" s="66" t="s">
        <v>3577</v>
      </c>
      <c r="B658" s="66" t="s">
        <v>1707</v>
      </c>
      <c r="C658" s="66" t="s">
        <v>3578</v>
      </c>
      <c r="D658" s="66">
        <v>85534</v>
      </c>
      <c r="E658" s="68" t="s">
        <v>3594</v>
      </c>
      <c r="F658" s="66" t="s">
        <v>3595</v>
      </c>
      <c r="G658" s="71">
        <v>0</v>
      </c>
      <c r="H658" s="73"/>
      <c r="I658" s="75">
        <v>0.1</v>
      </c>
      <c r="J658" s="77"/>
      <c r="K658" s="66"/>
      <c r="L658" s="66"/>
      <c r="M658" s="79" t="str">
        <f>HYPERLINK("http://www.pristavka.com/catalog/funko/Fun85534/")</f>
        <v>http://www.pristavka.com/catalog/funko/Fun85534/</v>
      </c>
      <c r="N658" s="71"/>
      <c r="O658" s="66" t="s">
        <v>27</v>
      </c>
      <c r="P658" s="82" t="s">
        <v>3596</v>
      </c>
      <c r="Q658" s="84" t="s">
        <v>3471</v>
      </c>
      <c r="R658" s="84" t="s">
        <v>3327</v>
      </c>
      <c r="S658" s="84">
        <v>0.68400000000000005</v>
      </c>
      <c r="T658" s="82" t="s">
        <v>3597</v>
      </c>
      <c r="U658" s="84" t="s">
        <v>3584</v>
      </c>
      <c r="V658" s="54"/>
    </row>
    <row r="659" spans="1:22" s="11" customFormat="1" ht="45" customHeight="1" x14ac:dyDescent="0.2">
      <c r="A659" s="66" t="s">
        <v>3577</v>
      </c>
      <c r="B659" s="66" t="s">
        <v>1707</v>
      </c>
      <c r="C659" s="66" t="s">
        <v>3578</v>
      </c>
      <c r="D659" s="66">
        <v>85537</v>
      </c>
      <c r="E659" s="68" t="s">
        <v>3598</v>
      </c>
      <c r="F659" s="66" t="s">
        <v>3599</v>
      </c>
      <c r="G659" s="71">
        <v>0</v>
      </c>
      <c r="H659" s="73"/>
      <c r="I659" s="75">
        <v>0.1</v>
      </c>
      <c r="J659" s="77"/>
      <c r="K659" s="66"/>
      <c r="L659" s="66"/>
      <c r="M659" s="79" t="str">
        <f>HYPERLINK("http://www.pristavka.com/catalog/funko/Fun85537/")</f>
        <v>http://www.pristavka.com/catalog/funko/Fun85537/</v>
      </c>
      <c r="N659" s="71"/>
      <c r="O659" s="66" t="s">
        <v>27</v>
      </c>
      <c r="P659" s="82" t="s">
        <v>3600</v>
      </c>
      <c r="Q659" s="84" t="s">
        <v>1297</v>
      </c>
      <c r="R659" s="84" t="s">
        <v>1298</v>
      </c>
      <c r="S659" s="84">
        <v>0.64500000000000002</v>
      </c>
      <c r="T659" s="82" t="s">
        <v>3588</v>
      </c>
      <c r="U659" s="84" t="s">
        <v>3584</v>
      </c>
      <c r="V659" s="54"/>
    </row>
    <row r="660" spans="1:22" s="11" customFormat="1" ht="45" customHeight="1" x14ac:dyDescent="0.2">
      <c r="A660" s="66" t="s">
        <v>3577</v>
      </c>
      <c r="B660" s="66" t="s">
        <v>1707</v>
      </c>
      <c r="C660" s="66" t="s">
        <v>3578</v>
      </c>
      <c r="D660" s="66">
        <v>81290</v>
      </c>
      <c r="E660" s="68" t="s">
        <v>3601</v>
      </c>
      <c r="F660" s="66" t="s">
        <v>3602</v>
      </c>
      <c r="G660" s="71">
        <v>0</v>
      </c>
      <c r="H660" s="73"/>
      <c r="I660" s="75">
        <v>0.1</v>
      </c>
      <c r="J660" s="77"/>
      <c r="K660" s="66"/>
      <c r="L660" s="66"/>
      <c r="M660" s="79" t="str">
        <f>HYPERLINK("http://www.pristavka.com/catalog/funko/Fun81290/")</f>
        <v>http://www.pristavka.com/catalog/funko/Fun81290/</v>
      </c>
      <c r="N660" s="71"/>
      <c r="O660" s="66" t="s">
        <v>27</v>
      </c>
      <c r="P660" s="82" t="s">
        <v>3603</v>
      </c>
      <c r="Q660" s="84" t="s">
        <v>3604</v>
      </c>
      <c r="R660" s="84" t="s">
        <v>3566</v>
      </c>
      <c r="S660" s="84">
        <v>0.54500000000000004</v>
      </c>
      <c r="T660" s="82" t="s">
        <v>3605</v>
      </c>
      <c r="U660" s="84" t="s">
        <v>3584</v>
      </c>
      <c r="V660" s="54"/>
    </row>
    <row r="661" spans="1:22" s="11" customFormat="1" ht="45" customHeight="1" x14ac:dyDescent="0.2">
      <c r="A661" s="66" t="s">
        <v>3577</v>
      </c>
      <c r="B661" s="66" t="s">
        <v>1707</v>
      </c>
      <c r="C661" s="66" t="s">
        <v>3578</v>
      </c>
      <c r="D661" s="66">
        <v>85511</v>
      </c>
      <c r="E661" s="68" t="s">
        <v>3606</v>
      </c>
      <c r="F661" s="66" t="s">
        <v>3607</v>
      </c>
      <c r="G661" s="71">
        <v>0</v>
      </c>
      <c r="H661" s="73"/>
      <c r="I661" s="75">
        <v>0.1</v>
      </c>
      <c r="J661" s="77"/>
      <c r="K661" s="66"/>
      <c r="L661" s="66"/>
      <c r="M661" s="79" t="str">
        <f>HYPERLINK("http://www.pristavka.com/catalog/funko/Fun85511/")</f>
        <v>http://www.pristavka.com/catalog/funko/Fun85511/</v>
      </c>
      <c r="N661" s="71"/>
      <c r="O661" s="66" t="s">
        <v>27</v>
      </c>
      <c r="P661" s="82" t="s">
        <v>3608</v>
      </c>
      <c r="Q661" s="84" t="s">
        <v>3609</v>
      </c>
      <c r="R661" s="84" t="s">
        <v>1315</v>
      </c>
      <c r="S661" s="84">
        <v>0.47</v>
      </c>
      <c r="T661" s="82" t="s">
        <v>802</v>
      </c>
      <c r="U661" s="84" t="s">
        <v>3584</v>
      </c>
      <c r="V661" s="54"/>
    </row>
    <row r="662" spans="1:22" s="11" customFormat="1" ht="45" customHeight="1" x14ac:dyDescent="0.2">
      <c r="A662" s="66" t="s">
        <v>3577</v>
      </c>
      <c r="B662" s="66" t="s">
        <v>1707</v>
      </c>
      <c r="C662" s="66" t="s">
        <v>3578</v>
      </c>
      <c r="D662" s="66">
        <v>85513</v>
      </c>
      <c r="E662" s="68" t="s">
        <v>3610</v>
      </c>
      <c r="F662" s="66" t="s">
        <v>3611</v>
      </c>
      <c r="G662" s="71">
        <v>0</v>
      </c>
      <c r="H662" s="73"/>
      <c r="I662" s="75">
        <v>0.1</v>
      </c>
      <c r="J662" s="77"/>
      <c r="K662" s="66"/>
      <c r="L662" s="66"/>
      <c r="M662" s="79" t="str">
        <f>HYPERLINK("http://www.pristavka.com/catalog/funko/Fun85513/")</f>
        <v>http://www.pristavka.com/catalog/funko/Fun85513/</v>
      </c>
      <c r="N662" s="71"/>
      <c r="O662" s="66" t="s">
        <v>27</v>
      </c>
      <c r="P662" s="82" t="s">
        <v>3612</v>
      </c>
      <c r="Q662" s="84" t="s">
        <v>1315</v>
      </c>
      <c r="R662" s="84" t="s">
        <v>1315</v>
      </c>
      <c r="S662" s="84">
        <v>0.41499999999999998</v>
      </c>
      <c r="T662" s="82" t="s">
        <v>3613</v>
      </c>
      <c r="U662" s="84" t="s">
        <v>3584</v>
      </c>
      <c r="V662" s="54"/>
    </row>
    <row r="663" spans="1:22" s="11" customFormat="1" ht="45" customHeight="1" x14ac:dyDescent="0.2">
      <c r="A663" s="66" t="s">
        <v>3577</v>
      </c>
      <c r="B663" s="66" t="s">
        <v>1707</v>
      </c>
      <c r="C663" s="66" t="s">
        <v>3578</v>
      </c>
      <c r="D663" s="66">
        <v>85512</v>
      </c>
      <c r="E663" s="68" t="s">
        <v>3614</v>
      </c>
      <c r="F663" s="66" t="s">
        <v>3615</v>
      </c>
      <c r="G663" s="71">
        <v>0</v>
      </c>
      <c r="H663" s="73"/>
      <c r="I663" s="75">
        <v>0.1</v>
      </c>
      <c r="J663" s="77"/>
      <c r="K663" s="66"/>
      <c r="L663" s="66"/>
      <c r="M663" s="79" t="str">
        <f>HYPERLINK("http://www.pristavka.com/catalog/funko/Fun85512/")</f>
        <v>http://www.pristavka.com/catalog/funko/Fun85512/</v>
      </c>
      <c r="N663" s="71"/>
      <c r="O663" s="66" t="s">
        <v>27</v>
      </c>
      <c r="P663" s="82" t="s">
        <v>3616</v>
      </c>
      <c r="Q663" s="84" t="s">
        <v>3527</v>
      </c>
      <c r="R663" s="84" t="s">
        <v>3512</v>
      </c>
      <c r="S663" s="84">
        <v>0.45400000000000001</v>
      </c>
      <c r="T663" s="82" t="s">
        <v>3617</v>
      </c>
      <c r="U663" s="84" t="s">
        <v>3584</v>
      </c>
      <c r="V663" s="54"/>
    </row>
    <row r="664" spans="1:22" s="11" customFormat="1" ht="45" customHeight="1" x14ac:dyDescent="0.2">
      <c r="A664" s="66" t="s">
        <v>3577</v>
      </c>
      <c r="B664" s="66" t="s">
        <v>1155</v>
      </c>
      <c r="C664" s="66" t="s">
        <v>3578</v>
      </c>
      <c r="D664" s="66">
        <v>82844</v>
      </c>
      <c r="E664" s="68" t="s">
        <v>3618</v>
      </c>
      <c r="F664" s="66" t="s">
        <v>3619</v>
      </c>
      <c r="G664" s="71">
        <v>0</v>
      </c>
      <c r="H664" s="73"/>
      <c r="I664" s="75">
        <v>0.2</v>
      </c>
      <c r="J664" s="77"/>
      <c r="K664" s="66"/>
      <c r="L664" s="66"/>
      <c r="M664" s="79" t="str">
        <f>HYPERLINK("http://www.pristavka.com/catalog/funko/Fun82844/")</f>
        <v>http://www.pristavka.com/catalog/funko/Fun82844/</v>
      </c>
      <c r="N664" s="71"/>
      <c r="O664" s="66" t="s">
        <v>27</v>
      </c>
      <c r="P664" s="82" t="s">
        <v>3620</v>
      </c>
      <c r="Q664" s="84" t="s">
        <v>1334</v>
      </c>
      <c r="R664" s="84" t="s">
        <v>1068</v>
      </c>
      <c r="S664" s="84">
        <v>0.46200000000000002</v>
      </c>
      <c r="T664" s="82" t="s">
        <v>3621</v>
      </c>
      <c r="U664" s="84" t="s">
        <v>3622</v>
      </c>
      <c r="V664" s="54"/>
    </row>
    <row r="665" spans="1:22" s="11" customFormat="1" ht="45" customHeight="1" x14ac:dyDescent="0.2">
      <c r="A665" s="66" t="s">
        <v>3577</v>
      </c>
      <c r="B665" s="66" t="s">
        <v>1707</v>
      </c>
      <c r="C665" s="66" t="s">
        <v>3578</v>
      </c>
      <c r="D665" s="66">
        <v>49668</v>
      </c>
      <c r="E665" s="68" t="s">
        <v>3623</v>
      </c>
      <c r="F665" s="66" t="s">
        <v>3624</v>
      </c>
      <c r="G665" s="71">
        <v>28600</v>
      </c>
      <c r="H665" s="73"/>
      <c r="I665" s="75">
        <v>0.1</v>
      </c>
      <c r="J665" s="77"/>
      <c r="K665" s="66"/>
      <c r="L665" s="66"/>
      <c r="M665" s="79" t="str">
        <f>HYPERLINK("http://www.pristavka.com/catalog/funko/Fun2549659/")</f>
        <v>http://www.pristavka.com/catalog/funko/Fun2549659/</v>
      </c>
      <c r="N665" s="71">
        <v>43999</v>
      </c>
      <c r="O665" s="66" t="s">
        <v>27</v>
      </c>
      <c r="P665" s="82" t="s">
        <v>3625</v>
      </c>
      <c r="Q665" s="84" t="s">
        <v>1314</v>
      </c>
      <c r="R665" s="84" t="s">
        <v>1315</v>
      </c>
      <c r="S665" s="84">
        <v>0.745</v>
      </c>
      <c r="T665" s="82" t="s">
        <v>3626</v>
      </c>
      <c r="U665" s="84" t="s">
        <v>3584</v>
      </c>
      <c r="V665" s="54"/>
    </row>
    <row r="666" spans="1:22" s="11" customFormat="1" ht="45" customHeight="1" x14ac:dyDescent="0.2">
      <c r="A666" s="66" t="s">
        <v>3577</v>
      </c>
      <c r="B666" s="66" t="s">
        <v>1707</v>
      </c>
      <c r="C666" s="66" t="s">
        <v>3578</v>
      </c>
      <c r="D666" s="66">
        <v>72480</v>
      </c>
      <c r="E666" s="68" t="s">
        <v>3627</v>
      </c>
      <c r="F666" s="66" t="s">
        <v>3628</v>
      </c>
      <c r="G666" s="71">
        <v>28600</v>
      </c>
      <c r="H666" s="73"/>
      <c r="I666" s="75">
        <v>0.1</v>
      </c>
      <c r="J666" s="77"/>
      <c r="K666" s="66"/>
      <c r="L666" s="66"/>
      <c r="M666" s="79" t="str">
        <f>HYPERLINK("http://www.pristavka.com/catalog/funko/Fun72480/")</f>
        <v>http://www.pristavka.com/catalog/funko/Fun72480/</v>
      </c>
      <c r="N666" s="71">
        <v>43999</v>
      </c>
      <c r="O666" s="66" t="s">
        <v>27</v>
      </c>
      <c r="P666" s="82" t="s">
        <v>3629</v>
      </c>
      <c r="Q666" s="84" t="s">
        <v>1419</v>
      </c>
      <c r="R666" s="84" t="s">
        <v>3630</v>
      </c>
      <c r="S666" s="84">
        <v>0.64</v>
      </c>
      <c r="T666" s="82" t="s">
        <v>3631</v>
      </c>
      <c r="U666" s="84" t="s">
        <v>3584</v>
      </c>
      <c r="V666" s="54"/>
    </row>
    <row r="667" spans="1:22" s="11" customFormat="1" ht="45" customHeight="1" x14ac:dyDescent="0.2">
      <c r="A667" s="66" t="s">
        <v>3577</v>
      </c>
      <c r="B667" s="66" t="s">
        <v>1707</v>
      </c>
      <c r="C667" s="66" t="s">
        <v>3578</v>
      </c>
      <c r="D667" s="66">
        <v>87799</v>
      </c>
      <c r="E667" s="68" t="s">
        <v>3632</v>
      </c>
      <c r="F667" s="66" t="s">
        <v>3633</v>
      </c>
      <c r="G667" s="71">
        <v>0</v>
      </c>
      <c r="H667" s="73"/>
      <c r="I667" s="75">
        <v>0.1</v>
      </c>
      <c r="J667" s="77"/>
      <c r="K667" s="66"/>
      <c r="L667" s="66"/>
      <c r="M667" s="79" t="str">
        <f>HYPERLINK("http://www.pristavka.com/catalog/funko/Fun87799/")</f>
        <v>http://www.pristavka.com/catalog/funko/Fun87799/</v>
      </c>
      <c r="N667" s="71"/>
      <c r="O667" s="66" t="s">
        <v>27</v>
      </c>
      <c r="P667" s="82" t="s">
        <v>3634</v>
      </c>
      <c r="Q667" s="84" t="s">
        <v>1223</v>
      </c>
      <c r="R667" s="84" t="s">
        <v>1212</v>
      </c>
      <c r="S667" s="84">
        <v>0.56000000000000005</v>
      </c>
      <c r="T667" s="82" t="s">
        <v>3635</v>
      </c>
      <c r="U667" s="84" t="s">
        <v>3584</v>
      </c>
      <c r="V667" s="54"/>
    </row>
    <row r="668" spans="1:22" s="11" customFormat="1" ht="45" customHeight="1" x14ac:dyDescent="0.2">
      <c r="A668" s="66" t="s">
        <v>3577</v>
      </c>
      <c r="B668" s="66" t="s">
        <v>1707</v>
      </c>
      <c r="C668" s="66" t="s">
        <v>3578</v>
      </c>
      <c r="D668" s="66">
        <v>62093</v>
      </c>
      <c r="E668" s="68" t="s">
        <v>3636</v>
      </c>
      <c r="F668" s="66" t="s">
        <v>3637</v>
      </c>
      <c r="G668" s="71">
        <v>29575</v>
      </c>
      <c r="H668" s="73"/>
      <c r="I668" s="75">
        <v>0.1</v>
      </c>
      <c r="J668" s="77"/>
      <c r="K668" s="66"/>
      <c r="L668" s="66"/>
      <c r="M668" s="79" t="str">
        <f>HYPERLINK("http://www.pristavka.com/catalog/funko/Fun62093/")</f>
        <v>http://www.pristavka.com/catalog/funko/Fun62093/</v>
      </c>
      <c r="N668" s="71">
        <v>45499</v>
      </c>
      <c r="O668" s="66" t="s">
        <v>27</v>
      </c>
      <c r="P668" s="82" t="s">
        <v>3638</v>
      </c>
      <c r="Q668" s="84" t="s">
        <v>3512</v>
      </c>
      <c r="R668" s="84" t="s">
        <v>3512</v>
      </c>
      <c r="S668" s="84">
        <v>0.75900000000000001</v>
      </c>
      <c r="T668" s="82" t="s">
        <v>3631</v>
      </c>
      <c r="U668" s="84" t="s">
        <v>3584</v>
      </c>
      <c r="V668" s="54"/>
    </row>
    <row r="669" spans="1:22" s="11" customFormat="1" ht="45" customHeight="1" x14ac:dyDescent="0.2">
      <c r="A669" s="66" t="s">
        <v>3577</v>
      </c>
      <c r="B669" s="66" t="s">
        <v>1707</v>
      </c>
      <c r="C669" s="66" t="s">
        <v>3578</v>
      </c>
      <c r="D669" s="66">
        <v>62090</v>
      </c>
      <c r="E669" s="68" t="s">
        <v>3639</v>
      </c>
      <c r="F669" s="66" t="s">
        <v>3640</v>
      </c>
      <c r="G669" s="71">
        <v>29575</v>
      </c>
      <c r="H669" s="73"/>
      <c r="I669" s="75">
        <v>0.1</v>
      </c>
      <c r="J669" s="77"/>
      <c r="K669" s="66"/>
      <c r="L669" s="66"/>
      <c r="M669" s="79" t="str">
        <f>HYPERLINK("http://www.pristavka.com/catalog/funko/Fun62090/")</f>
        <v>http://www.pristavka.com/catalog/funko/Fun62090/</v>
      </c>
      <c r="N669" s="71">
        <v>45499</v>
      </c>
      <c r="O669" s="66" t="s">
        <v>27</v>
      </c>
      <c r="P669" s="82" t="s">
        <v>3641</v>
      </c>
      <c r="Q669" s="84" t="s">
        <v>1321</v>
      </c>
      <c r="R669" s="84" t="s">
        <v>1322</v>
      </c>
      <c r="S669" s="84">
        <v>0.83299999999999996</v>
      </c>
      <c r="T669" s="82" t="s">
        <v>3631</v>
      </c>
      <c r="U669" s="84" t="s">
        <v>3584</v>
      </c>
      <c r="V669" s="54"/>
    </row>
    <row r="670" spans="1:22" s="11" customFormat="1" ht="45" customHeight="1" x14ac:dyDescent="0.2">
      <c r="A670" s="66" t="s">
        <v>3577</v>
      </c>
      <c r="B670" s="66" t="s">
        <v>1155</v>
      </c>
      <c r="C670" s="66" t="s">
        <v>3578</v>
      </c>
      <c r="D670" s="66">
        <v>81651</v>
      </c>
      <c r="E670" s="68" t="s">
        <v>3642</v>
      </c>
      <c r="F670" s="66" t="s">
        <v>3643</v>
      </c>
      <c r="G670" s="71">
        <v>4290</v>
      </c>
      <c r="H670" s="73"/>
      <c r="I670" s="75">
        <v>0.2</v>
      </c>
      <c r="J670" s="77"/>
      <c r="K670" s="66"/>
      <c r="L670" s="66"/>
      <c r="M670" s="79" t="str">
        <f>HYPERLINK("http://www.pristavka.com/catalog/funko/Fun81651/")</f>
        <v>http://www.pristavka.com/catalog/funko/Fun81651/</v>
      </c>
      <c r="N670" s="71">
        <v>6599</v>
      </c>
      <c r="O670" s="66" t="s">
        <v>27</v>
      </c>
      <c r="P670" s="82" t="s">
        <v>3644</v>
      </c>
      <c r="Q670" s="84"/>
      <c r="R670" s="84"/>
      <c r="S670" s="84">
        <v>0.104</v>
      </c>
      <c r="T670" s="82" t="s">
        <v>3645</v>
      </c>
      <c r="U670" s="84" t="s">
        <v>3584</v>
      </c>
      <c r="V670" s="54"/>
    </row>
    <row r="671" spans="1:22" s="11" customFormat="1" ht="45" customHeight="1" x14ac:dyDescent="0.2">
      <c r="A671" s="66" t="s">
        <v>3577</v>
      </c>
      <c r="B671" s="66" t="s">
        <v>1155</v>
      </c>
      <c r="C671" s="66" t="s">
        <v>3578</v>
      </c>
      <c r="D671" s="66">
        <v>81650</v>
      </c>
      <c r="E671" s="68" t="s">
        <v>3646</v>
      </c>
      <c r="F671" s="66" t="s">
        <v>3647</v>
      </c>
      <c r="G671" s="71">
        <v>4290</v>
      </c>
      <c r="H671" s="73"/>
      <c r="I671" s="75">
        <v>0.2</v>
      </c>
      <c r="J671" s="77"/>
      <c r="K671" s="66"/>
      <c r="L671" s="66"/>
      <c r="M671" s="79" t="str">
        <f>HYPERLINK("http://www.pristavka.com/catalog/funko/Fun81650/")</f>
        <v>http://www.pristavka.com/catalog/funko/Fun81650/</v>
      </c>
      <c r="N671" s="71">
        <v>6599</v>
      </c>
      <c r="O671" s="66" t="s">
        <v>27</v>
      </c>
      <c r="P671" s="82" t="s">
        <v>3648</v>
      </c>
      <c r="Q671" s="84"/>
      <c r="R671" s="84"/>
      <c r="S671" s="84">
        <v>8.4000000000000005E-2</v>
      </c>
      <c r="T671" s="82" t="s">
        <v>3645</v>
      </c>
      <c r="U671" s="84" t="s">
        <v>3584</v>
      </c>
      <c r="V671" s="54"/>
    </row>
    <row r="672" spans="1:22" s="11" customFormat="1" ht="45" customHeight="1" x14ac:dyDescent="0.2">
      <c r="A672" s="66" t="s">
        <v>3577</v>
      </c>
      <c r="B672" s="66" t="s">
        <v>1707</v>
      </c>
      <c r="C672" s="66" t="s">
        <v>3578</v>
      </c>
      <c r="D672" s="66">
        <v>79952</v>
      </c>
      <c r="E672" s="68" t="s">
        <v>3649</v>
      </c>
      <c r="F672" s="66" t="s">
        <v>3650</v>
      </c>
      <c r="G672" s="71">
        <v>0</v>
      </c>
      <c r="H672" s="73"/>
      <c r="I672" s="75">
        <v>0.1</v>
      </c>
      <c r="J672" s="77"/>
      <c r="K672" s="66"/>
      <c r="L672" s="66"/>
      <c r="M672" s="79" t="str">
        <f>HYPERLINK("http://www.pristavka.com/catalog/funko/Fun79952/")</f>
        <v>http://www.pristavka.com/catalog/funko/Fun79952/</v>
      </c>
      <c r="N672" s="71"/>
      <c r="O672" s="66" t="s">
        <v>27</v>
      </c>
      <c r="P672" s="82" t="s">
        <v>3651</v>
      </c>
      <c r="Q672" s="84" t="s">
        <v>3582</v>
      </c>
      <c r="R672" s="84" t="s">
        <v>1315</v>
      </c>
      <c r="S672" s="84">
        <v>0.22</v>
      </c>
      <c r="T672" s="82" t="s">
        <v>3652</v>
      </c>
      <c r="U672" s="84" t="s">
        <v>3584</v>
      </c>
      <c r="V672" s="54"/>
    </row>
    <row r="673" spans="1:22" s="11" customFormat="1" ht="45" customHeight="1" x14ac:dyDescent="0.2">
      <c r="A673" s="66" t="s">
        <v>3577</v>
      </c>
      <c r="B673" s="66" t="s">
        <v>1707</v>
      </c>
      <c r="C673" s="66" t="s">
        <v>3578</v>
      </c>
      <c r="D673" s="66">
        <v>86144</v>
      </c>
      <c r="E673" s="68" t="s">
        <v>3653</v>
      </c>
      <c r="F673" s="66" t="s">
        <v>3654</v>
      </c>
      <c r="G673" s="71">
        <v>6500</v>
      </c>
      <c r="H673" s="73"/>
      <c r="I673" s="75">
        <v>0.1</v>
      </c>
      <c r="J673" s="77"/>
      <c r="K673" s="66"/>
      <c r="L673" s="66"/>
      <c r="M673" s="79" t="str">
        <f>HYPERLINK("http://www.pristavka.com/catalog/funko/Fun86144/")</f>
        <v>http://www.pristavka.com/catalog/funko/Fun86144/</v>
      </c>
      <c r="N673" s="71">
        <v>9999</v>
      </c>
      <c r="O673" s="66" t="s">
        <v>27</v>
      </c>
      <c r="P673" s="82" t="s">
        <v>3655</v>
      </c>
      <c r="Q673" s="84" t="s">
        <v>1315</v>
      </c>
      <c r="R673" s="84" t="s">
        <v>1315</v>
      </c>
      <c r="S673" s="84">
        <v>7.0000000000000007E-2</v>
      </c>
      <c r="T673" s="82" t="s">
        <v>3656</v>
      </c>
      <c r="U673" s="84" t="s">
        <v>3584</v>
      </c>
      <c r="V673" s="54"/>
    </row>
    <row r="674" spans="1:22" s="11" customFormat="1" ht="45" customHeight="1" x14ac:dyDescent="0.2">
      <c r="A674" s="66" t="s">
        <v>3577</v>
      </c>
      <c r="B674" s="66" t="s">
        <v>1707</v>
      </c>
      <c r="C674" s="66" t="s">
        <v>3578</v>
      </c>
      <c r="D674" s="66">
        <v>86143</v>
      </c>
      <c r="E674" s="68" t="s">
        <v>3657</v>
      </c>
      <c r="F674" s="66" t="s">
        <v>3658</v>
      </c>
      <c r="G674" s="71">
        <v>6500</v>
      </c>
      <c r="H674" s="73"/>
      <c r="I674" s="75">
        <v>0.1</v>
      </c>
      <c r="J674" s="77"/>
      <c r="K674" s="66"/>
      <c r="L674" s="66"/>
      <c r="M674" s="79" t="str">
        <f>HYPERLINK("http://www.pristavka.com/catalog/funko/Fun86143/")</f>
        <v>http://www.pristavka.com/catalog/funko/Fun86143/</v>
      </c>
      <c r="N674" s="71">
        <v>9999</v>
      </c>
      <c r="O674" s="66" t="s">
        <v>27</v>
      </c>
      <c r="P674" s="82" t="s">
        <v>3659</v>
      </c>
      <c r="Q674" s="84" t="s">
        <v>3512</v>
      </c>
      <c r="R674" s="84" t="s">
        <v>3512</v>
      </c>
      <c r="S674" s="84">
        <v>5.3999999999999999E-2</v>
      </c>
      <c r="T674" s="82" t="s">
        <v>3660</v>
      </c>
      <c r="U674" s="84" t="s">
        <v>3584</v>
      </c>
      <c r="V674" s="54"/>
    </row>
    <row r="675" spans="1:22" s="11" customFormat="1" ht="45" customHeight="1" x14ac:dyDescent="0.2">
      <c r="A675" s="66" t="s">
        <v>3577</v>
      </c>
      <c r="B675" s="66" t="s">
        <v>1155</v>
      </c>
      <c r="C675" s="66" t="s">
        <v>3578</v>
      </c>
      <c r="D675" s="66">
        <v>73911</v>
      </c>
      <c r="E675" s="68" t="s">
        <v>3661</v>
      </c>
      <c r="F675" s="66" t="s">
        <v>3662</v>
      </c>
      <c r="G675" s="71">
        <v>22750</v>
      </c>
      <c r="H675" s="73"/>
      <c r="I675" s="75">
        <v>0.2</v>
      </c>
      <c r="J675" s="77"/>
      <c r="K675" s="66"/>
      <c r="L675" s="66"/>
      <c r="M675" s="79" t="str">
        <f>HYPERLINK("http://www.pristavka.com/catalog/funko/Fun73911/")</f>
        <v>http://www.pristavka.com/catalog/funko/Fun73911/</v>
      </c>
      <c r="N675" s="71">
        <v>34999</v>
      </c>
      <c r="O675" s="66" t="s">
        <v>27</v>
      </c>
      <c r="P675" s="82" t="s">
        <v>3663</v>
      </c>
      <c r="Q675" s="84" t="s">
        <v>1314</v>
      </c>
      <c r="R675" s="84" t="s">
        <v>1315</v>
      </c>
      <c r="S675" s="84">
        <v>0.19</v>
      </c>
      <c r="T675" s="82" t="s">
        <v>3664</v>
      </c>
      <c r="U675" s="84" t="s">
        <v>3584</v>
      </c>
      <c r="V675" s="54"/>
    </row>
    <row r="676" spans="1:22" s="11" customFormat="1" ht="45" customHeight="1" x14ac:dyDescent="0.2">
      <c r="A676" s="66" t="s">
        <v>3577</v>
      </c>
      <c r="B676" s="66" t="s">
        <v>1707</v>
      </c>
      <c r="C676" s="66" t="s">
        <v>3578</v>
      </c>
      <c r="D676" s="66">
        <v>82706</v>
      </c>
      <c r="E676" s="68" t="s">
        <v>3665</v>
      </c>
      <c r="F676" s="66" t="s">
        <v>3666</v>
      </c>
      <c r="G676" s="71">
        <v>0</v>
      </c>
      <c r="H676" s="73"/>
      <c r="I676" s="75">
        <v>0.1</v>
      </c>
      <c r="J676" s="77"/>
      <c r="K676" s="66"/>
      <c r="L676" s="66"/>
      <c r="M676" s="79" t="str">
        <f>HYPERLINK("http://www.pristavka.com/catalog/funko/Fun82706/")</f>
        <v>http://www.pristavka.com/catalog/funko/Fun82706/</v>
      </c>
      <c r="N676" s="71"/>
      <c r="O676" s="66" t="s">
        <v>27</v>
      </c>
      <c r="P676" s="82" t="s">
        <v>3667</v>
      </c>
      <c r="Q676" s="84" t="s">
        <v>1102</v>
      </c>
      <c r="R676" s="84" t="s">
        <v>1103</v>
      </c>
      <c r="S676" s="84">
        <v>0.20599999999999999</v>
      </c>
      <c r="T676" s="82" t="s">
        <v>3668</v>
      </c>
      <c r="U676" s="84" t="s">
        <v>3584</v>
      </c>
      <c r="V676" s="54"/>
    </row>
    <row r="677" spans="1:22" s="11" customFormat="1" ht="45" customHeight="1" x14ac:dyDescent="0.2">
      <c r="A677" s="66" t="s">
        <v>3577</v>
      </c>
      <c r="B677" s="66" t="s">
        <v>1707</v>
      </c>
      <c r="C677" s="66" t="s">
        <v>3578</v>
      </c>
      <c r="D677" s="66">
        <v>79943</v>
      </c>
      <c r="E677" s="68" t="s">
        <v>3669</v>
      </c>
      <c r="F677" s="66" t="s">
        <v>3670</v>
      </c>
      <c r="G677" s="71">
        <v>0</v>
      </c>
      <c r="H677" s="73"/>
      <c r="I677" s="75">
        <v>0.1</v>
      </c>
      <c r="J677" s="77"/>
      <c r="K677" s="66"/>
      <c r="L677" s="66"/>
      <c r="M677" s="79" t="str">
        <f>HYPERLINK("http://www.pristavka.com/catalog/funko/Fun79943/")</f>
        <v>http://www.pristavka.com/catalog/funko/Fun79943/</v>
      </c>
      <c r="N677" s="71"/>
      <c r="O677" s="66" t="s">
        <v>27</v>
      </c>
      <c r="P677" s="82" t="s">
        <v>3671</v>
      </c>
      <c r="Q677" s="84" t="s">
        <v>3672</v>
      </c>
      <c r="R677" s="84"/>
      <c r="S677" s="84">
        <v>0.20399999999999999</v>
      </c>
      <c r="T677" s="82" t="s">
        <v>3673</v>
      </c>
      <c r="U677" s="84" t="s">
        <v>3584</v>
      </c>
      <c r="V677" s="54"/>
    </row>
    <row r="678" spans="1:22" s="11" customFormat="1" ht="45" customHeight="1" x14ac:dyDescent="0.2">
      <c r="A678" s="66" t="s">
        <v>3577</v>
      </c>
      <c r="B678" s="66" t="s">
        <v>1707</v>
      </c>
      <c r="C678" s="66" t="s">
        <v>3578</v>
      </c>
      <c r="D678" s="66">
        <v>79932</v>
      </c>
      <c r="E678" s="68" t="s">
        <v>3674</v>
      </c>
      <c r="F678" s="66" t="s">
        <v>3675</v>
      </c>
      <c r="G678" s="71">
        <v>0</v>
      </c>
      <c r="H678" s="73"/>
      <c r="I678" s="75">
        <v>0.1</v>
      </c>
      <c r="J678" s="77"/>
      <c r="K678" s="66"/>
      <c r="L678" s="66"/>
      <c r="M678" s="79" t="str">
        <f>HYPERLINK("http://www.pristavka.com/catalog/funko/Fun79932/")</f>
        <v>http://www.pristavka.com/catalog/funko/Fun79932/</v>
      </c>
      <c r="N678" s="71"/>
      <c r="O678" s="66" t="s">
        <v>27</v>
      </c>
      <c r="P678" s="82" t="s">
        <v>3676</v>
      </c>
      <c r="Q678" s="84" t="s">
        <v>1321</v>
      </c>
      <c r="R678" s="84" t="s">
        <v>1322</v>
      </c>
      <c r="S678" s="84">
        <v>0.186</v>
      </c>
      <c r="T678" s="82" t="s">
        <v>3677</v>
      </c>
      <c r="U678" s="84" t="s">
        <v>3584</v>
      </c>
      <c r="V678" s="54"/>
    </row>
    <row r="679" spans="1:22" s="11" customFormat="1" ht="45" customHeight="1" x14ac:dyDescent="0.2">
      <c r="A679" s="66" t="s">
        <v>3577</v>
      </c>
      <c r="B679" s="66" t="s">
        <v>1707</v>
      </c>
      <c r="C679" s="66" t="s">
        <v>3578</v>
      </c>
      <c r="D679" s="66">
        <v>83101</v>
      </c>
      <c r="E679" s="68" t="s">
        <v>3678</v>
      </c>
      <c r="F679" s="66" t="s">
        <v>3679</v>
      </c>
      <c r="G679" s="71">
        <v>0</v>
      </c>
      <c r="H679" s="73"/>
      <c r="I679" s="75">
        <v>0.1</v>
      </c>
      <c r="J679" s="77"/>
      <c r="K679" s="66"/>
      <c r="L679" s="66"/>
      <c r="M679" s="79" t="str">
        <f>HYPERLINK("http://www.pristavka.com/catalog/funko/Fun83101/")</f>
        <v>http://www.pristavka.com/catalog/funko/Fun83101/</v>
      </c>
      <c r="N679" s="71"/>
      <c r="O679" s="66" t="s">
        <v>27</v>
      </c>
      <c r="P679" s="82" t="s">
        <v>3680</v>
      </c>
      <c r="Q679" s="84" t="s">
        <v>3681</v>
      </c>
      <c r="R679" s="84" t="s">
        <v>1212</v>
      </c>
      <c r="S679" s="84">
        <v>6.2E-2</v>
      </c>
      <c r="T679" s="82" t="s">
        <v>3682</v>
      </c>
      <c r="U679" s="84" t="s">
        <v>3584</v>
      </c>
      <c r="V679" s="54"/>
    </row>
    <row r="680" spans="1:22" s="11" customFormat="1" ht="45" customHeight="1" x14ac:dyDescent="0.2">
      <c r="A680" s="66" t="s">
        <v>3577</v>
      </c>
      <c r="B680" s="66" t="s">
        <v>1707</v>
      </c>
      <c r="C680" s="66" t="s">
        <v>3578</v>
      </c>
      <c r="D680" s="66">
        <v>83097</v>
      </c>
      <c r="E680" s="68" t="s">
        <v>3683</v>
      </c>
      <c r="F680" s="66" t="s">
        <v>3684</v>
      </c>
      <c r="G680" s="71">
        <v>0</v>
      </c>
      <c r="H680" s="73"/>
      <c r="I680" s="75">
        <v>0.1</v>
      </c>
      <c r="J680" s="77"/>
      <c r="K680" s="66"/>
      <c r="L680" s="66"/>
      <c r="M680" s="79" t="str">
        <f>HYPERLINK("http://www.pristavka.com/catalog/funko/Fun83097/")</f>
        <v>http://www.pristavka.com/catalog/funko/Fun83097/</v>
      </c>
      <c r="N680" s="71"/>
      <c r="O680" s="66" t="s">
        <v>27</v>
      </c>
      <c r="P680" s="82" t="s">
        <v>3685</v>
      </c>
      <c r="Q680" s="84" t="s">
        <v>3686</v>
      </c>
      <c r="R680" s="84" t="s">
        <v>1212</v>
      </c>
      <c r="S680" s="84">
        <v>6.2E-2</v>
      </c>
      <c r="T680" s="82" t="s">
        <v>3682</v>
      </c>
      <c r="U680" s="84" t="s">
        <v>3584</v>
      </c>
      <c r="V680" s="54"/>
    </row>
    <row r="681" spans="1:22" s="11" customFormat="1" ht="45" customHeight="1" x14ac:dyDescent="0.2">
      <c r="A681" s="66" t="s">
        <v>3577</v>
      </c>
      <c r="B681" s="66" t="s">
        <v>1707</v>
      </c>
      <c r="C681" s="66" t="s">
        <v>3578</v>
      </c>
      <c r="D681" s="66">
        <v>67619</v>
      </c>
      <c r="E681" s="68" t="s">
        <v>3687</v>
      </c>
      <c r="F681" s="66" t="s">
        <v>3688</v>
      </c>
      <c r="G681" s="71">
        <v>9430</v>
      </c>
      <c r="H681" s="73"/>
      <c r="I681" s="75">
        <v>0.1</v>
      </c>
      <c r="J681" s="77"/>
      <c r="K681" s="66"/>
      <c r="L681" s="66"/>
      <c r="M681" s="79" t="str">
        <f>HYPERLINK("http://www.pristavka.com/catalog/funko/Fun67619/")</f>
        <v>http://www.pristavka.com/catalog/funko/Fun67619/</v>
      </c>
      <c r="N681" s="71">
        <v>14499</v>
      </c>
      <c r="O681" s="66" t="s">
        <v>28</v>
      </c>
      <c r="P681" s="82" t="s">
        <v>3689</v>
      </c>
      <c r="Q681" s="84" t="s">
        <v>1419</v>
      </c>
      <c r="R681" s="84" t="s">
        <v>3630</v>
      </c>
      <c r="S681" s="84">
        <v>0.125</v>
      </c>
      <c r="T681" s="82" t="s">
        <v>3690</v>
      </c>
      <c r="U681" s="84" t="s">
        <v>3691</v>
      </c>
      <c r="V681" s="54"/>
    </row>
    <row r="682" spans="1:22" s="11" customFormat="1" ht="45" customHeight="1" x14ac:dyDescent="0.2">
      <c r="A682" s="66" t="s">
        <v>3577</v>
      </c>
      <c r="B682" s="66" t="s">
        <v>1707</v>
      </c>
      <c r="C682" s="66" t="s">
        <v>3578</v>
      </c>
      <c r="D682" s="66">
        <v>67620</v>
      </c>
      <c r="E682" s="68" t="s">
        <v>3692</v>
      </c>
      <c r="F682" s="66" t="s">
        <v>3693</v>
      </c>
      <c r="G682" s="71">
        <v>9430</v>
      </c>
      <c r="H682" s="73"/>
      <c r="I682" s="75">
        <v>0.1</v>
      </c>
      <c r="J682" s="77"/>
      <c r="K682" s="66"/>
      <c r="L682" s="66"/>
      <c r="M682" s="79" t="str">
        <f>HYPERLINK("http://www.pristavka.com/catalog/funko/Fun67620/")</f>
        <v>http://www.pristavka.com/catalog/funko/Fun67620/</v>
      </c>
      <c r="N682" s="71">
        <v>14499</v>
      </c>
      <c r="O682" s="66" t="s">
        <v>27</v>
      </c>
      <c r="P682" s="82" t="s">
        <v>3694</v>
      </c>
      <c r="Q682" s="84" t="s">
        <v>1419</v>
      </c>
      <c r="R682" s="84" t="s">
        <v>3630</v>
      </c>
      <c r="S682" s="84">
        <v>0.112</v>
      </c>
      <c r="T682" s="82" t="s">
        <v>3695</v>
      </c>
      <c r="U682" s="84" t="s">
        <v>3691</v>
      </c>
      <c r="V682" s="54"/>
    </row>
    <row r="683" spans="1:22" s="11" customFormat="1" ht="45" customHeight="1" x14ac:dyDescent="0.2">
      <c r="A683" s="66" t="s">
        <v>3577</v>
      </c>
      <c r="B683" s="66" t="s">
        <v>1707</v>
      </c>
      <c r="C683" s="66" t="s">
        <v>3578</v>
      </c>
      <c r="D683" s="66">
        <v>67622</v>
      </c>
      <c r="E683" s="68" t="s">
        <v>3696</v>
      </c>
      <c r="F683" s="66" t="s">
        <v>3697</v>
      </c>
      <c r="G683" s="71">
        <v>9430</v>
      </c>
      <c r="H683" s="73"/>
      <c r="I683" s="75">
        <v>0.1</v>
      </c>
      <c r="J683" s="77"/>
      <c r="K683" s="66"/>
      <c r="L683" s="66"/>
      <c r="M683" s="79" t="str">
        <f>HYPERLINK("http://www.pristavka.com/catalog/funko/Fun67622/")</f>
        <v>http://www.pristavka.com/catalog/funko/Fun67622/</v>
      </c>
      <c r="N683" s="71">
        <v>14499</v>
      </c>
      <c r="O683" s="66" t="s">
        <v>27</v>
      </c>
      <c r="P683" s="82" t="s">
        <v>3698</v>
      </c>
      <c r="Q683" s="84" t="s">
        <v>1419</v>
      </c>
      <c r="R683" s="84" t="s">
        <v>3630</v>
      </c>
      <c r="S683" s="84">
        <v>0.13200000000000001</v>
      </c>
      <c r="T683" s="82" t="s">
        <v>3699</v>
      </c>
      <c r="U683" s="84" t="s">
        <v>3691</v>
      </c>
      <c r="V683" s="54"/>
    </row>
    <row r="684" spans="1:22" s="11" customFormat="1" ht="45" customHeight="1" x14ac:dyDescent="0.2">
      <c r="A684" s="66" t="s">
        <v>3577</v>
      </c>
      <c r="B684" s="66" t="s">
        <v>1707</v>
      </c>
      <c r="C684" s="66" t="s">
        <v>3578</v>
      </c>
      <c r="D684" s="66">
        <v>67624</v>
      </c>
      <c r="E684" s="68" t="s">
        <v>3700</v>
      </c>
      <c r="F684" s="66" t="s">
        <v>3701</v>
      </c>
      <c r="G684" s="71">
        <v>9430</v>
      </c>
      <c r="H684" s="73"/>
      <c r="I684" s="75">
        <v>0.1</v>
      </c>
      <c r="J684" s="77"/>
      <c r="K684" s="66"/>
      <c r="L684" s="66"/>
      <c r="M684" s="79" t="str">
        <f>HYPERLINK("http://www.pristavka.com/catalog/funko/Fun67624/")</f>
        <v>http://www.pristavka.com/catalog/funko/Fun67624/</v>
      </c>
      <c r="N684" s="71">
        <v>14499</v>
      </c>
      <c r="O684" s="66" t="s">
        <v>27</v>
      </c>
      <c r="P684" s="82" t="s">
        <v>3702</v>
      </c>
      <c r="Q684" s="84" t="s">
        <v>1419</v>
      </c>
      <c r="R684" s="84" t="s">
        <v>3630</v>
      </c>
      <c r="S684" s="84">
        <v>0.151</v>
      </c>
      <c r="T684" s="82" t="s">
        <v>3703</v>
      </c>
      <c r="U684" s="84" t="s">
        <v>3691</v>
      </c>
      <c r="V684" s="54"/>
    </row>
    <row r="685" spans="1:22" s="11" customFormat="1" ht="45" customHeight="1" x14ac:dyDescent="0.2">
      <c r="A685" s="66" t="s">
        <v>3577</v>
      </c>
      <c r="B685" s="66" t="s">
        <v>1707</v>
      </c>
      <c r="C685" s="66" t="s">
        <v>3578</v>
      </c>
      <c r="D685" s="66">
        <v>8849</v>
      </c>
      <c r="E685" s="68" t="s">
        <v>3704</v>
      </c>
      <c r="F685" s="66" t="s">
        <v>3705</v>
      </c>
      <c r="G685" s="71">
        <v>9430</v>
      </c>
      <c r="H685" s="73"/>
      <c r="I685" s="75">
        <v>0.2</v>
      </c>
      <c r="J685" s="77"/>
      <c r="K685" s="66"/>
      <c r="L685" s="66"/>
      <c r="M685" s="79" t="str">
        <f>HYPERLINK("http://www.pristavka.com/catalog/funko/Fun8849/")</f>
        <v>http://www.pristavka.com/catalog/funko/Fun8849/</v>
      </c>
      <c r="N685" s="71">
        <v>14499</v>
      </c>
      <c r="O685" s="66" t="s">
        <v>28</v>
      </c>
      <c r="P685" s="82" t="s">
        <v>3706</v>
      </c>
      <c r="Q685" s="84" t="s">
        <v>1419</v>
      </c>
      <c r="R685" s="84" t="s">
        <v>3630</v>
      </c>
      <c r="S685" s="84">
        <v>0.14499999999999999</v>
      </c>
      <c r="T685" s="82" t="s">
        <v>3707</v>
      </c>
      <c r="U685" s="84" t="s">
        <v>3708</v>
      </c>
      <c r="V685" s="54"/>
    </row>
    <row r="686" spans="1:22" s="11" customFormat="1" ht="45" customHeight="1" x14ac:dyDescent="0.2">
      <c r="A686" s="66" t="s">
        <v>3577</v>
      </c>
      <c r="B686" s="66" t="s">
        <v>1707</v>
      </c>
      <c r="C686" s="66" t="s">
        <v>3578</v>
      </c>
      <c r="D686" s="66">
        <v>8847</v>
      </c>
      <c r="E686" s="68" t="s">
        <v>3709</v>
      </c>
      <c r="F686" s="66" t="s">
        <v>3710</v>
      </c>
      <c r="G686" s="71">
        <v>9430</v>
      </c>
      <c r="H686" s="73"/>
      <c r="I686" s="75">
        <v>0.2</v>
      </c>
      <c r="J686" s="77"/>
      <c r="K686" s="66"/>
      <c r="L686" s="66"/>
      <c r="M686" s="79" t="str">
        <f>HYPERLINK("http://www.pristavka.com/catalog/funko/Fun8847/")</f>
        <v>http://www.pristavka.com/catalog/funko/Fun8847/</v>
      </c>
      <c r="N686" s="71">
        <v>14499</v>
      </c>
      <c r="O686" s="66" t="s">
        <v>27</v>
      </c>
      <c r="P686" s="82" t="s">
        <v>3711</v>
      </c>
      <c r="Q686" s="84" t="s">
        <v>1419</v>
      </c>
      <c r="R686" s="84" t="s">
        <v>3630</v>
      </c>
      <c r="S686" s="84">
        <v>0.14499999999999999</v>
      </c>
      <c r="T686" s="82" t="s">
        <v>3707</v>
      </c>
      <c r="U686" s="84" t="s">
        <v>3708</v>
      </c>
      <c r="V686" s="54"/>
    </row>
    <row r="687" spans="1:22" s="11" customFormat="1" ht="45" customHeight="1" x14ac:dyDescent="0.2">
      <c r="A687" s="66" t="s">
        <v>3577</v>
      </c>
      <c r="B687" s="66" t="s">
        <v>1707</v>
      </c>
      <c r="C687" s="66" t="s">
        <v>3578</v>
      </c>
      <c r="D687" s="66">
        <v>8846</v>
      </c>
      <c r="E687" s="68" t="s">
        <v>3712</v>
      </c>
      <c r="F687" s="66" t="s">
        <v>3713</v>
      </c>
      <c r="G687" s="71">
        <v>9430</v>
      </c>
      <c r="H687" s="73"/>
      <c r="I687" s="75">
        <v>0.2</v>
      </c>
      <c r="J687" s="77"/>
      <c r="K687" s="66"/>
      <c r="L687" s="66"/>
      <c r="M687" s="79" t="str">
        <f>HYPERLINK("http://www.pristavka.com/catalog/funko/Fun8846/")</f>
        <v>http://www.pristavka.com/catalog/funko/Fun8846/</v>
      </c>
      <c r="N687" s="71">
        <v>14499</v>
      </c>
      <c r="O687" s="66" t="s">
        <v>27</v>
      </c>
      <c r="P687" s="82" t="s">
        <v>3714</v>
      </c>
      <c r="Q687" s="84" t="s">
        <v>1419</v>
      </c>
      <c r="R687" s="84" t="s">
        <v>3630</v>
      </c>
      <c r="S687" s="84">
        <v>0.13800000000000001</v>
      </c>
      <c r="T687" s="82" t="s">
        <v>3715</v>
      </c>
      <c r="U687" s="84" t="s">
        <v>3708</v>
      </c>
      <c r="V687" s="54"/>
    </row>
    <row r="688" spans="1:22" s="11" customFormat="1" ht="45" customHeight="1" x14ac:dyDescent="0.2">
      <c r="A688" s="66" t="s">
        <v>3577</v>
      </c>
      <c r="B688" s="66" t="s">
        <v>1707</v>
      </c>
      <c r="C688" s="66" t="s">
        <v>3578</v>
      </c>
      <c r="D688" s="66">
        <v>8850</v>
      </c>
      <c r="E688" s="68" t="s">
        <v>3716</v>
      </c>
      <c r="F688" s="66" t="s">
        <v>3717</v>
      </c>
      <c r="G688" s="71">
        <v>9430</v>
      </c>
      <c r="H688" s="73"/>
      <c r="I688" s="75">
        <v>0.2</v>
      </c>
      <c r="J688" s="77"/>
      <c r="K688" s="66"/>
      <c r="L688" s="66"/>
      <c r="M688" s="79" t="str">
        <f>HYPERLINK("http://www.pristavka.com/catalog/funko/Fun8850/")</f>
        <v>http://www.pristavka.com/catalog/funko/Fun8850/</v>
      </c>
      <c r="N688" s="71">
        <v>14499</v>
      </c>
      <c r="O688" s="66" t="s">
        <v>27</v>
      </c>
      <c r="P688" s="82" t="s">
        <v>3718</v>
      </c>
      <c r="Q688" s="84" t="s">
        <v>1419</v>
      </c>
      <c r="R688" s="84" t="s">
        <v>3630</v>
      </c>
      <c r="S688" s="84">
        <v>0.13500000000000001</v>
      </c>
      <c r="T688" s="82" t="s">
        <v>3707</v>
      </c>
      <c r="U688" s="84" t="s">
        <v>3708</v>
      </c>
      <c r="V688" s="54"/>
    </row>
    <row r="689" spans="1:22" s="11" customFormat="1" ht="45" customHeight="1" x14ac:dyDescent="0.2">
      <c r="A689" s="66" t="s">
        <v>3577</v>
      </c>
      <c r="B689" s="66" t="s">
        <v>1707</v>
      </c>
      <c r="C689" s="66" t="s">
        <v>3578</v>
      </c>
      <c r="D689" s="66">
        <v>59684</v>
      </c>
      <c r="E689" s="68" t="s">
        <v>3719</v>
      </c>
      <c r="F689" s="66" t="s">
        <v>3720</v>
      </c>
      <c r="G689" s="71">
        <v>9430</v>
      </c>
      <c r="H689" s="73"/>
      <c r="I689" s="75">
        <v>0.1</v>
      </c>
      <c r="J689" s="77"/>
      <c r="K689" s="66"/>
      <c r="L689" s="66"/>
      <c r="M689" s="79" t="str">
        <f>HYPERLINK("http://www.pristavka.com/catalog/funko/Fun59684/")</f>
        <v>http://www.pristavka.com/catalog/funko/Fun59684/</v>
      </c>
      <c r="N689" s="71">
        <v>14499</v>
      </c>
      <c r="O689" s="66" t="s">
        <v>27</v>
      </c>
      <c r="P689" s="82" t="s">
        <v>3721</v>
      </c>
      <c r="Q689" s="84" t="s">
        <v>1419</v>
      </c>
      <c r="R689" s="84" t="s">
        <v>3630</v>
      </c>
      <c r="S689" s="84">
        <v>9.9000000000000005E-2</v>
      </c>
      <c r="T689" s="82" t="s">
        <v>3722</v>
      </c>
      <c r="U689" s="84" t="s">
        <v>3691</v>
      </c>
      <c r="V689" s="54"/>
    </row>
    <row r="690" spans="1:22" s="11" customFormat="1" ht="45" customHeight="1" x14ac:dyDescent="0.2">
      <c r="A690" s="66" t="s">
        <v>3577</v>
      </c>
      <c r="B690" s="66" t="s">
        <v>1707</v>
      </c>
      <c r="C690" s="66" t="s">
        <v>3578</v>
      </c>
      <c r="D690" s="66">
        <v>72467</v>
      </c>
      <c r="E690" s="68" t="s">
        <v>3723</v>
      </c>
      <c r="F690" s="66" t="s">
        <v>3724</v>
      </c>
      <c r="G690" s="71">
        <v>9430</v>
      </c>
      <c r="H690" s="73"/>
      <c r="I690" s="75">
        <v>0.1</v>
      </c>
      <c r="J690" s="77"/>
      <c r="K690" s="66"/>
      <c r="L690" s="66"/>
      <c r="M690" s="79" t="str">
        <f>HYPERLINK("http://www.pristavka.com/catalog/funko/Fun72467/")</f>
        <v>http://www.pristavka.com/catalog/funko/Fun72467/</v>
      </c>
      <c r="N690" s="71">
        <v>14499</v>
      </c>
      <c r="O690" s="66" t="s">
        <v>27</v>
      </c>
      <c r="P690" s="82" t="s">
        <v>3725</v>
      </c>
      <c r="Q690" s="84" t="s">
        <v>1419</v>
      </c>
      <c r="R690" s="84" t="s">
        <v>3630</v>
      </c>
      <c r="S690" s="84">
        <v>9.8000000000000004E-2</v>
      </c>
      <c r="T690" s="82" t="s">
        <v>3695</v>
      </c>
      <c r="U690" s="84" t="s">
        <v>3584</v>
      </c>
      <c r="V690" s="54"/>
    </row>
    <row r="691" spans="1:22" s="11" customFormat="1" ht="45" customHeight="1" x14ac:dyDescent="0.2">
      <c r="A691" s="66" t="s">
        <v>3577</v>
      </c>
      <c r="B691" s="66" t="s">
        <v>1707</v>
      </c>
      <c r="C691" s="66" t="s">
        <v>3578</v>
      </c>
      <c r="D691" s="66">
        <v>85252</v>
      </c>
      <c r="E691" s="68" t="s">
        <v>3726</v>
      </c>
      <c r="F691" s="66" t="s">
        <v>3727</v>
      </c>
      <c r="G691" s="71">
        <v>0</v>
      </c>
      <c r="H691" s="73"/>
      <c r="I691" s="75">
        <v>0.1</v>
      </c>
      <c r="J691" s="77"/>
      <c r="K691" s="66"/>
      <c r="L691" s="66"/>
      <c r="M691" s="79" t="str">
        <f>HYPERLINK("http://www.pristavka.com/catalog/funko/Fun85252/")</f>
        <v>http://www.pristavka.com/catalog/funko/Fun85252/</v>
      </c>
      <c r="N691" s="71"/>
      <c r="O691" s="66" t="s">
        <v>27</v>
      </c>
      <c r="P691" s="82" t="s">
        <v>3728</v>
      </c>
      <c r="Q691" s="84" t="s">
        <v>3729</v>
      </c>
      <c r="R691" s="84" t="s">
        <v>1315</v>
      </c>
      <c r="S691" s="84">
        <v>7.3999999999999996E-2</v>
      </c>
      <c r="T691" s="82" t="s">
        <v>3730</v>
      </c>
      <c r="U691" s="84" t="s">
        <v>3584</v>
      </c>
      <c r="V691" s="54"/>
    </row>
    <row r="692" spans="1:22" s="11" customFormat="1" ht="45" customHeight="1" x14ac:dyDescent="0.2">
      <c r="A692" s="66" t="s">
        <v>3577</v>
      </c>
      <c r="B692" s="66" t="s">
        <v>1707</v>
      </c>
      <c r="C692" s="66" t="s">
        <v>3578</v>
      </c>
      <c r="D692" s="66">
        <v>85253</v>
      </c>
      <c r="E692" s="68" t="s">
        <v>3731</v>
      </c>
      <c r="F692" s="66" t="s">
        <v>3732</v>
      </c>
      <c r="G692" s="71">
        <v>0</v>
      </c>
      <c r="H692" s="73"/>
      <c r="I692" s="75">
        <v>0.1</v>
      </c>
      <c r="J692" s="77"/>
      <c r="K692" s="66"/>
      <c r="L692" s="66"/>
      <c r="M692" s="79" t="str">
        <f>HYPERLINK("http://www.pristavka.com/catalog/funko/Fun85253/")</f>
        <v>http://www.pristavka.com/catalog/funko/Fun85253/</v>
      </c>
      <c r="N692" s="71"/>
      <c r="O692" s="66" t="s">
        <v>27</v>
      </c>
      <c r="P692" s="82" t="s">
        <v>3733</v>
      </c>
      <c r="Q692" s="84" t="s">
        <v>3734</v>
      </c>
      <c r="R692" s="84" t="s">
        <v>1315</v>
      </c>
      <c r="S692" s="84">
        <v>7.5999999999999998E-2</v>
      </c>
      <c r="T692" s="82" t="s">
        <v>3730</v>
      </c>
      <c r="U692" s="84" t="s">
        <v>3584</v>
      </c>
      <c r="V692" s="54"/>
    </row>
    <row r="693" spans="1:22" s="11" customFormat="1" ht="45" customHeight="1" x14ac:dyDescent="0.2">
      <c r="A693" s="66" t="s">
        <v>3577</v>
      </c>
      <c r="B693" s="66" t="s">
        <v>1707</v>
      </c>
      <c r="C693" s="66" t="s">
        <v>3578</v>
      </c>
      <c r="D693" s="66">
        <v>85251</v>
      </c>
      <c r="E693" s="68" t="s">
        <v>3735</v>
      </c>
      <c r="F693" s="66" t="s">
        <v>3736</v>
      </c>
      <c r="G693" s="71">
        <v>0</v>
      </c>
      <c r="H693" s="73"/>
      <c r="I693" s="75">
        <v>0.1</v>
      </c>
      <c r="J693" s="77"/>
      <c r="K693" s="66"/>
      <c r="L693" s="66"/>
      <c r="M693" s="79" t="str">
        <f>HYPERLINK("http://www.pristavka.com/catalog/funko/Fun85251/")</f>
        <v>http://www.pristavka.com/catalog/funko/Fun85251/</v>
      </c>
      <c r="N693" s="71"/>
      <c r="O693" s="66" t="s">
        <v>27</v>
      </c>
      <c r="P693" s="82" t="s">
        <v>3737</v>
      </c>
      <c r="Q693" s="84" t="s">
        <v>1419</v>
      </c>
      <c r="R693" s="84" t="s">
        <v>3630</v>
      </c>
      <c r="S693" s="84">
        <v>8.5000000000000006E-2</v>
      </c>
      <c r="T693" s="82" t="s">
        <v>3738</v>
      </c>
      <c r="U693" s="84" t="s">
        <v>3584</v>
      </c>
      <c r="V693" s="54"/>
    </row>
    <row r="694" spans="1:22" s="11" customFormat="1" ht="45" customHeight="1" x14ac:dyDescent="0.2">
      <c r="A694" s="66" t="s">
        <v>3577</v>
      </c>
      <c r="B694" s="66" t="s">
        <v>1707</v>
      </c>
      <c r="C694" s="66" t="s">
        <v>3578</v>
      </c>
      <c r="D694" s="66">
        <v>85250</v>
      </c>
      <c r="E694" s="68" t="s">
        <v>3739</v>
      </c>
      <c r="F694" s="66" t="s">
        <v>3740</v>
      </c>
      <c r="G694" s="71">
        <v>0</v>
      </c>
      <c r="H694" s="73"/>
      <c r="I694" s="75">
        <v>0.1</v>
      </c>
      <c r="J694" s="77"/>
      <c r="K694" s="66"/>
      <c r="L694" s="66"/>
      <c r="M694" s="79" t="str">
        <f>HYPERLINK("http://www.pristavka.com/catalog/funko/Fun85250/")</f>
        <v>http://www.pristavka.com/catalog/funko/Fun85250/</v>
      </c>
      <c r="N694" s="71"/>
      <c r="O694" s="66" t="s">
        <v>27</v>
      </c>
      <c r="P694" s="82" t="s">
        <v>3741</v>
      </c>
      <c r="Q694" s="84" t="s">
        <v>1240</v>
      </c>
      <c r="R694" s="84" t="s">
        <v>70</v>
      </c>
      <c r="S694" s="84">
        <v>7.3999999999999996E-2</v>
      </c>
      <c r="T694" s="82" t="s">
        <v>3730</v>
      </c>
      <c r="U694" s="84" t="s">
        <v>3584</v>
      </c>
      <c r="V694" s="54"/>
    </row>
    <row r="695" spans="1:22" s="11" customFormat="1" ht="45" customHeight="1" x14ac:dyDescent="0.2">
      <c r="A695" s="66" t="s">
        <v>3577</v>
      </c>
      <c r="B695" s="66" t="s">
        <v>1707</v>
      </c>
      <c r="C695" s="66" t="s">
        <v>3578</v>
      </c>
      <c r="D695" s="66">
        <v>85545</v>
      </c>
      <c r="E695" s="68" t="s">
        <v>3742</v>
      </c>
      <c r="F695" s="66" t="s">
        <v>3743</v>
      </c>
      <c r="G695" s="71">
        <v>0</v>
      </c>
      <c r="H695" s="73"/>
      <c r="I695" s="75">
        <v>0.1</v>
      </c>
      <c r="J695" s="77"/>
      <c r="K695" s="66"/>
      <c r="L695" s="66"/>
      <c r="M695" s="79" t="str">
        <f>HYPERLINK("http://www.pristavka.com/catalog/funko/Fun85545/")</f>
        <v>http://www.pristavka.com/catalog/funko/Fun85545/</v>
      </c>
      <c r="N695" s="71"/>
      <c r="O695" s="66" t="s">
        <v>27</v>
      </c>
      <c r="P695" s="82" t="s">
        <v>3744</v>
      </c>
      <c r="Q695" s="84" t="s">
        <v>1321</v>
      </c>
      <c r="R695" s="84" t="s">
        <v>1322</v>
      </c>
      <c r="S695" s="84">
        <v>7.8E-2</v>
      </c>
      <c r="T695" s="82" t="s">
        <v>3745</v>
      </c>
      <c r="U695" s="84" t="s">
        <v>3584</v>
      </c>
      <c r="V695" s="54"/>
    </row>
    <row r="696" spans="1:22" s="11" customFormat="1" ht="45" customHeight="1" x14ac:dyDescent="0.2">
      <c r="A696" s="66" t="s">
        <v>3577</v>
      </c>
      <c r="B696" s="66" t="s">
        <v>1707</v>
      </c>
      <c r="C696" s="66" t="s">
        <v>3578</v>
      </c>
      <c r="D696" s="66">
        <v>73056</v>
      </c>
      <c r="E696" s="68" t="s">
        <v>3746</v>
      </c>
      <c r="F696" s="66" t="s">
        <v>3747</v>
      </c>
      <c r="G696" s="71">
        <v>6890</v>
      </c>
      <c r="H696" s="73"/>
      <c r="I696" s="75">
        <v>0.1</v>
      </c>
      <c r="J696" s="77"/>
      <c r="K696" s="66"/>
      <c r="L696" s="66"/>
      <c r="M696" s="79" t="str">
        <f>HYPERLINK("http://www.pristavka.com/catalog/funko/Fun73056/")</f>
        <v>http://www.pristavka.com/catalog/funko/Fun73056/</v>
      </c>
      <c r="N696" s="71">
        <v>10599</v>
      </c>
      <c r="O696" s="66" t="s">
        <v>27</v>
      </c>
      <c r="P696" s="82" t="s">
        <v>3748</v>
      </c>
      <c r="Q696" s="84" t="s">
        <v>3749</v>
      </c>
      <c r="R696" s="84" t="s">
        <v>1068</v>
      </c>
      <c r="S696" s="84">
        <v>8.6999999999999994E-2</v>
      </c>
      <c r="T696" s="82" t="s">
        <v>3750</v>
      </c>
      <c r="U696" s="84" t="s">
        <v>3584</v>
      </c>
      <c r="V696" s="54"/>
    </row>
    <row r="697" spans="1:22" s="11" customFormat="1" ht="45" customHeight="1" x14ac:dyDescent="0.2">
      <c r="A697" s="66" t="s">
        <v>3577</v>
      </c>
      <c r="B697" s="66" t="s">
        <v>1707</v>
      </c>
      <c r="C697" s="66" t="s">
        <v>3578</v>
      </c>
      <c r="D697" s="66">
        <v>73057</v>
      </c>
      <c r="E697" s="68" t="s">
        <v>3751</v>
      </c>
      <c r="F697" s="66" t="s">
        <v>3752</v>
      </c>
      <c r="G697" s="71">
        <v>6890</v>
      </c>
      <c r="H697" s="73"/>
      <c r="I697" s="75">
        <v>0.1</v>
      </c>
      <c r="J697" s="77"/>
      <c r="K697" s="66"/>
      <c r="L697" s="66"/>
      <c r="M697" s="79" t="str">
        <f>HYPERLINK("http://www.pristavka.com/catalog/funko/Fun73057/")</f>
        <v>http://www.pristavka.com/catalog/funko/Fun73057/</v>
      </c>
      <c r="N697" s="71">
        <v>10599</v>
      </c>
      <c r="O697" s="66" t="s">
        <v>27</v>
      </c>
      <c r="P697" s="82" t="s">
        <v>3753</v>
      </c>
      <c r="Q697" s="84" t="s">
        <v>3749</v>
      </c>
      <c r="R697" s="84" t="s">
        <v>1068</v>
      </c>
      <c r="S697" s="84">
        <v>8.6999999999999994E-2</v>
      </c>
      <c r="T697" s="82" t="s">
        <v>3750</v>
      </c>
      <c r="U697" s="84" t="s">
        <v>3584</v>
      </c>
      <c r="V697" s="54"/>
    </row>
    <row r="698" spans="1:22" s="11" customFormat="1" ht="45" customHeight="1" x14ac:dyDescent="0.2">
      <c r="A698" s="66" t="s">
        <v>3577</v>
      </c>
      <c r="B698" s="66" t="s">
        <v>1707</v>
      </c>
      <c r="C698" s="66" t="s">
        <v>3578</v>
      </c>
      <c r="D698" s="66">
        <v>73058</v>
      </c>
      <c r="E698" s="68" t="s">
        <v>3754</v>
      </c>
      <c r="F698" s="66" t="s">
        <v>3755</v>
      </c>
      <c r="G698" s="71">
        <v>6890</v>
      </c>
      <c r="H698" s="73"/>
      <c r="I698" s="75">
        <v>0.1</v>
      </c>
      <c r="J698" s="77"/>
      <c r="K698" s="66"/>
      <c r="L698" s="66"/>
      <c r="M698" s="79" t="str">
        <f>HYPERLINK("http://www.pristavka.com/catalog/funko/Fun73058/")</f>
        <v>http://www.pristavka.com/catalog/funko/Fun73058/</v>
      </c>
      <c r="N698" s="71">
        <v>10599</v>
      </c>
      <c r="O698" s="66" t="s">
        <v>27</v>
      </c>
      <c r="P698" s="82" t="s">
        <v>3756</v>
      </c>
      <c r="Q698" s="84" t="s">
        <v>3749</v>
      </c>
      <c r="R698" s="84" t="s">
        <v>1068</v>
      </c>
      <c r="S698" s="84">
        <v>8.7999999999999995E-2</v>
      </c>
      <c r="T698" s="82" t="s">
        <v>3750</v>
      </c>
      <c r="U698" s="84" t="s">
        <v>3584</v>
      </c>
      <c r="V698" s="54"/>
    </row>
    <row r="699" spans="1:22" s="11" customFormat="1" ht="45" customHeight="1" x14ac:dyDescent="0.2">
      <c r="A699" s="66" t="s">
        <v>3577</v>
      </c>
      <c r="B699" s="66" t="s">
        <v>1707</v>
      </c>
      <c r="C699" s="66" t="s">
        <v>3578</v>
      </c>
      <c r="D699" s="66">
        <v>73059</v>
      </c>
      <c r="E699" s="68" t="s">
        <v>3757</v>
      </c>
      <c r="F699" s="66" t="s">
        <v>3758</v>
      </c>
      <c r="G699" s="71">
        <v>6890</v>
      </c>
      <c r="H699" s="73"/>
      <c r="I699" s="75">
        <v>0.1</v>
      </c>
      <c r="J699" s="77"/>
      <c r="K699" s="66"/>
      <c r="L699" s="66"/>
      <c r="M699" s="79" t="str">
        <f>HYPERLINK("http://www.pristavka.com/catalog/funko/Fun73059/")</f>
        <v>http://www.pristavka.com/catalog/funko/Fun73059/</v>
      </c>
      <c r="N699" s="71">
        <v>10599</v>
      </c>
      <c r="O699" s="66" t="s">
        <v>27</v>
      </c>
      <c r="P699" s="82" t="s">
        <v>3759</v>
      </c>
      <c r="Q699" s="84" t="s">
        <v>3749</v>
      </c>
      <c r="R699" s="84" t="s">
        <v>1068</v>
      </c>
      <c r="S699" s="84">
        <v>8.5999999999999993E-2</v>
      </c>
      <c r="T699" s="82" t="s">
        <v>3750</v>
      </c>
      <c r="U699" s="84" t="s">
        <v>3584</v>
      </c>
      <c r="V699" s="54"/>
    </row>
    <row r="700" spans="1:22" s="11" customFormat="1" ht="45" customHeight="1" x14ac:dyDescent="0.2">
      <c r="A700" s="66" t="s">
        <v>3577</v>
      </c>
      <c r="B700" s="66" t="s">
        <v>1707</v>
      </c>
      <c r="C700" s="66" t="s">
        <v>3578</v>
      </c>
      <c r="D700" s="66">
        <v>76387</v>
      </c>
      <c r="E700" s="68" t="s">
        <v>3760</v>
      </c>
      <c r="F700" s="66" t="s">
        <v>3761</v>
      </c>
      <c r="G700" s="71">
        <v>1885</v>
      </c>
      <c r="H700" s="73"/>
      <c r="I700" s="75">
        <v>0.1</v>
      </c>
      <c r="J700" s="77"/>
      <c r="K700" s="66"/>
      <c r="L700" s="66"/>
      <c r="M700" s="79" t="str">
        <f>HYPERLINK("http://www.pristavka.com/catalog/funko/Fun76387/")</f>
        <v>http://www.pristavka.com/catalog/funko/Fun76387/</v>
      </c>
      <c r="N700" s="71">
        <v>2899</v>
      </c>
      <c r="O700" s="66" t="s">
        <v>27</v>
      </c>
      <c r="P700" s="82" t="s">
        <v>3762</v>
      </c>
      <c r="Q700" s="84" t="s">
        <v>3749</v>
      </c>
      <c r="R700" s="84" t="s">
        <v>1068</v>
      </c>
      <c r="S700" s="84">
        <v>8.9999999999999993E-3</v>
      </c>
      <c r="T700" s="82" t="s">
        <v>3763</v>
      </c>
      <c r="U700" s="84" t="s">
        <v>3584</v>
      </c>
      <c r="V700" s="54"/>
    </row>
    <row r="701" spans="1:22" s="11" customFormat="1" ht="45" customHeight="1" x14ac:dyDescent="0.2">
      <c r="A701" s="66" t="s">
        <v>3577</v>
      </c>
      <c r="B701" s="66" t="s">
        <v>1707</v>
      </c>
      <c r="C701" s="66" t="s">
        <v>3578</v>
      </c>
      <c r="D701" s="66">
        <v>81127</v>
      </c>
      <c r="E701" s="68" t="s">
        <v>3764</v>
      </c>
      <c r="F701" s="66" t="s">
        <v>3765</v>
      </c>
      <c r="G701" s="71">
        <v>6890</v>
      </c>
      <c r="H701" s="73"/>
      <c r="I701" s="75">
        <v>0.1</v>
      </c>
      <c r="J701" s="77"/>
      <c r="K701" s="66"/>
      <c r="L701" s="66"/>
      <c r="M701" s="79" t="str">
        <f>HYPERLINK("http://www.pristavka.com/catalog/funko/Fun81127/")</f>
        <v>http://www.pristavka.com/catalog/funko/Fun81127/</v>
      </c>
      <c r="N701" s="71">
        <v>10599</v>
      </c>
      <c r="O701" s="66" t="s">
        <v>27</v>
      </c>
      <c r="P701" s="82" t="s">
        <v>3766</v>
      </c>
      <c r="Q701" s="84" t="s">
        <v>3604</v>
      </c>
      <c r="R701" s="84" t="s">
        <v>3566</v>
      </c>
      <c r="S701" s="84">
        <v>8.5999999999999993E-2</v>
      </c>
      <c r="T701" s="82" t="s">
        <v>3750</v>
      </c>
      <c r="U701" s="84" t="s">
        <v>3584</v>
      </c>
      <c r="V701" s="54"/>
    </row>
    <row r="702" spans="1:22" s="11" customFormat="1" ht="45" customHeight="1" x14ac:dyDescent="0.2">
      <c r="A702" s="66" t="s">
        <v>3577</v>
      </c>
      <c r="B702" s="66" t="s">
        <v>1707</v>
      </c>
      <c r="C702" s="66" t="s">
        <v>3578</v>
      </c>
      <c r="D702" s="66">
        <v>81129</v>
      </c>
      <c r="E702" s="68" t="s">
        <v>3767</v>
      </c>
      <c r="F702" s="66" t="s">
        <v>3768</v>
      </c>
      <c r="G702" s="71">
        <v>6890</v>
      </c>
      <c r="H702" s="73"/>
      <c r="I702" s="75">
        <v>0.1</v>
      </c>
      <c r="J702" s="77"/>
      <c r="K702" s="66"/>
      <c r="L702" s="66"/>
      <c r="M702" s="79" t="str">
        <f>HYPERLINK("http://www.pristavka.com/catalog/funko/Fun81129/")</f>
        <v>http://www.pristavka.com/catalog/funko/Fun81129/</v>
      </c>
      <c r="N702" s="71">
        <v>10599</v>
      </c>
      <c r="O702" s="66" t="s">
        <v>27</v>
      </c>
      <c r="P702" s="82" t="s">
        <v>3769</v>
      </c>
      <c r="Q702" s="84" t="s">
        <v>3604</v>
      </c>
      <c r="R702" s="84" t="s">
        <v>3566</v>
      </c>
      <c r="S702" s="84">
        <v>8.7999999999999995E-2</v>
      </c>
      <c r="T702" s="82" t="s">
        <v>3750</v>
      </c>
      <c r="U702" s="84" t="s">
        <v>3584</v>
      </c>
      <c r="V702" s="54"/>
    </row>
    <row r="703" spans="1:22" s="11" customFormat="1" ht="45" customHeight="1" x14ac:dyDescent="0.2">
      <c r="A703" s="66" t="s">
        <v>3577</v>
      </c>
      <c r="B703" s="66" t="s">
        <v>1707</v>
      </c>
      <c r="C703" s="66" t="s">
        <v>3578</v>
      </c>
      <c r="D703" s="66">
        <v>81128</v>
      </c>
      <c r="E703" s="68" t="s">
        <v>3770</v>
      </c>
      <c r="F703" s="66" t="s">
        <v>3771</v>
      </c>
      <c r="G703" s="71">
        <v>6890</v>
      </c>
      <c r="H703" s="73"/>
      <c r="I703" s="75">
        <v>0.1</v>
      </c>
      <c r="J703" s="77"/>
      <c r="K703" s="66"/>
      <c r="L703" s="66"/>
      <c r="M703" s="79" t="str">
        <f>HYPERLINK("http://www.pristavka.com/catalog/funko/Fun81128/")</f>
        <v>http://www.pristavka.com/catalog/funko/Fun81128/</v>
      </c>
      <c r="N703" s="71">
        <v>10599</v>
      </c>
      <c r="O703" s="66" t="s">
        <v>27</v>
      </c>
      <c r="P703" s="82" t="s">
        <v>3772</v>
      </c>
      <c r="Q703" s="84" t="s">
        <v>3604</v>
      </c>
      <c r="R703" s="84" t="s">
        <v>3566</v>
      </c>
      <c r="S703" s="84">
        <v>8.5999999999999993E-2</v>
      </c>
      <c r="T703" s="82" t="s">
        <v>3750</v>
      </c>
      <c r="U703" s="84" t="s">
        <v>3584</v>
      </c>
      <c r="V703" s="54"/>
    </row>
    <row r="704" spans="1:22" s="11" customFormat="1" ht="45" customHeight="1" x14ac:dyDescent="0.2">
      <c r="A704" s="66" t="s">
        <v>3577</v>
      </c>
      <c r="B704" s="66" t="s">
        <v>1707</v>
      </c>
      <c r="C704" s="66" t="s">
        <v>3578</v>
      </c>
      <c r="D704" s="66">
        <v>81130</v>
      </c>
      <c r="E704" s="68" t="s">
        <v>3773</v>
      </c>
      <c r="F704" s="66" t="s">
        <v>3774</v>
      </c>
      <c r="G704" s="71">
        <v>6890</v>
      </c>
      <c r="H704" s="73"/>
      <c r="I704" s="75">
        <v>0.1</v>
      </c>
      <c r="J704" s="77"/>
      <c r="K704" s="66"/>
      <c r="L704" s="66"/>
      <c r="M704" s="79" t="str">
        <f>HYPERLINK("http://www.pristavka.com/catalog/funko/Fun81130/")</f>
        <v>http://www.pristavka.com/catalog/funko/Fun81130/</v>
      </c>
      <c r="N704" s="71">
        <v>10599</v>
      </c>
      <c r="O704" s="66" t="s">
        <v>27</v>
      </c>
      <c r="P704" s="82" t="s">
        <v>3775</v>
      </c>
      <c r="Q704" s="84" t="s">
        <v>3604</v>
      </c>
      <c r="R704" s="84" t="s">
        <v>3566</v>
      </c>
      <c r="S704" s="84">
        <v>8.7999999999999995E-2</v>
      </c>
      <c r="T704" s="82" t="s">
        <v>3750</v>
      </c>
      <c r="U704" s="84" t="s">
        <v>3584</v>
      </c>
      <c r="V704" s="54"/>
    </row>
    <row r="705" spans="1:22" s="11" customFormat="1" ht="45" customHeight="1" x14ac:dyDescent="0.2">
      <c r="A705" s="66" t="s">
        <v>3577</v>
      </c>
      <c r="B705" s="66" t="s">
        <v>1707</v>
      </c>
      <c r="C705" s="66" t="s">
        <v>3578</v>
      </c>
      <c r="D705" s="66">
        <v>83644</v>
      </c>
      <c r="E705" s="68" t="s">
        <v>3776</v>
      </c>
      <c r="F705" s="66" t="s">
        <v>3777</v>
      </c>
      <c r="G705" s="71">
        <v>8775</v>
      </c>
      <c r="H705" s="73"/>
      <c r="I705" s="75">
        <v>0.1</v>
      </c>
      <c r="J705" s="77"/>
      <c r="K705" s="66"/>
      <c r="L705" s="66"/>
      <c r="M705" s="79" t="str">
        <f>HYPERLINK("http://www.pristavka.com/catalog/funko/Fun83644/")</f>
        <v>http://www.pristavka.com/catalog/funko/Fun83644/</v>
      </c>
      <c r="N705" s="71">
        <v>13499</v>
      </c>
      <c r="O705" s="66" t="s">
        <v>27</v>
      </c>
      <c r="P705" s="82" t="s">
        <v>3778</v>
      </c>
      <c r="Q705" s="84" t="s">
        <v>3779</v>
      </c>
      <c r="R705" s="84" t="s">
        <v>1765</v>
      </c>
      <c r="S705" s="84">
        <v>0.28999999999999998</v>
      </c>
      <c r="T705" s="82" t="s">
        <v>3780</v>
      </c>
      <c r="U705" s="84" t="s">
        <v>3584</v>
      </c>
      <c r="V705" s="54"/>
    </row>
    <row r="706" spans="1:22" s="11" customFormat="1" ht="45" customHeight="1" x14ac:dyDescent="0.2">
      <c r="A706" s="66" t="s">
        <v>3577</v>
      </c>
      <c r="B706" s="66" t="s">
        <v>1707</v>
      </c>
      <c r="C706" s="66" t="s">
        <v>3578</v>
      </c>
      <c r="D706" s="66">
        <v>83643</v>
      </c>
      <c r="E706" s="68" t="s">
        <v>3781</v>
      </c>
      <c r="F706" s="66" t="s">
        <v>3782</v>
      </c>
      <c r="G706" s="71">
        <v>8775</v>
      </c>
      <c r="H706" s="73"/>
      <c r="I706" s="75">
        <v>0.1</v>
      </c>
      <c r="J706" s="77"/>
      <c r="K706" s="66"/>
      <c r="L706" s="66"/>
      <c r="M706" s="79" t="str">
        <f>HYPERLINK("http://www.pristavka.com/catalog/funko/Fun83643/")</f>
        <v>http://www.pristavka.com/catalog/funko/Fun83643/</v>
      </c>
      <c r="N706" s="71">
        <v>13499</v>
      </c>
      <c r="O706" s="66" t="s">
        <v>27</v>
      </c>
      <c r="P706" s="82" t="s">
        <v>3783</v>
      </c>
      <c r="Q706" s="84" t="s">
        <v>3784</v>
      </c>
      <c r="R706" s="84" t="s">
        <v>3785</v>
      </c>
      <c r="S706" s="84">
        <v>0.314</v>
      </c>
      <c r="T706" s="82" t="s">
        <v>3786</v>
      </c>
      <c r="U706" s="84" t="s">
        <v>3584</v>
      </c>
      <c r="V706" s="54"/>
    </row>
    <row r="707" spans="1:22" s="11" customFormat="1" ht="45" customHeight="1" x14ac:dyDescent="0.2">
      <c r="A707" s="66" t="s">
        <v>3577</v>
      </c>
      <c r="B707" s="66" t="s">
        <v>1707</v>
      </c>
      <c r="C707" s="66" t="s">
        <v>3578</v>
      </c>
      <c r="D707" s="66">
        <v>83642</v>
      </c>
      <c r="E707" s="68" t="s">
        <v>3787</v>
      </c>
      <c r="F707" s="66" t="s">
        <v>3788</v>
      </c>
      <c r="G707" s="71">
        <v>8775</v>
      </c>
      <c r="H707" s="73"/>
      <c r="I707" s="75">
        <v>0.1</v>
      </c>
      <c r="J707" s="77"/>
      <c r="K707" s="66"/>
      <c r="L707" s="66"/>
      <c r="M707" s="79" t="str">
        <f>HYPERLINK("http://www.pristavka.com/catalog/funko/Fun83642/")</f>
        <v>http://www.pristavka.com/catalog/funko/Fun83642/</v>
      </c>
      <c r="N707" s="71">
        <v>13499</v>
      </c>
      <c r="O707" s="66" t="s">
        <v>27</v>
      </c>
      <c r="P707" s="82" t="s">
        <v>3789</v>
      </c>
      <c r="Q707" s="84" t="s">
        <v>3790</v>
      </c>
      <c r="R707" s="84" t="s">
        <v>1068</v>
      </c>
      <c r="S707" s="84">
        <v>0.314</v>
      </c>
      <c r="T707" s="82" t="s">
        <v>3791</v>
      </c>
      <c r="U707" s="84" t="s">
        <v>3584</v>
      </c>
      <c r="V707" s="54"/>
    </row>
    <row r="708" spans="1:22" s="11" customFormat="1" ht="45" customHeight="1" x14ac:dyDescent="0.2">
      <c r="A708" s="66" t="s">
        <v>3577</v>
      </c>
      <c r="B708" s="66" t="s">
        <v>1707</v>
      </c>
      <c r="C708" s="66" t="s">
        <v>3578</v>
      </c>
      <c r="D708" s="66">
        <v>71314</v>
      </c>
      <c r="E708" s="68" t="s">
        <v>3792</v>
      </c>
      <c r="F708" s="66" t="s">
        <v>3793</v>
      </c>
      <c r="G708" s="71">
        <v>6890</v>
      </c>
      <c r="H708" s="73"/>
      <c r="I708" s="75">
        <v>0.1</v>
      </c>
      <c r="J708" s="77"/>
      <c r="K708" s="66"/>
      <c r="L708" s="66"/>
      <c r="M708" s="79" t="str">
        <f>HYPERLINK("http://www.pristavka.com/catalog/funko/Fun71314/")</f>
        <v>http://www.pristavka.com/catalog/funko/Fun71314/</v>
      </c>
      <c r="N708" s="71">
        <v>10599</v>
      </c>
      <c r="O708" s="66" t="s">
        <v>27</v>
      </c>
      <c r="P708" s="82" t="s">
        <v>3794</v>
      </c>
      <c r="Q708" s="84" t="s">
        <v>3604</v>
      </c>
      <c r="R708" s="84" t="s">
        <v>3566</v>
      </c>
      <c r="S708" s="84">
        <v>8.5000000000000006E-2</v>
      </c>
      <c r="T708" s="82" t="s">
        <v>3750</v>
      </c>
      <c r="U708" s="84" t="s">
        <v>3584</v>
      </c>
      <c r="V708" s="54"/>
    </row>
    <row r="709" spans="1:22" s="11" customFormat="1" ht="45" customHeight="1" x14ac:dyDescent="0.2">
      <c r="A709" s="66" t="s">
        <v>3577</v>
      </c>
      <c r="B709" s="66" t="s">
        <v>1707</v>
      </c>
      <c r="C709" s="66" t="s">
        <v>3578</v>
      </c>
      <c r="D709" s="66">
        <v>84959</v>
      </c>
      <c r="E709" s="68" t="s">
        <v>3795</v>
      </c>
      <c r="F709" s="66" t="s">
        <v>3796</v>
      </c>
      <c r="G709" s="71">
        <v>6890</v>
      </c>
      <c r="H709" s="73"/>
      <c r="I709" s="75">
        <v>0.2</v>
      </c>
      <c r="J709" s="77"/>
      <c r="K709" s="66"/>
      <c r="L709" s="66"/>
      <c r="M709" s="79" t="str">
        <f>HYPERLINK("http://www.pristavka.com/catalog/funko/Fun84959/")</f>
        <v>http://www.pristavka.com/catalog/funko/Fun84959/</v>
      </c>
      <c r="N709" s="71">
        <v>10599</v>
      </c>
      <c r="O709" s="66" t="s">
        <v>27</v>
      </c>
      <c r="P709" s="82" t="s">
        <v>3797</v>
      </c>
      <c r="Q709" s="84" t="s">
        <v>3798</v>
      </c>
      <c r="R709" s="84" t="s">
        <v>3512</v>
      </c>
      <c r="S709" s="84">
        <v>8.5999999999999993E-2</v>
      </c>
      <c r="T709" s="82" t="s">
        <v>3750</v>
      </c>
      <c r="U709" s="84" t="s">
        <v>3708</v>
      </c>
      <c r="V709" s="54"/>
    </row>
    <row r="710" spans="1:22" s="11" customFormat="1" ht="45" customHeight="1" x14ac:dyDescent="0.2">
      <c r="A710" s="66" t="s">
        <v>3577</v>
      </c>
      <c r="B710" s="66" t="s">
        <v>1707</v>
      </c>
      <c r="C710" s="66" t="s">
        <v>3578</v>
      </c>
      <c r="D710" s="66">
        <v>84960</v>
      </c>
      <c r="E710" s="68" t="s">
        <v>3799</v>
      </c>
      <c r="F710" s="66" t="s">
        <v>3800</v>
      </c>
      <c r="G710" s="71">
        <v>6890</v>
      </c>
      <c r="H710" s="73"/>
      <c r="I710" s="75">
        <v>0.2</v>
      </c>
      <c r="J710" s="77"/>
      <c r="K710" s="66"/>
      <c r="L710" s="66"/>
      <c r="M710" s="79" t="str">
        <f>HYPERLINK("http://www.pristavka.com/catalog/funko/Fun84960/")</f>
        <v>http://www.pristavka.com/catalog/funko/Fun84960/</v>
      </c>
      <c r="N710" s="71">
        <v>10599</v>
      </c>
      <c r="O710" s="66" t="s">
        <v>27</v>
      </c>
      <c r="P710" s="82" t="s">
        <v>3801</v>
      </c>
      <c r="Q710" s="84" t="s">
        <v>3798</v>
      </c>
      <c r="R710" s="84" t="s">
        <v>3512</v>
      </c>
      <c r="S710" s="84">
        <v>8.6999999999999994E-2</v>
      </c>
      <c r="T710" s="82" t="s">
        <v>3750</v>
      </c>
      <c r="U710" s="84" t="s">
        <v>3708</v>
      </c>
      <c r="V710" s="54"/>
    </row>
    <row r="711" spans="1:22" s="11" customFormat="1" ht="45" customHeight="1" x14ac:dyDescent="0.2">
      <c r="A711" s="66" t="s">
        <v>3577</v>
      </c>
      <c r="B711" s="66" t="s">
        <v>1707</v>
      </c>
      <c r="C711" s="66" t="s">
        <v>3578</v>
      </c>
      <c r="D711" s="66">
        <v>84961</v>
      </c>
      <c r="E711" s="68" t="s">
        <v>3802</v>
      </c>
      <c r="F711" s="66" t="s">
        <v>3803</v>
      </c>
      <c r="G711" s="71">
        <v>6890</v>
      </c>
      <c r="H711" s="73"/>
      <c r="I711" s="75">
        <v>0.2</v>
      </c>
      <c r="J711" s="77"/>
      <c r="K711" s="66"/>
      <c r="L711" s="66"/>
      <c r="M711" s="79" t="str">
        <f>HYPERLINK("http://www.pristavka.com/catalog/funko/Fun84961/")</f>
        <v>http://www.pristavka.com/catalog/funko/Fun84961/</v>
      </c>
      <c r="N711" s="71">
        <v>10599</v>
      </c>
      <c r="O711" s="66" t="s">
        <v>27</v>
      </c>
      <c r="P711" s="82" t="s">
        <v>3804</v>
      </c>
      <c r="Q711" s="84" t="s">
        <v>3798</v>
      </c>
      <c r="R711" s="84" t="s">
        <v>3512</v>
      </c>
      <c r="S711" s="84">
        <v>8.8999999999999996E-2</v>
      </c>
      <c r="T711" s="82" t="s">
        <v>3750</v>
      </c>
      <c r="U711" s="84" t="s">
        <v>3708</v>
      </c>
      <c r="V711" s="54"/>
    </row>
    <row r="712" spans="1:22" s="11" customFormat="1" ht="45" customHeight="1" x14ac:dyDescent="0.2">
      <c r="A712" s="66" t="s">
        <v>3577</v>
      </c>
      <c r="B712" s="66" t="s">
        <v>1707</v>
      </c>
      <c r="C712" s="66" t="s">
        <v>3578</v>
      </c>
      <c r="D712" s="66">
        <v>84962</v>
      </c>
      <c r="E712" s="68" t="s">
        <v>3805</v>
      </c>
      <c r="F712" s="66" t="s">
        <v>3806</v>
      </c>
      <c r="G712" s="71">
        <v>6890</v>
      </c>
      <c r="H712" s="73"/>
      <c r="I712" s="75">
        <v>0.2</v>
      </c>
      <c r="J712" s="77"/>
      <c r="K712" s="66"/>
      <c r="L712" s="66"/>
      <c r="M712" s="79" t="str">
        <f>HYPERLINK("http://www.pristavka.com/catalog/funko/Fun84962/")</f>
        <v>http://www.pristavka.com/catalog/funko/Fun84962/</v>
      </c>
      <c r="N712" s="71">
        <v>10599</v>
      </c>
      <c r="O712" s="66" t="s">
        <v>27</v>
      </c>
      <c r="P712" s="82" t="s">
        <v>3807</v>
      </c>
      <c r="Q712" s="84" t="s">
        <v>3798</v>
      </c>
      <c r="R712" s="84" t="s">
        <v>3512</v>
      </c>
      <c r="S712" s="84">
        <v>8.6999999999999994E-2</v>
      </c>
      <c r="T712" s="82" t="s">
        <v>3750</v>
      </c>
      <c r="U712" s="84" t="s">
        <v>3708</v>
      </c>
      <c r="V712" s="54"/>
    </row>
    <row r="713" spans="1:22" s="11" customFormat="1" ht="45" customHeight="1" x14ac:dyDescent="0.2">
      <c r="A713" s="66" t="s">
        <v>3577</v>
      </c>
      <c r="B713" s="66" t="s">
        <v>1707</v>
      </c>
      <c r="C713" s="66" t="s">
        <v>3578</v>
      </c>
      <c r="D713" s="66">
        <v>85686</v>
      </c>
      <c r="E713" s="68" t="s">
        <v>3808</v>
      </c>
      <c r="F713" s="66" t="s">
        <v>3809</v>
      </c>
      <c r="G713" s="71">
        <v>2275</v>
      </c>
      <c r="H713" s="73"/>
      <c r="I713" s="75">
        <v>0.1</v>
      </c>
      <c r="J713" s="77"/>
      <c r="K713" s="66"/>
      <c r="L713" s="66"/>
      <c r="M713" s="79" t="str">
        <f>HYPERLINK("http://www.pristavka.com/catalog/funko/Fun85686/")</f>
        <v>http://www.pristavka.com/catalog/funko/Fun85686/</v>
      </c>
      <c r="N713" s="71">
        <v>3499</v>
      </c>
      <c r="O713" s="66" t="s">
        <v>27</v>
      </c>
      <c r="P713" s="82" t="s">
        <v>3810</v>
      </c>
      <c r="Q713" s="84" t="s">
        <v>3811</v>
      </c>
      <c r="R713" s="84" t="s">
        <v>1315</v>
      </c>
      <c r="S713" s="84">
        <v>4.5999999999999999E-2</v>
      </c>
      <c r="T713" s="82" t="s">
        <v>3812</v>
      </c>
      <c r="U713" s="84" t="s">
        <v>3584</v>
      </c>
      <c r="V713" s="54"/>
    </row>
    <row r="714" spans="1:22" s="11" customFormat="1" ht="45" customHeight="1" x14ac:dyDescent="0.2">
      <c r="A714" s="66" t="s">
        <v>3577</v>
      </c>
      <c r="B714" s="66" t="s">
        <v>1707</v>
      </c>
      <c r="C714" s="66" t="s">
        <v>3578</v>
      </c>
      <c r="D714" s="66">
        <v>85687</v>
      </c>
      <c r="E714" s="68" t="s">
        <v>3813</v>
      </c>
      <c r="F714" s="66" t="s">
        <v>3814</v>
      </c>
      <c r="G714" s="71">
        <v>2275</v>
      </c>
      <c r="H714" s="73"/>
      <c r="I714" s="75">
        <v>0.1</v>
      </c>
      <c r="J714" s="77"/>
      <c r="K714" s="66"/>
      <c r="L714" s="66"/>
      <c r="M714" s="79" t="str">
        <f>HYPERLINK("http://www.pristavka.com/catalog/funko/Fun85687/")</f>
        <v>http://www.pristavka.com/catalog/funko/Fun85687/</v>
      </c>
      <c r="N714" s="71">
        <v>3499</v>
      </c>
      <c r="O714" s="66" t="s">
        <v>27</v>
      </c>
      <c r="P714" s="82" t="s">
        <v>3815</v>
      </c>
      <c r="Q714" s="84" t="s">
        <v>3816</v>
      </c>
      <c r="R714" s="84" t="s">
        <v>1315</v>
      </c>
      <c r="S714" s="84">
        <v>4.7E-2</v>
      </c>
      <c r="T714" s="82" t="s">
        <v>3817</v>
      </c>
      <c r="U714" s="84" t="s">
        <v>3584</v>
      </c>
      <c r="V714" s="54"/>
    </row>
    <row r="715" spans="1:22" s="11" customFormat="1" ht="45" customHeight="1" x14ac:dyDescent="0.2">
      <c r="A715" s="66" t="s">
        <v>3577</v>
      </c>
      <c r="B715" s="66" t="s">
        <v>1707</v>
      </c>
      <c r="C715" s="66" t="s">
        <v>3578</v>
      </c>
      <c r="D715" s="66">
        <v>81335</v>
      </c>
      <c r="E715" s="68" t="s">
        <v>3818</v>
      </c>
      <c r="F715" s="66" t="s">
        <v>3819</v>
      </c>
      <c r="G715" s="71">
        <v>2275</v>
      </c>
      <c r="H715" s="73"/>
      <c r="I715" s="75">
        <v>0.1</v>
      </c>
      <c r="J715" s="77"/>
      <c r="K715" s="66"/>
      <c r="L715" s="66"/>
      <c r="M715" s="79" t="str">
        <f>HYPERLINK("http://www.pristavka.com/catalog/funko/Fun81335/")</f>
        <v>http://www.pristavka.com/catalog/funko/Fun81335/</v>
      </c>
      <c r="N715" s="71">
        <v>3499</v>
      </c>
      <c r="O715" s="66" t="s">
        <v>27</v>
      </c>
      <c r="P715" s="82" t="s">
        <v>3820</v>
      </c>
      <c r="Q715" s="84" t="s">
        <v>3821</v>
      </c>
      <c r="R715" s="84" t="s">
        <v>1315</v>
      </c>
      <c r="S715" s="84">
        <v>4.8000000000000001E-2</v>
      </c>
      <c r="T715" s="82" t="s">
        <v>3822</v>
      </c>
      <c r="U715" s="84" t="s">
        <v>3584</v>
      </c>
      <c r="V715" s="54"/>
    </row>
    <row r="716" spans="1:22" s="11" customFormat="1" ht="45" customHeight="1" x14ac:dyDescent="0.2">
      <c r="A716" s="66" t="s">
        <v>3577</v>
      </c>
      <c r="B716" s="66" t="s">
        <v>1707</v>
      </c>
      <c r="C716" s="66" t="s">
        <v>3578</v>
      </c>
      <c r="D716" s="66">
        <v>84872</v>
      </c>
      <c r="E716" s="68" t="s">
        <v>3823</v>
      </c>
      <c r="F716" s="66" t="s">
        <v>3824</v>
      </c>
      <c r="G716" s="71">
        <v>2275</v>
      </c>
      <c r="H716" s="73"/>
      <c r="I716" s="75">
        <v>0.1</v>
      </c>
      <c r="J716" s="77"/>
      <c r="K716" s="66"/>
      <c r="L716" s="66"/>
      <c r="M716" s="79" t="str">
        <f>HYPERLINK("http://www.pristavka.com/catalog/funko/Fun84872/")</f>
        <v>http://www.pristavka.com/catalog/funko/Fun84872/</v>
      </c>
      <c r="N716" s="71">
        <v>3499</v>
      </c>
      <c r="O716" s="66" t="s">
        <v>27</v>
      </c>
      <c r="P716" s="82" t="s">
        <v>3825</v>
      </c>
      <c r="Q716" s="84" t="s">
        <v>1419</v>
      </c>
      <c r="R716" s="84" t="s">
        <v>3630</v>
      </c>
      <c r="S716" s="84">
        <v>4.5999999999999999E-2</v>
      </c>
      <c r="T716" s="82" t="s">
        <v>3817</v>
      </c>
      <c r="U716" s="84" t="s">
        <v>3584</v>
      </c>
      <c r="V716" s="54"/>
    </row>
    <row r="717" spans="1:22" s="11" customFormat="1" ht="45" customHeight="1" x14ac:dyDescent="0.2">
      <c r="A717" s="66" t="s">
        <v>3577</v>
      </c>
      <c r="B717" s="66" t="s">
        <v>1707</v>
      </c>
      <c r="C717" s="66" t="s">
        <v>3578</v>
      </c>
      <c r="D717" s="66">
        <v>81332</v>
      </c>
      <c r="E717" s="68" t="s">
        <v>3826</v>
      </c>
      <c r="F717" s="66" t="s">
        <v>3827</v>
      </c>
      <c r="G717" s="71">
        <v>2275</v>
      </c>
      <c r="H717" s="73"/>
      <c r="I717" s="75">
        <v>0.1</v>
      </c>
      <c r="J717" s="77" t="s">
        <v>18264</v>
      </c>
      <c r="K717" s="66"/>
      <c r="L717" s="66"/>
      <c r="M717" s="79" t="str">
        <f>HYPERLINK("http://www.pristavka.com/catalog/funko/Fun81332/")</f>
        <v>http://www.pristavka.com/catalog/funko/Fun81332/</v>
      </c>
      <c r="N717" s="71">
        <v>3499</v>
      </c>
      <c r="O717" s="66" t="s">
        <v>27</v>
      </c>
      <c r="P717" s="82" t="s">
        <v>3828</v>
      </c>
      <c r="Q717" s="84" t="s">
        <v>1102</v>
      </c>
      <c r="R717" s="84" t="s">
        <v>1103</v>
      </c>
      <c r="S717" s="84">
        <v>4.4999999999999998E-2</v>
      </c>
      <c r="T717" s="82" t="s">
        <v>3829</v>
      </c>
      <c r="U717" s="84" t="s">
        <v>3584</v>
      </c>
      <c r="V717" s="54"/>
    </row>
    <row r="718" spans="1:22" s="11" customFormat="1" ht="45" customHeight="1" x14ac:dyDescent="0.2">
      <c r="A718" s="66" t="s">
        <v>3577</v>
      </c>
      <c r="B718" s="66" t="s">
        <v>1707</v>
      </c>
      <c r="C718" s="66" t="s">
        <v>3578</v>
      </c>
      <c r="D718" s="66">
        <v>81301</v>
      </c>
      <c r="E718" s="68" t="s">
        <v>3830</v>
      </c>
      <c r="F718" s="66" t="s">
        <v>3831</v>
      </c>
      <c r="G718" s="71">
        <v>2275</v>
      </c>
      <c r="H718" s="73"/>
      <c r="I718" s="75">
        <v>0.1</v>
      </c>
      <c r="J718" s="77"/>
      <c r="K718" s="66"/>
      <c r="L718" s="66"/>
      <c r="M718" s="79" t="str">
        <f>HYPERLINK("http://www.pristavka.com/catalog/funko/Fun81301/")</f>
        <v>http://www.pristavka.com/catalog/funko/Fun81301/</v>
      </c>
      <c r="N718" s="71">
        <v>3499</v>
      </c>
      <c r="O718" s="66" t="s">
        <v>27</v>
      </c>
      <c r="P718" s="82" t="s">
        <v>3832</v>
      </c>
      <c r="Q718" s="84" t="s">
        <v>3833</v>
      </c>
      <c r="R718" s="84" t="s">
        <v>3512</v>
      </c>
      <c r="S718" s="84">
        <v>4.5999999999999999E-2</v>
      </c>
      <c r="T718" s="82" t="s">
        <v>3822</v>
      </c>
      <c r="U718" s="84" t="s">
        <v>3584</v>
      </c>
      <c r="V718" s="54"/>
    </row>
    <row r="719" spans="1:22" s="11" customFormat="1" ht="45" customHeight="1" x14ac:dyDescent="0.2">
      <c r="A719" s="66" t="s">
        <v>3577</v>
      </c>
      <c r="B719" s="66" t="s">
        <v>1707</v>
      </c>
      <c r="C719" s="66" t="s">
        <v>3578</v>
      </c>
      <c r="D719" s="66">
        <v>81336</v>
      </c>
      <c r="E719" s="68" t="s">
        <v>3834</v>
      </c>
      <c r="F719" s="66" t="s">
        <v>3835</v>
      </c>
      <c r="G719" s="71">
        <v>2275</v>
      </c>
      <c r="H719" s="73"/>
      <c r="I719" s="75">
        <v>0.1</v>
      </c>
      <c r="J719" s="77"/>
      <c r="K719" s="66"/>
      <c r="L719" s="66"/>
      <c r="M719" s="79" t="str">
        <f>HYPERLINK("http://www.pristavka.com/catalog/funko/Fun81336/")</f>
        <v>http://www.pristavka.com/catalog/funko/Fun81336/</v>
      </c>
      <c r="N719" s="71">
        <v>3499</v>
      </c>
      <c r="O719" s="66" t="s">
        <v>27</v>
      </c>
      <c r="P719" s="82" t="s">
        <v>3836</v>
      </c>
      <c r="Q719" s="84" t="s">
        <v>3582</v>
      </c>
      <c r="R719" s="84" t="s">
        <v>1315</v>
      </c>
      <c r="S719" s="84">
        <v>4.5999999999999999E-2</v>
      </c>
      <c r="T719" s="82" t="s">
        <v>3822</v>
      </c>
      <c r="U719" s="84" t="s">
        <v>3584</v>
      </c>
      <c r="V719" s="54"/>
    </row>
    <row r="720" spans="1:22" s="11" customFormat="1" ht="45" customHeight="1" x14ac:dyDescent="0.2">
      <c r="A720" s="66" t="s">
        <v>3577</v>
      </c>
      <c r="B720" s="66" t="s">
        <v>1707</v>
      </c>
      <c r="C720" s="66" t="s">
        <v>3578</v>
      </c>
      <c r="D720" s="66">
        <v>81302</v>
      </c>
      <c r="E720" s="68" t="s">
        <v>3837</v>
      </c>
      <c r="F720" s="66" t="s">
        <v>3838</v>
      </c>
      <c r="G720" s="71">
        <v>2275</v>
      </c>
      <c r="H720" s="73"/>
      <c r="I720" s="75">
        <v>0.1</v>
      </c>
      <c r="J720" s="77"/>
      <c r="K720" s="66"/>
      <c r="L720" s="66"/>
      <c r="M720" s="79" t="str">
        <f>HYPERLINK("http://www.pristavka.com/catalog/funko/Fun81302/")</f>
        <v>http://www.pristavka.com/catalog/funko/Fun81302/</v>
      </c>
      <c r="N720" s="71">
        <v>3499</v>
      </c>
      <c r="O720" s="66" t="s">
        <v>27</v>
      </c>
      <c r="P720" s="82" t="s">
        <v>3839</v>
      </c>
      <c r="Q720" s="84" t="s">
        <v>3527</v>
      </c>
      <c r="R720" s="84" t="s">
        <v>3512</v>
      </c>
      <c r="S720" s="84">
        <v>4.5999999999999999E-2</v>
      </c>
      <c r="T720" s="82" t="s">
        <v>3840</v>
      </c>
      <c r="U720" s="84" t="s">
        <v>3584</v>
      </c>
      <c r="V720" s="54"/>
    </row>
    <row r="721" spans="1:22" s="11" customFormat="1" ht="45" customHeight="1" x14ac:dyDescent="0.2">
      <c r="A721" s="66" t="s">
        <v>3577</v>
      </c>
      <c r="B721" s="66" t="s">
        <v>1707</v>
      </c>
      <c r="C721" s="66" t="s">
        <v>3578</v>
      </c>
      <c r="D721" s="66">
        <v>81299</v>
      </c>
      <c r="E721" s="68" t="s">
        <v>3841</v>
      </c>
      <c r="F721" s="66" t="s">
        <v>3842</v>
      </c>
      <c r="G721" s="71">
        <v>2275</v>
      </c>
      <c r="H721" s="73"/>
      <c r="I721" s="75">
        <v>0.1</v>
      </c>
      <c r="J721" s="77"/>
      <c r="K721" s="66"/>
      <c r="L721" s="66"/>
      <c r="M721" s="79" t="str">
        <f>HYPERLINK("http://www.pristavka.com/catalog/funko/Fun81299/")</f>
        <v>http://www.pristavka.com/catalog/funko/Fun81299/</v>
      </c>
      <c r="N721" s="71">
        <v>3499</v>
      </c>
      <c r="O721" s="66" t="s">
        <v>28</v>
      </c>
      <c r="P721" s="82" t="s">
        <v>3843</v>
      </c>
      <c r="Q721" s="84" t="s">
        <v>3844</v>
      </c>
      <c r="R721" s="84" t="s">
        <v>3566</v>
      </c>
      <c r="S721" s="84">
        <v>4.5999999999999999E-2</v>
      </c>
      <c r="T721" s="82" t="s">
        <v>3822</v>
      </c>
      <c r="U721" s="84" t="s">
        <v>3584</v>
      </c>
      <c r="V721" s="54"/>
    </row>
    <row r="722" spans="1:22" s="11" customFormat="1" ht="45" customHeight="1" x14ac:dyDescent="0.2">
      <c r="A722" s="66" t="s">
        <v>3577</v>
      </c>
      <c r="B722" s="66" t="s">
        <v>1707</v>
      </c>
      <c r="C722" s="66" t="s">
        <v>3578</v>
      </c>
      <c r="D722" s="66">
        <v>73027</v>
      </c>
      <c r="E722" s="68" t="s">
        <v>3845</v>
      </c>
      <c r="F722" s="66" t="s">
        <v>3846</v>
      </c>
      <c r="G722" s="71">
        <v>6890</v>
      </c>
      <c r="H722" s="73"/>
      <c r="I722" s="75">
        <v>0.1</v>
      </c>
      <c r="J722" s="77"/>
      <c r="K722" s="66"/>
      <c r="L722" s="66"/>
      <c r="M722" s="79" t="str">
        <f>HYPERLINK("http://www.pristavka.com/catalog/funko/Fun73027/")</f>
        <v>http://www.pristavka.com/catalog/funko/Fun73027/</v>
      </c>
      <c r="N722" s="71">
        <v>10599</v>
      </c>
      <c r="O722" s="66" t="s">
        <v>27</v>
      </c>
      <c r="P722" s="82" t="s">
        <v>3847</v>
      </c>
      <c r="Q722" s="84" t="s">
        <v>1315</v>
      </c>
      <c r="R722" s="84" t="s">
        <v>1315</v>
      </c>
      <c r="S722" s="84">
        <v>8.5000000000000006E-2</v>
      </c>
      <c r="T722" s="82" t="s">
        <v>3750</v>
      </c>
      <c r="U722" s="84" t="s">
        <v>3584</v>
      </c>
      <c r="V722" s="54"/>
    </row>
    <row r="723" spans="1:22" s="11" customFormat="1" ht="45" customHeight="1" x14ac:dyDescent="0.2">
      <c r="A723" s="66" t="s">
        <v>3577</v>
      </c>
      <c r="B723" s="66" t="s">
        <v>1707</v>
      </c>
      <c r="C723" s="66" t="s">
        <v>3578</v>
      </c>
      <c r="D723" s="66">
        <v>73028</v>
      </c>
      <c r="E723" s="68" t="s">
        <v>3848</v>
      </c>
      <c r="F723" s="66" t="s">
        <v>3849</v>
      </c>
      <c r="G723" s="71">
        <v>6890</v>
      </c>
      <c r="H723" s="73"/>
      <c r="I723" s="75">
        <v>0.1</v>
      </c>
      <c r="J723" s="77"/>
      <c r="K723" s="66"/>
      <c r="L723" s="66"/>
      <c r="M723" s="79" t="str">
        <f>HYPERLINK("http://www.pristavka.com/catalog/funko/Fun73028/")</f>
        <v>http://www.pristavka.com/catalog/funko/Fun73028/</v>
      </c>
      <c r="N723" s="71">
        <v>10599</v>
      </c>
      <c r="O723" s="66" t="s">
        <v>27</v>
      </c>
      <c r="P723" s="82" t="s">
        <v>3850</v>
      </c>
      <c r="Q723" s="84" t="s">
        <v>1315</v>
      </c>
      <c r="R723" s="84" t="s">
        <v>1315</v>
      </c>
      <c r="S723" s="84">
        <v>8.5000000000000006E-2</v>
      </c>
      <c r="T723" s="82" t="s">
        <v>3750</v>
      </c>
      <c r="U723" s="84" t="s">
        <v>3584</v>
      </c>
      <c r="V723" s="54"/>
    </row>
    <row r="724" spans="1:22" s="11" customFormat="1" ht="45" customHeight="1" x14ac:dyDescent="0.2">
      <c r="A724" s="66" t="s">
        <v>3577</v>
      </c>
      <c r="B724" s="66" t="s">
        <v>1707</v>
      </c>
      <c r="C724" s="66" t="s">
        <v>3578</v>
      </c>
      <c r="D724" s="66">
        <v>73030</v>
      </c>
      <c r="E724" s="68" t="s">
        <v>3851</v>
      </c>
      <c r="F724" s="66" t="s">
        <v>3852</v>
      </c>
      <c r="G724" s="71">
        <v>6890</v>
      </c>
      <c r="H724" s="73"/>
      <c r="I724" s="75">
        <v>0.1</v>
      </c>
      <c r="J724" s="77"/>
      <c r="K724" s="66"/>
      <c r="L724" s="66"/>
      <c r="M724" s="79" t="str">
        <f>HYPERLINK("http://www.pristavka.com/catalog/funko/Fun73030/")</f>
        <v>http://www.pristavka.com/catalog/funko/Fun73030/</v>
      </c>
      <c r="N724" s="71">
        <v>10599</v>
      </c>
      <c r="O724" s="66" t="s">
        <v>27</v>
      </c>
      <c r="P724" s="82" t="s">
        <v>3853</v>
      </c>
      <c r="Q724" s="84" t="s">
        <v>1315</v>
      </c>
      <c r="R724" s="84" t="s">
        <v>1315</v>
      </c>
      <c r="S724" s="84">
        <v>8.5000000000000006E-2</v>
      </c>
      <c r="T724" s="82" t="s">
        <v>3750</v>
      </c>
      <c r="U724" s="84" t="s">
        <v>3584</v>
      </c>
      <c r="V724" s="54"/>
    </row>
    <row r="725" spans="1:22" s="11" customFormat="1" ht="45" customHeight="1" x14ac:dyDescent="0.2">
      <c r="A725" s="66" t="s">
        <v>3577</v>
      </c>
      <c r="B725" s="66" t="s">
        <v>1707</v>
      </c>
      <c r="C725" s="66" t="s">
        <v>3578</v>
      </c>
      <c r="D725" s="66">
        <v>71319</v>
      </c>
      <c r="E725" s="68" t="s">
        <v>3854</v>
      </c>
      <c r="F725" s="66" t="s">
        <v>3855</v>
      </c>
      <c r="G725" s="71">
        <v>6890</v>
      </c>
      <c r="H725" s="73"/>
      <c r="I725" s="75">
        <v>0.1</v>
      </c>
      <c r="J725" s="77"/>
      <c r="K725" s="66"/>
      <c r="L725" s="66"/>
      <c r="M725" s="79" t="str">
        <f>HYPERLINK("http://www.pristavka.com/catalog/funko/Fun71319/")</f>
        <v>http://www.pristavka.com/catalog/funko/Fun71319/</v>
      </c>
      <c r="N725" s="71">
        <v>10599</v>
      </c>
      <c r="O725" s="66" t="s">
        <v>28</v>
      </c>
      <c r="P725" s="82" t="s">
        <v>3856</v>
      </c>
      <c r="Q725" s="84" t="s">
        <v>1738</v>
      </c>
      <c r="R725" s="84" t="s">
        <v>1315</v>
      </c>
      <c r="S725" s="84">
        <v>8.6999999999999994E-2</v>
      </c>
      <c r="T725" s="82" t="s">
        <v>3750</v>
      </c>
      <c r="U725" s="84" t="s">
        <v>3584</v>
      </c>
      <c r="V725" s="54"/>
    </row>
    <row r="726" spans="1:22" s="11" customFormat="1" ht="45" customHeight="1" x14ac:dyDescent="0.2">
      <c r="A726" s="66" t="s">
        <v>3577</v>
      </c>
      <c r="B726" s="66" t="s">
        <v>1707</v>
      </c>
      <c r="C726" s="66" t="s">
        <v>3578</v>
      </c>
      <c r="D726" s="66">
        <v>73044</v>
      </c>
      <c r="E726" s="68" t="s">
        <v>3857</v>
      </c>
      <c r="F726" s="66" t="s">
        <v>3858</v>
      </c>
      <c r="G726" s="71">
        <v>6890</v>
      </c>
      <c r="H726" s="73"/>
      <c r="I726" s="75">
        <v>0.1</v>
      </c>
      <c r="J726" s="77"/>
      <c r="K726" s="66"/>
      <c r="L726" s="66"/>
      <c r="M726" s="79" t="str">
        <f>HYPERLINK("http://www.pristavka.com/catalog/funko/Fun73044/")</f>
        <v>http://www.pristavka.com/catalog/funko/Fun73044/</v>
      </c>
      <c r="N726" s="71">
        <v>10599</v>
      </c>
      <c r="O726" s="66" t="s">
        <v>27</v>
      </c>
      <c r="P726" s="82" t="s">
        <v>3859</v>
      </c>
      <c r="Q726" s="84" t="s">
        <v>1419</v>
      </c>
      <c r="R726" s="84" t="s">
        <v>3630</v>
      </c>
      <c r="S726" s="84">
        <v>0.09</v>
      </c>
      <c r="T726" s="82" t="s">
        <v>3860</v>
      </c>
      <c r="U726" s="84" t="s">
        <v>3584</v>
      </c>
      <c r="V726" s="54"/>
    </row>
    <row r="727" spans="1:22" s="11" customFormat="1" ht="45" customHeight="1" x14ac:dyDescent="0.2">
      <c r="A727" s="66" t="s">
        <v>3577</v>
      </c>
      <c r="B727" s="66" t="s">
        <v>1707</v>
      </c>
      <c r="C727" s="66" t="s">
        <v>3578</v>
      </c>
      <c r="D727" s="66">
        <v>83648</v>
      </c>
      <c r="E727" s="68" t="s">
        <v>3861</v>
      </c>
      <c r="F727" s="66" t="s">
        <v>3862</v>
      </c>
      <c r="G727" s="71">
        <v>6890</v>
      </c>
      <c r="H727" s="73"/>
      <c r="I727" s="75">
        <v>0.1</v>
      </c>
      <c r="J727" s="77"/>
      <c r="K727" s="66"/>
      <c r="L727" s="66"/>
      <c r="M727" s="79" t="str">
        <f>HYPERLINK("http://www.pristavka.com/catalog/funko/Fun83648/")</f>
        <v>http://www.pristavka.com/catalog/funko/Fun83648/</v>
      </c>
      <c r="N727" s="71">
        <v>10599</v>
      </c>
      <c r="O727" s="66" t="s">
        <v>27</v>
      </c>
      <c r="P727" s="82" t="s">
        <v>3863</v>
      </c>
      <c r="Q727" s="84" t="s">
        <v>1611</v>
      </c>
      <c r="R727" s="84" t="s">
        <v>1612</v>
      </c>
      <c r="S727" s="84">
        <v>0.09</v>
      </c>
      <c r="T727" s="82" t="s">
        <v>3860</v>
      </c>
      <c r="U727" s="84" t="s">
        <v>3584</v>
      </c>
      <c r="V727" s="54"/>
    </row>
    <row r="728" spans="1:22" s="11" customFormat="1" ht="45" customHeight="1" x14ac:dyDescent="0.2">
      <c r="A728" s="66" t="s">
        <v>3577</v>
      </c>
      <c r="B728" s="66" t="s">
        <v>1707</v>
      </c>
      <c r="C728" s="66" t="s">
        <v>3578</v>
      </c>
      <c r="D728" s="66">
        <v>83647</v>
      </c>
      <c r="E728" s="68" t="s">
        <v>3864</v>
      </c>
      <c r="F728" s="66" t="s">
        <v>3865</v>
      </c>
      <c r="G728" s="71">
        <v>6890</v>
      </c>
      <c r="H728" s="73"/>
      <c r="I728" s="75">
        <v>0.1</v>
      </c>
      <c r="J728" s="77"/>
      <c r="K728" s="66"/>
      <c r="L728" s="66"/>
      <c r="M728" s="79" t="str">
        <f>HYPERLINK("http://www.pristavka.com/catalog/funko/Fun83647/")</f>
        <v>http://www.pristavka.com/catalog/funko/Fun83647/</v>
      </c>
      <c r="N728" s="71">
        <v>10599</v>
      </c>
      <c r="O728" s="66" t="s">
        <v>27</v>
      </c>
      <c r="P728" s="82" t="s">
        <v>3866</v>
      </c>
      <c r="Q728" s="84" t="s">
        <v>1611</v>
      </c>
      <c r="R728" s="84" t="s">
        <v>1612</v>
      </c>
      <c r="S728" s="84">
        <v>8.5000000000000006E-2</v>
      </c>
      <c r="T728" s="82" t="s">
        <v>3860</v>
      </c>
      <c r="U728" s="84" t="s">
        <v>3584</v>
      </c>
      <c r="V728" s="54"/>
    </row>
    <row r="729" spans="1:22" s="11" customFormat="1" ht="45" customHeight="1" x14ac:dyDescent="0.2">
      <c r="A729" s="66" t="s">
        <v>3577</v>
      </c>
      <c r="B729" s="66" t="s">
        <v>1707</v>
      </c>
      <c r="C729" s="66" t="s">
        <v>3578</v>
      </c>
      <c r="D729" s="66">
        <v>83649</v>
      </c>
      <c r="E729" s="68" t="s">
        <v>3867</v>
      </c>
      <c r="F729" s="66" t="s">
        <v>3868</v>
      </c>
      <c r="G729" s="71">
        <v>6890</v>
      </c>
      <c r="H729" s="73"/>
      <c r="I729" s="75">
        <v>0.1</v>
      </c>
      <c r="J729" s="77"/>
      <c r="K729" s="66"/>
      <c r="L729" s="66"/>
      <c r="M729" s="79" t="str">
        <f>HYPERLINK("http://www.pristavka.com/catalog/funko/Fun83649/")</f>
        <v>http://www.pristavka.com/catalog/funko/Fun83649/</v>
      </c>
      <c r="N729" s="71">
        <v>10599</v>
      </c>
      <c r="O729" s="66" t="s">
        <v>27</v>
      </c>
      <c r="P729" s="82" t="s">
        <v>3869</v>
      </c>
      <c r="Q729" s="84" t="s">
        <v>1611</v>
      </c>
      <c r="R729" s="84" t="s">
        <v>1612</v>
      </c>
      <c r="S729" s="84">
        <v>8.5000000000000006E-2</v>
      </c>
      <c r="T729" s="82" t="s">
        <v>3860</v>
      </c>
      <c r="U729" s="84" t="s">
        <v>3584</v>
      </c>
      <c r="V729" s="54"/>
    </row>
    <row r="730" spans="1:22" s="11" customFormat="1" ht="45" customHeight="1" x14ac:dyDescent="0.2">
      <c r="A730" s="66" t="s">
        <v>3577</v>
      </c>
      <c r="B730" s="66" t="s">
        <v>1707</v>
      </c>
      <c r="C730" s="66" t="s">
        <v>3578</v>
      </c>
      <c r="D730" s="66">
        <v>83650</v>
      </c>
      <c r="E730" s="68" t="s">
        <v>3870</v>
      </c>
      <c r="F730" s="66" t="s">
        <v>3871</v>
      </c>
      <c r="G730" s="71">
        <v>6890</v>
      </c>
      <c r="H730" s="73"/>
      <c r="I730" s="75">
        <v>0.1</v>
      </c>
      <c r="J730" s="77"/>
      <c r="K730" s="66"/>
      <c r="L730" s="66"/>
      <c r="M730" s="79" t="str">
        <f>HYPERLINK("http://www.pristavka.com/catalog/funko/Fun83650/")</f>
        <v>http://www.pristavka.com/catalog/funko/Fun83650/</v>
      </c>
      <c r="N730" s="71">
        <v>10599</v>
      </c>
      <c r="O730" s="66" t="s">
        <v>27</v>
      </c>
      <c r="P730" s="82" t="s">
        <v>3872</v>
      </c>
      <c r="Q730" s="84" t="s">
        <v>1611</v>
      </c>
      <c r="R730" s="84" t="s">
        <v>1612</v>
      </c>
      <c r="S730" s="84">
        <v>8.7999999999999995E-2</v>
      </c>
      <c r="T730" s="82" t="s">
        <v>3860</v>
      </c>
      <c r="U730" s="84" t="s">
        <v>3584</v>
      </c>
      <c r="V730" s="54"/>
    </row>
    <row r="731" spans="1:22" s="11" customFormat="1" ht="45" customHeight="1" x14ac:dyDescent="0.2">
      <c r="A731" s="66" t="s">
        <v>3577</v>
      </c>
      <c r="B731" s="66" t="s">
        <v>1707</v>
      </c>
      <c r="C731" s="66" t="s">
        <v>3578</v>
      </c>
      <c r="D731" s="66">
        <v>83657</v>
      </c>
      <c r="E731" s="68" t="s">
        <v>3873</v>
      </c>
      <c r="F731" s="66" t="s">
        <v>3874</v>
      </c>
      <c r="G731" s="71">
        <v>6890</v>
      </c>
      <c r="H731" s="73"/>
      <c r="I731" s="75">
        <v>0.1</v>
      </c>
      <c r="J731" s="77" t="s">
        <v>18265</v>
      </c>
      <c r="K731" s="66"/>
      <c r="L731" s="66"/>
      <c r="M731" s="79" t="str">
        <f>HYPERLINK("http://www.pristavka.com/catalog/funko/Fun83657/")</f>
        <v>http://www.pristavka.com/catalog/funko/Fun83657/</v>
      </c>
      <c r="N731" s="71">
        <v>10599</v>
      </c>
      <c r="O731" s="66" t="s">
        <v>27</v>
      </c>
      <c r="P731" s="82" t="s">
        <v>3875</v>
      </c>
      <c r="Q731" s="84" t="s">
        <v>1102</v>
      </c>
      <c r="R731" s="84" t="s">
        <v>1103</v>
      </c>
      <c r="S731" s="84">
        <v>8.5000000000000006E-2</v>
      </c>
      <c r="T731" s="82" t="s">
        <v>3860</v>
      </c>
      <c r="U731" s="84" t="s">
        <v>3584</v>
      </c>
      <c r="V731" s="54"/>
    </row>
    <row r="732" spans="1:22" s="11" customFormat="1" ht="45" customHeight="1" x14ac:dyDescent="0.2">
      <c r="A732" s="66" t="s">
        <v>3577</v>
      </c>
      <c r="B732" s="66" t="s">
        <v>1707</v>
      </c>
      <c r="C732" s="66" t="s">
        <v>3578</v>
      </c>
      <c r="D732" s="66">
        <v>83654</v>
      </c>
      <c r="E732" s="68" t="s">
        <v>3876</v>
      </c>
      <c r="F732" s="66" t="s">
        <v>3877</v>
      </c>
      <c r="G732" s="71">
        <v>6890</v>
      </c>
      <c r="H732" s="73"/>
      <c r="I732" s="75">
        <v>0.1</v>
      </c>
      <c r="J732" s="77" t="s">
        <v>18265</v>
      </c>
      <c r="K732" s="66"/>
      <c r="L732" s="66"/>
      <c r="M732" s="79" t="str">
        <f>HYPERLINK("http://www.pristavka.com/catalog/funko/Fun83654/")</f>
        <v>http://www.pristavka.com/catalog/funko/Fun83654/</v>
      </c>
      <c r="N732" s="71">
        <v>10599</v>
      </c>
      <c r="O732" s="66" t="s">
        <v>27</v>
      </c>
      <c r="P732" s="82" t="s">
        <v>3878</v>
      </c>
      <c r="Q732" s="84" t="s">
        <v>1102</v>
      </c>
      <c r="R732" s="84" t="s">
        <v>1103</v>
      </c>
      <c r="S732" s="84">
        <v>0.09</v>
      </c>
      <c r="T732" s="82" t="s">
        <v>3860</v>
      </c>
      <c r="U732" s="84" t="s">
        <v>3584</v>
      </c>
      <c r="V732" s="54"/>
    </row>
    <row r="733" spans="1:22" s="11" customFormat="1" ht="45" customHeight="1" x14ac:dyDescent="0.2">
      <c r="A733" s="66" t="s">
        <v>3577</v>
      </c>
      <c r="B733" s="66" t="s">
        <v>1707</v>
      </c>
      <c r="C733" s="66" t="s">
        <v>3578</v>
      </c>
      <c r="D733" s="66">
        <v>83655</v>
      </c>
      <c r="E733" s="68" t="s">
        <v>3879</v>
      </c>
      <c r="F733" s="66" t="s">
        <v>3880</v>
      </c>
      <c r="G733" s="71">
        <v>6890</v>
      </c>
      <c r="H733" s="73"/>
      <c r="I733" s="75">
        <v>0.1</v>
      </c>
      <c r="J733" s="77" t="s">
        <v>18265</v>
      </c>
      <c r="K733" s="66"/>
      <c r="L733" s="66"/>
      <c r="M733" s="79" t="str">
        <f>HYPERLINK("http://www.pristavka.com/catalog/funko/Fun83655/")</f>
        <v>http://www.pristavka.com/catalog/funko/Fun83655/</v>
      </c>
      <c r="N733" s="71">
        <v>10599</v>
      </c>
      <c r="O733" s="66" t="s">
        <v>27</v>
      </c>
      <c r="P733" s="82" t="s">
        <v>3881</v>
      </c>
      <c r="Q733" s="84" t="s">
        <v>1102</v>
      </c>
      <c r="R733" s="84" t="s">
        <v>1103</v>
      </c>
      <c r="S733" s="84">
        <v>8.7999999999999995E-2</v>
      </c>
      <c r="T733" s="82" t="s">
        <v>3860</v>
      </c>
      <c r="U733" s="84" t="s">
        <v>3584</v>
      </c>
      <c r="V733" s="54"/>
    </row>
    <row r="734" spans="1:22" s="11" customFormat="1" ht="45" customHeight="1" x14ac:dyDescent="0.2">
      <c r="A734" s="66" t="s">
        <v>3577</v>
      </c>
      <c r="B734" s="66" t="s">
        <v>1707</v>
      </c>
      <c r="C734" s="66" t="s">
        <v>3578</v>
      </c>
      <c r="D734" s="66">
        <v>83660</v>
      </c>
      <c r="E734" s="68" t="s">
        <v>3882</v>
      </c>
      <c r="F734" s="66" t="s">
        <v>3883</v>
      </c>
      <c r="G734" s="71">
        <v>1885</v>
      </c>
      <c r="H734" s="73"/>
      <c r="I734" s="75">
        <v>0.1</v>
      </c>
      <c r="J734" s="77"/>
      <c r="K734" s="66"/>
      <c r="L734" s="66"/>
      <c r="M734" s="79" t="str">
        <f>HYPERLINK("http://www.pristavka.com/catalog/funko/Fun83660/")</f>
        <v>http://www.pristavka.com/catalog/funko/Fun83660/</v>
      </c>
      <c r="N734" s="71">
        <v>2899</v>
      </c>
      <c r="O734" s="66" t="s">
        <v>27</v>
      </c>
      <c r="P734" s="82" t="s">
        <v>3884</v>
      </c>
      <c r="Q734" s="84" t="s">
        <v>1102</v>
      </c>
      <c r="R734" s="84" t="s">
        <v>1103</v>
      </c>
      <c r="S734" s="84">
        <v>0.01</v>
      </c>
      <c r="T734" s="82" t="s">
        <v>3885</v>
      </c>
      <c r="U734" s="84" t="s">
        <v>3584</v>
      </c>
      <c r="V734" s="54"/>
    </row>
    <row r="735" spans="1:22" s="11" customFormat="1" ht="45" customHeight="1" x14ac:dyDescent="0.2">
      <c r="A735" s="66" t="s">
        <v>3577</v>
      </c>
      <c r="B735" s="66" t="s">
        <v>1707</v>
      </c>
      <c r="C735" s="66" t="s">
        <v>3578</v>
      </c>
      <c r="D735" s="66">
        <v>83656</v>
      </c>
      <c r="E735" s="68" t="s">
        <v>3886</v>
      </c>
      <c r="F735" s="66" t="s">
        <v>3887</v>
      </c>
      <c r="G735" s="71">
        <v>6890</v>
      </c>
      <c r="H735" s="73"/>
      <c r="I735" s="75">
        <v>0.1</v>
      </c>
      <c r="J735" s="77" t="s">
        <v>18265</v>
      </c>
      <c r="K735" s="66"/>
      <c r="L735" s="66"/>
      <c r="M735" s="79" t="str">
        <f>HYPERLINK("http://www.pristavka.com/catalog/funko/Fun83656/")</f>
        <v>http://www.pristavka.com/catalog/funko/Fun83656/</v>
      </c>
      <c r="N735" s="71">
        <v>10599</v>
      </c>
      <c r="O735" s="66" t="s">
        <v>27</v>
      </c>
      <c r="P735" s="82" t="s">
        <v>3888</v>
      </c>
      <c r="Q735" s="84" t="s">
        <v>1102</v>
      </c>
      <c r="R735" s="84" t="s">
        <v>1103</v>
      </c>
      <c r="S735" s="84">
        <v>8.7999999999999995E-2</v>
      </c>
      <c r="T735" s="82" t="s">
        <v>3860</v>
      </c>
      <c r="U735" s="84" t="s">
        <v>3584</v>
      </c>
      <c r="V735" s="54"/>
    </row>
    <row r="736" spans="1:22" s="11" customFormat="1" ht="45" customHeight="1" x14ac:dyDescent="0.2">
      <c r="A736" s="66" t="s">
        <v>3577</v>
      </c>
      <c r="B736" s="66" t="s">
        <v>1707</v>
      </c>
      <c r="C736" s="66" t="s">
        <v>3578</v>
      </c>
      <c r="D736" s="66">
        <v>85713</v>
      </c>
      <c r="E736" s="68" t="s">
        <v>3889</v>
      </c>
      <c r="F736" s="66" t="s">
        <v>3890</v>
      </c>
      <c r="G736" s="71">
        <v>0</v>
      </c>
      <c r="H736" s="73"/>
      <c r="I736" s="75">
        <v>0.1</v>
      </c>
      <c r="J736" s="77"/>
      <c r="K736" s="66"/>
      <c r="L736" s="66"/>
      <c r="M736" s="79" t="str">
        <f>HYPERLINK("http://www.pristavka.com/catalog/funko/Fun85713/")</f>
        <v>http://www.pristavka.com/catalog/funko/Fun85713/</v>
      </c>
      <c r="N736" s="71"/>
      <c r="O736" s="66" t="s">
        <v>27</v>
      </c>
      <c r="P736" s="82" t="s">
        <v>3891</v>
      </c>
      <c r="Q736" s="84" t="s">
        <v>2817</v>
      </c>
      <c r="R736" s="84" t="s">
        <v>2818</v>
      </c>
      <c r="S736" s="84">
        <v>0.09</v>
      </c>
      <c r="T736" s="82" t="s">
        <v>3860</v>
      </c>
      <c r="U736" s="84" t="s">
        <v>3584</v>
      </c>
      <c r="V736" s="54"/>
    </row>
    <row r="737" spans="1:22" s="11" customFormat="1" ht="45" customHeight="1" x14ac:dyDescent="0.2">
      <c r="A737" s="66" t="s">
        <v>3577</v>
      </c>
      <c r="B737" s="66" t="s">
        <v>1707</v>
      </c>
      <c r="C737" s="66" t="s">
        <v>3578</v>
      </c>
      <c r="D737" s="66">
        <v>85714</v>
      </c>
      <c r="E737" s="68" t="s">
        <v>3892</v>
      </c>
      <c r="F737" s="66" t="s">
        <v>3893</v>
      </c>
      <c r="G737" s="71">
        <v>0</v>
      </c>
      <c r="H737" s="73"/>
      <c r="I737" s="75">
        <v>0.1</v>
      </c>
      <c r="J737" s="77"/>
      <c r="K737" s="66"/>
      <c r="L737" s="66"/>
      <c r="M737" s="79" t="str">
        <f>HYPERLINK("http://www.pristavka.com/catalog/funko/Fun85714/")</f>
        <v>http://www.pristavka.com/catalog/funko/Fun85714/</v>
      </c>
      <c r="N737" s="71"/>
      <c r="O737" s="66" t="s">
        <v>27</v>
      </c>
      <c r="P737" s="82" t="s">
        <v>3894</v>
      </c>
      <c r="Q737" s="84" t="s">
        <v>2817</v>
      </c>
      <c r="R737" s="84" t="s">
        <v>2818</v>
      </c>
      <c r="S737" s="84">
        <v>0.09</v>
      </c>
      <c r="T737" s="82" t="s">
        <v>3860</v>
      </c>
      <c r="U737" s="84" t="s">
        <v>3584</v>
      </c>
      <c r="V737" s="54"/>
    </row>
    <row r="738" spans="1:22" s="11" customFormat="1" ht="45" customHeight="1" x14ac:dyDescent="0.2">
      <c r="A738" s="66" t="s">
        <v>3577</v>
      </c>
      <c r="B738" s="66" t="s">
        <v>1707</v>
      </c>
      <c r="C738" s="66" t="s">
        <v>3578</v>
      </c>
      <c r="D738" s="66">
        <v>85715</v>
      </c>
      <c r="E738" s="68" t="s">
        <v>3895</v>
      </c>
      <c r="F738" s="66" t="s">
        <v>3896</v>
      </c>
      <c r="G738" s="71">
        <v>0</v>
      </c>
      <c r="H738" s="73"/>
      <c r="I738" s="75">
        <v>0.1</v>
      </c>
      <c r="J738" s="77"/>
      <c r="K738" s="66"/>
      <c r="L738" s="66"/>
      <c r="M738" s="79" t="str">
        <f>HYPERLINK("http://www.pristavka.com/catalog/funko/Fun85715/")</f>
        <v>http://www.pristavka.com/catalog/funko/Fun85715/</v>
      </c>
      <c r="N738" s="71"/>
      <c r="O738" s="66" t="s">
        <v>27</v>
      </c>
      <c r="P738" s="82" t="s">
        <v>3897</v>
      </c>
      <c r="Q738" s="84" t="s">
        <v>2817</v>
      </c>
      <c r="R738" s="84" t="s">
        <v>2818</v>
      </c>
      <c r="S738" s="84">
        <v>0.09</v>
      </c>
      <c r="T738" s="82" t="s">
        <v>3750</v>
      </c>
      <c r="U738" s="84" t="s">
        <v>3584</v>
      </c>
      <c r="V738" s="54"/>
    </row>
    <row r="739" spans="1:22" s="11" customFormat="1" ht="45" customHeight="1" x14ac:dyDescent="0.2">
      <c r="A739" s="66" t="s">
        <v>3577</v>
      </c>
      <c r="B739" s="66" t="s">
        <v>1707</v>
      </c>
      <c r="C739" s="66" t="s">
        <v>3578</v>
      </c>
      <c r="D739" s="66">
        <v>85716</v>
      </c>
      <c r="E739" s="68" t="s">
        <v>3898</v>
      </c>
      <c r="F739" s="66" t="s">
        <v>3899</v>
      </c>
      <c r="G739" s="71">
        <v>0</v>
      </c>
      <c r="H739" s="73"/>
      <c r="I739" s="75">
        <v>0.1</v>
      </c>
      <c r="J739" s="77"/>
      <c r="K739" s="66"/>
      <c r="L739" s="66"/>
      <c r="M739" s="79" t="str">
        <f>HYPERLINK("http://www.pristavka.com/catalog/funko/Fun85716/")</f>
        <v>http://www.pristavka.com/catalog/funko/Fun85716/</v>
      </c>
      <c r="N739" s="71"/>
      <c r="O739" s="66" t="s">
        <v>27</v>
      </c>
      <c r="P739" s="82" t="s">
        <v>3900</v>
      </c>
      <c r="Q739" s="84" t="s">
        <v>2817</v>
      </c>
      <c r="R739" s="84" t="s">
        <v>2818</v>
      </c>
      <c r="S739" s="84">
        <v>9.1999999999999998E-2</v>
      </c>
      <c r="T739" s="82" t="s">
        <v>3750</v>
      </c>
      <c r="U739" s="84" t="s">
        <v>3584</v>
      </c>
      <c r="V739" s="54"/>
    </row>
    <row r="740" spans="1:22" s="11" customFormat="1" ht="45" customHeight="1" x14ac:dyDescent="0.2">
      <c r="A740" s="66" t="s">
        <v>3577</v>
      </c>
      <c r="B740" s="66" t="s">
        <v>1707</v>
      </c>
      <c r="C740" s="66" t="s">
        <v>3578</v>
      </c>
      <c r="D740" s="66">
        <v>75456</v>
      </c>
      <c r="E740" s="68" t="s">
        <v>3901</v>
      </c>
      <c r="F740" s="66" t="s">
        <v>3902</v>
      </c>
      <c r="G740" s="71">
        <v>6890</v>
      </c>
      <c r="H740" s="73"/>
      <c r="I740" s="75">
        <v>0.1</v>
      </c>
      <c r="J740" s="77"/>
      <c r="K740" s="66"/>
      <c r="L740" s="66"/>
      <c r="M740" s="79" t="str">
        <f>HYPERLINK("http://www.pristavka.com/catalog/funko/Fun75456/")</f>
        <v>http://www.pristavka.com/catalog/funko/Fun75456/</v>
      </c>
      <c r="N740" s="71">
        <v>10599</v>
      </c>
      <c r="O740" s="66" t="s">
        <v>27</v>
      </c>
      <c r="P740" s="82" t="s">
        <v>3903</v>
      </c>
      <c r="Q740" s="84" t="s">
        <v>3502</v>
      </c>
      <c r="R740" s="84" t="s">
        <v>1303</v>
      </c>
      <c r="S740" s="84">
        <v>8.5999999999999993E-2</v>
      </c>
      <c r="T740" s="82" t="s">
        <v>3750</v>
      </c>
      <c r="U740" s="84" t="s">
        <v>3584</v>
      </c>
      <c r="V740" s="54"/>
    </row>
    <row r="741" spans="1:22" s="11" customFormat="1" ht="45" customHeight="1" x14ac:dyDescent="0.2">
      <c r="A741" s="66" t="s">
        <v>3577</v>
      </c>
      <c r="B741" s="66" t="s">
        <v>1707</v>
      </c>
      <c r="C741" s="66" t="s">
        <v>3578</v>
      </c>
      <c r="D741" s="66">
        <v>75457</v>
      </c>
      <c r="E741" s="68" t="s">
        <v>3904</v>
      </c>
      <c r="F741" s="66" t="s">
        <v>3905</v>
      </c>
      <c r="G741" s="71">
        <v>6890</v>
      </c>
      <c r="H741" s="73"/>
      <c r="I741" s="75">
        <v>0.1</v>
      </c>
      <c r="J741" s="77"/>
      <c r="K741" s="66"/>
      <c r="L741" s="66"/>
      <c r="M741" s="79" t="str">
        <f>HYPERLINK("http://www.pristavka.com/catalog/funko/Fun75457/")</f>
        <v>http://www.pristavka.com/catalog/funko/Fun75457/</v>
      </c>
      <c r="N741" s="71">
        <v>10599</v>
      </c>
      <c r="O741" s="66" t="s">
        <v>27</v>
      </c>
      <c r="P741" s="82" t="s">
        <v>3906</v>
      </c>
      <c r="Q741" s="84" t="s">
        <v>3502</v>
      </c>
      <c r="R741" s="84" t="s">
        <v>1303</v>
      </c>
      <c r="S741" s="84">
        <v>0.09</v>
      </c>
      <c r="T741" s="82" t="s">
        <v>3860</v>
      </c>
      <c r="U741" s="84" t="s">
        <v>3584</v>
      </c>
      <c r="V741" s="54"/>
    </row>
    <row r="742" spans="1:22" s="11" customFormat="1" ht="45" customHeight="1" x14ac:dyDescent="0.2">
      <c r="A742" s="66" t="s">
        <v>3577</v>
      </c>
      <c r="B742" s="66" t="s">
        <v>1707</v>
      </c>
      <c r="C742" s="66" t="s">
        <v>3578</v>
      </c>
      <c r="D742" s="66">
        <v>75458</v>
      </c>
      <c r="E742" s="68" t="s">
        <v>3907</v>
      </c>
      <c r="F742" s="66" t="s">
        <v>3908</v>
      </c>
      <c r="G742" s="71">
        <v>6890</v>
      </c>
      <c r="H742" s="73"/>
      <c r="I742" s="75">
        <v>0.1</v>
      </c>
      <c r="J742" s="77"/>
      <c r="K742" s="66"/>
      <c r="L742" s="66"/>
      <c r="M742" s="79" t="str">
        <f>HYPERLINK("http://www.pristavka.com/catalog/funko/Fun75458/")</f>
        <v>http://www.pristavka.com/catalog/funko/Fun75458/</v>
      </c>
      <c r="N742" s="71">
        <v>10599</v>
      </c>
      <c r="O742" s="66" t="s">
        <v>27</v>
      </c>
      <c r="P742" s="82" t="s">
        <v>3909</v>
      </c>
      <c r="Q742" s="84" t="s">
        <v>3502</v>
      </c>
      <c r="R742" s="84" t="s">
        <v>1303</v>
      </c>
      <c r="S742" s="84">
        <v>8.4000000000000005E-2</v>
      </c>
      <c r="T742" s="82" t="s">
        <v>3750</v>
      </c>
      <c r="U742" s="84" t="s">
        <v>3584</v>
      </c>
      <c r="V742" s="54"/>
    </row>
    <row r="743" spans="1:22" s="11" customFormat="1" ht="45" customHeight="1" x14ac:dyDescent="0.2">
      <c r="A743" s="66" t="s">
        <v>3577</v>
      </c>
      <c r="B743" s="66" t="s">
        <v>1707</v>
      </c>
      <c r="C743" s="66" t="s">
        <v>3578</v>
      </c>
      <c r="D743" s="66">
        <v>75459</v>
      </c>
      <c r="E743" s="68" t="s">
        <v>3910</v>
      </c>
      <c r="F743" s="66" t="s">
        <v>3911</v>
      </c>
      <c r="G743" s="71">
        <v>6890</v>
      </c>
      <c r="H743" s="73"/>
      <c r="I743" s="75">
        <v>0.1</v>
      </c>
      <c r="J743" s="77"/>
      <c r="K743" s="66"/>
      <c r="L743" s="66"/>
      <c r="M743" s="79" t="str">
        <f>HYPERLINK("http://www.pristavka.com/catalog/funko/Fun75459/")</f>
        <v>http://www.pristavka.com/catalog/funko/Fun75459/</v>
      </c>
      <c r="N743" s="71">
        <v>10599</v>
      </c>
      <c r="O743" s="66" t="s">
        <v>27</v>
      </c>
      <c r="P743" s="82" t="s">
        <v>3912</v>
      </c>
      <c r="Q743" s="84" t="s">
        <v>3502</v>
      </c>
      <c r="R743" s="84" t="s">
        <v>1303</v>
      </c>
      <c r="S743" s="84">
        <v>8.5000000000000006E-2</v>
      </c>
      <c r="T743" s="82" t="s">
        <v>3860</v>
      </c>
      <c r="U743" s="84" t="s">
        <v>3584</v>
      </c>
      <c r="V743" s="54"/>
    </row>
    <row r="744" spans="1:22" s="11" customFormat="1" ht="45" customHeight="1" x14ac:dyDescent="0.2">
      <c r="A744" s="66" t="s">
        <v>3577</v>
      </c>
      <c r="B744" s="66" t="s">
        <v>1707</v>
      </c>
      <c r="C744" s="66" t="s">
        <v>3578</v>
      </c>
      <c r="D744" s="66">
        <v>75453</v>
      </c>
      <c r="E744" s="68" t="s">
        <v>3913</v>
      </c>
      <c r="F744" s="66" t="s">
        <v>3914</v>
      </c>
      <c r="G744" s="71">
        <v>0</v>
      </c>
      <c r="H744" s="73"/>
      <c r="I744" s="75">
        <v>0.1</v>
      </c>
      <c r="J744" s="77"/>
      <c r="K744" s="66"/>
      <c r="L744" s="66"/>
      <c r="M744" s="79" t="str">
        <f>HYPERLINK("http://www.pristavka.com/catalog/funko/Fun75453/")</f>
        <v>http://www.pristavka.com/catalog/funko/Fun75453/</v>
      </c>
      <c r="N744" s="71"/>
      <c r="O744" s="66" t="s">
        <v>27</v>
      </c>
      <c r="P744" s="82" t="s">
        <v>3915</v>
      </c>
      <c r="Q744" s="84" t="s">
        <v>3916</v>
      </c>
      <c r="R744" s="84" t="s">
        <v>1322</v>
      </c>
      <c r="S744" s="84">
        <v>8.5999999999999993E-2</v>
      </c>
      <c r="T744" s="82" t="s">
        <v>3750</v>
      </c>
      <c r="U744" s="84" t="s">
        <v>3584</v>
      </c>
      <c r="V744" s="54"/>
    </row>
    <row r="745" spans="1:22" s="11" customFormat="1" ht="45" customHeight="1" x14ac:dyDescent="0.2">
      <c r="A745" s="66" t="s">
        <v>3577</v>
      </c>
      <c r="B745" s="66" t="s">
        <v>1707</v>
      </c>
      <c r="C745" s="66" t="s">
        <v>3578</v>
      </c>
      <c r="D745" s="66">
        <v>71504</v>
      </c>
      <c r="E745" s="68" t="s">
        <v>3917</v>
      </c>
      <c r="F745" s="66" t="s">
        <v>3918</v>
      </c>
      <c r="G745" s="71">
        <v>6890</v>
      </c>
      <c r="H745" s="73"/>
      <c r="I745" s="75">
        <v>0.1</v>
      </c>
      <c r="J745" s="77"/>
      <c r="K745" s="66"/>
      <c r="L745" s="66"/>
      <c r="M745" s="79" t="str">
        <f>HYPERLINK("http://www.pristavka.com/catalog/funko/Fun71504/")</f>
        <v>http://www.pristavka.com/catalog/funko/Fun71504/</v>
      </c>
      <c r="N745" s="71">
        <v>10599</v>
      </c>
      <c r="O745" s="66" t="s">
        <v>27</v>
      </c>
      <c r="P745" s="82" t="s">
        <v>3919</v>
      </c>
      <c r="Q745" s="84" t="s">
        <v>3511</v>
      </c>
      <c r="R745" s="84" t="s">
        <v>3512</v>
      </c>
      <c r="S745" s="84">
        <v>8.5000000000000006E-2</v>
      </c>
      <c r="T745" s="82" t="s">
        <v>3750</v>
      </c>
      <c r="U745" s="84" t="s">
        <v>3584</v>
      </c>
      <c r="V745" s="54"/>
    </row>
    <row r="746" spans="1:22" s="11" customFormat="1" ht="45" customHeight="1" x14ac:dyDescent="0.2">
      <c r="A746" s="66" t="s">
        <v>3577</v>
      </c>
      <c r="B746" s="66" t="s">
        <v>1707</v>
      </c>
      <c r="C746" s="66" t="s">
        <v>3578</v>
      </c>
      <c r="D746" s="66">
        <v>71505</v>
      </c>
      <c r="E746" s="68" t="s">
        <v>3920</v>
      </c>
      <c r="F746" s="66" t="s">
        <v>3921</v>
      </c>
      <c r="G746" s="71">
        <v>6890</v>
      </c>
      <c r="H746" s="73"/>
      <c r="I746" s="75">
        <v>0.1</v>
      </c>
      <c r="J746" s="77"/>
      <c r="K746" s="66"/>
      <c r="L746" s="66"/>
      <c r="M746" s="79" t="str">
        <f>HYPERLINK("http://www.pristavka.com/catalog/funko/Fun71505/")</f>
        <v>http://www.pristavka.com/catalog/funko/Fun71505/</v>
      </c>
      <c r="N746" s="71">
        <v>10599</v>
      </c>
      <c r="O746" s="66" t="s">
        <v>27</v>
      </c>
      <c r="P746" s="82" t="s">
        <v>3922</v>
      </c>
      <c r="Q746" s="84" t="s">
        <v>3511</v>
      </c>
      <c r="R746" s="84" t="s">
        <v>3512</v>
      </c>
      <c r="S746" s="84">
        <v>8.5000000000000006E-2</v>
      </c>
      <c r="T746" s="82" t="s">
        <v>3750</v>
      </c>
      <c r="U746" s="84" t="s">
        <v>3584</v>
      </c>
      <c r="V746" s="54"/>
    </row>
    <row r="747" spans="1:22" s="11" customFormat="1" ht="45" customHeight="1" x14ac:dyDescent="0.2">
      <c r="A747" s="66" t="s">
        <v>3577</v>
      </c>
      <c r="B747" s="66" t="s">
        <v>1707</v>
      </c>
      <c r="C747" s="66" t="s">
        <v>3578</v>
      </c>
      <c r="D747" s="66">
        <v>85702</v>
      </c>
      <c r="E747" s="68" t="s">
        <v>3923</v>
      </c>
      <c r="F747" s="66" t="s">
        <v>3924</v>
      </c>
      <c r="G747" s="71">
        <v>0</v>
      </c>
      <c r="H747" s="73"/>
      <c r="I747" s="75">
        <v>0.1</v>
      </c>
      <c r="J747" s="77"/>
      <c r="K747" s="66"/>
      <c r="L747" s="66"/>
      <c r="M747" s="79" t="str">
        <f>HYPERLINK("http://www.pristavka.com/catalog/funko/Fun85702/")</f>
        <v>http://www.pristavka.com/catalog/funko/Fun85702/</v>
      </c>
      <c r="N747" s="71"/>
      <c r="O747" s="66" t="s">
        <v>27</v>
      </c>
      <c r="P747" s="82" t="s">
        <v>3925</v>
      </c>
      <c r="Q747" s="84" t="s">
        <v>3527</v>
      </c>
      <c r="R747" s="84" t="s">
        <v>3512</v>
      </c>
      <c r="S747" s="84">
        <v>0.09</v>
      </c>
      <c r="T747" s="82" t="s">
        <v>3860</v>
      </c>
      <c r="U747" s="84" t="s">
        <v>3584</v>
      </c>
      <c r="V747" s="54"/>
    </row>
    <row r="748" spans="1:22" s="11" customFormat="1" ht="45" customHeight="1" x14ac:dyDescent="0.2">
      <c r="A748" s="66" t="s">
        <v>3577</v>
      </c>
      <c r="B748" s="66" t="s">
        <v>1707</v>
      </c>
      <c r="C748" s="66" t="s">
        <v>3578</v>
      </c>
      <c r="D748" s="66">
        <v>85704</v>
      </c>
      <c r="E748" s="68" t="s">
        <v>3926</v>
      </c>
      <c r="F748" s="66" t="s">
        <v>3927</v>
      </c>
      <c r="G748" s="71">
        <v>0</v>
      </c>
      <c r="H748" s="73"/>
      <c r="I748" s="75">
        <v>0.1</v>
      </c>
      <c r="J748" s="77"/>
      <c r="K748" s="66"/>
      <c r="L748" s="66"/>
      <c r="M748" s="79" t="str">
        <f>HYPERLINK("http://www.pristavka.com/catalog/funko/Fun85704/")</f>
        <v>http://www.pristavka.com/catalog/funko/Fun85704/</v>
      </c>
      <c r="N748" s="71"/>
      <c r="O748" s="66" t="s">
        <v>27</v>
      </c>
      <c r="P748" s="82" t="s">
        <v>3928</v>
      </c>
      <c r="Q748" s="84" t="s">
        <v>3527</v>
      </c>
      <c r="R748" s="84" t="s">
        <v>3512</v>
      </c>
      <c r="S748" s="84">
        <v>8.7999999999999995E-2</v>
      </c>
      <c r="T748" s="82" t="s">
        <v>3750</v>
      </c>
      <c r="U748" s="84" t="s">
        <v>3584</v>
      </c>
      <c r="V748" s="54"/>
    </row>
    <row r="749" spans="1:22" s="11" customFormat="1" ht="45" customHeight="1" x14ac:dyDescent="0.2">
      <c r="A749" s="66" t="s">
        <v>3577</v>
      </c>
      <c r="B749" s="66" t="s">
        <v>1707</v>
      </c>
      <c r="C749" s="66" t="s">
        <v>3578</v>
      </c>
      <c r="D749" s="66">
        <v>85701</v>
      </c>
      <c r="E749" s="68" t="s">
        <v>3929</v>
      </c>
      <c r="F749" s="66" t="s">
        <v>3930</v>
      </c>
      <c r="G749" s="71">
        <v>0</v>
      </c>
      <c r="H749" s="73"/>
      <c r="I749" s="75">
        <v>0.1</v>
      </c>
      <c r="J749" s="77"/>
      <c r="K749" s="66"/>
      <c r="L749" s="66"/>
      <c r="M749" s="79" t="str">
        <f>HYPERLINK("http://www.pristavka.com/catalog/funko/Fun85701/")</f>
        <v>http://www.pristavka.com/catalog/funko/Fun85701/</v>
      </c>
      <c r="N749" s="71"/>
      <c r="O749" s="66" t="s">
        <v>27</v>
      </c>
      <c r="P749" s="82" t="s">
        <v>3931</v>
      </c>
      <c r="Q749" s="84" t="s">
        <v>3527</v>
      </c>
      <c r="R749" s="84" t="s">
        <v>3512</v>
      </c>
      <c r="S749" s="84">
        <v>0.09</v>
      </c>
      <c r="T749" s="82" t="s">
        <v>3860</v>
      </c>
      <c r="U749" s="84" t="s">
        <v>3584</v>
      </c>
      <c r="V749" s="54"/>
    </row>
    <row r="750" spans="1:22" s="11" customFormat="1" ht="45" customHeight="1" x14ac:dyDescent="0.2">
      <c r="A750" s="66" t="s">
        <v>3577</v>
      </c>
      <c r="B750" s="66" t="s">
        <v>1707</v>
      </c>
      <c r="C750" s="66" t="s">
        <v>3578</v>
      </c>
      <c r="D750" s="66">
        <v>85703</v>
      </c>
      <c r="E750" s="68" t="s">
        <v>3932</v>
      </c>
      <c r="F750" s="66" t="s">
        <v>3933</v>
      </c>
      <c r="G750" s="71">
        <v>0</v>
      </c>
      <c r="H750" s="73"/>
      <c r="I750" s="75">
        <v>0.1</v>
      </c>
      <c r="J750" s="77"/>
      <c r="K750" s="66"/>
      <c r="L750" s="66"/>
      <c r="M750" s="79" t="str">
        <f>HYPERLINK("http://www.pristavka.com/catalog/funko/Fun85703/")</f>
        <v>http://www.pristavka.com/catalog/funko/Fun85703/</v>
      </c>
      <c r="N750" s="71"/>
      <c r="O750" s="66" t="s">
        <v>27</v>
      </c>
      <c r="P750" s="82" t="s">
        <v>3934</v>
      </c>
      <c r="Q750" s="84" t="s">
        <v>3527</v>
      </c>
      <c r="R750" s="84" t="s">
        <v>3512</v>
      </c>
      <c r="S750" s="84">
        <v>8.5000000000000006E-2</v>
      </c>
      <c r="T750" s="82" t="s">
        <v>3860</v>
      </c>
      <c r="U750" s="84" t="s">
        <v>3584</v>
      </c>
      <c r="V750" s="54"/>
    </row>
    <row r="751" spans="1:22" s="11" customFormat="1" ht="45" customHeight="1" x14ac:dyDescent="0.2">
      <c r="A751" s="66" t="s">
        <v>3577</v>
      </c>
      <c r="B751" s="66" t="s">
        <v>1707</v>
      </c>
      <c r="C751" s="66" t="s">
        <v>3578</v>
      </c>
      <c r="D751" s="66">
        <v>73036</v>
      </c>
      <c r="E751" s="68" t="s">
        <v>3935</v>
      </c>
      <c r="F751" s="66" t="s">
        <v>3936</v>
      </c>
      <c r="G751" s="71">
        <v>6890</v>
      </c>
      <c r="H751" s="73"/>
      <c r="I751" s="75">
        <v>0.1</v>
      </c>
      <c r="J751" s="77"/>
      <c r="K751" s="66"/>
      <c r="L751" s="66"/>
      <c r="M751" s="79" t="str">
        <f>HYPERLINK("http://www.pristavka.com/catalog/funko/Fun73036/")</f>
        <v>http://www.pristavka.com/catalog/funko/Fun73036/</v>
      </c>
      <c r="N751" s="71">
        <v>10599</v>
      </c>
      <c r="O751" s="66" t="s">
        <v>27</v>
      </c>
      <c r="P751" s="82" t="s">
        <v>3937</v>
      </c>
      <c r="Q751" s="84" t="s">
        <v>3938</v>
      </c>
      <c r="R751" s="84" t="s">
        <v>1212</v>
      </c>
      <c r="S751" s="84">
        <v>0.09</v>
      </c>
      <c r="T751" s="82" t="s">
        <v>3860</v>
      </c>
      <c r="U751" s="84" t="s">
        <v>3584</v>
      </c>
      <c r="V751" s="54"/>
    </row>
    <row r="752" spans="1:22" s="11" customFormat="1" ht="45" customHeight="1" x14ac:dyDescent="0.2">
      <c r="A752" s="66" t="s">
        <v>3577</v>
      </c>
      <c r="B752" s="66" t="s">
        <v>1707</v>
      </c>
      <c r="C752" s="66" t="s">
        <v>3578</v>
      </c>
      <c r="D752" s="66">
        <v>73035</v>
      </c>
      <c r="E752" s="68" t="s">
        <v>3939</v>
      </c>
      <c r="F752" s="66" t="s">
        <v>3940</v>
      </c>
      <c r="G752" s="71">
        <v>6890</v>
      </c>
      <c r="H752" s="73"/>
      <c r="I752" s="75">
        <v>0.1</v>
      </c>
      <c r="J752" s="77"/>
      <c r="K752" s="66"/>
      <c r="L752" s="66"/>
      <c r="M752" s="79" t="str">
        <f>HYPERLINK("http://www.pristavka.com/catalog/funko/Fun73035/")</f>
        <v>http://www.pristavka.com/catalog/funko/Fun73035/</v>
      </c>
      <c r="N752" s="71">
        <v>10599</v>
      </c>
      <c r="O752" s="66" t="s">
        <v>27</v>
      </c>
      <c r="P752" s="82" t="s">
        <v>3941</v>
      </c>
      <c r="Q752" s="84" t="s">
        <v>3938</v>
      </c>
      <c r="R752" s="84" t="s">
        <v>1212</v>
      </c>
      <c r="S752" s="84">
        <v>8.7999999999999995E-2</v>
      </c>
      <c r="T752" s="82" t="s">
        <v>3860</v>
      </c>
      <c r="U752" s="84" t="s">
        <v>3584</v>
      </c>
      <c r="V752" s="54"/>
    </row>
    <row r="753" spans="1:22" s="11" customFormat="1" ht="45" customHeight="1" x14ac:dyDescent="0.2">
      <c r="A753" s="66" t="s">
        <v>3577</v>
      </c>
      <c r="B753" s="66" t="s">
        <v>1707</v>
      </c>
      <c r="C753" s="66" t="s">
        <v>3578</v>
      </c>
      <c r="D753" s="66">
        <v>75468</v>
      </c>
      <c r="E753" s="68" t="s">
        <v>3942</v>
      </c>
      <c r="F753" s="66" t="s">
        <v>3943</v>
      </c>
      <c r="G753" s="71">
        <v>0</v>
      </c>
      <c r="H753" s="73"/>
      <c r="I753" s="75">
        <v>0.1</v>
      </c>
      <c r="J753" s="77"/>
      <c r="K753" s="66"/>
      <c r="L753" s="66"/>
      <c r="M753" s="79" t="str">
        <f>HYPERLINK("http://www.pristavka.com/catalog/funko/Fun75468/")</f>
        <v>http://www.pristavka.com/catalog/funko/Fun75468/</v>
      </c>
      <c r="N753" s="71"/>
      <c r="O753" s="66" t="s">
        <v>27</v>
      </c>
      <c r="P753" s="82" t="s">
        <v>3944</v>
      </c>
      <c r="Q753" s="84" t="s">
        <v>3945</v>
      </c>
      <c r="R753" s="84" t="s">
        <v>1315</v>
      </c>
      <c r="S753" s="84">
        <v>8.5999999999999993E-2</v>
      </c>
      <c r="T753" s="82" t="s">
        <v>3946</v>
      </c>
      <c r="U753" s="84" t="s">
        <v>3584</v>
      </c>
      <c r="V753" s="54"/>
    </row>
    <row r="754" spans="1:22" s="11" customFormat="1" ht="45" customHeight="1" x14ac:dyDescent="0.2">
      <c r="A754" s="66" t="s">
        <v>3577</v>
      </c>
      <c r="B754" s="66" t="s">
        <v>1707</v>
      </c>
      <c r="C754" s="66" t="s">
        <v>3578</v>
      </c>
      <c r="D754" s="66">
        <v>75467</v>
      </c>
      <c r="E754" s="68" t="s">
        <v>3947</v>
      </c>
      <c r="F754" s="66" t="s">
        <v>3948</v>
      </c>
      <c r="G754" s="71">
        <v>6890</v>
      </c>
      <c r="H754" s="73"/>
      <c r="I754" s="75">
        <v>0.1</v>
      </c>
      <c r="J754" s="77"/>
      <c r="K754" s="66"/>
      <c r="L754" s="66"/>
      <c r="M754" s="79" t="str">
        <f>HYPERLINK("http://www.pristavka.com/catalog/funko/Fun75467/")</f>
        <v>http://www.pristavka.com/catalog/funko/Fun75467/</v>
      </c>
      <c r="N754" s="71">
        <v>10599</v>
      </c>
      <c r="O754" s="66" t="s">
        <v>28</v>
      </c>
      <c r="P754" s="82" t="s">
        <v>3949</v>
      </c>
      <c r="Q754" s="84" t="s">
        <v>3811</v>
      </c>
      <c r="R754" s="84" t="s">
        <v>1315</v>
      </c>
      <c r="S754" s="84">
        <v>8.5999999999999993E-2</v>
      </c>
      <c r="T754" s="82" t="s">
        <v>3946</v>
      </c>
      <c r="U754" s="84" t="s">
        <v>3584</v>
      </c>
      <c r="V754" s="54"/>
    </row>
    <row r="755" spans="1:22" s="11" customFormat="1" ht="45" customHeight="1" x14ac:dyDescent="0.2">
      <c r="A755" s="66" t="s">
        <v>3577</v>
      </c>
      <c r="B755" s="66" t="s">
        <v>1707</v>
      </c>
      <c r="C755" s="66" t="s">
        <v>3578</v>
      </c>
      <c r="D755" s="66">
        <v>75469</v>
      </c>
      <c r="E755" s="68" t="s">
        <v>3950</v>
      </c>
      <c r="F755" s="66" t="s">
        <v>3951</v>
      </c>
      <c r="G755" s="71">
        <v>6890</v>
      </c>
      <c r="H755" s="73"/>
      <c r="I755" s="75">
        <v>0.1</v>
      </c>
      <c r="J755" s="77"/>
      <c r="K755" s="66"/>
      <c r="L755" s="66"/>
      <c r="M755" s="79" t="str">
        <f>HYPERLINK("http://www.pristavka.com/catalog/funko/Fun75469/")</f>
        <v>http://www.pristavka.com/catalog/funko/Fun75469/</v>
      </c>
      <c r="N755" s="71">
        <v>10599</v>
      </c>
      <c r="O755" s="66" t="s">
        <v>27</v>
      </c>
      <c r="P755" s="82" t="s">
        <v>3952</v>
      </c>
      <c r="Q755" s="84" t="s">
        <v>3953</v>
      </c>
      <c r="R755" s="84" t="s">
        <v>1315</v>
      </c>
      <c r="S755" s="84">
        <v>0.09</v>
      </c>
      <c r="T755" s="82" t="s">
        <v>3954</v>
      </c>
      <c r="U755" s="84" t="s">
        <v>3584</v>
      </c>
      <c r="V755" s="54"/>
    </row>
    <row r="756" spans="1:22" s="11" customFormat="1" ht="45" customHeight="1" x14ac:dyDescent="0.2">
      <c r="A756" s="66" t="s">
        <v>3577</v>
      </c>
      <c r="B756" s="66" t="s">
        <v>1707</v>
      </c>
      <c r="C756" s="66" t="s">
        <v>3578</v>
      </c>
      <c r="D756" s="66">
        <v>81134</v>
      </c>
      <c r="E756" s="68" t="s">
        <v>3955</v>
      </c>
      <c r="F756" s="66" t="s">
        <v>3956</v>
      </c>
      <c r="G756" s="71">
        <v>0</v>
      </c>
      <c r="H756" s="73"/>
      <c r="I756" s="75">
        <v>0.1</v>
      </c>
      <c r="J756" s="77"/>
      <c r="K756" s="66"/>
      <c r="L756" s="66"/>
      <c r="M756" s="79" t="str">
        <f>HYPERLINK("http://www.pristavka.com/catalog/funko/Fun81134/")</f>
        <v>http://www.pristavka.com/catalog/funko/Fun81134/</v>
      </c>
      <c r="N756" s="71"/>
      <c r="O756" s="66" t="s">
        <v>27</v>
      </c>
      <c r="P756" s="82" t="s">
        <v>3957</v>
      </c>
      <c r="Q756" s="84" t="s">
        <v>1396</v>
      </c>
      <c r="R756" s="84" t="s">
        <v>859</v>
      </c>
      <c r="S756" s="84">
        <v>8.3000000000000004E-2</v>
      </c>
      <c r="T756" s="82" t="s">
        <v>3750</v>
      </c>
      <c r="U756" s="84" t="s">
        <v>3584</v>
      </c>
      <c r="V756" s="54"/>
    </row>
    <row r="757" spans="1:22" s="11" customFormat="1" ht="45" customHeight="1" x14ac:dyDescent="0.2">
      <c r="A757" s="66" t="s">
        <v>3577</v>
      </c>
      <c r="B757" s="66" t="s">
        <v>1707</v>
      </c>
      <c r="C757" s="66" t="s">
        <v>3578</v>
      </c>
      <c r="D757" s="66">
        <v>81133</v>
      </c>
      <c r="E757" s="68" t="s">
        <v>3958</v>
      </c>
      <c r="F757" s="66" t="s">
        <v>3959</v>
      </c>
      <c r="G757" s="71">
        <v>0</v>
      </c>
      <c r="H757" s="73"/>
      <c r="I757" s="75">
        <v>0.1</v>
      </c>
      <c r="J757" s="77"/>
      <c r="K757" s="66"/>
      <c r="L757" s="66"/>
      <c r="M757" s="79" t="str">
        <f>HYPERLINK("http://www.pristavka.com/catalog/funko/Fun81133/")</f>
        <v>http://www.pristavka.com/catalog/funko/Fun81133/</v>
      </c>
      <c r="N757" s="71"/>
      <c r="O757" s="66" t="s">
        <v>27</v>
      </c>
      <c r="P757" s="82" t="s">
        <v>3960</v>
      </c>
      <c r="Q757" s="84" t="s">
        <v>1396</v>
      </c>
      <c r="R757" s="84" t="s">
        <v>859</v>
      </c>
      <c r="S757" s="84">
        <v>8.4000000000000005E-2</v>
      </c>
      <c r="T757" s="82" t="s">
        <v>3750</v>
      </c>
      <c r="U757" s="84" t="s">
        <v>3584</v>
      </c>
      <c r="V757" s="54"/>
    </row>
    <row r="758" spans="1:22" s="11" customFormat="1" ht="45" customHeight="1" x14ac:dyDescent="0.2">
      <c r="A758" s="66" t="s">
        <v>3577</v>
      </c>
      <c r="B758" s="66" t="s">
        <v>1707</v>
      </c>
      <c r="C758" s="66" t="s">
        <v>3578</v>
      </c>
      <c r="D758" s="66">
        <v>81132</v>
      </c>
      <c r="E758" s="68" t="s">
        <v>3961</v>
      </c>
      <c r="F758" s="66" t="s">
        <v>3962</v>
      </c>
      <c r="G758" s="71">
        <v>0</v>
      </c>
      <c r="H758" s="73"/>
      <c r="I758" s="75">
        <v>0.1</v>
      </c>
      <c r="J758" s="77"/>
      <c r="K758" s="66"/>
      <c r="L758" s="66"/>
      <c r="M758" s="79" t="str">
        <f>HYPERLINK("http://www.pristavka.com/catalog/funko/Fun81132/")</f>
        <v>http://www.pristavka.com/catalog/funko/Fun81132/</v>
      </c>
      <c r="N758" s="71"/>
      <c r="O758" s="66" t="s">
        <v>27</v>
      </c>
      <c r="P758" s="82" t="s">
        <v>3963</v>
      </c>
      <c r="Q758" s="84" t="s">
        <v>1396</v>
      </c>
      <c r="R758" s="84" t="s">
        <v>859</v>
      </c>
      <c r="S758" s="84">
        <v>8.5000000000000006E-2</v>
      </c>
      <c r="T758" s="82" t="s">
        <v>3860</v>
      </c>
      <c r="U758" s="84" t="s">
        <v>3584</v>
      </c>
      <c r="V758" s="54"/>
    </row>
    <row r="759" spans="1:22" s="11" customFormat="1" ht="45" customHeight="1" x14ac:dyDescent="0.2">
      <c r="A759" s="66" t="s">
        <v>3577</v>
      </c>
      <c r="B759" s="66" t="s">
        <v>1707</v>
      </c>
      <c r="C759" s="66" t="s">
        <v>3578</v>
      </c>
      <c r="D759" s="66">
        <v>81135</v>
      </c>
      <c r="E759" s="68" t="s">
        <v>3964</v>
      </c>
      <c r="F759" s="66" t="s">
        <v>3965</v>
      </c>
      <c r="G759" s="71">
        <v>0</v>
      </c>
      <c r="H759" s="73"/>
      <c r="I759" s="75">
        <v>0.1</v>
      </c>
      <c r="J759" s="77"/>
      <c r="K759" s="66"/>
      <c r="L759" s="66"/>
      <c r="M759" s="79" t="str">
        <f>HYPERLINK("http://www.pristavka.com/catalog/funko/Fun81135/")</f>
        <v>http://www.pristavka.com/catalog/funko/Fun81135/</v>
      </c>
      <c r="N759" s="71"/>
      <c r="O759" s="66" t="s">
        <v>27</v>
      </c>
      <c r="P759" s="82" t="s">
        <v>3966</v>
      </c>
      <c r="Q759" s="84" t="s">
        <v>1396</v>
      </c>
      <c r="R759" s="84" t="s">
        <v>859</v>
      </c>
      <c r="S759" s="84">
        <v>8.5000000000000006E-2</v>
      </c>
      <c r="T759" s="82" t="s">
        <v>3750</v>
      </c>
      <c r="U759" s="84" t="s">
        <v>3584</v>
      </c>
      <c r="V759" s="54"/>
    </row>
    <row r="760" spans="1:22" s="11" customFormat="1" ht="45" customHeight="1" x14ac:dyDescent="0.2">
      <c r="A760" s="66" t="s">
        <v>3577</v>
      </c>
      <c r="B760" s="66" t="s">
        <v>1707</v>
      </c>
      <c r="C760" s="66" t="s">
        <v>3578</v>
      </c>
      <c r="D760" s="66">
        <v>75448</v>
      </c>
      <c r="E760" s="68" t="s">
        <v>3967</v>
      </c>
      <c r="F760" s="66" t="s">
        <v>3968</v>
      </c>
      <c r="G760" s="71">
        <v>6890</v>
      </c>
      <c r="H760" s="73"/>
      <c r="I760" s="75">
        <v>0.1</v>
      </c>
      <c r="J760" s="77"/>
      <c r="K760" s="66"/>
      <c r="L760" s="66"/>
      <c r="M760" s="79" t="str">
        <f>HYPERLINK("http://www.pristavka.com/catalog/funko/Fun75448/")</f>
        <v>http://www.pristavka.com/catalog/funko/Fun75448/</v>
      </c>
      <c r="N760" s="71">
        <v>10599</v>
      </c>
      <c r="O760" s="66" t="s">
        <v>27</v>
      </c>
      <c r="P760" s="82" t="s">
        <v>3969</v>
      </c>
      <c r="Q760" s="84" t="s">
        <v>3970</v>
      </c>
      <c r="R760" s="84" t="s">
        <v>3785</v>
      </c>
      <c r="S760" s="84">
        <v>9.1999999999999998E-2</v>
      </c>
      <c r="T760" s="82" t="s">
        <v>3860</v>
      </c>
      <c r="U760" s="84" t="s">
        <v>3584</v>
      </c>
      <c r="V760" s="54"/>
    </row>
    <row r="761" spans="1:22" s="11" customFormat="1" ht="45" customHeight="1" x14ac:dyDescent="0.2">
      <c r="A761" s="66" t="s">
        <v>3577</v>
      </c>
      <c r="B761" s="66" t="s">
        <v>1707</v>
      </c>
      <c r="C761" s="66" t="s">
        <v>3578</v>
      </c>
      <c r="D761" s="66">
        <v>75449</v>
      </c>
      <c r="E761" s="68" t="s">
        <v>3971</v>
      </c>
      <c r="F761" s="66" t="s">
        <v>3972</v>
      </c>
      <c r="G761" s="71">
        <v>6890</v>
      </c>
      <c r="H761" s="73"/>
      <c r="I761" s="75">
        <v>0.1</v>
      </c>
      <c r="J761" s="77"/>
      <c r="K761" s="66"/>
      <c r="L761" s="66"/>
      <c r="M761" s="79" t="str">
        <f>HYPERLINK("http://www.pristavka.com/catalog/funko/Fun75449/")</f>
        <v>http://www.pristavka.com/catalog/funko/Fun75449/</v>
      </c>
      <c r="N761" s="71">
        <v>10599</v>
      </c>
      <c r="O761" s="66" t="s">
        <v>27</v>
      </c>
      <c r="P761" s="82" t="s">
        <v>3973</v>
      </c>
      <c r="Q761" s="84" t="s">
        <v>3974</v>
      </c>
      <c r="R761" s="84" t="s">
        <v>3785</v>
      </c>
      <c r="S761" s="84">
        <v>0.09</v>
      </c>
      <c r="T761" s="82" t="s">
        <v>3750</v>
      </c>
      <c r="U761" s="84" t="s">
        <v>3584</v>
      </c>
      <c r="V761" s="54"/>
    </row>
    <row r="762" spans="1:22" s="11" customFormat="1" ht="45" customHeight="1" x14ac:dyDescent="0.2">
      <c r="A762" s="66" t="s">
        <v>3577</v>
      </c>
      <c r="B762" s="66" t="s">
        <v>1707</v>
      </c>
      <c r="C762" s="66" t="s">
        <v>3578</v>
      </c>
      <c r="D762" s="66">
        <v>75446</v>
      </c>
      <c r="E762" s="68" t="s">
        <v>3975</v>
      </c>
      <c r="F762" s="66" t="s">
        <v>3976</v>
      </c>
      <c r="G762" s="71">
        <v>6890</v>
      </c>
      <c r="H762" s="73"/>
      <c r="I762" s="75">
        <v>0.1</v>
      </c>
      <c r="J762" s="77"/>
      <c r="K762" s="66"/>
      <c r="L762" s="66"/>
      <c r="M762" s="79" t="str">
        <f>HYPERLINK("http://www.pristavka.com/catalog/funko/Fun75446/")</f>
        <v>http://www.pristavka.com/catalog/funko/Fun75446/</v>
      </c>
      <c r="N762" s="71">
        <v>10599</v>
      </c>
      <c r="O762" s="66" t="s">
        <v>27</v>
      </c>
      <c r="P762" s="82" t="s">
        <v>3977</v>
      </c>
      <c r="Q762" s="84" t="s">
        <v>1328</v>
      </c>
      <c r="R762" s="84" t="s">
        <v>1315</v>
      </c>
      <c r="S762" s="84">
        <v>9.1999999999999998E-2</v>
      </c>
      <c r="T762" s="82" t="s">
        <v>3750</v>
      </c>
      <c r="U762" s="84" t="s">
        <v>3584</v>
      </c>
      <c r="V762" s="54"/>
    </row>
    <row r="763" spans="1:22" s="11" customFormat="1" ht="45" customHeight="1" x14ac:dyDescent="0.2">
      <c r="A763" s="66" t="s">
        <v>3577</v>
      </c>
      <c r="B763" s="66" t="s">
        <v>1707</v>
      </c>
      <c r="C763" s="66" t="s">
        <v>3578</v>
      </c>
      <c r="D763" s="66">
        <v>75447</v>
      </c>
      <c r="E763" s="68" t="s">
        <v>3978</v>
      </c>
      <c r="F763" s="66" t="s">
        <v>3979</v>
      </c>
      <c r="G763" s="71">
        <v>6890</v>
      </c>
      <c r="H763" s="73"/>
      <c r="I763" s="75">
        <v>0.1</v>
      </c>
      <c r="J763" s="77"/>
      <c r="K763" s="66"/>
      <c r="L763" s="66"/>
      <c r="M763" s="79" t="str">
        <f>HYPERLINK("http://www.pristavka.com/catalog/funko/Fun75447/")</f>
        <v>http://www.pristavka.com/catalog/funko/Fun75447/</v>
      </c>
      <c r="N763" s="71">
        <v>10599</v>
      </c>
      <c r="O763" s="66" t="s">
        <v>27</v>
      </c>
      <c r="P763" s="82" t="s">
        <v>3980</v>
      </c>
      <c r="Q763" s="84" t="s">
        <v>3784</v>
      </c>
      <c r="R763" s="84" t="s">
        <v>3785</v>
      </c>
      <c r="S763" s="84">
        <v>9.1999999999999998E-2</v>
      </c>
      <c r="T763" s="82" t="s">
        <v>3750</v>
      </c>
      <c r="U763" s="84" t="s">
        <v>3584</v>
      </c>
      <c r="V763" s="54"/>
    </row>
    <row r="764" spans="1:22" s="11" customFormat="1" ht="45" customHeight="1" x14ac:dyDescent="0.2">
      <c r="A764" s="66" t="s">
        <v>3577</v>
      </c>
      <c r="B764" s="66" t="s">
        <v>1707</v>
      </c>
      <c r="C764" s="66" t="s">
        <v>3578</v>
      </c>
      <c r="D764" s="66">
        <v>83621</v>
      </c>
      <c r="E764" s="68" t="s">
        <v>3981</v>
      </c>
      <c r="F764" s="66" t="s">
        <v>3982</v>
      </c>
      <c r="G764" s="71">
        <v>0</v>
      </c>
      <c r="H764" s="73"/>
      <c r="I764" s="75">
        <v>0.1</v>
      </c>
      <c r="J764" s="77"/>
      <c r="K764" s="66"/>
      <c r="L764" s="66"/>
      <c r="M764" s="79" t="str">
        <f>HYPERLINK("http://www.pristavka.com/catalog/funko/Fun83621/")</f>
        <v>http://www.pristavka.com/catalog/funko/Fun83621/</v>
      </c>
      <c r="N764" s="71"/>
      <c r="O764" s="66" t="s">
        <v>27</v>
      </c>
      <c r="P764" s="82" t="s">
        <v>3983</v>
      </c>
      <c r="Q764" s="84" t="s">
        <v>3604</v>
      </c>
      <c r="R764" s="84" t="s">
        <v>3566</v>
      </c>
      <c r="S764" s="84">
        <v>5.5E-2</v>
      </c>
      <c r="T764" s="82" t="s">
        <v>3984</v>
      </c>
      <c r="U764" s="84" t="s">
        <v>3584</v>
      </c>
      <c r="V764" s="54"/>
    </row>
    <row r="765" spans="1:22" s="11" customFormat="1" ht="45" customHeight="1" x14ac:dyDescent="0.2">
      <c r="A765" s="66" t="s">
        <v>3577</v>
      </c>
      <c r="B765" s="66" t="s">
        <v>1707</v>
      </c>
      <c r="C765" s="66" t="s">
        <v>3578</v>
      </c>
      <c r="D765" s="66">
        <v>83624</v>
      </c>
      <c r="E765" s="68" t="s">
        <v>3985</v>
      </c>
      <c r="F765" s="66" t="s">
        <v>3986</v>
      </c>
      <c r="G765" s="71">
        <v>0</v>
      </c>
      <c r="H765" s="73"/>
      <c r="I765" s="75">
        <v>0.1</v>
      </c>
      <c r="J765" s="77"/>
      <c r="K765" s="66"/>
      <c r="L765" s="66"/>
      <c r="M765" s="79" t="str">
        <f>HYPERLINK("http://www.pristavka.com/catalog/funko/Fun83624/")</f>
        <v>http://www.pristavka.com/catalog/funko/Fun83624/</v>
      </c>
      <c r="N765" s="71"/>
      <c r="O765" s="66" t="s">
        <v>27</v>
      </c>
      <c r="P765" s="82" t="s">
        <v>3987</v>
      </c>
      <c r="Q765" s="84" t="s">
        <v>1314</v>
      </c>
      <c r="R765" s="84" t="s">
        <v>1315</v>
      </c>
      <c r="S765" s="84">
        <v>5.8000000000000003E-2</v>
      </c>
      <c r="T765" s="82" t="s">
        <v>3984</v>
      </c>
      <c r="U765" s="84" t="s">
        <v>3584</v>
      </c>
      <c r="V765" s="54"/>
    </row>
    <row r="766" spans="1:22" s="11" customFormat="1" ht="45" customHeight="1" x14ac:dyDescent="0.2">
      <c r="A766" s="66" t="s">
        <v>3577</v>
      </c>
      <c r="B766" s="66" t="s">
        <v>1707</v>
      </c>
      <c r="C766" s="66" t="s">
        <v>3578</v>
      </c>
      <c r="D766" s="66">
        <v>85707</v>
      </c>
      <c r="E766" s="68" t="s">
        <v>3988</v>
      </c>
      <c r="F766" s="66" t="s">
        <v>3989</v>
      </c>
      <c r="G766" s="71">
        <v>0</v>
      </c>
      <c r="H766" s="73"/>
      <c r="I766" s="75">
        <v>0.1</v>
      </c>
      <c r="J766" s="77"/>
      <c r="K766" s="66"/>
      <c r="L766" s="66"/>
      <c r="M766" s="79" t="str">
        <f>HYPERLINK("http://www.pristavka.com/catalog/funko/Fun85707/")</f>
        <v>http://www.pristavka.com/catalog/funko/Fun85707/</v>
      </c>
      <c r="N766" s="71"/>
      <c r="O766" s="66" t="s">
        <v>27</v>
      </c>
      <c r="P766" s="82" t="s">
        <v>3990</v>
      </c>
      <c r="Q766" s="84" t="s">
        <v>3991</v>
      </c>
      <c r="R766" s="84" t="s">
        <v>3992</v>
      </c>
      <c r="S766" s="84">
        <v>8.6999999999999994E-2</v>
      </c>
      <c r="T766" s="82" t="s">
        <v>3750</v>
      </c>
      <c r="U766" s="84" t="s">
        <v>3584</v>
      </c>
      <c r="V766" s="54"/>
    </row>
    <row r="767" spans="1:22" s="11" customFormat="1" ht="45" customHeight="1" x14ac:dyDescent="0.2">
      <c r="A767" s="66" t="s">
        <v>3577</v>
      </c>
      <c r="B767" s="66" t="s">
        <v>1707</v>
      </c>
      <c r="C767" s="66" t="s">
        <v>3578</v>
      </c>
      <c r="D767" s="66">
        <v>85708</v>
      </c>
      <c r="E767" s="68" t="s">
        <v>3993</v>
      </c>
      <c r="F767" s="66" t="s">
        <v>3994</v>
      </c>
      <c r="G767" s="71">
        <v>0</v>
      </c>
      <c r="H767" s="73"/>
      <c r="I767" s="75">
        <v>0.1</v>
      </c>
      <c r="J767" s="77"/>
      <c r="K767" s="66"/>
      <c r="L767" s="66"/>
      <c r="M767" s="79" t="str">
        <f>HYPERLINK("http://www.pristavka.com/catalog/funko/Fun85708/")</f>
        <v>http://www.pristavka.com/catalog/funko/Fun85708/</v>
      </c>
      <c r="N767" s="71"/>
      <c r="O767" s="66" t="s">
        <v>27</v>
      </c>
      <c r="P767" s="82" t="s">
        <v>3995</v>
      </c>
      <c r="Q767" s="84" t="s">
        <v>3991</v>
      </c>
      <c r="R767" s="84" t="s">
        <v>3992</v>
      </c>
      <c r="S767" s="84">
        <v>8.7999999999999995E-2</v>
      </c>
      <c r="T767" s="82" t="s">
        <v>3750</v>
      </c>
      <c r="U767" s="84" t="s">
        <v>3584</v>
      </c>
      <c r="V767" s="54"/>
    </row>
    <row r="768" spans="1:22" s="11" customFormat="1" ht="45" customHeight="1" x14ac:dyDescent="0.2">
      <c r="A768" s="66" t="s">
        <v>3577</v>
      </c>
      <c r="B768" s="66" t="s">
        <v>1707</v>
      </c>
      <c r="C768" s="66" t="s">
        <v>3578</v>
      </c>
      <c r="D768" s="66">
        <v>85709</v>
      </c>
      <c r="E768" s="68" t="s">
        <v>3996</v>
      </c>
      <c r="F768" s="66" t="s">
        <v>3997</v>
      </c>
      <c r="G768" s="71">
        <v>0</v>
      </c>
      <c r="H768" s="73"/>
      <c r="I768" s="75">
        <v>0.1</v>
      </c>
      <c r="J768" s="77"/>
      <c r="K768" s="66"/>
      <c r="L768" s="66"/>
      <c r="M768" s="79" t="str">
        <f>HYPERLINK("http://www.pristavka.com/catalog/funko/Fun85709/")</f>
        <v>http://www.pristavka.com/catalog/funko/Fun85709/</v>
      </c>
      <c r="N768" s="71"/>
      <c r="O768" s="66" t="s">
        <v>27</v>
      </c>
      <c r="P768" s="82" t="s">
        <v>3998</v>
      </c>
      <c r="Q768" s="84" t="s">
        <v>3991</v>
      </c>
      <c r="R768" s="84" t="s">
        <v>3992</v>
      </c>
      <c r="S768" s="84">
        <v>8.7999999999999995E-2</v>
      </c>
      <c r="T768" s="82" t="s">
        <v>3750</v>
      </c>
      <c r="U768" s="84" t="s">
        <v>3584</v>
      </c>
      <c r="V768" s="54"/>
    </row>
    <row r="769" spans="1:22" s="11" customFormat="1" ht="45" customHeight="1" x14ac:dyDescent="0.2">
      <c r="A769" s="66" t="s">
        <v>3577</v>
      </c>
      <c r="B769" s="66" t="s">
        <v>1707</v>
      </c>
      <c r="C769" s="66" t="s">
        <v>3578</v>
      </c>
      <c r="D769" s="66">
        <v>85710</v>
      </c>
      <c r="E769" s="68" t="s">
        <v>3999</v>
      </c>
      <c r="F769" s="66" t="s">
        <v>4000</v>
      </c>
      <c r="G769" s="71">
        <v>0</v>
      </c>
      <c r="H769" s="73"/>
      <c r="I769" s="75">
        <v>0.1</v>
      </c>
      <c r="J769" s="77"/>
      <c r="K769" s="66"/>
      <c r="L769" s="66"/>
      <c r="M769" s="79" t="str">
        <f>HYPERLINK("http://www.pristavka.com/catalog/funko/Fun85710/")</f>
        <v>http://www.pristavka.com/catalog/funko/Fun85710/</v>
      </c>
      <c r="N769" s="71"/>
      <c r="O769" s="66" t="s">
        <v>27</v>
      </c>
      <c r="P769" s="82" t="s">
        <v>4001</v>
      </c>
      <c r="Q769" s="84" t="s">
        <v>3991</v>
      </c>
      <c r="R769" s="84" t="s">
        <v>3992</v>
      </c>
      <c r="S769" s="84">
        <v>8.6999999999999994E-2</v>
      </c>
      <c r="T769" s="82" t="s">
        <v>3750</v>
      </c>
      <c r="U769" s="84" t="s">
        <v>3584</v>
      </c>
      <c r="V769" s="54"/>
    </row>
    <row r="770" spans="1:22" s="11" customFormat="1" ht="45" customHeight="1" x14ac:dyDescent="0.2">
      <c r="A770" s="66" t="s">
        <v>3577</v>
      </c>
      <c r="B770" s="66" t="s">
        <v>1707</v>
      </c>
      <c r="C770" s="66" t="s">
        <v>3578</v>
      </c>
      <c r="D770" s="66">
        <v>83671</v>
      </c>
      <c r="E770" s="68" t="s">
        <v>4002</v>
      </c>
      <c r="F770" s="66" t="s">
        <v>4003</v>
      </c>
      <c r="G770" s="71">
        <v>6890</v>
      </c>
      <c r="H770" s="73"/>
      <c r="I770" s="75">
        <v>0.1</v>
      </c>
      <c r="J770" s="77"/>
      <c r="K770" s="66"/>
      <c r="L770" s="66"/>
      <c r="M770" s="79" t="str">
        <f>HYPERLINK("http://www.pristavka.com/catalog/funko/Fun83671/")</f>
        <v>http://www.pristavka.com/catalog/funko/Fun83671/</v>
      </c>
      <c r="N770" s="71">
        <v>10599</v>
      </c>
      <c r="O770" s="66" t="s">
        <v>27</v>
      </c>
      <c r="P770" s="82" t="s">
        <v>4004</v>
      </c>
      <c r="Q770" s="84" t="s">
        <v>1321</v>
      </c>
      <c r="R770" s="84" t="s">
        <v>1322</v>
      </c>
      <c r="S770" s="84">
        <v>0.09</v>
      </c>
      <c r="T770" s="82" t="s">
        <v>3860</v>
      </c>
      <c r="U770" s="84" t="s">
        <v>3584</v>
      </c>
      <c r="V770" s="54"/>
    </row>
    <row r="771" spans="1:22" s="11" customFormat="1" ht="45" customHeight="1" x14ac:dyDescent="0.2">
      <c r="A771" s="66" t="s">
        <v>3577</v>
      </c>
      <c r="B771" s="66" t="s">
        <v>1707</v>
      </c>
      <c r="C771" s="66" t="s">
        <v>3578</v>
      </c>
      <c r="D771" s="66">
        <v>83670</v>
      </c>
      <c r="E771" s="68" t="s">
        <v>4005</v>
      </c>
      <c r="F771" s="66" t="s">
        <v>4006</v>
      </c>
      <c r="G771" s="71">
        <v>6890</v>
      </c>
      <c r="H771" s="73"/>
      <c r="I771" s="75">
        <v>0.1</v>
      </c>
      <c r="J771" s="77"/>
      <c r="K771" s="66"/>
      <c r="L771" s="66"/>
      <c r="M771" s="79" t="str">
        <f>HYPERLINK("http://www.pristavka.com/catalog/funko/Fun83670/")</f>
        <v>http://www.pristavka.com/catalog/funko/Fun83670/</v>
      </c>
      <c r="N771" s="71">
        <v>10599</v>
      </c>
      <c r="O771" s="66" t="s">
        <v>27</v>
      </c>
      <c r="P771" s="82" t="s">
        <v>4007</v>
      </c>
      <c r="Q771" s="84" t="s">
        <v>1321</v>
      </c>
      <c r="R771" s="84" t="s">
        <v>1322</v>
      </c>
      <c r="S771" s="84">
        <v>8.5000000000000006E-2</v>
      </c>
      <c r="T771" s="82" t="s">
        <v>3860</v>
      </c>
      <c r="U771" s="84" t="s">
        <v>3584</v>
      </c>
      <c r="V771" s="54"/>
    </row>
    <row r="772" spans="1:22" s="11" customFormat="1" ht="45" customHeight="1" x14ac:dyDescent="0.2">
      <c r="A772" s="66" t="s">
        <v>3577</v>
      </c>
      <c r="B772" s="66" t="s">
        <v>1707</v>
      </c>
      <c r="C772" s="66" t="s">
        <v>3578</v>
      </c>
      <c r="D772" s="66">
        <v>83668</v>
      </c>
      <c r="E772" s="68" t="s">
        <v>4008</v>
      </c>
      <c r="F772" s="66" t="s">
        <v>4009</v>
      </c>
      <c r="G772" s="71">
        <v>6890</v>
      </c>
      <c r="H772" s="73"/>
      <c r="I772" s="75">
        <v>0.1</v>
      </c>
      <c r="J772" s="77"/>
      <c r="K772" s="66"/>
      <c r="L772" s="66"/>
      <c r="M772" s="79" t="str">
        <f>HYPERLINK("http://www.pristavka.com/catalog/funko/Fun83668/")</f>
        <v>http://www.pristavka.com/catalog/funko/Fun83668/</v>
      </c>
      <c r="N772" s="71">
        <v>10599</v>
      </c>
      <c r="O772" s="66" t="s">
        <v>27</v>
      </c>
      <c r="P772" s="82" t="s">
        <v>4010</v>
      </c>
      <c r="Q772" s="84" t="s">
        <v>1321</v>
      </c>
      <c r="R772" s="84" t="s">
        <v>1322</v>
      </c>
      <c r="S772" s="84">
        <v>8.5000000000000006E-2</v>
      </c>
      <c r="T772" s="82" t="s">
        <v>3860</v>
      </c>
      <c r="U772" s="84" t="s">
        <v>3584</v>
      </c>
      <c r="V772" s="54"/>
    </row>
    <row r="773" spans="1:22" s="11" customFormat="1" ht="45" customHeight="1" x14ac:dyDescent="0.2">
      <c r="A773" s="66" t="s">
        <v>3577</v>
      </c>
      <c r="B773" s="66" t="s">
        <v>1707</v>
      </c>
      <c r="C773" s="66" t="s">
        <v>3578</v>
      </c>
      <c r="D773" s="66">
        <v>83674</v>
      </c>
      <c r="E773" s="68" t="s">
        <v>4011</v>
      </c>
      <c r="F773" s="66" t="s">
        <v>4012</v>
      </c>
      <c r="G773" s="71">
        <v>1885</v>
      </c>
      <c r="H773" s="73"/>
      <c r="I773" s="75">
        <v>0.1</v>
      </c>
      <c r="J773" s="77"/>
      <c r="K773" s="66"/>
      <c r="L773" s="66"/>
      <c r="M773" s="79" t="str">
        <f>HYPERLINK("http://www.pristavka.com/catalog/funko/Fun83674/")</f>
        <v>http://www.pristavka.com/catalog/funko/Fun83674/</v>
      </c>
      <c r="N773" s="71">
        <v>2899</v>
      </c>
      <c r="O773" s="66" t="s">
        <v>27</v>
      </c>
      <c r="P773" s="82" t="s">
        <v>4013</v>
      </c>
      <c r="Q773" s="84" t="s">
        <v>1321</v>
      </c>
      <c r="R773" s="84" t="s">
        <v>1322</v>
      </c>
      <c r="S773" s="84">
        <v>0.01</v>
      </c>
      <c r="T773" s="82" t="s">
        <v>3885</v>
      </c>
      <c r="U773" s="84" t="s">
        <v>3584</v>
      </c>
      <c r="V773" s="54"/>
    </row>
    <row r="774" spans="1:22" s="11" customFormat="1" ht="45" customHeight="1" x14ac:dyDescent="0.2">
      <c r="A774" s="66" t="s">
        <v>3577</v>
      </c>
      <c r="B774" s="66" t="s">
        <v>1707</v>
      </c>
      <c r="C774" s="66" t="s">
        <v>3578</v>
      </c>
      <c r="D774" s="66">
        <v>83669</v>
      </c>
      <c r="E774" s="68" t="s">
        <v>4014</v>
      </c>
      <c r="F774" s="66" t="s">
        <v>4015</v>
      </c>
      <c r="G774" s="71">
        <v>6890</v>
      </c>
      <c r="H774" s="73"/>
      <c r="I774" s="75">
        <v>0.1</v>
      </c>
      <c r="J774" s="77"/>
      <c r="K774" s="66"/>
      <c r="L774" s="66"/>
      <c r="M774" s="79" t="str">
        <f>HYPERLINK("http://www.pristavka.com/catalog/funko/Fun83669/")</f>
        <v>http://www.pristavka.com/catalog/funko/Fun83669/</v>
      </c>
      <c r="N774" s="71">
        <v>10599</v>
      </c>
      <c r="O774" s="66" t="s">
        <v>27</v>
      </c>
      <c r="P774" s="82" t="s">
        <v>4016</v>
      </c>
      <c r="Q774" s="84" t="s">
        <v>1321</v>
      </c>
      <c r="R774" s="84" t="s">
        <v>1322</v>
      </c>
      <c r="S774" s="84">
        <v>8.5000000000000006E-2</v>
      </c>
      <c r="T774" s="82" t="s">
        <v>3860</v>
      </c>
      <c r="U774" s="84" t="s">
        <v>3584</v>
      </c>
      <c r="V774" s="54"/>
    </row>
    <row r="775" spans="1:22" s="11" customFormat="1" ht="45" customHeight="1" x14ac:dyDescent="0.2">
      <c r="A775" s="66" t="s">
        <v>3577</v>
      </c>
      <c r="B775" s="66" t="s">
        <v>1707</v>
      </c>
      <c r="C775" s="66" t="s">
        <v>3578</v>
      </c>
      <c r="D775" s="66">
        <v>83661</v>
      </c>
      <c r="E775" s="68" t="s">
        <v>4017</v>
      </c>
      <c r="F775" s="66" t="s">
        <v>4018</v>
      </c>
      <c r="G775" s="71">
        <v>6890</v>
      </c>
      <c r="H775" s="73"/>
      <c r="I775" s="75">
        <v>0.1</v>
      </c>
      <c r="J775" s="77"/>
      <c r="K775" s="66"/>
      <c r="L775" s="66"/>
      <c r="M775" s="79" t="str">
        <f>HYPERLINK("http://www.pristavka.com/catalog/funko/Fun83661/")</f>
        <v>http://www.pristavka.com/catalog/funko/Fun83661/</v>
      </c>
      <c r="N775" s="71">
        <v>10599</v>
      </c>
      <c r="O775" s="66" t="s">
        <v>27</v>
      </c>
      <c r="P775" s="82" t="s">
        <v>4019</v>
      </c>
      <c r="Q775" s="84" t="s">
        <v>3471</v>
      </c>
      <c r="R775" s="84" t="s">
        <v>3327</v>
      </c>
      <c r="S775" s="84">
        <v>0.09</v>
      </c>
      <c r="T775" s="82" t="s">
        <v>3954</v>
      </c>
      <c r="U775" s="84" t="s">
        <v>3584</v>
      </c>
      <c r="V775" s="54"/>
    </row>
    <row r="776" spans="1:22" s="11" customFormat="1" ht="45" customHeight="1" x14ac:dyDescent="0.2">
      <c r="A776" s="66" t="s">
        <v>3577</v>
      </c>
      <c r="B776" s="66" t="s">
        <v>1707</v>
      </c>
      <c r="C776" s="66" t="s">
        <v>3578</v>
      </c>
      <c r="D776" s="66">
        <v>83662</v>
      </c>
      <c r="E776" s="68" t="s">
        <v>4020</v>
      </c>
      <c r="F776" s="66" t="s">
        <v>4021</v>
      </c>
      <c r="G776" s="71">
        <v>6890</v>
      </c>
      <c r="H776" s="73"/>
      <c r="I776" s="75">
        <v>0.1</v>
      </c>
      <c r="J776" s="77"/>
      <c r="K776" s="66"/>
      <c r="L776" s="66"/>
      <c r="M776" s="79" t="str">
        <f>HYPERLINK("http://www.pristavka.com/catalog/funko/Fun83662/")</f>
        <v>http://www.pristavka.com/catalog/funko/Fun83662/</v>
      </c>
      <c r="N776" s="71">
        <v>10599</v>
      </c>
      <c r="O776" s="66" t="s">
        <v>27</v>
      </c>
      <c r="P776" s="82" t="s">
        <v>4022</v>
      </c>
      <c r="Q776" s="84" t="s">
        <v>3471</v>
      </c>
      <c r="R776" s="84" t="s">
        <v>3327</v>
      </c>
      <c r="S776" s="84">
        <v>0.09</v>
      </c>
      <c r="T776" s="82" t="s">
        <v>3954</v>
      </c>
      <c r="U776" s="84" t="s">
        <v>3584</v>
      </c>
      <c r="V776" s="54"/>
    </row>
    <row r="777" spans="1:22" s="11" customFormat="1" ht="45" customHeight="1" x14ac:dyDescent="0.2">
      <c r="A777" s="66" t="s">
        <v>3577</v>
      </c>
      <c r="B777" s="66" t="s">
        <v>1707</v>
      </c>
      <c r="C777" s="66" t="s">
        <v>3578</v>
      </c>
      <c r="D777" s="66">
        <v>83663</v>
      </c>
      <c r="E777" s="68" t="s">
        <v>4023</v>
      </c>
      <c r="F777" s="66" t="s">
        <v>4024</v>
      </c>
      <c r="G777" s="71">
        <v>6890</v>
      </c>
      <c r="H777" s="73"/>
      <c r="I777" s="75">
        <v>0.1</v>
      </c>
      <c r="J777" s="77"/>
      <c r="K777" s="66"/>
      <c r="L777" s="66"/>
      <c r="M777" s="79" t="str">
        <f>HYPERLINK("http://www.pristavka.com/catalog/funko/Fun83663/")</f>
        <v>http://www.pristavka.com/catalog/funko/Fun83663/</v>
      </c>
      <c r="N777" s="71">
        <v>10599</v>
      </c>
      <c r="O777" s="66" t="s">
        <v>27</v>
      </c>
      <c r="P777" s="82" t="s">
        <v>4025</v>
      </c>
      <c r="Q777" s="84" t="s">
        <v>3471</v>
      </c>
      <c r="R777" s="84" t="s">
        <v>3327</v>
      </c>
      <c r="S777" s="84">
        <v>0.09</v>
      </c>
      <c r="T777" s="82" t="s">
        <v>3954</v>
      </c>
      <c r="U777" s="84" t="s">
        <v>3584</v>
      </c>
      <c r="V777" s="54"/>
    </row>
    <row r="778" spans="1:22" s="11" customFormat="1" ht="45" customHeight="1" x14ac:dyDescent="0.2">
      <c r="A778" s="66" t="s">
        <v>3577</v>
      </c>
      <c r="B778" s="66" t="s">
        <v>1707</v>
      </c>
      <c r="C778" s="66" t="s">
        <v>3578</v>
      </c>
      <c r="D778" s="66">
        <v>83664</v>
      </c>
      <c r="E778" s="68" t="s">
        <v>4026</v>
      </c>
      <c r="F778" s="66" t="s">
        <v>4027</v>
      </c>
      <c r="G778" s="71">
        <v>6890</v>
      </c>
      <c r="H778" s="73"/>
      <c r="I778" s="75">
        <v>0.1</v>
      </c>
      <c r="J778" s="77"/>
      <c r="K778" s="66"/>
      <c r="L778" s="66"/>
      <c r="M778" s="79" t="str">
        <f>HYPERLINK("http://www.pristavka.com/catalog/funko/Fun83664/")</f>
        <v>http://www.pristavka.com/catalog/funko/Fun83664/</v>
      </c>
      <c r="N778" s="71">
        <v>10599</v>
      </c>
      <c r="O778" s="66" t="s">
        <v>27</v>
      </c>
      <c r="P778" s="82" t="s">
        <v>4028</v>
      </c>
      <c r="Q778" s="84" t="s">
        <v>3471</v>
      </c>
      <c r="R778" s="84" t="s">
        <v>3327</v>
      </c>
      <c r="S778" s="84">
        <v>9.1999999999999998E-2</v>
      </c>
      <c r="T778" s="82" t="s">
        <v>3750</v>
      </c>
      <c r="U778" s="84" t="s">
        <v>3584</v>
      </c>
      <c r="V778" s="54"/>
    </row>
    <row r="779" spans="1:22" s="11" customFormat="1" ht="45" customHeight="1" x14ac:dyDescent="0.2">
      <c r="A779" s="66" t="s">
        <v>3577</v>
      </c>
      <c r="B779" s="66" t="s">
        <v>1707</v>
      </c>
      <c r="C779" s="66" t="s">
        <v>3578</v>
      </c>
      <c r="D779" s="66">
        <v>83667</v>
      </c>
      <c r="E779" s="68" t="s">
        <v>4029</v>
      </c>
      <c r="F779" s="66" t="s">
        <v>4030</v>
      </c>
      <c r="G779" s="71">
        <v>1885</v>
      </c>
      <c r="H779" s="73"/>
      <c r="I779" s="75">
        <v>0.1</v>
      </c>
      <c r="J779" s="77"/>
      <c r="K779" s="66"/>
      <c r="L779" s="66"/>
      <c r="M779" s="79" t="str">
        <f>HYPERLINK("http://www.pristavka.com/catalog/funko/Fun83667/")</f>
        <v>http://www.pristavka.com/catalog/funko/Fun83667/</v>
      </c>
      <c r="N779" s="71">
        <v>2899</v>
      </c>
      <c r="O779" s="66" t="s">
        <v>28</v>
      </c>
      <c r="P779" s="82" t="s">
        <v>4031</v>
      </c>
      <c r="Q779" s="84" t="s">
        <v>3471</v>
      </c>
      <c r="R779" s="84" t="s">
        <v>3327</v>
      </c>
      <c r="S779" s="84">
        <v>0.01</v>
      </c>
      <c r="T779" s="82" t="s">
        <v>4032</v>
      </c>
      <c r="U779" s="84" t="s">
        <v>3584</v>
      </c>
      <c r="V779" s="54"/>
    </row>
    <row r="780" spans="1:22" s="11" customFormat="1" ht="45" customHeight="1" x14ac:dyDescent="0.2">
      <c r="A780" s="66" t="s">
        <v>3577</v>
      </c>
      <c r="B780" s="66" t="s">
        <v>1707</v>
      </c>
      <c r="C780" s="66" t="s">
        <v>3578</v>
      </c>
      <c r="D780" s="66">
        <v>83684</v>
      </c>
      <c r="E780" s="68" t="s">
        <v>4033</v>
      </c>
      <c r="F780" s="66" t="s">
        <v>4034</v>
      </c>
      <c r="G780" s="71">
        <v>0</v>
      </c>
      <c r="H780" s="73"/>
      <c r="I780" s="75">
        <v>0.1</v>
      </c>
      <c r="J780" s="77"/>
      <c r="K780" s="66"/>
      <c r="L780" s="66"/>
      <c r="M780" s="79" t="str">
        <f>HYPERLINK("http://www.pristavka.com/catalog/funko/Fun83684/")</f>
        <v>http://www.pristavka.com/catalog/funko/Fun83684/</v>
      </c>
      <c r="N780" s="71"/>
      <c r="O780" s="66" t="s">
        <v>27</v>
      </c>
      <c r="P780" s="82" t="s">
        <v>4035</v>
      </c>
      <c r="Q780" s="84" t="s">
        <v>3991</v>
      </c>
      <c r="R780" s="84" t="s">
        <v>3992</v>
      </c>
      <c r="S780" s="84">
        <v>0.105</v>
      </c>
      <c r="T780" s="82" t="s">
        <v>4036</v>
      </c>
      <c r="U780" s="84" t="s">
        <v>3584</v>
      </c>
      <c r="V780" s="54"/>
    </row>
    <row r="781" spans="1:22" s="11" customFormat="1" ht="45" customHeight="1" x14ac:dyDescent="0.2">
      <c r="A781" s="66" t="s">
        <v>3577</v>
      </c>
      <c r="B781" s="66" t="s">
        <v>1707</v>
      </c>
      <c r="C781" s="66" t="s">
        <v>3578</v>
      </c>
      <c r="D781" s="66">
        <v>83683</v>
      </c>
      <c r="E781" s="68" t="s">
        <v>4037</v>
      </c>
      <c r="F781" s="66" t="s">
        <v>4038</v>
      </c>
      <c r="G781" s="71">
        <v>0</v>
      </c>
      <c r="H781" s="73"/>
      <c r="I781" s="75">
        <v>0.1</v>
      </c>
      <c r="J781" s="77"/>
      <c r="K781" s="66"/>
      <c r="L781" s="66"/>
      <c r="M781" s="79" t="str">
        <f>HYPERLINK("http://www.pristavka.com/catalog/funko/Fun83683/")</f>
        <v>http://www.pristavka.com/catalog/funko/Fun83683/</v>
      </c>
      <c r="N781" s="71"/>
      <c r="O781" s="66" t="s">
        <v>27</v>
      </c>
      <c r="P781" s="82" t="s">
        <v>4039</v>
      </c>
      <c r="Q781" s="84" t="s">
        <v>1314</v>
      </c>
      <c r="R781" s="84" t="s">
        <v>1315</v>
      </c>
      <c r="S781" s="84">
        <v>0.08</v>
      </c>
      <c r="T781" s="82" t="s">
        <v>4036</v>
      </c>
      <c r="U781" s="84" t="s">
        <v>3584</v>
      </c>
      <c r="V781" s="54"/>
    </row>
    <row r="782" spans="1:22" s="11" customFormat="1" ht="45" customHeight="1" x14ac:dyDescent="0.2">
      <c r="A782" s="66" t="s">
        <v>3577</v>
      </c>
      <c r="B782" s="66" t="s">
        <v>1707</v>
      </c>
      <c r="C782" s="66" t="s">
        <v>3578</v>
      </c>
      <c r="D782" s="66">
        <v>87797</v>
      </c>
      <c r="E782" s="68" t="s">
        <v>4040</v>
      </c>
      <c r="F782" s="66" t="s">
        <v>4041</v>
      </c>
      <c r="G782" s="71">
        <v>3575</v>
      </c>
      <c r="H782" s="73"/>
      <c r="I782" s="75">
        <v>0.1</v>
      </c>
      <c r="J782" s="77"/>
      <c r="K782" s="66"/>
      <c r="L782" s="66"/>
      <c r="M782" s="79" t="str">
        <f>HYPERLINK("http://www.pristavka.com/catalog/funko/Fun87797/")</f>
        <v>http://www.pristavka.com/catalog/funko/Fun87797/</v>
      </c>
      <c r="N782" s="71">
        <v>5499</v>
      </c>
      <c r="O782" s="66" t="s">
        <v>27</v>
      </c>
      <c r="P782" s="82" t="s">
        <v>4042</v>
      </c>
      <c r="Q782" s="84" t="s">
        <v>3681</v>
      </c>
      <c r="R782" s="84" t="s">
        <v>1212</v>
      </c>
      <c r="S782" s="84">
        <v>6.2E-2</v>
      </c>
      <c r="T782" s="82" t="s">
        <v>4043</v>
      </c>
      <c r="U782" s="84" t="s">
        <v>3584</v>
      </c>
      <c r="V782" s="54"/>
    </row>
    <row r="783" spans="1:22" s="11" customFormat="1" ht="45" customHeight="1" x14ac:dyDescent="0.2">
      <c r="A783" s="66" t="s">
        <v>3577</v>
      </c>
      <c r="B783" s="66" t="s">
        <v>1707</v>
      </c>
      <c r="C783" s="66" t="s">
        <v>3578</v>
      </c>
      <c r="D783" s="66">
        <v>87798</v>
      </c>
      <c r="E783" s="68" t="s">
        <v>4044</v>
      </c>
      <c r="F783" s="66" t="s">
        <v>4045</v>
      </c>
      <c r="G783" s="71">
        <v>3575</v>
      </c>
      <c r="H783" s="73"/>
      <c r="I783" s="75">
        <v>0.1</v>
      </c>
      <c r="J783" s="77"/>
      <c r="K783" s="66"/>
      <c r="L783" s="66"/>
      <c r="M783" s="79" t="str">
        <f>HYPERLINK("http://www.pristavka.com/catalog/funko/Fun87798/")</f>
        <v>http://www.pristavka.com/catalog/funko/Fun87798/</v>
      </c>
      <c r="N783" s="71">
        <v>5499</v>
      </c>
      <c r="O783" s="66" t="s">
        <v>27</v>
      </c>
      <c r="P783" s="82" t="s">
        <v>4046</v>
      </c>
      <c r="Q783" s="84" t="s">
        <v>3681</v>
      </c>
      <c r="R783" s="84" t="s">
        <v>1212</v>
      </c>
      <c r="S783" s="84">
        <v>0.06</v>
      </c>
      <c r="T783" s="82" t="s">
        <v>4043</v>
      </c>
      <c r="U783" s="84" t="s">
        <v>3584</v>
      </c>
      <c r="V783" s="54"/>
    </row>
    <row r="784" spans="1:22" s="11" customFormat="1" ht="45" customHeight="1" x14ac:dyDescent="0.2">
      <c r="A784" s="66" t="s">
        <v>3577</v>
      </c>
      <c r="B784" s="66" t="s">
        <v>1707</v>
      </c>
      <c r="C784" s="66" t="s">
        <v>3578</v>
      </c>
      <c r="D784" s="66">
        <v>79910</v>
      </c>
      <c r="E784" s="68" t="s">
        <v>4047</v>
      </c>
      <c r="F784" s="66" t="s">
        <v>4048</v>
      </c>
      <c r="G784" s="71">
        <v>3575</v>
      </c>
      <c r="H784" s="73"/>
      <c r="I784" s="75">
        <v>0.1</v>
      </c>
      <c r="J784" s="77"/>
      <c r="K784" s="66"/>
      <c r="L784" s="66"/>
      <c r="M784" s="79" t="str">
        <f>HYPERLINK("http://www.pristavka.com/catalog/funko/Fun79910/")</f>
        <v>http://www.pristavka.com/catalog/funko/Fun79910/</v>
      </c>
      <c r="N784" s="71">
        <v>5499</v>
      </c>
      <c r="O784" s="66" t="s">
        <v>27</v>
      </c>
      <c r="P784" s="82" t="s">
        <v>4049</v>
      </c>
      <c r="Q784" s="84" t="s">
        <v>1314</v>
      </c>
      <c r="R784" s="84" t="s">
        <v>1315</v>
      </c>
      <c r="S784" s="84">
        <v>5.5E-2</v>
      </c>
      <c r="T784" s="82" t="s">
        <v>4050</v>
      </c>
      <c r="U784" s="84" t="s">
        <v>3584</v>
      </c>
      <c r="V784" s="54"/>
    </row>
    <row r="785" spans="1:22" s="11" customFormat="1" ht="45" customHeight="1" x14ac:dyDescent="0.2">
      <c r="A785" s="66" t="s">
        <v>3577</v>
      </c>
      <c r="B785" s="66" t="s">
        <v>1707</v>
      </c>
      <c r="C785" s="66" t="s">
        <v>3578</v>
      </c>
      <c r="D785" s="66">
        <v>79911</v>
      </c>
      <c r="E785" s="68" t="s">
        <v>4051</v>
      </c>
      <c r="F785" s="66" t="s">
        <v>4052</v>
      </c>
      <c r="G785" s="71">
        <v>3575</v>
      </c>
      <c r="H785" s="73"/>
      <c r="I785" s="75">
        <v>0.1</v>
      </c>
      <c r="J785" s="77"/>
      <c r="K785" s="66"/>
      <c r="L785" s="66"/>
      <c r="M785" s="79" t="str">
        <f>HYPERLINK("http://www.pristavka.com/catalog/funko/Fun79911/")</f>
        <v>http://www.pristavka.com/catalog/funko/Fun79911/</v>
      </c>
      <c r="N785" s="71">
        <v>5499</v>
      </c>
      <c r="O785" s="66" t="s">
        <v>27</v>
      </c>
      <c r="P785" s="82" t="s">
        <v>4053</v>
      </c>
      <c r="Q785" s="84" t="s">
        <v>1314</v>
      </c>
      <c r="R785" s="84" t="s">
        <v>1315</v>
      </c>
      <c r="S785" s="84">
        <v>6.2E-2</v>
      </c>
      <c r="T785" s="82" t="s">
        <v>4043</v>
      </c>
      <c r="U785" s="84" t="s">
        <v>3584</v>
      </c>
      <c r="V785" s="54"/>
    </row>
    <row r="786" spans="1:22" s="11" customFormat="1" ht="45" customHeight="1" x14ac:dyDescent="0.2">
      <c r="A786" s="66" t="s">
        <v>3577</v>
      </c>
      <c r="B786" s="66" t="s">
        <v>1707</v>
      </c>
      <c r="C786" s="66" t="s">
        <v>3578</v>
      </c>
      <c r="D786" s="66">
        <v>80884</v>
      </c>
      <c r="E786" s="68" t="s">
        <v>4054</v>
      </c>
      <c r="F786" s="66" t="s">
        <v>4055</v>
      </c>
      <c r="G786" s="71">
        <v>3575</v>
      </c>
      <c r="H786" s="73"/>
      <c r="I786" s="75">
        <v>0.1</v>
      </c>
      <c r="J786" s="77"/>
      <c r="K786" s="66"/>
      <c r="L786" s="66"/>
      <c r="M786" s="79" t="str">
        <f>HYPERLINK("http://www.pristavka.com/catalog/funko/Fun80884/")</f>
        <v>http://www.pristavka.com/catalog/funko/Fun80884/</v>
      </c>
      <c r="N786" s="71">
        <v>5499</v>
      </c>
      <c r="O786" s="66" t="s">
        <v>27</v>
      </c>
      <c r="P786" s="82" t="s">
        <v>4056</v>
      </c>
      <c r="Q786" s="84" t="s">
        <v>1314</v>
      </c>
      <c r="R786" s="84" t="s">
        <v>1315</v>
      </c>
      <c r="S786" s="84">
        <v>5.8000000000000003E-2</v>
      </c>
      <c r="T786" s="82" t="s">
        <v>4043</v>
      </c>
      <c r="U786" s="84" t="s">
        <v>3584</v>
      </c>
      <c r="V786" s="54"/>
    </row>
    <row r="787" spans="1:22" s="11" customFormat="1" ht="45" customHeight="1" x14ac:dyDescent="0.2">
      <c r="A787" s="66" t="s">
        <v>3577</v>
      </c>
      <c r="B787" s="66" t="s">
        <v>1707</v>
      </c>
      <c r="C787" s="66" t="s">
        <v>3578</v>
      </c>
      <c r="D787" s="66">
        <v>85823</v>
      </c>
      <c r="E787" s="68" t="s">
        <v>4057</v>
      </c>
      <c r="F787" s="66" t="s">
        <v>4058</v>
      </c>
      <c r="G787" s="71">
        <v>2795</v>
      </c>
      <c r="H787" s="73"/>
      <c r="I787" s="75">
        <v>0.1</v>
      </c>
      <c r="J787" s="77"/>
      <c r="K787" s="66"/>
      <c r="L787" s="66"/>
      <c r="M787" s="79" t="str">
        <f>HYPERLINK("http://www.pristavka.com/catalog/funko/Fun85823/")</f>
        <v>http://www.pristavka.com/catalog/funko/Fun85823/</v>
      </c>
      <c r="N787" s="71">
        <v>4299</v>
      </c>
      <c r="O787" s="66" t="s">
        <v>28</v>
      </c>
      <c r="P787" s="82" t="s">
        <v>4059</v>
      </c>
      <c r="Q787" s="84" t="s">
        <v>3582</v>
      </c>
      <c r="R787" s="84" t="s">
        <v>1315</v>
      </c>
      <c r="S787" s="84">
        <v>0.04</v>
      </c>
      <c r="T787" s="82" t="s">
        <v>4060</v>
      </c>
      <c r="U787" s="84" t="s">
        <v>3584</v>
      </c>
      <c r="V787" s="54"/>
    </row>
    <row r="788" spans="1:22" s="11" customFormat="1" ht="45" customHeight="1" x14ac:dyDescent="0.2">
      <c r="A788" s="66" t="s">
        <v>3577</v>
      </c>
      <c r="B788" s="66" t="s">
        <v>1707</v>
      </c>
      <c r="C788" s="66" t="s">
        <v>3578</v>
      </c>
      <c r="D788" s="66">
        <v>85825</v>
      </c>
      <c r="E788" s="68" t="s">
        <v>4061</v>
      </c>
      <c r="F788" s="66" t="s">
        <v>4062</v>
      </c>
      <c r="G788" s="71">
        <v>2795</v>
      </c>
      <c r="H788" s="73"/>
      <c r="I788" s="75">
        <v>0.1</v>
      </c>
      <c r="J788" s="77"/>
      <c r="K788" s="66"/>
      <c r="L788" s="66"/>
      <c r="M788" s="79" t="str">
        <f>HYPERLINK("http://www.pristavka.com/catalog/funko/Fun85825/")</f>
        <v>http://www.pristavka.com/catalog/funko/Fun85825/</v>
      </c>
      <c r="N788" s="71">
        <v>4299</v>
      </c>
      <c r="O788" s="66" t="s">
        <v>27</v>
      </c>
      <c r="P788" s="82" t="s">
        <v>4063</v>
      </c>
      <c r="Q788" s="84" t="s">
        <v>3582</v>
      </c>
      <c r="R788" s="84" t="s">
        <v>1315</v>
      </c>
      <c r="S788" s="84">
        <v>0.03</v>
      </c>
      <c r="T788" s="82" t="s">
        <v>4064</v>
      </c>
      <c r="U788" s="84" t="s">
        <v>3584</v>
      </c>
      <c r="V788" s="54"/>
    </row>
    <row r="789" spans="1:22" s="11" customFormat="1" ht="45" customHeight="1" x14ac:dyDescent="0.2">
      <c r="A789" s="66" t="s">
        <v>3577</v>
      </c>
      <c r="B789" s="66" t="s">
        <v>1707</v>
      </c>
      <c r="C789" s="66" t="s">
        <v>3578</v>
      </c>
      <c r="D789" s="66">
        <v>86045</v>
      </c>
      <c r="E789" s="68" t="s">
        <v>4065</v>
      </c>
      <c r="F789" s="66" t="s">
        <v>4066</v>
      </c>
      <c r="G789" s="71">
        <v>2795</v>
      </c>
      <c r="H789" s="73"/>
      <c r="I789" s="75">
        <v>0.1</v>
      </c>
      <c r="J789" s="77"/>
      <c r="K789" s="66"/>
      <c r="L789" s="66"/>
      <c r="M789" s="79" t="str">
        <f>HYPERLINK("http://www.pristavka.com/catalog/funko/Fun86045/")</f>
        <v>http://www.pristavka.com/catalog/funko/Fun86045/</v>
      </c>
      <c r="N789" s="71">
        <v>4299</v>
      </c>
      <c r="O789" s="66" t="s">
        <v>27</v>
      </c>
      <c r="P789" s="82" t="s">
        <v>4067</v>
      </c>
      <c r="Q789" s="84" t="s">
        <v>1297</v>
      </c>
      <c r="R789" s="84" t="s">
        <v>1298</v>
      </c>
      <c r="S789" s="84">
        <v>0.02</v>
      </c>
      <c r="T789" s="82" t="s">
        <v>4064</v>
      </c>
      <c r="U789" s="84" t="s">
        <v>3584</v>
      </c>
      <c r="V789" s="54"/>
    </row>
    <row r="790" spans="1:22" s="11" customFormat="1" ht="45" customHeight="1" x14ac:dyDescent="0.2">
      <c r="A790" s="66" t="s">
        <v>3577</v>
      </c>
      <c r="B790" s="66" t="s">
        <v>1707</v>
      </c>
      <c r="C790" s="66" t="s">
        <v>3578</v>
      </c>
      <c r="D790" s="66">
        <v>86046</v>
      </c>
      <c r="E790" s="68" t="s">
        <v>4068</v>
      </c>
      <c r="F790" s="66" t="s">
        <v>4069</v>
      </c>
      <c r="G790" s="71">
        <v>2795</v>
      </c>
      <c r="H790" s="73"/>
      <c r="I790" s="75">
        <v>0.1</v>
      </c>
      <c r="J790" s="77"/>
      <c r="K790" s="66"/>
      <c r="L790" s="66"/>
      <c r="M790" s="79" t="str">
        <f>HYPERLINK("http://www.pristavka.com/catalog/funko/Fun86046/")</f>
        <v>http://www.pristavka.com/catalog/funko/Fun86046/</v>
      </c>
      <c r="N790" s="71">
        <v>4299</v>
      </c>
      <c r="O790" s="66" t="s">
        <v>27</v>
      </c>
      <c r="P790" s="82" t="s">
        <v>4070</v>
      </c>
      <c r="Q790" s="84" t="s">
        <v>1297</v>
      </c>
      <c r="R790" s="84" t="s">
        <v>1298</v>
      </c>
      <c r="S790" s="84">
        <v>2.4E-2</v>
      </c>
      <c r="T790" s="82" t="s">
        <v>4060</v>
      </c>
      <c r="U790" s="84" t="s">
        <v>3584</v>
      </c>
      <c r="V790" s="54"/>
    </row>
    <row r="791" spans="1:22" s="11" customFormat="1" ht="45" customHeight="1" x14ac:dyDescent="0.2">
      <c r="A791" s="66" t="s">
        <v>3577</v>
      </c>
      <c r="B791" s="66" t="s">
        <v>1707</v>
      </c>
      <c r="C791" s="66" t="s">
        <v>3578</v>
      </c>
      <c r="D791" s="66">
        <v>86047</v>
      </c>
      <c r="E791" s="68" t="s">
        <v>4071</v>
      </c>
      <c r="F791" s="66" t="s">
        <v>4072</v>
      </c>
      <c r="G791" s="71">
        <v>2795</v>
      </c>
      <c r="H791" s="73"/>
      <c r="I791" s="75">
        <v>0.1</v>
      </c>
      <c r="J791" s="77"/>
      <c r="K791" s="66"/>
      <c r="L791" s="66"/>
      <c r="M791" s="79" t="str">
        <f>HYPERLINK("http://www.pristavka.com/catalog/funko/Fun86047/")</f>
        <v>http://www.pristavka.com/catalog/funko/Fun86047/</v>
      </c>
      <c r="N791" s="71">
        <v>4299</v>
      </c>
      <c r="O791" s="66" t="s">
        <v>27</v>
      </c>
      <c r="P791" s="82" t="s">
        <v>4073</v>
      </c>
      <c r="Q791" s="84" t="s">
        <v>1297</v>
      </c>
      <c r="R791" s="84" t="s">
        <v>1298</v>
      </c>
      <c r="S791" s="84">
        <v>0.02</v>
      </c>
      <c r="T791" s="82" t="s">
        <v>4064</v>
      </c>
      <c r="U791" s="84" t="s">
        <v>3584</v>
      </c>
      <c r="V791" s="54"/>
    </row>
    <row r="792" spans="1:22" s="11" customFormat="1" ht="45" customHeight="1" x14ac:dyDescent="0.2">
      <c r="A792" s="66" t="s">
        <v>3577</v>
      </c>
      <c r="B792" s="66" t="s">
        <v>1707</v>
      </c>
      <c r="C792" s="66" t="s">
        <v>3578</v>
      </c>
      <c r="D792" s="66">
        <v>86048</v>
      </c>
      <c r="E792" s="68" t="s">
        <v>4074</v>
      </c>
      <c r="F792" s="66" t="s">
        <v>4075</v>
      </c>
      <c r="G792" s="71">
        <v>2795</v>
      </c>
      <c r="H792" s="73"/>
      <c r="I792" s="75">
        <v>0.1</v>
      </c>
      <c r="J792" s="77"/>
      <c r="K792" s="66"/>
      <c r="L792" s="66"/>
      <c r="M792" s="79" t="str">
        <f>HYPERLINK("http://www.pristavka.com/catalog/funko/Fun86048/")</f>
        <v>http://www.pristavka.com/catalog/funko/Fun86048/</v>
      </c>
      <c r="N792" s="71">
        <v>4299</v>
      </c>
      <c r="O792" s="66" t="s">
        <v>27</v>
      </c>
      <c r="P792" s="82" t="s">
        <v>4076</v>
      </c>
      <c r="Q792" s="84" t="s">
        <v>1297</v>
      </c>
      <c r="R792" s="84" t="s">
        <v>1298</v>
      </c>
      <c r="S792" s="84">
        <v>2.4E-2</v>
      </c>
      <c r="T792" s="82" t="s">
        <v>4060</v>
      </c>
      <c r="U792" s="84" t="s">
        <v>3584</v>
      </c>
      <c r="V792" s="54"/>
    </row>
    <row r="793" spans="1:22" s="11" customFormat="1" ht="45" customHeight="1" x14ac:dyDescent="0.2">
      <c r="A793" s="66" t="s">
        <v>3577</v>
      </c>
      <c r="B793" s="66" t="s">
        <v>1707</v>
      </c>
      <c r="C793" s="66" t="s">
        <v>3578</v>
      </c>
      <c r="D793" s="66">
        <v>79933</v>
      </c>
      <c r="E793" s="68" t="s">
        <v>4077</v>
      </c>
      <c r="F793" s="66" t="s">
        <v>4078</v>
      </c>
      <c r="G793" s="71">
        <v>0</v>
      </c>
      <c r="H793" s="73"/>
      <c r="I793" s="75">
        <v>0.1</v>
      </c>
      <c r="J793" s="77"/>
      <c r="K793" s="66"/>
      <c r="L793" s="66"/>
      <c r="M793" s="79" t="str">
        <f>HYPERLINK("http://www.pristavka.com/catalog/funko/Fun79933/")</f>
        <v>http://www.pristavka.com/catalog/funko/Fun79933/</v>
      </c>
      <c r="N793" s="71"/>
      <c r="O793" s="66" t="s">
        <v>27</v>
      </c>
      <c r="P793" s="82" t="s">
        <v>4079</v>
      </c>
      <c r="Q793" s="84" t="s">
        <v>1321</v>
      </c>
      <c r="R793" s="84" t="s">
        <v>1322</v>
      </c>
      <c r="S793" s="84">
        <v>3.4000000000000002E-2</v>
      </c>
      <c r="T793" s="82" t="s">
        <v>4080</v>
      </c>
      <c r="U793" s="84" t="s">
        <v>3584</v>
      </c>
      <c r="V793" s="54"/>
    </row>
    <row r="794" spans="1:22" s="11" customFormat="1" ht="45" customHeight="1" x14ac:dyDescent="0.2">
      <c r="A794" s="66" t="s">
        <v>3577</v>
      </c>
      <c r="B794" s="66" t="s">
        <v>1707</v>
      </c>
      <c r="C794" s="66" t="s">
        <v>3578</v>
      </c>
      <c r="D794" s="66">
        <v>82110</v>
      </c>
      <c r="E794" s="68" t="s">
        <v>4081</v>
      </c>
      <c r="F794" s="66" t="s">
        <v>4082</v>
      </c>
      <c r="G794" s="71">
        <v>6890</v>
      </c>
      <c r="H794" s="73"/>
      <c r="I794" s="75">
        <v>0.1</v>
      </c>
      <c r="J794" s="77"/>
      <c r="K794" s="66"/>
      <c r="L794" s="66"/>
      <c r="M794" s="79" t="str">
        <f>HYPERLINK("http://www.pristavka.com/catalog/funko/Fun82110/")</f>
        <v>http://www.pristavka.com/catalog/funko/Fun82110/</v>
      </c>
      <c r="N794" s="71">
        <v>10599</v>
      </c>
      <c r="O794" s="66" t="s">
        <v>27</v>
      </c>
      <c r="P794" s="82" t="s">
        <v>4083</v>
      </c>
      <c r="Q794" s="84" t="s">
        <v>3527</v>
      </c>
      <c r="R794" s="84" t="s">
        <v>3512</v>
      </c>
      <c r="S794" s="84">
        <v>0.185</v>
      </c>
      <c r="T794" s="82" t="s">
        <v>4084</v>
      </c>
      <c r="U794" s="84" t="s">
        <v>3584</v>
      </c>
      <c r="V794" s="54"/>
    </row>
    <row r="795" spans="1:22" s="11" customFormat="1" ht="45" customHeight="1" x14ac:dyDescent="0.2">
      <c r="A795" s="66" t="s">
        <v>3577</v>
      </c>
      <c r="B795" s="66" t="s">
        <v>1707</v>
      </c>
      <c r="C795" s="66" t="s">
        <v>3578</v>
      </c>
      <c r="D795" s="66">
        <v>82109</v>
      </c>
      <c r="E795" s="68" t="s">
        <v>4085</v>
      </c>
      <c r="F795" s="66" t="s">
        <v>4086</v>
      </c>
      <c r="G795" s="71">
        <v>6890</v>
      </c>
      <c r="H795" s="73"/>
      <c r="I795" s="75">
        <v>0.1</v>
      </c>
      <c r="J795" s="77"/>
      <c r="K795" s="66"/>
      <c r="L795" s="66"/>
      <c r="M795" s="79" t="str">
        <f>HYPERLINK("http://www.pristavka.com/catalog/funko/Fun82109/")</f>
        <v>http://www.pristavka.com/catalog/funko/Fun82109/</v>
      </c>
      <c r="N795" s="71">
        <v>10599</v>
      </c>
      <c r="O795" s="66" t="s">
        <v>27</v>
      </c>
      <c r="P795" s="82" t="s">
        <v>4087</v>
      </c>
      <c r="Q795" s="84" t="s">
        <v>3527</v>
      </c>
      <c r="R795" s="84" t="s">
        <v>3512</v>
      </c>
      <c r="S795" s="84">
        <v>0.18</v>
      </c>
      <c r="T795" s="82" t="s">
        <v>4084</v>
      </c>
      <c r="U795" s="84" t="s">
        <v>3584</v>
      </c>
      <c r="V795" s="54"/>
    </row>
    <row r="796" spans="1:22" s="11" customFormat="1" ht="45" customHeight="1" x14ac:dyDescent="0.2">
      <c r="A796" s="66" t="s">
        <v>3577</v>
      </c>
      <c r="B796" s="66" t="s">
        <v>1707</v>
      </c>
      <c r="C796" s="66" t="s">
        <v>3578</v>
      </c>
      <c r="D796" s="66">
        <v>83034</v>
      </c>
      <c r="E796" s="68" t="s">
        <v>4088</v>
      </c>
      <c r="F796" s="66" t="s">
        <v>4089</v>
      </c>
      <c r="G796" s="71">
        <v>6890</v>
      </c>
      <c r="H796" s="73"/>
      <c r="I796" s="75">
        <v>0.1</v>
      </c>
      <c r="J796" s="77"/>
      <c r="K796" s="66"/>
      <c r="L796" s="66"/>
      <c r="M796" s="79" t="str">
        <f>HYPERLINK("http://www.pristavka.com/catalog/funko/Fun83034/")</f>
        <v>http://www.pristavka.com/catalog/funko/Fun83034/</v>
      </c>
      <c r="N796" s="71">
        <v>10599</v>
      </c>
      <c r="O796" s="66" t="s">
        <v>27</v>
      </c>
      <c r="P796" s="82" t="s">
        <v>4090</v>
      </c>
      <c r="Q796" s="84" t="s">
        <v>1240</v>
      </c>
      <c r="R796" s="84" t="s">
        <v>70</v>
      </c>
      <c r="S796" s="84">
        <v>0.16</v>
      </c>
      <c r="T796" s="82" t="s">
        <v>4091</v>
      </c>
      <c r="U796" s="84" t="s">
        <v>3584</v>
      </c>
      <c r="V796" s="54"/>
    </row>
    <row r="797" spans="1:22" s="11" customFormat="1" ht="45" customHeight="1" x14ac:dyDescent="0.2">
      <c r="A797" s="66" t="s">
        <v>3577</v>
      </c>
      <c r="B797" s="66" t="s">
        <v>1707</v>
      </c>
      <c r="C797" s="66" t="s">
        <v>3578</v>
      </c>
      <c r="D797" s="66">
        <v>83036</v>
      </c>
      <c r="E797" s="68" t="s">
        <v>4092</v>
      </c>
      <c r="F797" s="66" t="s">
        <v>4093</v>
      </c>
      <c r="G797" s="71">
        <v>6890</v>
      </c>
      <c r="H797" s="73"/>
      <c r="I797" s="75">
        <v>0.1</v>
      </c>
      <c r="J797" s="77"/>
      <c r="K797" s="66"/>
      <c r="L797" s="66"/>
      <c r="M797" s="79" t="str">
        <f>HYPERLINK("http://www.pristavka.com/catalog/funko/Fun83036/")</f>
        <v>http://www.pristavka.com/catalog/funko/Fun83036/</v>
      </c>
      <c r="N797" s="71">
        <v>10599</v>
      </c>
      <c r="O797" s="66" t="s">
        <v>27</v>
      </c>
      <c r="P797" s="82" t="s">
        <v>4094</v>
      </c>
      <c r="Q797" s="84" t="s">
        <v>1240</v>
      </c>
      <c r="R797" s="84" t="s">
        <v>70</v>
      </c>
      <c r="S797" s="84">
        <v>0.17799999999999999</v>
      </c>
      <c r="T797" s="82" t="s">
        <v>4084</v>
      </c>
      <c r="U797" s="84" t="s">
        <v>3584</v>
      </c>
      <c r="V797" s="54"/>
    </row>
    <row r="798" spans="1:22" s="11" customFormat="1" ht="45" customHeight="1" x14ac:dyDescent="0.2">
      <c r="A798" s="66" t="s">
        <v>3577</v>
      </c>
      <c r="B798" s="66" t="s">
        <v>1707</v>
      </c>
      <c r="C798" s="66" t="s">
        <v>3578</v>
      </c>
      <c r="D798" s="66">
        <v>81063</v>
      </c>
      <c r="E798" s="68" t="s">
        <v>4095</v>
      </c>
      <c r="F798" s="66" t="s">
        <v>4096</v>
      </c>
      <c r="G798" s="71">
        <v>0</v>
      </c>
      <c r="H798" s="73"/>
      <c r="I798" s="75">
        <v>0.1</v>
      </c>
      <c r="J798" s="77"/>
      <c r="K798" s="66"/>
      <c r="L798" s="66"/>
      <c r="M798" s="79" t="str">
        <f>HYPERLINK("http://www.pristavka.com/catalog/funko/Fun81063/")</f>
        <v>http://www.pristavka.com/catalog/funko/Fun81063/</v>
      </c>
      <c r="N798" s="71"/>
      <c r="O798" s="66" t="s">
        <v>28</v>
      </c>
      <c r="P798" s="82" t="s">
        <v>4097</v>
      </c>
      <c r="Q798" s="84" t="s">
        <v>4098</v>
      </c>
      <c r="R798" s="84" t="s">
        <v>4098</v>
      </c>
      <c r="S798" s="84">
        <v>0.22800000000000001</v>
      </c>
      <c r="T798" s="82" t="s">
        <v>4091</v>
      </c>
      <c r="U798" s="84" t="s">
        <v>3584</v>
      </c>
      <c r="V798" s="54"/>
    </row>
    <row r="799" spans="1:22" s="11" customFormat="1" ht="45" customHeight="1" x14ac:dyDescent="0.2">
      <c r="A799" s="66" t="s">
        <v>3577</v>
      </c>
      <c r="B799" s="66" t="s">
        <v>1707</v>
      </c>
      <c r="C799" s="66" t="s">
        <v>3578</v>
      </c>
      <c r="D799" s="66">
        <v>52256</v>
      </c>
      <c r="E799" s="68" t="s">
        <v>4099</v>
      </c>
      <c r="F799" s="66" t="s">
        <v>4100</v>
      </c>
      <c r="G799" s="71">
        <v>6890</v>
      </c>
      <c r="H799" s="73"/>
      <c r="I799" s="75">
        <v>0.1</v>
      </c>
      <c r="J799" s="77"/>
      <c r="K799" s="66"/>
      <c r="L799" s="66"/>
      <c r="M799" s="79" t="str">
        <f>HYPERLINK("http://www.pristavka.com/catalog/funko/Fun52256/")</f>
        <v>http://www.pristavka.com/catalog/funko/Fun52256/</v>
      </c>
      <c r="N799" s="71">
        <v>10599</v>
      </c>
      <c r="O799" s="66" t="s">
        <v>28</v>
      </c>
      <c r="P799" s="82" t="s">
        <v>4101</v>
      </c>
      <c r="Q799" s="84" t="s">
        <v>4098</v>
      </c>
      <c r="R799" s="84" t="s">
        <v>4098</v>
      </c>
      <c r="S799" s="84">
        <v>0.20799999999999999</v>
      </c>
      <c r="T799" s="82" t="s">
        <v>4102</v>
      </c>
      <c r="U799" s="84" t="s">
        <v>3584</v>
      </c>
      <c r="V799" s="54"/>
    </row>
    <row r="800" spans="1:22" s="11" customFormat="1" ht="45" customHeight="1" x14ac:dyDescent="0.2">
      <c r="A800" s="66" t="s">
        <v>3577</v>
      </c>
      <c r="B800" s="66" t="s">
        <v>1707</v>
      </c>
      <c r="C800" s="66" t="s">
        <v>3578</v>
      </c>
      <c r="D800" s="66">
        <v>75360</v>
      </c>
      <c r="E800" s="68" t="s">
        <v>4103</v>
      </c>
      <c r="F800" s="66" t="s">
        <v>4104</v>
      </c>
      <c r="G800" s="71">
        <v>6500</v>
      </c>
      <c r="H800" s="73"/>
      <c r="I800" s="75">
        <v>0.1</v>
      </c>
      <c r="J800" s="77"/>
      <c r="K800" s="66"/>
      <c r="L800" s="66"/>
      <c r="M800" s="79" t="str">
        <f>HYPERLINK("http://www.pristavka.com/catalog/funko/Fun75360/")</f>
        <v>http://www.pristavka.com/catalog/funko/Fun75360/</v>
      </c>
      <c r="N800" s="71">
        <v>9999</v>
      </c>
      <c r="O800" s="66" t="s">
        <v>27</v>
      </c>
      <c r="P800" s="82" t="s">
        <v>4105</v>
      </c>
      <c r="Q800" s="84" t="s">
        <v>4098</v>
      </c>
      <c r="R800" s="84" t="s">
        <v>4098</v>
      </c>
      <c r="S800" s="84">
        <v>0.13100000000000001</v>
      </c>
      <c r="T800" s="82" t="s">
        <v>4091</v>
      </c>
      <c r="U800" s="84" t="s">
        <v>3584</v>
      </c>
      <c r="V800" s="54"/>
    </row>
    <row r="801" spans="1:22" s="11" customFormat="1" ht="45" customHeight="1" x14ac:dyDescent="0.2">
      <c r="A801" s="66" t="s">
        <v>3577</v>
      </c>
      <c r="B801" s="66" t="s">
        <v>1707</v>
      </c>
      <c r="C801" s="66" t="s">
        <v>3578</v>
      </c>
      <c r="D801" s="66">
        <v>80391</v>
      </c>
      <c r="E801" s="68" t="s">
        <v>4106</v>
      </c>
      <c r="F801" s="66" t="s">
        <v>4107</v>
      </c>
      <c r="G801" s="71">
        <v>6500</v>
      </c>
      <c r="H801" s="73"/>
      <c r="I801" s="75">
        <v>0.1</v>
      </c>
      <c r="J801" s="77"/>
      <c r="K801" s="66"/>
      <c r="L801" s="66"/>
      <c r="M801" s="79" t="str">
        <f>HYPERLINK("http://www.pristavka.com/catalog/funko/Fun80391/")</f>
        <v>http://www.pristavka.com/catalog/funko/Fun80391/</v>
      </c>
      <c r="N801" s="71">
        <v>9999</v>
      </c>
      <c r="O801" s="66" t="s">
        <v>27</v>
      </c>
      <c r="P801" s="82" t="s">
        <v>4108</v>
      </c>
      <c r="Q801" s="84" t="s">
        <v>4109</v>
      </c>
      <c r="R801" s="84" t="s">
        <v>1068</v>
      </c>
      <c r="S801" s="84">
        <v>0.11799999999999999</v>
      </c>
      <c r="T801" s="82" t="s">
        <v>4091</v>
      </c>
      <c r="U801" s="84" t="s">
        <v>3584</v>
      </c>
      <c r="V801" s="54"/>
    </row>
    <row r="802" spans="1:22" s="11" customFormat="1" ht="45" customHeight="1" x14ac:dyDescent="0.2">
      <c r="A802" s="66" t="s">
        <v>3577</v>
      </c>
      <c r="B802" s="66" t="s">
        <v>1707</v>
      </c>
      <c r="C802" s="66" t="s">
        <v>3578</v>
      </c>
      <c r="D802" s="66">
        <v>80392</v>
      </c>
      <c r="E802" s="68" t="s">
        <v>4110</v>
      </c>
      <c r="F802" s="66" t="s">
        <v>4111</v>
      </c>
      <c r="G802" s="71">
        <v>6500</v>
      </c>
      <c r="H802" s="73"/>
      <c r="I802" s="75">
        <v>0.1</v>
      </c>
      <c r="J802" s="77"/>
      <c r="K802" s="66"/>
      <c r="L802" s="66"/>
      <c r="M802" s="79" t="str">
        <f>HYPERLINK("http://www.pristavka.com/catalog/funko/Fun80392/")</f>
        <v>http://www.pristavka.com/catalog/funko/Fun80392/</v>
      </c>
      <c r="N802" s="71">
        <v>9999</v>
      </c>
      <c r="O802" s="66" t="s">
        <v>27</v>
      </c>
      <c r="P802" s="82" t="s">
        <v>4112</v>
      </c>
      <c r="Q802" s="84" t="s">
        <v>4109</v>
      </c>
      <c r="R802" s="84" t="s">
        <v>1068</v>
      </c>
      <c r="S802" s="84">
        <v>0.125</v>
      </c>
      <c r="T802" s="82" t="s">
        <v>4113</v>
      </c>
      <c r="U802" s="84" t="s">
        <v>3584</v>
      </c>
      <c r="V802" s="54"/>
    </row>
    <row r="803" spans="1:22" s="11" customFormat="1" ht="45" customHeight="1" x14ac:dyDescent="0.2">
      <c r="A803" s="66" t="s">
        <v>3577</v>
      </c>
      <c r="B803" s="66" t="s">
        <v>1707</v>
      </c>
      <c r="C803" s="66" t="s">
        <v>3578</v>
      </c>
      <c r="D803" s="66">
        <v>83825</v>
      </c>
      <c r="E803" s="68" t="s">
        <v>4114</v>
      </c>
      <c r="F803" s="66" t="s">
        <v>4115</v>
      </c>
      <c r="G803" s="71">
        <v>0</v>
      </c>
      <c r="H803" s="73"/>
      <c r="I803" s="75">
        <v>0.1</v>
      </c>
      <c r="J803" s="77"/>
      <c r="K803" s="66"/>
      <c r="L803" s="66"/>
      <c r="M803" s="79" t="str">
        <f>HYPERLINK("http://www.pristavka.com/catalog/funko/Fun83825/")</f>
        <v>http://www.pristavka.com/catalog/funko/Fun83825/</v>
      </c>
      <c r="N803" s="71"/>
      <c r="O803" s="66" t="s">
        <v>27</v>
      </c>
      <c r="P803" s="82" t="s">
        <v>4116</v>
      </c>
      <c r="Q803" s="84" t="s">
        <v>1594</v>
      </c>
      <c r="R803" s="84" t="s">
        <v>1075</v>
      </c>
      <c r="S803" s="84">
        <v>0.53500000000000003</v>
      </c>
      <c r="T803" s="82" t="s">
        <v>4117</v>
      </c>
      <c r="U803" s="84" t="s">
        <v>3584</v>
      </c>
      <c r="V803" s="54"/>
    </row>
    <row r="804" spans="1:22" s="11" customFormat="1" ht="45" customHeight="1" x14ac:dyDescent="0.2">
      <c r="A804" s="66" t="s">
        <v>3577</v>
      </c>
      <c r="B804" s="66" t="s">
        <v>1707</v>
      </c>
      <c r="C804" s="66" t="s">
        <v>3578</v>
      </c>
      <c r="D804" s="66">
        <v>60994</v>
      </c>
      <c r="E804" s="68" t="s">
        <v>4118</v>
      </c>
      <c r="F804" s="66" t="s">
        <v>4119</v>
      </c>
      <c r="G804" s="71">
        <v>50050</v>
      </c>
      <c r="H804" s="73"/>
      <c r="I804" s="75">
        <v>0.1</v>
      </c>
      <c r="J804" s="77"/>
      <c r="K804" s="66"/>
      <c r="L804" s="66"/>
      <c r="M804" s="79" t="str">
        <f>HYPERLINK("http://www.pristavka.com/catalog/funko/Fun25492108/")</f>
        <v>http://www.pristavka.com/catalog/funko/Fun25492108/</v>
      </c>
      <c r="N804" s="71">
        <v>76999</v>
      </c>
      <c r="O804" s="66" t="s">
        <v>28</v>
      </c>
      <c r="P804" s="82" t="s">
        <v>4120</v>
      </c>
      <c r="Q804" s="84" t="s">
        <v>1594</v>
      </c>
      <c r="R804" s="84" t="s">
        <v>1075</v>
      </c>
      <c r="S804" s="84">
        <v>2.5390000000000001</v>
      </c>
      <c r="T804" s="82" t="s">
        <v>4121</v>
      </c>
      <c r="U804" s="84" t="s">
        <v>3691</v>
      </c>
      <c r="V804" s="54"/>
    </row>
    <row r="805" spans="1:22" s="11" customFormat="1" ht="45" customHeight="1" x14ac:dyDescent="0.2">
      <c r="A805" s="66" t="s">
        <v>3577</v>
      </c>
      <c r="B805" s="66" t="s">
        <v>1707</v>
      </c>
      <c r="C805" s="66" t="s">
        <v>3578</v>
      </c>
      <c r="D805" s="66">
        <v>67391</v>
      </c>
      <c r="E805" s="68" t="s">
        <v>4122</v>
      </c>
      <c r="F805" s="66" t="s">
        <v>4123</v>
      </c>
      <c r="G805" s="71">
        <v>37700</v>
      </c>
      <c r="H805" s="73"/>
      <c r="I805" s="75">
        <v>0.1</v>
      </c>
      <c r="J805" s="77"/>
      <c r="K805" s="66"/>
      <c r="L805" s="66"/>
      <c r="M805" s="79" t="str">
        <f>HYPERLINK("http://www.pristavka.com/catalog/funko/Fun67391/")</f>
        <v>http://www.pristavka.com/catalog/funko/Fun67391/</v>
      </c>
      <c r="N805" s="71">
        <v>57999</v>
      </c>
      <c r="O805" s="66" t="s">
        <v>28</v>
      </c>
      <c r="P805" s="82" t="s">
        <v>4124</v>
      </c>
      <c r="Q805" s="84" t="s">
        <v>1075</v>
      </c>
      <c r="R805" s="84" t="s">
        <v>1075</v>
      </c>
      <c r="S805" s="84">
        <v>2.4300000000000002</v>
      </c>
      <c r="T805" s="82" t="s">
        <v>4125</v>
      </c>
      <c r="U805" s="84" t="s">
        <v>3691</v>
      </c>
      <c r="V805" s="54"/>
    </row>
    <row r="806" spans="1:22" s="11" customFormat="1" ht="45" customHeight="1" x14ac:dyDescent="0.2">
      <c r="A806" s="66" t="s">
        <v>3577</v>
      </c>
      <c r="B806" s="66" t="s">
        <v>1707</v>
      </c>
      <c r="C806" s="66" t="s">
        <v>3578</v>
      </c>
      <c r="D806" s="66">
        <v>72588</v>
      </c>
      <c r="E806" s="68" t="s">
        <v>4126</v>
      </c>
      <c r="F806" s="66" t="s">
        <v>4127</v>
      </c>
      <c r="G806" s="71">
        <v>0</v>
      </c>
      <c r="H806" s="73"/>
      <c r="I806" s="75">
        <v>0.1</v>
      </c>
      <c r="J806" s="77"/>
      <c r="K806" s="66"/>
      <c r="L806" s="66"/>
      <c r="M806" s="79" t="str">
        <f>HYPERLINK("http://www.pristavka.com/catalog/funko/Fun72588/")</f>
        <v>http://www.pristavka.com/catalog/funko/Fun72588/</v>
      </c>
      <c r="N806" s="71"/>
      <c r="O806" s="66" t="s">
        <v>27</v>
      </c>
      <c r="P806" s="82" t="s">
        <v>4128</v>
      </c>
      <c r="Q806" s="84" t="s">
        <v>1594</v>
      </c>
      <c r="R806" s="84" t="s">
        <v>1075</v>
      </c>
      <c r="S806" s="84">
        <v>0.51800000000000002</v>
      </c>
      <c r="T806" s="82" t="s">
        <v>4129</v>
      </c>
      <c r="U806" s="84" t="s">
        <v>3691</v>
      </c>
      <c r="V806" s="54"/>
    </row>
    <row r="807" spans="1:22" s="11" customFormat="1" ht="45" customHeight="1" x14ac:dyDescent="0.2">
      <c r="A807" s="66" t="s">
        <v>3577</v>
      </c>
      <c r="B807" s="66" t="s">
        <v>1707</v>
      </c>
      <c r="C807" s="66" t="s">
        <v>3578</v>
      </c>
      <c r="D807" s="66">
        <v>75382</v>
      </c>
      <c r="E807" s="68" t="s">
        <v>4130</v>
      </c>
      <c r="F807" s="66" t="s">
        <v>4131</v>
      </c>
      <c r="G807" s="71">
        <v>13000</v>
      </c>
      <c r="H807" s="73"/>
      <c r="I807" s="75">
        <v>0.1</v>
      </c>
      <c r="J807" s="77"/>
      <c r="K807" s="66"/>
      <c r="L807" s="66"/>
      <c r="M807" s="79" t="str">
        <f>HYPERLINK("http://www.pristavka.com/catalog/funko/Fun75382/")</f>
        <v>http://www.pristavka.com/catalog/funko/Fun75382/</v>
      </c>
      <c r="N807" s="71">
        <v>19999</v>
      </c>
      <c r="O807" s="66" t="s">
        <v>27</v>
      </c>
      <c r="P807" s="82" t="s">
        <v>4132</v>
      </c>
      <c r="Q807" s="84" t="s">
        <v>1594</v>
      </c>
      <c r="R807" s="84" t="s">
        <v>1075</v>
      </c>
      <c r="S807" s="84">
        <v>0.52</v>
      </c>
      <c r="T807" s="82" t="s">
        <v>4133</v>
      </c>
      <c r="U807" s="84" t="s">
        <v>3691</v>
      </c>
      <c r="V807" s="54"/>
    </row>
    <row r="808" spans="1:22" s="11" customFormat="1" ht="45" customHeight="1" x14ac:dyDescent="0.2">
      <c r="A808" s="66" t="s">
        <v>3577</v>
      </c>
      <c r="B808" s="66" t="s">
        <v>1707</v>
      </c>
      <c r="C808" s="66" t="s">
        <v>3578</v>
      </c>
      <c r="D808" s="66">
        <v>75383</v>
      </c>
      <c r="E808" s="68" t="s">
        <v>4134</v>
      </c>
      <c r="F808" s="66" t="s">
        <v>4135</v>
      </c>
      <c r="G808" s="71">
        <v>13000</v>
      </c>
      <c r="H808" s="73"/>
      <c r="I808" s="75">
        <v>0.1</v>
      </c>
      <c r="J808" s="77"/>
      <c r="K808" s="66"/>
      <c r="L808" s="66"/>
      <c r="M808" s="79" t="str">
        <f>HYPERLINK("http://www.pristavka.com/catalog/funko/Fun75383")</f>
        <v>http://www.pristavka.com/catalog/funko/Fun75383</v>
      </c>
      <c r="N808" s="71">
        <v>19999</v>
      </c>
      <c r="O808" s="66" t="s">
        <v>28</v>
      </c>
      <c r="P808" s="82" t="s">
        <v>4136</v>
      </c>
      <c r="Q808" s="84" t="s">
        <v>1075</v>
      </c>
      <c r="R808" s="84" t="s">
        <v>1075</v>
      </c>
      <c r="S808" s="84">
        <v>0.53200000000000003</v>
      </c>
      <c r="T808" s="82" t="s">
        <v>4137</v>
      </c>
      <c r="U808" s="84" t="s">
        <v>3691</v>
      </c>
      <c r="V808" s="54"/>
    </row>
    <row r="809" spans="1:22" s="11" customFormat="1" ht="45" customHeight="1" x14ac:dyDescent="0.2">
      <c r="A809" s="66" t="s">
        <v>3577</v>
      </c>
      <c r="B809" s="66" t="s">
        <v>1707</v>
      </c>
      <c r="C809" s="66" t="s">
        <v>3578</v>
      </c>
      <c r="D809" s="66">
        <v>57783</v>
      </c>
      <c r="E809" s="68" t="s">
        <v>4138</v>
      </c>
      <c r="F809" s="66" t="s">
        <v>4139</v>
      </c>
      <c r="G809" s="71">
        <v>6500</v>
      </c>
      <c r="H809" s="73"/>
      <c r="I809" s="75">
        <v>0.1</v>
      </c>
      <c r="J809" s="77"/>
      <c r="K809" s="66"/>
      <c r="L809" s="66"/>
      <c r="M809" s="79" t="str">
        <f>HYPERLINK("http://www.pristavka.com/catalog/funko/Fun25491992/")</f>
        <v>http://www.pristavka.com/catalog/funko/Fun25491992/</v>
      </c>
      <c r="N809" s="71">
        <v>9999</v>
      </c>
      <c r="O809" s="66" t="s">
        <v>27</v>
      </c>
      <c r="P809" s="82" t="s">
        <v>4140</v>
      </c>
      <c r="Q809" s="84" t="s">
        <v>4141</v>
      </c>
      <c r="R809" s="84" t="s">
        <v>1303</v>
      </c>
      <c r="S809" s="84">
        <v>0.156</v>
      </c>
      <c r="T809" s="82" t="s">
        <v>4091</v>
      </c>
      <c r="U809" s="84" t="s">
        <v>3584</v>
      </c>
      <c r="V809" s="54"/>
    </row>
    <row r="810" spans="1:22" s="11" customFormat="1" ht="45" customHeight="1" x14ac:dyDescent="0.2">
      <c r="A810" s="66" t="s">
        <v>3577</v>
      </c>
      <c r="B810" s="66" t="s">
        <v>1707</v>
      </c>
      <c r="C810" s="66" t="s">
        <v>3578</v>
      </c>
      <c r="D810" s="66">
        <v>57787</v>
      </c>
      <c r="E810" s="68" t="s">
        <v>4142</v>
      </c>
      <c r="F810" s="66" t="s">
        <v>4143</v>
      </c>
      <c r="G810" s="71">
        <v>6500</v>
      </c>
      <c r="H810" s="73"/>
      <c r="I810" s="75">
        <v>0.1</v>
      </c>
      <c r="J810" s="77"/>
      <c r="K810" s="66"/>
      <c r="L810" s="66"/>
      <c r="M810" s="79" t="str">
        <f>HYPERLINK("http://www.pristavka.com/catalog/funko/Fun25491996/")</f>
        <v>http://www.pristavka.com/catalog/funko/Fun25491996/</v>
      </c>
      <c r="N810" s="71">
        <v>9999</v>
      </c>
      <c r="O810" s="66" t="s">
        <v>27</v>
      </c>
      <c r="P810" s="82" t="s">
        <v>4144</v>
      </c>
      <c r="Q810" s="84" t="s">
        <v>4141</v>
      </c>
      <c r="R810" s="84" t="s">
        <v>1303</v>
      </c>
      <c r="S810" s="84">
        <v>0.151</v>
      </c>
      <c r="T810" s="82" t="s">
        <v>4084</v>
      </c>
      <c r="U810" s="84" t="s">
        <v>3584</v>
      </c>
      <c r="V810" s="54"/>
    </row>
    <row r="811" spans="1:22" s="11" customFormat="1" ht="45" customHeight="1" x14ac:dyDescent="0.2">
      <c r="A811" s="66" t="s">
        <v>3577</v>
      </c>
      <c r="B811" s="66" t="s">
        <v>1707</v>
      </c>
      <c r="C811" s="66" t="s">
        <v>3578</v>
      </c>
      <c r="D811" s="66">
        <v>83535</v>
      </c>
      <c r="E811" s="68" t="s">
        <v>4145</v>
      </c>
      <c r="F811" s="66" t="s">
        <v>4146</v>
      </c>
      <c r="G811" s="71">
        <v>6500</v>
      </c>
      <c r="H811" s="73"/>
      <c r="I811" s="75">
        <v>0.1</v>
      </c>
      <c r="J811" s="77"/>
      <c r="K811" s="66"/>
      <c r="L811" s="66"/>
      <c r="M811" s="79" t="str">
        <f>HYPERLINK("http://www.pristavka.com/catalog/funko/Fun83535/")</f>
        <v>http://www.pristavka.com/catalog/funko/Fun83535/</v>
      </c>
      <c r="N811" s="71">
        <v>9999</v>
      </c>
      <c r="O811" s="66" t="s">
        <v>27</v>
      </c>
      <c r="P811" s="82" t="s">
        <v>4147</v>
      </c>
      <c r="Q811" s="84" t="s">
        <v>4148</v>
      </c>
      <c r="R811" s="84" t="s">
        <v>1765</v>
      </c>
      <c r="S811" s="84">
        <v>0.14000000000000001</v>
      </c>
      <c r="T811" s="82" t="s">
        <v>4113</v>
      </c>
      <c r="U811" s="84" t="s">
        <v>3584</v>
      </c>
      <c r="V811" s="54"/>
    </row>
    <row r="812" spans="1:22" s="11" customFormat="1" ht="45" customHeight="1" x14ac:dyDescent="0.2">
      <c r="A812" s="66" t="s">
        <v>3577</v>
      </c>
      <c r="B812" s="66" t="s">
        <v>1707</v>
      </c>
      <c r="C812" s="66" t="s">
        <v>3578</v>
      </c>
      <c r="D812" s="66">
        <v>83536</v>
      </c>
      <c r="E812" s="68" t="s">
        <v>4149</v>
      </c>
      <c r="F812" s="66" t="s">
        <v>4150</v>
      </c>
      <c r="G812" s="71">
        <v>6500</v>
      </c>
      <c r="H812" s="73"/>
      <c r="I812" s="75">
        <v>0.1</v>
      </c>
      <c r="J812" s="77"/>
      <c r="K812" s="66"/>
      <c r="L812" s="66"/>
      <c r="M812" s="79" t="str">
        <f>HYPERLINK("http://www.pristavka.com/catalog/funko/Fun83536/")</f>
        <v>http://www.pristavka.com/catalog/funko/Fun83536/</v>
      </c>
      <c r="N812" s="71">
        <v>9999</v>
      </c>
      <c r="O812" s="66" t="s">
        <v>27</v>
      </c>
      <c r="P812" s="82" t="s">
        <v>4151</v>
      </c>
      <c r="Q812" s="84" t="s">
        <v>4148</v>
      </c>
      <c r="R812" s="84" t="s">
        <v>1765</v>
      </c>
      <c r="S812" s="84">
        <v>0.124</v>
      </c>
      <c r="T812" s="82" t="s">
        <v>4102</v>
      </c>
      <c r="U812" s="84" t="s">
        <v>3584</v>
      </c>
      <c r="V812" s="54"/>
    </row>
    <row r="813" spans="1:22" s="11" customFormat="1" ht="45" customHeight="1" x14ac:dyDescent="0.2">
      <c r="A813" s="66" t="s">
        <v>3577</v>
      </c>
      <c r="B813" s="66" t="s">
        <v>1707</v>
      </c>
      <c r="C813" s="66" t="s">
        <v>3578</v>
      </c>
      <c r="D813" s="66">
        <v>83537</v>
      </c>
      <c r="E813" s="68" t="s">
        <v>4152</v>
      </c>
      <c r="F813" s="66" t="s">
        <v>4153</v>
      </c>
      <c r="G813" s="71">
        <v>6500</v>
      </c>
      <c r="H813" s="73"/>
      <c r="I813" s="75">
        <v>0.1</v>
      </c>
      <c r="J813" s="77"/>
      <c r="K813" s="66"/>
      <c r="L813" s="66"/>
      <c r="M813" s="79" t="str">
        <f>HYPERLINK("http://www.pristavka.com/catalog/funko/Fun83537/")</f>
        <v>http://www.pristavka.com/catalog/funko/Fun83537/</v>
      </c>
      <c r="N813" s="71">
        <v>9999</v>
      </c>
      <c r="O813" s="66" t="s">
        <v>27</v>
      </c>
      <c r="P813" s="82" t="s">
        <v>4154</v>
      </c>
      <c r="Q813" s="84" t="s">
        <v>4148</v>
      </c>
      <c r="R813" s="84" t="s">
        <v>1765</v>
      </c>
      <c r="S813" s="84">
        <v>0.105</v>
      </c>
      <c r="T813" s="82" t="s">
        <v>4113</v>
      </c>
      <c r="U813" s="84" t="s">
        <v>3584</v>
      </c>
      <c r="V813" s="54"/>
    </row>
    <row r="814" spans="1:22" s="11" customFormat="1" ht="45" customHeight="1" x14ac:dyDescent="0.2">
      <c r="A814" s="66" t="s">
        <v>3577</v>
      </c>
      <c r="B814" s="66" t="s">
        <v>1707</v>
      </c>
      <c r="C814" s="66" t="s">
        <v>3578</v>
      </c>
      <c r="D814" s="66">
        <v>71251</v>
      </c>
      <c r="E814" s="68" t="s">
        <v>4155</v>
      </c>
      <c r="F814" s="66" t="s">
        <v>4156</v>
      </c>
      <c r="G814" s="71">
        <v>6890</v>
      </c>
      <c r="H814" s="73"/>
      <c r="I814" s="75">
        <v>0.1</v>
      </c>
      <c r="J814" s="77"/>
      <c r="K814" s="66"/>
      <c r="L814" s="66"/>
      <c r="M814" s="79" t="str">
        <f>HYPERLINK("http://www.pristavka.com/catalog/funko/Fun71251/")</f>
        <v>http://www.pristavka.com/catalog/funko/Fun71251/</v>
      </c>
      <c r="N814" s="71">
        <v>10599</v>
      </c>
      <c r="O814" s="66" t="s">
        <v>27</v>
      </c>
      <c r="P814" s="82" t="s">
        <v>4157</v>
      </c>
      <c r="Q814" s="84" t="s">
        <v>4158</v>
      </c>
      <c r="R814" s="84" t="s">
        <v>1068</v>
      </c>
      <c r="S814" s="84">
        <v>0.14599999999999999</v>
      </c>
      <c r="T814" s="82" t="s">
        <v>4102</v>
      </c>
      <c r="U814" s="84" t="s">
        <v>3584</v>
      </c>
      <c r="V814" s="54"/>
    </row>
    <row r="815" spans="1:22" s="11" customFormat="1" ht="45" customHeight="1" x14ac:dyDescent="0.2">
      <c r="A815" s="66" t="s">
        <v>3577</v>
      </c>
      <c r="B815" s="66" t="s">
        <v>1707</v>
      </c>
      <c r="C815" s="66" t="s">
        <v>3578</v>
      </c>
      <c r="D815" s="66">
        <v>67926</v>
      </c>
      <c r="E815" s="68" t="s">
        <v>4159</v>
      </c>
      <c r="F815" s="66" t="s">
        <v>4160</v>
      </c>
      <c r="G815" s="71">
        <v>6500</v>
      </c>
      <c r="H815" s="73"/>
      <c r="I815" s="75">
        <v>0.1</v>
      </c>
      <c r="J815" s="77"/>
      <c r="K815" s="66"/>
      <c r="L815" s="66"/>
      <c r="M815" s="79" t="str">
        <f>HYPERLINK("http://www.pristavka.com/catalog/funko/Fun67926/")</f>
        <v>http://www.pristavka.com/catalog/funko/Fun67926/</v>
      </c>
      <c r="N815" s="71">
        <v>9999</v>
      </c>
      <c r="O815" s="66" t="s">
        <v>27</v>
      </c>
      <c r="P815" s="82" t="s">
        <v>4161</v>
      </c>
      <c r="Q815" s="84" t="s">
        <v>4158</v>
      </c>
      <c r="R815" s="84" t="s">
        <v>1068</v>
      </c>
      <c r="S815" s="84">
        <v>0.13100000000000001</v>
      </c>
      <c r="T815" s="82" t="s">
        <v>4084</v>
      </c>
      <c r="U815" s="84" t="s">
        <v>3584</v>
      </c>
      <c r="V815" s="54"/>
    </row>
    <row r="816" spans="1:22" s="11" customFormat="1" ht="45" customHeight="1" x14ac:dyDescent="0.2">
      <c r="A816" s="66" t="s">
        <v>3577</v>
      </c>
      <c r="B816" s="66" t="s">
        <v>1707</v>
      </c>
      <c r="C816" s="66" t="s">
        <v>3578</v>
      </c>
      <c r="D816" s="66">
        <v>72099</v>
      </c>
      <c r="E816" s="68" t="s">
        <v>4162</v>
      </c>
      <c r="F816" s="66" t="s">
        <v>4163</v>
      </c>
      <c r="G816" s="71">
        <v>6500</v>
      </c>
      <c r="H816" s="73"/>
      <c r="I816" s="75">
        <v>0.1</v>
      </c>
      <c r="J816" s="77"/>
      <c r="K816" s="66"/>
      <c r="L816" s="66"/>
      <c r="M816" s="79" t="str">
        <f>HYPERLINK("http://www.pristavka.com/catalog/funko/Fun72099/")</f>
        <v>http://www.pristavka.com/catalog/funko/Fun72099/</v>
      </c>
      <c r="N816" s="71">
        <v>9999</v>
      </c>
      <c r="O816" s="66" t="s">
        <v>27</v>
      </c>
      <c r="P816" s="82" t="s">
        <v>4164</v>
      </c>
      <c r="Q816" s="84" t="s">
        <v>3749</v>
      </c>
      <c r="R816" s="84" t="s">
        <v>1068</v>
      </c>
      <c r="S816" s="84">
        <v>0.152</v>
      </c>
      <c r="T816" s="82" t="s">
        <v>4165</v>
      </c>
      <c r="U816" s="84" t="s">
        <v>3584</v>
      </c>
      <c r="V816" s="54"/>
    </row>
    <row r="817" spans="1:22" s="11" customFormat="1" ht="45" customHeight="1" x14ac:dyDescent="0.2">
      <c r="A817" s="66" t="s">
        <v>3577</v>
      </c>
      <c r="B817" s="66" t="s">
        <v>1707</v>
      </c>
      <c r="C817" s="66" t="s">
        <v>3578</v>
      </c>
      <c r="D817" s="66">
        <v>72101</v>
      </c>
      <c r="E817" s="68" t="s">
        <v>4166</v>
      </c>
      <c r="F817" s="66" t="s">
        <v>4167</v>
      </c>
      <c r="G817" s="71">
        <v>6500</v>
      </c>
      <c r="H817" s="73"/>
      <c r="I817" s="75">
        <v>0.1</v>
      </c>
      <c r="J817" s="77"/>
      <c r="K817" s="66"/>
      <c r="L817" s="66"/>
      <c r="M817" s="79" t="str">
        <f>HYPERLINK("http://www.pristavka.com/catalog/funko/Fun72101/")</f>
        <v>http://www.pristavka.com/catalog/funko/Fun72101/</v>
      </c>
      <c r="N817" s="71">
        <v>9999</v>
      </c>
      <c r="O817" s="66" t="s">
        <v>27</v>
      </c>
      <c r="P817" s="82" t="s">
        <v>4168</v>
      </c>
      <c r="Q817" s="84" t="s">
        <v>3749</v>
      </c>
      <c r="R817" s="84" t="s">
        <v>1068</v>
      </c>
      <c r="S817" s="84">
        <v>0.186</v>
      </c>
      <c r="T817" s="82" t="s">
        <v>4165</v>
      </c>
      <c r="U817" s="84" t="s">
        <v>3584</v>
      </c>
      <c r="V817" s="54"/>
    </row>
    <row r="818" spans="1:22" s="11" customFormat="1" ht="45" customHeight="1" x14ac:dyDescent="0.2">
      <c r="A818" s="66" t="s">
        <v>3577</v>
      </c>
      <c r="B818" s="66" t="s">
        <v>1707</v>
      </c>
      <c r="C818" s="66" t="s">
        <v>3578</v>
      </c>
      <c r="D818" s="66">
        <v>72115</v>
      </c>
      <c r="E818" s="68" t="s">
        <v>4169</v>
      </c>
      <c r="F818" s="66" t="s">
        <v>4170</v>
      </c>
      <c r="G818" s="71">
        <v>6500</v>
      </c>
      <c r="H818" s="73"/>
      <c r="I818" s="75">
        <v>0.1</v>
      </c>
      <c r="J818" s="77"/>
      <c r="K818" s="66"/>
      <c r="L818" s="66"/>
      <c r="M818" s="79" t="str">
        <f>HYPERLINK("http://www.pristavka.com/catalog/funko/Fun72115/")</f>
        <v>http://www.pristavka.com/catalog/funko/Fun72115/</v>
      </c>
      <c r="N818" s="71">
        <v>9999</v>
      </c>
      <c r="O818" s="66" t="s">
        <v>27</v>
      </c>
      <c r="P818" s="82" t="s">
        <v>4171</v>
      </c>
      <c r="Q818" s="84" t="s">
        <v>4172</v>
      </c>
      <c r="R818" s="84" t="s">
        <v>1068</v>
      </c>
      <c r="S818" s="84">
        <v>0.152</v>
      </c>
      <c r="T818" s="82" t="s">
        <v>4113</v>
      </c>
      <c r="U818" s="84" t="s">
        <v>3584</v>
      </c>
      <c r="V818" s="54"/>
    </row>
    <row r="819" spans="1:22" s="11" customFormat="1" ht="45" customHeight="1" x14ac:dyDescent="0.2">
      <c r="A819" s="66" t="s">
        <v>3577</v>
      </c>
      <c r="B819" s="66" t="s">
        <v>1707</v>
      </c>
      <c r="C819" s="66" t="s">
        <v>3578</v>
      </c>
      <c r="D819" s="66">
        <v>72116</v>
      </c>
      <c r="E819" s="68" t="s">
        <v>4173</v>
      </c>
      <c r="F819" s="66" t="s">
        <v>4174</v>
      </c>
      <c r="G819" s="71">
        <v>6500</v>
      </c>
      <c r="H819" s="73"/>
      <c r="I819" s="75">
        <v>0.1</v>
      </c>
      <c r="J819" s="77"/>
      <c r="K819" s="66"/>
      <c r="L819" s="66"/>
      <c r="M819" s="79" t="str">
        <f>HYPERLINK("http://www.pristavka.com/catalog/funko/Fun72116/")</f>
        <v>http://www.pristavka.com/catalog/funko/Fun72116/</v>
      </c>
      <c r="N819" s="71">
        <v>9999</v>
      </c>
      <c r="O819" s="66" t="s">
        <v>27</v>
      </c>
      <c r="P819" s="82" t="s">
        <v>4175</v>
      </c>
      <c r="Q819" s="84" t="s">
        <v>4172</v>
      </c>
      <c r="R819" s="84" t="s">
        <v>1068</v>
      </c>
      <c r="S819" s="84">
        <v>0.157</v>
      </c>
      <c r="T819" s="82" t="s">
        <v>4113</v>
      </c>
      <c r="U819" s="84" t="s">
        <v>3584</v>
      </c>
      <c r="V819" s="54"/>
    </row>
    <row r="820" spans="1:22" s="11" customFormat="1" ht="45" customHeight="1" x14ac:dyDescent="0.2">
      <c r="A820" s="66" t="s">
        <v>3577</v>
      </c>
      <c r="B820" s="66" t="s">
        <v>1707</v>
      </c>
      <c r="C820" s="66" t="s">
        <v>3578</v>
      </c>
      <c r="D820" s="66">
        <v>74393</v>
      </c>
      <c r="E820" s="68" t="s">
        <v>4176</v>
      </c>
      <c r="F820" s="66" t="s">
        <v>4177</v>
      </c>
      <c r="G820" s="71">
        <v>6890</v>
      </c>
      <c r="H820" s="73"/>
      <c r="I820" s="75">
        <v>0.1</v>
      </c>
      <c r="J820" s="77"/>
      <c r="K820" s="66"/>
      <c r="L820" s="66"/>
      <c r="M820" s="79" t="str">
        <f>HYPERLINK("http://www.pristavka.com/catalog/funko/Fun74393/")</f>
        <v>http://www.pristavka.com/catalog/funko/Fun74393/</v>
      </c>
      <c r="N820" s="71">
        <v>10599</v>
      </c>
      <c r="O820" s="66" t="s">
        <v>27</v>
      </c>
      <c r="P820" s="82" t="s">
        <v>4178</v>
      </c>
      <c r="Q820" s="84" t="s">
        <v>4172</v>
      </c>
      <c r="R820" s="84" t="s">
        <v>1068</v>
      </c>
      <c r="S820" s="84">
        <v>0.154</v>
      </c>
      <c r="T820" s="82" t="s">
        <v>4113</v>
      </c>
      <c r="U820" s="84" t="s">
        <v>3584</v>
      </c>
      <c r="V820" s="54"/>
    </row>
    <row r="821" spans="1:22" s="11" customFormat="1" ht="45" customHeight="1" x14ac:dyDescent="0.2">
      <c r="A821" s="66" t="s">
        <v>3577</v>
      </c>
      <c r="B821" s="66" t="s">
        <v>1707</v>
      </c>
      <c r="C821" s="66" t="s">
        <v>3578</v>
      </c>
      <c r="D821" s="66">
        <v>72117</v>
      </c>
      <c r="E821" s="68" t="s">
        <v>4179</v>
      </c>
      <c r="F821" s="66" t="s">
        <v>4180</v>
      </c>
      <c r="G821" s="71">
        <v>6500</v>
      </c>
      <c r="H821" s="73"/>
      <c r="I821" s="75">
        <v>0.1</v>
      </c>
      <c r="J821" s="77"/>
      <c r="K821" s="66"/>
      <c r="L821" s="66"/>
      <c r="M821" s="79" t="str">
        <f>HYPERLINK("http://www.pristavka.com/catalog/funko/Fun72117/")</f>
        <v>http://www.pristavka.com/catalog/funko/Fun72117/</v>
      </c>
      <c r="N821" s="71">
        <v>9999</v>
      </c>
      <c r="O821" s="66" t="s">
        <v>28</v>
      </c>
      <c r="P821" s="82" t="s">
        <v>4181</v>
      </c>
      <c r="Q821" s="84" t="s">
        <v>4172</v>
      </c>
      <c r="R821" s="84" t="s">
        <v>1068</v>
      </c>
      <c r="S821" s="84">
        <v>0.14799999999999999</v>
      </c>
      <c r="T821" s="82" t="s">
        <v>4113</v>
      </c>
      <c r="U821" s="84" t="s">
        <v>3584</v>
      </c>
      <c r="V821" s="54"/>
    </row>
    <row r="822" spans="1:22" s="11" customFormat="1" ht="45" customHeight="1" x14ac:dyDescent="0.2">
      <c r="A822" s="66" t="s">
        <v>3577</v>
      </c>
      <c r="B822" s="66" t="s">
        <v>1707</v>
      </c>
      <c r="C822" s="66" t="s">
        <v>3578</v>
      </c>
      <c r="D822" s="66">
        <v>72118</v>
      </c>
      <c r="E822" s="68" t="s">
        <v>4182</v>
      </c>
      <c r="F822" s="66" t="s">
        <v>4183</v>
      </c>
      <c r="G822" s="71">
        <v>6500</v>
      </c>
      <c r="H822" s="73"/>
      <c r="I822" s="75">
        <v>0.1</v>
      </c>
      <c r="J822" s="77"/>
      <c r="K822" s="66"/>
      <c r="L822" s="66"/>
      <c r="M822" s="79" t="str">
        <f>HYPERLINK("http://www.pristavka.com/catalog/funko/Fun72118/")</f>
        <v>http://www.pristavka.com/catalog/funko/Fun72118/</v>
      </c>
      <c r="N822" s="71">
        <v>9999</v>
      </c>
      <c r="O822" s="66" t="s">
        <v>27</v>
      </c>
      <c r="P822" s="82" t="s">
        <v>4184</v>
      </c>
      <c r="Q822" s="84" t="s">
        <v>4172</v>
      </c>
      <c r="R822" s="84" t="s">
        <v>1068</v>
      </c>
      <c r="S822" s="84">
        <v>0.14199999999999999</v>
      </c>
      <c r="T822" s="82" t="s">
        <v>4113</v>
      </c>
      <c r="U822" s="84" t="s">
        <v>3584</v>
      </c>
      <c r="V822" s="54"/>
    </row>
    <row r="823" spans="1:22" s="11" customFormat="1" ht="45" customHeight="1" x14ac:dyDescent="0.2">
      <c r="A823" s="66" t="s">
        <v>3577</v>
      </c>
      <c r="B823" s="66" t="s">
        <v>1707</v>
      </c>
      <c r="C823" s="66" t="s">
        <v>3578</v>
      </c>
      <c r="D823" s="66">
        <v>80294</v>
      </c>
      <c r="E823" s="68" t="s">
        <v>4185</v>
      </c>
      <c r="F823" s="66" t="s">
        <v>4186</v>
      </c>
      <c r="G823" s="71">
        <v>6500</v>
      </c>
      <c r="H823" s="73"/>
      <c r="I823" s="75">
        <v>0.1</v>
      </c>
      <c r="J823" s="77"/>
      <c r="K823" s="66"/>
      <c r="L823" s="66"/>
      <c r="M823" s="79" t="str">
        <f>HYPERLINK("http://www.pristavka.com/catalog/funko/Fun80294/")</f>
        <v>http://www.pristavka.com/catalog/funko/Fun80294/</v>
      </c>
      <c r="N823" s="71">
        <v>9999</v>
      </c>
      <c r="O823" s="66" t="s">
        <v>27</v>
      </c>
      <c r="P823" s="82" t="s">
        <v>4187</v>
      </c>
      <c r="Q823" s="84" t="s">
        <v>4172</v>
      </c>
      <c r="R823" s="84" t="s">
        <v>1068</v>
      </c>
      <c r="S823" s="84">
        <v>0.222</v>
      </c>
      <c r="T823" s="82" t="s">
        <v>4084</v>
      </c>
      <c r="U823" s="84" t="s">
        <v>3584</v>
      </c>
      <c r="V823" s="54"/>
    </row>
    <row r="824" spans="1:22" s="11" customFormat="1" ht="45" customHeight="1" x14ac:dyDescent="0.2">
      <c r="A824" s="66" t="s">
        <v>3577</v>
      </c>
      <c r="B824" s="66" t="s">
        <v>1707</v>
      </c>
      <c r="C824" s="66" t="s">
        <v>3578</v>
      </c>
      <c r="D824" s="66">
        <v>80295</v>
      </c>
      <c r="E824" s="68" t="s">
        <v>4188</v>
      </c>
      <c r="F824" s="66" t="s">
        <v>4189</v>
      </c>
      <c r="G824" s="71">
        <v>6500</v>
      </c>
      <c r="H824" s="73"/>
      <c r="I824" s="75">
        <v>0.1</v>
      </c>
      <c r="J824" s="77"/>
      <c r="K824" s="66"/>
      <c r="L824" s="66"/>
      <c r="M824" s="79" t="str">
        <f>HYPERLINK("http://www.pristavka.com/catalog/funko/Fun80295/")</f>
        <v>http://www.pristavka.com/catalog/funko/Fun80295/</v>
      </c>
      <c r="N824" s="71">
        <v>9999</v>
      </c>
      <c r="O824" s="66" t="s">
        <v>27</v>
      </c>
      <c r="P824" s="82" t="s">
        <v>4190</v>
      </c>
      <c r="Q824" s="84" t="s">
        <v>4172</v>
      </c>
      <c r="R824" s="84" t="s">
        <v>1068</v>
      </c>
      <c r="S824" s="84">
        <v>0.14599999999999999</v>
      </c>
      <c r="T824" s="82" t="s">
        <v>4084</v>
      </c>
      <c r="U824" s="84" t="s">
        <v>3584</v>
      </c>
      <c r="V824" s="54"/>
    </row>
    <row r="825" spans="1:22" s="11" customFormat="1" ht="45" customHeight="1" x14ac:dyDescent="0.2">
      <c r="A825" s="66" t="s">
        <v>3577</v>
      </c>
      <c r="B825" s="66" t="s">
        <v>1707</v>
      </c>
      <c r="C825" s="66" t="s">
        <v>3578</v>
      </c>
      <c r="D825" s="66">
        <v>72119</v>
      </c>
      <c r="E825" s="68" t="s">
        <v>4191</v>
      </c>
      <c r="F825" s="66" t="s">
        <v>4192</v>
      </c>
      <c r="G825" s="71">
        <v>6500</v>
      </c>
      <c r="H825" s="73"/>
      <c r="I825" s="75">
        <v>0.1</v>
      </c>
      <c r="J825" s="77"/>
      <c r="K825" s="66"/>
      <c r="L825" s="66"/>
      <c r="M825" s="79" t="str">
        <f>HYPERLINK("http://www.pristavka.com/catalog/funko/Fun72119/")</f>
        <v>http://www.pristavka.com/catalog/funko/Fun72119/</v>
      </c>
      <c r="N825" s="71">
        <v>9999</v>
      </c>
      <c r="O825" s="66" t="s">
        <v>27</v>
      </c>
      <c r="P825" s="82" t="s">
        <v>4193</v>
      </c>
      <c r="Q825" s="84" t="s">
        <v>4172</v>
      </c>
      <c r="R825" s="84" t="s">
        <v>1068</v>
      </c>
      <c r="S825" s="84">
        <v>0.14799999999999999</v>
      </c>
      <c r="T825" s="82" t="s">
        <v>4113</v>
      </c>
      <c r="U825" s="84" t="s">
        <v>3584</v>
      </c>
      <c r="V825" s="54"/>
    </row>
    <row r="826" spans="1:22" s="11" customFormat="1" ht="45" customHeight="1" x14ac:dyDescent="0.2">
      <c r="A826" s="66" t="s">
        <v>3577</v>
      </c>
      <c r="B826" s="66" t="s">
        <v>1707</v>
      </c>
      <c r="C826" s="66" t="s">
        <v>3578</v>
      </c>
      <c r="D826" s="66">
        <v>70569</v>
      </c>
      <c r="E826" s="68" t="s">
        <v>4194</v>
      </c>
      <c r="F826" s="66" t="s">
        <v>4195</v>
      </c>
      <c r="G826" s="71">
        <v>6500</v>
      </c>
      <c r="H826" s="73"/>
      <c r="I826" s="75">
        <v>0.1</v>
      </c>
      <c r="J826" s="77"/>
      <c r="K826" s="66"/>
      <c r="L826" s="66"/>
      <c r="M826" s="79" t="str">
        <f>HYPERLINK("http://www.pristavka.com/catalog/funko/Fun70569/")</f>
        <v>http://www.pristavka.com/catalog/funko/Fun70569/</v>
      </c>
      <c r="N826" s="71">
        <v>9999</v>
      </c>
      <c r="O826" s="66" t="s">
        <v>27</v>
      </c>
      <c r="P826" s="82" t="s">
        <v>4196</v>
      </c>
      <c r="Q826" s="84" t="s">
        <v>4172</v>
      </c>
      <c r="R826" s="84" t="s">
        <v>1068</v>
      </c>
      <c r="S826" s="84">
        <v>0.12</v>
      </c>
      <c r="T826" s="82" t="s">
        <v>4084</v>
      </c>
      <c r="U826" s="84" t="s">
        <v>3584</v>
      </c>
      <c r="V826" s="54"/>
    </row>
    <row r="827" spans="1:22" s="11" customFormat="1" ht="45" customHeight="1" x14ac:dyDescent="0.2">
      <c r="A827" s="66" t="s">
        <v>3577</v>
      </c>
      <c r="B827" s="66" t="s">
        <v>1707</v>
      </c>
      <c r="C827" s="66" t="s">
        <v>3578</v>
      </c>
      <c r="D827" s="66">
        <v>80296</v>
      </c>
      <c r="E827" s="68" t="s">
        <v>4197</v>
      </c>
      <c r="F827" s="66" t="s">
        <v>4198</v>
      </c>
      <c r="G827" s="71">
        <v>6500</v>
      </c>
      <c r="H827" s="73"/>
      <c r="I827" s="75">
        <v>0.1</v>
      </c>
      <c r="J827" s="77"/>
      <c r="K827" s="66"/>
      <c r="L827" s="66"/>
      <c r="M827" s="79" t="str">
        <f>HYPERLINK("http://www.pristavka.com/catalog/funko/Fun80296/")</f>
        <v>http://www.pristavka.com/catalog/funko/Fun80296/</v>
      </c>
      <c r="N827" s="71">
        <v>9999</v>
      </c>
      <c r="O827" s="66" t="s">
        <v>27</v>
      </c>
      <c r="P827" s="82" t="s">
        <v>4199</v>
      </c>
      <c r="Q827" s="84" t="s">
        <v>4172</v>
      </c>
      <c r="R827" s="84" t="s">
        <v>1068</v>
      </c>
      <c r="S827" s="84">
        <v>0.184</v>
      </c>
      <c r="T827" s="82" t="s">
        <v>4084</v>
      </c>
      <c r="U827" s="84" t="s">
        <v>3584</v>
      </c>
      <c r="V827" s="54"/>
    </row>
    <row r="828" spans="1:22" s="11" customFormat="1" ht="45" customHeight="1" x14ac:dyDescent="0.2">
      <c r="A828" s="66" t="s">
        <v>3577</v>
      </c>
      <c r="B828" s="66" t="s">
        <v>1707</v>
      </c>
      <c r="C828" s="66" t="s">
        <v>3578</v>
      </c>
      <c r="D828" s="66">
        <v>59241</v>
      </c>
      <c r="E828" s="68" t="s">
        <v>4200</v>
      </c>
      <c r="F828" s="66" t="s">
        <v>4201</v>
      </c>
      <c r="G828" s="71">
        <v>6500</v>
      </c>
      <c r="H828" s="73"/>
      <c r="I828" s="75">
        <v>0.1</v>
      </c>
      <c r="J828" s="77"/>
      <c r="K828" s="66"/>
      <c r="L828" s="66"/>
      <c r="M828" s="79" t="str">
        <f>HYPERLINK("http://www.pristavka.com/catalog/funko/Fun59241/")</f>
        <v>http://www.pristavka.com/catalog/funko/Fun59241/</v>
      </c>
      <c r="N828" s="71">
        <v>9999</v>
      </c>
      <c r="O828" s="66" t="s">
        <v>27</v>
      </c>
      <c r="P828" s="82" t="s">
        <v>4202</v>
      </c>
      <c r="Q828" s="84" t="s">
        <v>4172</v>
      </c>
      <c r="R828" s="84" t="s">
        <v>1068</v>
      </c>
      <c r="S828" s="84">
        <v>0.17799999999999999</v>
      </c>
      <c r="T828" s="82" t="s">
        <v>4084</v>
      </c>
      <c r="U828" s="84" t="s">
        <v>3584</v>
      </c>
      <c r="V828" s="54"/>
    </row>
    <row r="829" spans="1:22" s="11" customFormat="1" ht="45" customHeight="1" x14ac:dyDescent="0.2">
      <c r="A829" s="66" t="s">
        <v>3577</v>
      </c>
      <c r="B829" s="66" t="s">
        <v>1707</v>
      </c>
      <c r="C829" s="66" t="s">
        <v>3578</v>
      </c>
      <c r="D829" s="66">
        <v>75507</v>
      </c>
      <c r="E829" s="68" t="s">
        <v>4203</v>
      </c>
      <c r="F829" s="66" t="s">
        <v>4204</v>
      </c>
      <c r="G829" s="71">
        <v>6500</v>
      </c>
      <c r="H829" s="73"/>
      <c r="I829" s="75">
        <v>0.1</v>
      </c>
      <c r="J829" s="77"/>
      <c r="K829" s="66"/>
      <c r="L829" s="66"/>
      <c r="M829" s="79" t="str">
        <f>HYPERLINK("http://www.pristavka.com/catalog/funko/Fun75507/")</f>
        <v>http://www.pristavka.com/catalog/funko/Fun75507/</v>
      </c>
      <c r="N829" s="71">
        <v>9999</v>
      </c>
      <c r="O829" s="66" t="s">
        <v>27</v>
      </c>
      <c r="P829" s="82" t="s">
        <v>4205</v>
      </c>
      <c r="Q829" s="84" t="s">
        <v>2972</v>
      </c>
      <c r="R829" s="84" t="s">
        <v>1068</v>
      </c>
      <c r="S829" s="84">
        <v>0.152</v>
      </c>
      <c r="T829" s="82" t="s">
        <v>4206</v>
      </c>
      <c r="U829" s="84" t="s">
        <v>3584</v>
      </c>
      <c r="V829" s="54"/>
    </row>
    <row r="830" spans="1:22" s="11" customFormat="1" ht="45" customHeight="1" x14ac:dyDescent="0.2">
      <c r="A830" s="66" t="s">
        <v>3577</v>
      </c>
      <c r="B830" s="66" t="s">
        <v>1707</v>
      </c>
      <c r="C830" s="66" t="s">
        <v>3578</v>
      </c>
      <c r="D830" s="66">
        <v>80258</v>
      </c>
      <c r="E830" s="68" t="s">
        <v>4207</v>
      </c>
      <c r="F830" s="66" t="s">
        <v>4208</v>
      </c>
      <c r="G830" s="71">
        <v>6500</v>
      </c>
      <c r="H830" s="73"/>
      <c r="I830" s="75">
        <v>0.1</v>
      </c>
      <c r="J830" s="77"/>
      <c r="K830" s="66"/>
      <c r="L830" s="66"/>
      <c r="M830" s="79" t="str">
        <f>HYPERLINK("http://www.pristavka.com/catalog/funko/Fun80258/")</f>
        <v>http://www.pristavka.com/catalog/funko/Fun80258/</v>
      </c>
      <c r="N830" s="71">
        <v>9999</v>
      </c>
      <c r="O830" s="66" t="s">
        <v>27</v>
      </c>
      <c r="P830" s="82" t="s">
        <v>4209</v>
      </c>
      <c r="Q830" s="84" t="s">
        <v>2972</v>
      </c>
      <c r="R830" s="84" t="s">
        <v>1068</v>
      </c>
      <c r="S830" s="84">
        <v>0.13</v>
      </c>
      <c r="T830" s="82" t="s">
        <v>4113</v>
      </c>
      <c r="U830" s="84" t="s">
        <v>3584</v>
      </c>
      <c r="V830" s="54"/>
    </row>
    <row r="831" spans="1:22" s="11" customFormat="1" ht="45" customHeight="1" x14ac:dyDescent="0.2">
      <c r="A831" s="66" t="s">
        <v>3577</v>
      </c>
      <c r="B831" s="66" t="s">
        <v>1707</v>
      </c>
      <c r="C831" s="66" t="s">
        <v>3578</v>
      </c>
      <c r="D831" s="66">
        <v>80259</v>
      </c>
      <c r="E831" s="68" t="s">
        <v>4210</v>
      </c>
      <c r="F831" s="66" t="s">
        <v>4211</v>
      </c>
      <c r="G831" s="71">
        <v>6500</v>
      </c>
      <c r="H831" s="73"/>
      <c r="I831" s="75">
        <v>0.1</v>
      </c>
      <c r="J831" s="77"/>
      <c r="K831" s="66"/>
      <c r="L831" s="66"/>
      <c r="M831" s="79" t="str">
        <f>HYPERLINK("http://www.pristavka.com/catalog/funko/Fun80259/")</f>
        <v>http://www.pristavka.com/catalog/funko/Fun80259/</v>
      </c>
      <c r="N831" s="71">
        <v>9999</v>
      </c>
      <c r="O831" s="66" t="s">
        <v>27</v>
      </c>
      <c r="P831" s="82" t="s">
        <v>4212</v>
      </c>
      <c r="Q831" s="84" t="s">
        <v>2972</v>
      </c>
      <c r="R831" s="84" t="s">
        <v>1068</v>
      </c>
      <c r="S831" s="84">
        <v>0.14199999999999999</v>
      </c>
      <c r="T831" s="82" t="s">
        <v>4113</v>
      </c>
      <c r="U831" s="84" t="s">
        <v>3584</v>
      </c>
      <c r="V831" s="54"/>
    </row>
    <row r="832" spans="1:22" s="11" customFormat="1" ht="45" customHeight="1" x14ac:dyDescent="0.2">
      <c r="A832" s="66" t="s">
        <v>3577</v>
      </c>
      <c r="B832" s="66" t="s">
        <v>1707</v>
      </c>
      <c r="C832" s="66" t="s">
        <v>3578</v>
      </c>
      <c r="D832" s="66">
        <v>80260</v>
      </c>
      <c r="E832" s="68" t="s">
        <v>4213</v>
      </c>
      <c r="F832" s="66" t="s">
        <v>4214</v>
      </c>
      <c r="G832" s="71">
        <v>6500</v>
      </c>
      <c r="H832" s="73"/>
      <c r="I832" s="75">
        <v>0.1</v>
      </c>
      <c r="J832" s="77"/>
      <c r="K832" s="66"/>
      <c r="L832" s="66"/>
      <c r="M832" s="79" t="str">
        <f>HYPERLINK("http://www.pristavka.com/catalog/funko/Fun80260/")</f>
        <v>http://www.pristavka.com/catalog/funko/Fun80260/</v>
      </c>
      <c r="N832" s="71">
        <v>9999</v>
      </c>
      <c r="O832" s="66" t="s">
        <v>27</v>
      </c>
      <c r="P832" s="82" t="s">
        <v>4215</v>
      </c>
      <c r="Q832" s="84" t="s">
        <v>2972</v>
      </c>
      <c r="R832" s="84" t="s">
        <v>1068</v>
      </c>
      <c r="S832" s="84">
        <v>0.13400000000000001</v>
      </c>
      <c r="T832" s="82" t="s">
        <v>4084</v>
      </c>
      <c r="U832" s="84" t="s">
        <v>3584</v>
      </c>
      <c r="V832" s="54"/>
    </row>
    <row r="833" spans="1:22" s="11" customFormat="1" ht="45" customHeight="1" x14ac:dyDescent="0.2">
      <c r="A833" s="66" t="s">
        <v>3577</v>
      </c>
      <c r="B833" s="66" t="s">
        <v>1707</v>
      </c>
      <c r="C833" s="66" t="s">
        <v>3578</v>
      </c>
      <c r="D833" s="66">
        <v>75508</v>
      </c>
      <c r="E833" s="68" t="s">
        <v>4216</v>
      </c>
      <c r="F833" s="66" t="s">
        <v>4217</v>
      </c>
      <c r="G833" s="71">
        <v>6500</v>
      </c>
      <c r="H833" s="73"/>
      <c r="I833" s="75">
        <v>0.1</v>
      </c>
      <c r="J833" s="77"/>
      <c r="K833" s="66"/>
      <c r="L833" s="66"/>
      <c r="M833" s="79" t="str">
        <f>HYPERLINK("http://www.pristavka.com/catalog/funko/Fun75508/")</f>
        <v>http://www.pristavka.com/catalog/funko/Fun75508/</v>
      </c>
      <c r="N833" s="71">
        <v>9999</v>
      </c>
      <c r="O833" s="66" t="s">
        <v>27</v>
      </c>
      <c r="P833" s="82" t="s">
        <v>4218</v>
      </c>
      <c r="Q833" s="84" t="s">
        <v>2972</v>
      </c>
      <c r="R833" s="84" t="s">
        <v>1068</v>
      </c>
      <c r="S833" s="84">
        <v>0.14099999999999999</v>
      </c>
      <c r="T833" s="82" t="s">
        <v>4084</v>
      </c>
      <c r="U833" s="84" t="s">
        <v>3584</v>
      </c>
      <c r="V833" s="54"/>
    </row>
    <row r="834" spans="1:22" s="11" customFormat="1" ht="45" customHeight="1" x14ac:dyDescent="0.2">
      <c r="A834" s="66" t="s">
        <v>3577</v>
      </c>
      <c r="B834" s="66" t="s">
        <v>1707</v>
      </c>
      <c r="C834" s="66" t="s">
        <v>3578</v>
      </c>
      <c r="D834" s="66">
        <v>84444</v>
      </c>
      <c r="E834" s="68" t="s">
        <v>4219</v>
      </c>
      <c r="F834" s="66" t="s">
        <v>4220</v>
      </c>
      <c r="G834" s="71">
        <v>6890</v>
      </c>
      <c r="H834" s="73"/>
      <c r="I834" s="75">
        <v>0.1</v>
      </c>
      <c r="J834" s="77"/>
      <c r="K834" s="66"/>
      <c r="L834" s="66"/>
      <c r="M834" s="79" t="str">
        <f>HYPERLINK("http://www.pristavka.com/catalog/funko/Fun84444/")</f>
        <v>http://www.pristavka.com/catalog/funko/Fun84444/</v>
      </c>
      <c r="N834" s="71">
        <v>10599</v>
      </c>
      <c r="O834" s="66" t="s">
        <v>27</v>
      </c>
      <c r="P834" s="82" t="s">
        <v>4221</v>
      </c>
      <c r="Q834" s="84" t="s">
        <v>2972</v>
      </c>
      <c r="R834" s="84" t="s">
        <v>1068</v>
      </c>
      <c r="S834" s="84">
        <v>0.15</v>
      </c>
      <c r="T834" s="82" t="s">
        <v>4113</v>
      </c>
      <c r="U834" s="84" t="s">
        <v>3584</v>
      </c>
      <c r="V834" s="54"/>
    </row>
    <row r="835" spans="1:22" s="11" customFormat="1" ht="45" customHeight="1" x14ac:dyDescent="0.2">
      <c r="A835" s="66" t="s">
        <v>3577</v>
      </c>
      <c r="B835" s="66" t="s">
        <v>1707</v>
      </c>
      <c r="C835" s="66" t="s">
        <v>3578</v>
      </c>
      <c r="D835" s="66">
        <v>77052</v>
      </c>
      <c r="E835" s="68" t="s">
        <v>4222</v>
      </c>
      <c r="F835" s="66" t="s">
        <v>4223</v>
      </c>
      <c r="G835" s="71">
        <v>6500</v>
      </c>
      <c r="H835" s="73"/>
      <c r="I835" s="75">
        <v>0.1</v>
      </c>
      <c r="J835" s="77"/>
      <c r="K835" s="66"/>
      <c r="L835" s="66"/>
      <c r="M835" s="79" t="str">
        <f>HYPERLINK("http://www.pristavka.com/catalog/funko/Fun77052/")</f>
        <v>http://www.pristavka.com/catalog/funko/Fun77052/</v>
      </c>
      <c r="N835" s="71">
        <v>9999</v>
      </c>
      <c r="O835" s="66" t="s">
        <v>27</v>
      </c>
      <c r="P835" s="82" t="s">
        <v>4224</v>
      </c>
      <c r="Q835" s="84" t="s">
        <v>2972</v>
      </c>
      <c r="R835" s="84" t="s">
        <v>1068</v>
      </c>
      <c r="S835" s="84">
        <v>0.12</v>
      </c>
      <c r="T835" s="82" t="s">
        <v>4206</v>
      </c>
      <c r="U835" s="84" t="s">
        <v>3584</v>
      </c>
      <c r="V835" s="54"/>
    </row>
    <row r="836" spans="1:22" s="11" customFormat="1" ht="45" customHeight="1" x14ac:dyDescent="0.2">
      <c r="A836" s="66" t="s">
        <v>3577</v>
      </c>
      <c r="B836" s="66" t="s">
        <v>1707</v>
      </c>
      <c r="C836" s="66" t="s">
        <v>3578</v>
      </c>
      <c r="D836" s="66">
        <v>80263</v>
      </c>
      <c r="E836" s="68" t="s">
        <v>4225</v>
      </c>
      <c r="F836" s="66" t="s">
        <v>4226</v>
      </c>
      <c r="G836" s="71">
        <v>6500</v>
      </c>
      <c r="H836" s="73"/>
      <c r="I836" s="75">
        <v>0.1</v>
      </c>
      <c r="J836" s="77"/>
      <c r="K836" s="66"/>
      <c r="L836" s="66"/>
      <c r="M836" s="79" t="str">
        <f>HYPERLINK("http://www.pristavka.com/catalog/funko/Fun80263/")</f>
        <v>http://www.pristavka.com/catalog/funko/Fun80263/</v>
      </c>
      <c r="N836" s="71">
        <v>9999</v>
      </c>
      <c r="O836" s="66" t="s">
        <v>27</v>
      </c>
      <c r="P836" s="82" t="s">
        <v>4227</v>
      </c>
      <c r="Q836" s="84" t="s">
        <v>2972</v>
      </c>
      <c r="R836" s="84" t="s">
        <v>1068</v>
      </c>
      <c r="S836" s="84">
        <v>0.15</v>
      </c>
      <c r="T836" s="82" t="s">
        <v>4113</v>
      </c>
      <c r="U836" s="84" t="s">
        <v>3584</v>
      </c>
      <c r="V836" s="54"/>
    </row>
    <row r="837" spans="1:22" s="11" customFormat="1" ht="45" customHeight="1" x14ac:dyDescent="0.2">
      <c r="A837" s="66" t="s">
        <v>3577</v>
      </c>
      <c r="B837" s="66" t="s">
        <v>1707</v>
      </c>
      <c r="C837" s="66" t="s">
        <v>3578</v>
      </c>
      <c r="D837" s="66">
        <v>80261</v>
      </c>
      <c r="E837" s="68" t="s">
        <v>4228</v>
      </c>
      <c r="F837" s="66" t="s">
        <v>4229</v>
      </c>
      <c r="G837" s="71">
        <v>6500</v>
      </c>
      <c r="H837" s="73"/>
      <c r="I837" s="75">
        <v>0.1</v>
      </c>
      <c r="J837" s="77"/>
      <c r="K837" s="66"/>
      <c r="L837" s="66"/>
      <c r="M837" s="79" t="str">
        <f>HYPERLINK("http://www.pristavka.com/catalog/funko/Fun80261/")</f>
        <v>http://www.pristavka.com/catalog/funko/Fun80261/</v>
      </c>
      <c r="N837" s="71">
        <v>9999</v>
      </c>
      <c r="O837" s="66" t="s">
        <v>27</v>
      </c>
      <c r="P837" s="82" t="s">
        <v>4230</v>
      </c>
      <c r="Q837" s="84" t="s">
        <v>2972</v>
      </c>
      <c r="R837" s="84" t="s">
        <v>1068</v>
      </c>
      <c r="S837" s="84">
        <v>0.14899999999999999</v>
      </c>
      <c r="T837" s="82" t="s">
        <v>4084</v>
      </c>
      <c r="U837" s="84" t="s">
        <v>3584</v>
      </c>
      <c r="V837" s="54"/>
    </row>
    <row r="838" spans="1:22" s="11" customFormat="1" ht="45" customHeight="1" x14ac:dyDescent="0.2">
      <c r="A838" s="66" t="s">
        <v>3577</v>
      </c>
      <c r="B838" s="66" t="s">
        <v>1707</v>
      </c>
      <c r="C838" s="66" t="s">
        <v>3578</v>
      </c>
      <c r="D838" s="66">
        <v>80265</v>
      </c>
      <c r="E838" s="68" t="s">
        <v>4231</v>
      </c>
      <c r="F838" s="66" t="s">
        <v>4232</v>
      </c>
      <c r="G838" s="71">
        <v>6500</v>
      </c>
      <c r="H838" s="73"/>
      <c r="I838" s="75">
        <v>0.1</v>
      </c>
      <c r="J838" s="77"/>
      <c r="K838" s="66"/>
      <c r="L838" s="66"/>
      <c r="M838" s="79" t="str">
        <f>HYPERLINK("http://www.pristavka.com/catalog/funko/Fun80265/")</f>
        <v>http://www.pristavka.com/catalog/funko/Fun80265/</v>
      </c>
      <c r="N838" s="71">
        <v>9999</v>
      </c>
      <c r="O838" s="66" t="s">
        <v>27</v>
      </c>
      <c r="P838" s="82" t="s">
        <v>4233</v>
      </c>
      <c r="Q838" s="84" t="s">
        <v>2972</v>
      </c>
      <c r="R838" s="84" t="s">
        <v>1068</v>
      </c>
      <c r="S838" s="84">
        <v>0.113</v>
      </c>
      <c r="T838" s="82" t="s">
        <v>4084</v>
      </c>
      <c r="U838" s="84" t="s">
        <v>3584</v>
      </c>
      <c r="V838" s="54"/>
    </row>
    <row r="839" spans="1:22" s="11" customFormat="1" ht="45" customHeight="1" x14ac:dyDescent="0.2">
      <c r="A839" s="66" t="s">
        <v>3577</v>
      </c>
      <c r="B839" s="66" t="s">
        <v>1707</v>
      </c>
      <c r="C839" s="66" t="s">
        <v>3578</v>
      </c>
      <c r="D839" s="66">
        <v>84433</v>
      </c>
      <c r="E839" s="68" t="s">
        <v>4234</v>
      </c>
      <c r="F839" s="66" t="s">
        <v>4235</v>
      </c>
      <c r="G839" s="71">
        <v>6890</v>
      </c>
      <c r="H839" s="73"/>
      <c r="I839" s="75">
        <v>0.1</v>
      </c>
      <c r="J839" s="77"/>
      <c r="K839" s="66"/>
      <c r="L839" s="66"/>
      <c r="M839" s="79" t="str">
        <f>HYPERLINK("http://www.pristavka.com/catalog/funko/Fun84433/")</f>
        <v>http://www.pristavka.com/catalog/funko/Fun84433/</v>
      </c>
      <c r="N839" s="71">
        <v>10599</v>
      </c>
      <c r="O839" s="66" t="s">
        <v>27</v>
      </c>
      <c r="P839" s="82" t="s">
        <v>4236</v>
      </c>
      <c r="Q839" s="84" t="s">
        <v>2972</v>
      </c>
      <c r="R839" s="84" t="s">
        <v>1068</v>
      </c>
      <c r="S839" s="84">
        <v>0.13</v>
      </c>
      <c r="T839" s="82" t="s">
        <v>4113</v>
      </c>
      <c r="U839" s="84" t="s">
        <v>3584</v>
      </c>
      <c r="V839" s="54"/>
    </row>
    <row r="840" spans="1:22" s="11" customFormat="1" ht="45" customHeight="1" x14ac:dyDescent="0.2">
      <c r="A840" s="66" t="s">
        <v>3577</v>
      </c>
      <c r="B840" s="66" t="s">
        <v>1707</v>
      </c>
      <c r="C840" s="66" t="s">
        <v>3578</v>
      </c>
      <c r="D840" s="66">
        <v>75506</v>
      </c>
      <c r="E840" s="68" t="s">
        <v>4237</v>
      </c>
      <c r="F840" s="66" t="s">
        <v>4238</v>
      </c>
      <c r="G840" s="71">
        <v>6500</v>
      </c>
      <c r="H840" s="73"/>
      <c r="I840" s="75">
        <v>0.1</v>
      </c>
      <c r="J840" s="77"/>
      <c r="K840" s="66"/>
      <c r="L840" s="66"/>
      <c r="M840" s="79" t="str">
        <f>HYPERLINK("http://www.pristavka.com/catalog/funko/Fun75506/")</f>
        <v>http://www.pristavka.com/catalog/funko/Fun75506/</v>
      </c>
      <c r="N840" s="71">
        <v>9999</v>
      </c>
      <c r="O840" s="66" t="s">
        <v>27</v>
      </c>
      <c r="P840" s="82" t="s">
        <v>4239</v>
      </c>
      <c r="Q840" s="84" t="s">
        <v>2972</v>
      </c>
      <c r="R840" s="84" t="s">
        <v>1068</v>
      </c>
      <c r="S840" s="84">
        <v>0.14499999999999999</v>
      </c>
      <c r="T840" s="82" t="s">
        <v>4084</v>
      </c>
      <c r="U840" s="84" t="s">
        <v>3584</v>
      </c>
      <c r="V840" s="54"/>
    </row>
    <row r="841" spans="1:22" s="11" customFormat="1" ht="45" customHeight="1" x14ac:dyDescent="0.2">
      <c r="A841" s="66" t="s">
        <v>3577</v>
      </c>
      <c r="B841" s="66" t="s">
        <v>1707</v>
      </c>
      <c r="C841" s="66" t="s">
        <v>3578</v>
      </c>
      <c r="D841" s="66">
        <v>84851</v>
      </c>
      <c r="E841" s="68" t="s">
        <v>4240</v>
      </c>
      <c r="F841" s="66" t="s">
        <v>4241</v>
      </c>
      <c r="G841" s="71">
        <v>6890</v>
      </c>
      <c r="H841" s="73"/>
      <c r="I841" s="75">
        <v>0.1</v>
      </c>
      <c r="J841" s="77"/>
      <c r="K841" s="66"/>
      <c r="L841" s="66"/>
      <c r="M841" s="79" t="str">
        <f>HYPERLINK("http://www.pristavka.com/catalog/funko/Fun84851/")</f>
        <v>http://www.pristavka.com/catalog/funko/Fun84851/</v>
      </c>
      <c r="N841" s="71">
        <v>10599</v>
      </c>
      <c r="O841" s="66" t="s">
        <v>27</v>
      </c>
      <c r="P841" s="82" t="s">
        <v>4242</v>
      </c>
      <c r="Q841" s="84" t="s">
        <v>2972</v>
      </c>
      <c r="R841" s="84" t="s">
        <v>1068</v>
      </c>
      <c r="S841" s="84">
        <v>0.16</v>
      </c>
      <c r="T841" s="82" t="s">
        <v>4084</v>
      </c>
      <c r="U841" s="84" t="s">
        <v>3584</v>
      </c>
      <c r="V841" s="54"/>
    </row>
    <row r="842" spans="1:22" s="11" customFormat="1" ht="45" customHeight="1" x14ac:dyDescent="0.2">
      <c r="A842" s="66" t="s">
        <v>3577</v>
      </c>
      <c r="B842" s="66" t="s">
        <v>1707</v>
      </c>
      <c r="C842" s="66" t="s">
        <v>3578</v>
      </c>
      <c r="D842" s="66">
        <v>75510</v>
      </c>
      <c r="E842" s="68" t="s">
        <v>4243</v>
      </c>
      <c r="F842" s="66" t="s">
        <v>4244</v>
      </c>
      <c r="G842" s="71">
        <v>6500</v>
      </c>
      <c r="H842" s="73"/>
      <c r="I842" s="75">
        <v>0.1</v>
      </c>
      <c r="J842" s="77"/>
      <c r="K842" s="66"/>
      <c r="L842" s="66"/>
      <c r="M842" s="79" t="str">
        <f>HYPERLINK("http://www.pristavka.com/catalog/funko/Fun75510/")</f>
        <v>http://www.pristavka.com/catalog/funko/Fun75510/</v>
      </c>
      <c r="N842" s="71">
        <v>9999</v>
      </c>
      <c r="O842" s="66" t="s">
        <v>27</v>
      </c>
      <c r="P842" s="82" t="s">
        <v>4245</v>
      </c>
      <c r="Q842" s="84" t="s">
        <v>2972</v>
      </c>
      <c r="R842" s="84" t="s">
        <v>1068</v>
      </c>
      <c r="S842" s="84">
        <v>0.13</v>
      </c>
      <c r="T842" s="82" t="s">
        <v>4246</v>
      </c>
      <c r="U842" s="84" t="s">
        <v>3584</v>
      </c>
      <c r="V842" s="54"/>
    </row>
    <row r="843" spans="1:22" s="11" customFormat="1" ht="45" customHeight="1" x14ac:dyDescent="0.2">
      <c r="A843" s="66" t="s">
        <v>3577</v>
      </c>
      <c r="B843" s="66" t="s">
        <v>1707</v>
      </c>
      <c r="C843" s="66" t="s">
        <v>3578</v>
      </c>
      <c r="D843" s="66">
        <v>75511</v>
      </c>
      <c r="E843" s="68" t="s">
        <v>4247</v>
      </c>
      <c r="F843" s="66" t="s">
        <v>4248</v>
      </c>
      <c r="G843" s="71">
        <v>6500</v>
      </c>
      <c r="H843" s="73"/>
      <c r="I843" s="75">
        <v>0.1</v>
      </c>
      <c r="J843" s="77"/>
      <c r="K843" s="66"/>
      <c r="L843" s="66"/>
      <c r="M843" s="79" t="str">
        <f>HYPERLINK("http://www.pristavka.com/catalog/funko/Fun75511/")</f>
        <v>http://www.pristavka.com/catalog/funko/Fun75511/</v>
      </c>
      <c r="N843" s="71">
        <v>9999</v>
      </c>
      <c r="O843" s="66" t="s">
        <v>27</v>
      </c>
      <c r="P843" s="82" t="s">
        <v>4249</v>
      </c>
      <c r="Q843" s="84" t="s">
        <v>2972</v>
      </c>
      <c r="R843" s="84" t="s">
        <v>1068</v>
      </c>
      <c r="S843" s="84">
        <v>0.128</v>
      </c>
      <c r="T843" s="82" t="s">
        <v>4084</v>
      </c>
      <c r="U843" s="84" t="s">
        <v>3584</v>
      </c>
      <c r="V843" s="54"/>
    </row>
    <row r="844" spans="1:22" s="11" customFormat="1" ht="45" customHeight="1" x14ac:dyDescent="0.2">
      <c r="A844" s="66" t="s">
        <v>3577</v>
      </c>
      <c r="B844" s="66" t="s">
        <v>1707</v>
      </c>
      <c r="C844" s="66" t="s">
        <v>3578</v>
      </c>
      <c r="D844" s="66">
        <v>63135</v>
      </c>
      <c r="E844" s="68" t="s">
        <v>4250</v>
      </c>
      <c r="F844" s="66" t="s">
        <v>4251</v>
      </c>
      <c r="G844" s="71">
        <v>6890</v>
      </c>
      <c r="H844" s="73"/>
      <c r="I844" s="75">
        <v>0.1</v>
      </c>
      <c r="J844" s="77"/>
      <c r="K844" s="66"/>
      <c r="L844" s="66"/>
      <c r="M844" s="79" t="str">
        <f>HYPERLINK("http://www.pristavka.com/catalog/funko/Fun63135/")</f>
        <v>http://www.pristavka.com/catalog/funko/Fun63135/</v>
      </c>
      <c r="N844" s="71">
        <v>10599</v>
      </c>
      <c r="O844" s="66" t="s">
        <v>28</v>
      </c>
      <c r="P844" s="82" t="s">
        <v>4252</v>
      </c>
      <c r="Q844" s="84" t="s">
        <v>1181</v>
      </c>
      <c r="R844" s="84" t="s">
        <v>1068</v>
      </c>
      <c r="S844" s="84">
        <v>0.18</v>
      </c>
      <c r="T844" s="82" t="s">
        <v>4084</v>
      </c>
      <c r="U844" s="84" t="s">
        <v>3584</v>
      </c>
      <c r="V844" s="54"/>
    </row>
    <row r="845" spans="1:22" s="11" customFormat="1" ht="45" customHeight="1" x14ac:dyDescent="0.2">
      <c r="A845" s="66" t="s">
        <v>3577</v>
      </c>
      <c r="B845" s="66" t="s">
        <v>1707</v>
      </c>
      <c r="C845" s="66" t="s">
        <v>3578</v>
      </c>
      <c r="D845" s="66">
        <v>83706</v>
      </c>
      <c r="E845" s="68" t="s">
        <v>4253</v>
      </c>
      <c r="F845" s="66" t="s">
        <v>4254</v>
      </c>
      <c r="G845" s="71">
        <v>6500</v>
      </c>
      <c r="H845" s="73"/>
      <c r="I845" s="75">
        <v>0.1</v>
      </c>
      <c r="J845" s="77"/>
      <c r="K845" s="66"/>
      <c r="L845" s="66"/>
      <c r="M845" s="79" t="str">
        <f>HYPERLINK("http://www.pristavka.com/catalog/funko/Fun83706/")</f>
        <v>http://www.pristavka.com/catalog/funko/Fun83706/</v>
      </c>
      <c r="N845" s="71">
        <v>9999</v>
      </c>
      <c r="O845" s="66" t="s">
        <v>27</v>
      </c>
      <c r="P845" s="82" t="s">
        <v>4255</v>
      </c>
      <c r="Q845" s="84" t="s">
        <v>1181</v>
      </c>
      <c r="R845" s="84" t="s">
        <v>1068</v>
      </c>
      <c r="S845" s="84">
        <v>0.154</v>
      </c>
      <c r="T845" s="82" t="s">
        <v>4113</v>
      </c>
      <c r="U845" s="84" t="s">
        <v>3584</v>
      </c>
      <c r="V845" s="54"/>
    </row>
    <row r="846" spans="1:22" s="11" customFormat="1" ht="45" customHeight="1" x14ac:dyDescent="0.2">
      <c r="A846" s="66" t="s">
        <v>3577</v>
      </c>
      <c r="B846" s="66" t="s">
        <v>1707</v>
      </c>
      <c r="C846" s="66" t="s">
        <v>3578</v>
      </c>
      <c r="D846" s="66">
        <v>83709</v>
      </c>
      <c r="E846" s="68" t="s">
        <v>4256</v>
      </c>
      <c r="F846" s="66" t="s">
        <v>4257</v>
      </c>
      <c r="G846" s="71">
        <v>6500</v>
      </c>
      <c r="H846" s="73"/>
      <c r="I846" s="75">
        <v>0.1</v>
      </c>
      <c r="J846" s="77"/>
      <c r="K846" s="66"/>
      <c r="L846" s="66"/>
      <c r="M846" s="79" t="str">
        <f>HYPERLINK("http://www.pristavka.com/catalog/funko/Fun83709/")</f>
        <v>http://www.pristavka.com/catalog/funko/Fun83709/</v>
      </c>
      <c r="N846" s="71">
        <v>9999</v>
      </c>
      <c r="O846" s="66" t="s">
        <v>27</v>
      </c>
      <c r="P846" s="82" t="s">
        <v>4258</v>
      </c>
      <c r="Q846" s="84" t="s">
        <v>1181</v>
      </c>
      <c r="R846" s="84" t="s">
        <v>1068</v>
      </c>
      <c r="S846" s="84">
        <v>0.14799999999999999</v>
      </c>
      <c r="T846" s="82" t="s">
        <v>4113</v>
      </c>
      <c r="U846" s="84" t="s">
        <v>3584</v>
      </c>
      <c r="V846" s="54"/>
    </row>
    <row r="847" spans="1:22" s="11" customFormat="1" ht="45" customHeight="1" x14ac:dyDescent="0.2">
      <c r="A847" s="66" t="s">
        <v>3577</v>
      </c>
      <c r="B847" s="66" t="s">
        <v>1707</v>
      </c>
      <c r="C847" s="66" t="s">
        <v>3578</v>
      </c>
      <c r="D847" s="66">
        <v>75597</v>
      </c>
      <c r="E847" s="68" t="s">
        <v>4259</v>
      </c>
      <c r="F847" s="66" t="s">
        <v>4260</v>
      </c>
      <c r="G847" s="71">
        <v>6500</v>
      </c>
      <c r="H847" s="73"/>
      <c r="I847" s="75">
        <v>0.1</v>
      </c>
      <c r="J847" s="77"/>
      <c r="K847" s="66"/>
      <c r="L847" s="66"/>
      <c r="M847" s="79" t="str">
        <f>HYPERLINK("http://www.pristavka.com/catalog/funko/Fun75597/")</f>
        <v>http://www.pristavka.com/catalog/funko/Fun75597/</v>
      </c>
      <c r="N847" s="71">
        <v>9999</v>
      </c>
      <c r="O847" s="66" t="s">
        <v>27</v>
      </c>
      <c r="P847" s="82" t="s">
        <v>4261</v>
      </c>
      <c r="Q847" s="84" t="s">
        <v>1181</v>
      </c>
      <c r="R847" s="84" t="s">
        <v>1068</v>
      </c>
      <c r="S847" s="84">
        <v>0.12</v>
      </c>
      <c r="T847" s="82" t="s">
        <v>4084</v>
      </c>
      <c r="U847" s="84" t="s">
        <v>3584</v>
      </c>
      <c r="V847" s="54"/>
    </row>
    <row r="848" spans="1:22" s="11" customFormat="1" ht="45" customHeight="1" x14ac:dyDescent="0.2">
      <c r="A848" s="66" t="s">
        <v>3577</v>
      </c>
      <c r="B848" s="66" t="s">
        <v>1707</v>
      </c>
      <c r="C848" s="66" t="s">
        <v>3578</v>
      </c>
      <c r="D848" s="66">
        <v>75598</v>
      </c>
      <c r="E848" s="68" t="s">
        <v>4262</v>
      </c>
      <c r="F848" s="66" t="s">
        <v>4263</v>
      </c>
      <c r="G848" s="71">
        <v>6500</v>
      </c>
      <c r="H848" s="73"/>
      <c r="I848" s="75">
        <v>0.1</v>
      </c>
      <c r="J848" s="77"/>
      <c r="K848" s="66"/>
      <c r="L848" s="66"/>
      <c r="M848" s="79" t="str">
        <f>HYPERLINK("http://www.pristavka.com/catalog/funko/Fun75598/")</f>
        <v>http://www.pristavka.com/catalog/funko/Fun75598/</v>
      </c>
      <c r="N848" s="71">
        <v>9999</v>
      </c>
      <c r="O848" s="66" t="s">
        <v>27</v>
      </c>
      <c r="P848" s="82" t="s">
        <v>4264</v>
      </c>
      <c r="Q848" s="84" t="s">
        <v>1181</v>
      </c>
      <c r="R848" s="84" t="s">
        <v>1068</v>
      </c>
      <c r="S848" s="84">
        <v>0.13</v>
      </c>
      <c r="T848" s="82" t="s">
        <v>4084</v>
      </c>
      <c r="U848" s="84" t="s">
        <v>3584</v>
      </c>
      <c r="V848" s="54"/>
    </row>
    <row r="849" spans="1:22" s="11" customFormat="1" ht="45" customHeight="1" x14ac:dyDescent="0.2">
      <c r="A849" s="66" t="s">
        <v>3577</v>
      </c>
      <c r="B849" s="66" t="s">
        <v>1707</v>
      </c>
      <c r="C849" s="66" t="s">
        <v>3578</v>
      </c>
      <c r="D849" s="66">
        <v>75599</v>
      </c>
      <c r="E849" s="68" t="s">
        <v>4265</v>
      </c>
      <c r="F849" s="66" t="s">
        <v>4266</v>
      </c>
      <c r="G849" s="71">
        <v>6500</v>
      </c>
      <c r="H849" s="73"/>
      <c r="I849" s="75">
        <v>0.1</v>
      </c>
      <c r="J849" s="77"/>
      <c r="K849" s="66"/>
      <c r="L849" s="66"/>
      <c r="M849" s="79" t="str">
        <f>HYPERLINK("http://www.pristavka.com/catalog/funko/Fun75599/")</f>
        <v>http://www.pristavka.com/catalog/funko/Fun75599/</v>
      </c>
      <c r="N849" s="71">
        <v>9999</v>
      </c>
      <c r="O849" s="66" t="s">
        <v>27</v>
      </c>
      <c r="P849" s="82" t="s">
        <v>4267</v>
      </c>
      <c r="Q849" s="84" t="s">
        <v>1181</v>
      </c>
      <c r="R849" s="84" t="s">
        <v>1068</v>
      </c>
      <c r="S849" s="84">
        <v>0.114</v>
      </c>
      <c r="T849" s="82" t="s">
        <v>4102</v>
      </c>
      <c r="U849" s="84" t="s">
        <v>3584</v>
      </c>
      <c r="V849" s="54"/>
    </row>
    <row r="850" spans="1:22" s="11" customFormat="1" ht="45" customHeight="1" x14ac:dyDescent="0.2">
      <c r="A850" s="66" t="s">
        <v>3577</v>
      </c>
      <c r="B850" s="66" t="s">
        <v>1707</v>
      </c>
      <c r="C850" s="66" t="s">
        <v>3578</v>
      </c>
      <c r="D850" s="66">
        <v>68226</v>
      </c>
      <c r="E850" s="68" t="s">
        <v>4268</v>
      </c>
      <c r="F850" s="66" t="s">
        <v>4269</v>
      </c>
      <c r="G850" s="71">
        <v>6890</v>
      </c>
      <c r="H850" s="73"/>
      <c r="I850" s="75">
        <v>0.1</v>
      </c>
      <c r="J850" s="77"/>
      <c r="K850" s="66"/>
      <c r="L850" s="66"/>
      <c r="M850" s="79" t="str">
        <f>HYPERLINK("http://www.pristavka.com/catalog/funko/Fun68226/")</f>
        <v>http://www.pristavka.com/catalog/funko/Fun68226/</v>
      </c>
      <c r="N850" s="71">
        <v>10599</v>
      </c>
      <c r="O850" s="66" t="s">
        <v>27</v>
      </c>
      <c r="P850" s="82" t="s">
        <v>4270</v>
      </c>
      <c r="Q850" s="84" t="s">
        <v>1181</v>
      </c>
      <c r="R850" s="84" t="s">
        <v>1068</v>
      </c>
      <c r="S850" s="84">
        <v>0.19700000000000001</v>
      </c>
      <c r="T850" s="82" t="s">
        <v>4091</v>
      </c>
      <c r="U850" s="84" t="s">
        <v>3584</v>
      </c>
      <c r="V850" s="54"/>
    </row>
    <row r="851" spans="1:22" s="11" customFormat="1" ht="45" customHeight="1" x14ac:dyDescent="0.2">
      <c r="A851" s="66" t="s">
        <v>3577</v>
      </c>
      <c r="B851" s="66" t="s">
        <v>1707</v>
      </c>
      <c r="C851" s="66" t="s">
        <v>3578</v>
      </c>
      <c r="D851" s="66">
        <v>82664</v>
      </c>
      <c r="E851" s="68" t="s">
        <v>4271</v>
      </c>
      <c r="F851" s="66" t="s">
        <v>4272</v>
      </c>
      <c r="G851" s="71">
        <v>6500</v>
      </c>
      <c r="H851" s="73"/>
      <c r="I851" s="75">
        <v>0.1</v>
      </c>
      <c r="J851" s="77"/>
      <c r="K851" s="66"/>
      <c r="L851" s="66"/>
      <c r="M851" s="79" t="str">
        <f>HYPERLINK("http://www.pristavka.com/catalog/funko/Fun82664/")</f>
        <v>http://www.pristavka.com/catalog/funko/Fun82664/</v>
      </c>
      <c r="N851" s="71">
        <v>9999</v>
      </c>
      <c r="O851" s="66" t="s">
        <v>28</v>
      </c>
      <c r="P851" s="82" t="s">
        <v>4273</v>
      </c>
      <c r="Q851" s="84" t="s">
        <v>4274</v>
      </c>
      <c r="R851" s="84" t="s">
        <v>1765</v>
      </c>
      <c r="S851" s="84">
        <v>0.17899999999999999</v>
      </c>
      <c r="T851" s="82" t="s">
        <v>4091</v>
      </c>
      <c r="U851" s="84" t="s">
        <v>3584</v>
      </c>
      <c r="V851" s="54"/>
    </row>
    <row r="852" spans="1:22" s="11" customFormat="1" ht="45" customHeight="1" x14ac:dyDescent="0.2">
      <c r="A852" s="66" t="s">
        <v>3577</v>
      </c>
      <c r="B852" s="66" t="s">
        <v>1707</v>
      </c>
      <c r="C852" s="66" t="s">
        <v>3578</v>
      </c>
      <c r="D852" s="66">
        <v>83494</v>
      </c>
      <c r="E852" s="68" t="s">
        <v>4275</v>
      </c>
      <c r="F852" s="66" t="s">
        <v>4276</v>
      </c>
      <c r="G852" s="71">
        <v>6500</v>
      </c>
      <c r="H852" s="73"/>
      <c r="I852" s="75">
        <v>0.1</v>
      </c>
      <c r="J852" s="77"/>
      <c r="K852" s="66"/>
      <c r="L852" s="66"/>
      <c r="M852" s="79" t="str">
        <f>HYPERLINK("http://www.pristavka.com/catalog/funko/Fun83494/")</f>
        <v>http://www.pristavka.com/catalog/funko/Fun83494/</v>
      </c>
      <c r="N852" s="71">
        <v>9999</v>
      </c>
      <c r="O852" s="66" t="s">
        <v>27</v>
      </c>
      <c r="P852" s="82" t="s">
        <v>4277</v>
      </c>
      <c r="Q852" s="84" t="s">
        <v>4274</v>
      </c>
      <c r="R852" s="84" t="s">
        <v>1765</v>
      </c>
      <c r="S852" s="84">
        <v>0.185</v>
      </c>
      <c r="T852" s="82" t="s">
        <v>4113</v>
      </c>
      <c r="U852" s="84" t="s">
        <v>3584</v>
      </c>
      <c r="V852" s="54"/>
    </row>
    <row r="853" spans="1:22" s="11" customFormat="1" ht="45" customHeight="1" x14ac:dyDescent="0.2">
      <c r="A853" s="66" t="s">
        <v>3577</v>
      </c>
      <c r="B853" s="66" t="s">
        <v>1707</v>
      </c>
      <c r="C853" s="66" t="s">
        <v>3578</v>
      </c>
      <c r="D853" s="66">
        <v>83493</v>
      </c>
      <c r="E853" s="68" t="s">
        <v>4278</v>
      </c>
      <c r="F853" s="66" t="s">
        <v>4279</v>
      </c>
      <c r="G853" s="71">
        <v>6500</v>
      </c>
      <c r="H853" s="73"/>
      <c r="I853" s="75">
        <v>0.1</v>
      </c>
      <c r="J853" s="77"/>
      <c r="K853" s="66"/>
      <c r="L853" s="66"/>
      <c r="M853" s="79" t="str">
        <f>HYPERLINK("http://www.pristavka.com/catalog/funko/Fun83493/")</f>
        <v>http://www.pristavka.com/catalog/funko/Fun83493/</v>
      </c>
      <c r="N853" s="71">
        <v>9999</v>
      </c>
      <c r="O853" s="66" t="s">
        <v>27</v>
      </c>
      <c r="P853" s="82" t="s">
        <v>4280</v>
      </c>
      <c r="Q853" s="84" t="s">
        <v>4274</v>
      </c>
      <c r="R853" s="84" t="s">
        <v>1765</v>
      </c>
      <c r="S853" s="84">
        <v>0.16500000000000001</v>
      </c>
      <c r="T853" s="82" t="s">
        <v>4113</v>
      </c>
      <c r="U853" s="84" t="s">
        <v>3584</v>
      </c>
      <c r="V853" s="54"/>
    </row>
    <row r="854" spans="1:22" s="11" customFormat="1" ht="45" customHeight="1" x14ac:dyDescent="0.2">
      <c r="A854" s="66" t="s">
        <v>3577</v>
      </c>
      <c r="B854" s="66" t="s">
        <v>1707</v>
      </c>
      <c r="C854" s="66" t="s">
        <v>3578</v>
      </c>
      <c r="D854" s="66">
        <v>74397</v>
      </c>
      <c r="E854" s="68" t="s">
        <v>4281</v>
      </c>
      <c r="F854" s="66" t="s">
        <v>4282</v>
      </c>
      <c r="G854" s="71">
        <v>9100</v>
      </c>
      <c r="H854" s="73"/>
      <c r="I854" s="75">
        <v>0.1</v>
      </c>
      <c r="J854" s="77"/>
      <c r="K854" s="66"/>
      <c r="L854" s="66"/>
      <c r="M854" s="79" t="str">
        <f>HYPERLINK("https://pristavka.com/catalog/funko_figures/Fun74397/")</f>
        <v>https://pristavka.com/catalog/funko_figures/Fun74397/</v>
      </c>
      <c r="N854" s="71">
        <v>13999</v>
      </c>
      <c r="O854" s="66" t="s">
        <v>27</v>
      </c>
      <c r="P854" s="82" t="s">
        <v>4283</v>
      </c>
      <c r="Q854" s="84" t="s">
        <v>4274</v>
      </c>
      <c r="R854" s="84" t="s">
        <v>1765</v>
      </c>
      <c r="S854" s="84">
        <v>0.192</v>
      </c>
      <c r="T854" s="82" t="s">
        <v>4084</v>
      </c>
      <c r="U854" s="84" t="s">
        <v>3584</v>
      </c>
      <c r="V854" s="54"/>
    </row>
    <row r="855" spans="1:22" s="11" customFormat="1" ht="45" customHeight="1" x14ac:dyDescent="0.2">
      <c r="A855" s="66" t="s">
        <v>3577</v>
      </c>
      <c r="B855" s="66" t="s">
        <v>1707</v>
      </c>
      <c r="C855" s="66" t="s">
        <v>3578</v>
      </c>
      <c r="D855" s="66">
        <v>80271</v>
      </c>
      <c r="E855" s="68" t="s">
        <v>4284</v>
      </c>
      <c r="F855" s="66" t="s">
        <v>4285</v>
      </c>
      <c r="G855" s="71">
        <v>6500</v>
      </c>
      <c r="H855" s="73"/>
      <c r="I855" s="75">
        <v>0.1</v>
      </c>
      <c r="J855" s="77"/>
      <c r="K855" s="66"/>
      <c r="L855" s="66"/>
      <c r="M855" s="79" t="str">
        <f>HYPERLINK("http://www.pristavka.com/catalog/funko/Fun80271/")</f>
        <v>http://www.pristavka.com/catalog/funko/Fun80271/</v>
      </c>
      <c r="N855" s="71">
        <v>9999</v>
      </c>
      <c r="O855" s="66" t="s">
        <v>28</v>
      </c>
      <c r="P855" s="82" t="s">
        <v>4286</v>
      </c>
      <c r="Q855" s="84" t="s">
        <v>4287</v>
      </c>
      <c r="R855" s="84" t="s">
        <v>3327</v>
      </c>
      <c r="S855" s="84">
        <v>0.184</v>
      </c>
      <c r="T855" s="82" t="s">
        <v>4084</v>
      </c>
      <c r="U855" s="84" t="s">
        <v>3584</v>
      </c>
      <c r="V855" s="54"/>
    </row>
    <row r="856" spans="1:22" s="11" customFormat="1" ht="45" customHeight="1" x14ac:dyDescent="0.2">
      <c r="A856" s="66" t="s">
        <v>3577</v>
      </c>
      <c r="B856" s="66" t="s">
        <v>1707</v>
      </c>
      <c r="C856" s="66" t="s">
        <v>3578</v>
      </c>
      <c r="D856" s="66">
        <v>80273</v>
      </c>
      <c r="E856" s="68" t="s">
        <v>4288</v>
      </c>
      <c r="F856" s="66" t="s">
        <v>4289</v>
      </c>
      <c r="G856" s="71">
        <v>6500</v>
      </c>
      <c r="H856" s="73"/>
      <c r="I856" s="75">
        <v>0.1</v>
      </c>
      <c r="J856" s="77"/>
      <c r="K856" s="66"/>
      <c r="L856" s="66"/>
      <c r="M856" s="79" t="str">
        <f>HYPERLINK("http://www.pristavka.com/catalog/funko/Fun80273/")</f>
        <v>http://www.pristavka.com/catalog/funko/Fun80273/</v>
      </c>
      <c r="N856" s="71">
        <v>9999</v>
      </c>
      <c r="O856" s="66" t="s">
        <v>28</v>
      </c>
      <c r="P856" s="82" t="s">
        <v>4290</v>
      </c>
      <c r="Q856" s="84" t="s">
        <v>4287</v>
      </c>
      <c r="R856" s="84" t="s">
        <v>3327</v>
      </c>
      <c r="S856" s="84">
        <v>0.13800000000000001</v>
      </c>
      <c r="T856" s="82" t="s">
        <v>4102</v>
      </c>
      <c r="U856" s="84" t="s">
        <v>3584</v>
      </c>
      <c r="V856" s="54"/>
    </row>
    <row r="857" spans="1:22" s="11" customFormat="1" ht="45" customHeight="1" x14ac:dyDescent="0.2">
      <c r="A857" s="66" t="s">
        <v>3577</v>
      </c>
      <c r="B857" s="66" t="s">
        <v>1707</v>
      </c>
      <c r="C857" s="66" t="s">
        <v>3578</v>
      </c>
      <c r="D857" s="66">
        <v>80320</v>
      </c>
      <c r="E857" s="68" t="s">
        <v>4291</v>
      </c>
      <c r="F857" s="66" t="s">
        <v>4292</v>
      </c>
      <c r="G857" s="71">
        <v>6500</v>
      </c>
      <c r="H857" s="73"/>
      <c r="I857" s="75">
        <v>0.1</v>
      </c>
      <c r="J857" s="77"/>
      <c r="K857" s="66"/>
      <c r="L857" s="66"/>
      <c r="M857" s="79" t="str">
        <f>HYPERLINK("http://www.pristavka.com/catalog/funko/Fun80320/")</f>
        <v>http://www.pristavka.com/catalog/funko/Fun80320/</v>
      </c>
      <c r="N857" s="71">
        <v>9999</v>
      </c>
      <c r="O857" s="66" t="s">
        <v>27</v>
      </c>
      <c r="P857" s="82" t="s">
        <v>4293</v>
      </c>
      <c r="Q857" s="84" t="s">
        <v>1091</v>
      </c>
      <c r="R857" s="84" t="s">
        <v>1068</v>
      </c>
      <c r="S857" s="84">
        <v>0.14799999999999999</v>
      </c>
      <c r="T857" s="82" t="s">
        <v>4084</v>
      </c>
      <c r="U857" s="84" t="s">
        <v>3584</v>
      </c>
      <c r="V857" s="54"/>
    </row>
    <row r="858" spans="1:22" s="11" customFormat="1" ht="45" customHeight="1" x14ac:dyDescent="0.2">
      <c r="A858" s="66" t="s">
        <v>3577</v>
      </c>
      <c r="B858" s="66" t="s">
        <v>1707</v>
      </c>
      <c r="C858" s="66" t="s">
        <v>3578</v>
      </c>
      <c r="D858" s="66">
        <v>83628</v>
      </c>
      <c r="E858" s="68" t="s">
        <v>4294</v>
      </c>
      <c r="F858" s="66" t="s">
        <v>4295</v>
      </c>
      <c r="G858" s="71">
        <v>6500</v>
      </c>
      <c r="H858" s="73"/>
      <c r="I858" s="75">
        <v>0.1</v>
      </c>
      <c r="J858" s="77"/>
      <c r="K858" s="66"/>
      <c r="L858" s="66"/>
      <c r="M858" s="79" t="str">
        <f>HYPERLINK("http://www.pristavka.com/catalog/funko/Fun83628/")</f>
        <v>http://www.pristavka.com/catalog/funko/Fun83628/</v>
      </c>
      <c r="N858" s="71">
        <v>9999</v>
      </c>
      <c r="O858" s="66" t="s">
        <v>27</v>
      </c>
      <c r="P858" s="82" t="s">
        <v>4296</v>
      </c>
      <c r="Q858" s="84" t="s">
        <v>1091</v>
      </c>
      <c r="R858" s="84" t="s">
        <v>1068</v>
      </c>
      <c r="S858" s="84">
        <v>0.125</v>
      </c>
      <c r="T858" s="82" t="s">
        <v>4113</v>
      </c>
      <c r="U858" s="84" t="s">
        <v>3584</v>
      </c>
      <c r="V858" s="54"/>
    </row>
    <row r="859" spans="1:22" s="11" customFormat="1" ht="45" customHeight="1" x14ac:dyDescent="0.2">
      <c r="A859" s="66" t="s">
        <v>3577</v>
      </c>
      <c r="B859" s="66" t="s">
        <v>1707</v>
      </c>
      <c r="C859" s="66" t="s">
        <v>3578</v>
      </c>
      <c r="D859" s="66">
        <v>83629</v>
      </c>
      <c r="E859" s="68" t="s">
        <v>4297</v>
      </c>
      <c r="F859" s="66" t="s">
        <v>4298</v>
      </c>
      <c r="G859" s="71">
        <v>6500</v>
      </c>
      <c r="H859" s="73"/>
      <c r="I859" s="75">
        <v>0.1</v>
      </c>
      <c r="J859" s="77"/>
      <c r="K859" s="66"/>
      <c r="L859" s="66"/>
      <c r="M859" s="79" t="str">
        <f>HYPERLINK("http://www.pristavka.com/catalog/funko/Fun83629/")</f>
        <v>http://www.pristavka.com/catalog/funko/Fun83629/</v>
      </c>
      <c r="N859" s="71">
        <v>9999</v>
      </c>
      <c r="O859" s="66" t="s">
        <v>27</v>
      </c>
      <c r="P859" s="82" t="s">
        <v>4299</v>
      </c>
      <c r="Q859" s="84" t="s">
        <v>1091</v>
      </c>
      <c r="R859" s="84" t="s">
        <v>1068</v>
      </c>
      <c r="S859" s="84">
        <v>0.13400000000000001</v>
      </c>
      <c r="T859" s="82" t="s">
        <v>4113</v>
      </c>
      <c r="U859" s="84" t="s">
        <v>3584</v>
      </c>
      <c r="V859" s="54"/>
    </row>
    <row r="860" spans="1:22" s="11" customFormat="1" ht="45" customHeight="1" x14ac:dyDescent="0.2">
      <c r="A860" s="66" t="s">
        <v>3577</v>
      </c>
      <c r="B860" s="66" t="s">
        <v>1707</v>
      </c>
      <c r="C860" s="66" t="s">
        <v>3578</v>
      </c>
      <c r="D860" s="66">
        <v>83630</v>
      </c>
      <c r="E860" s="68" t="s">
        <v>4300</v>
      </c>
      <c r="F860" s="66" t="s">
        <v>4301</v>
      </c>
      <c r="G860" s="71">
        <v>6500</v>
      </c>
      <c r="H860" s="73"/>
      <c r="I860" s="75">
        <v>0.1</v>
      </c>
      <c r="J860" s="77"/>
      <c r="K860" s="66"/>
      <c r="L860" s="66"/>
      <c r="M860" s="79" t="str">
        <f>HYPERLINK("http://www.pristavka.com/catalog/funko/Fun83630/")</f>
        <v>http://www.pristavka.com/catalog/funko/Fun83630/</v>
      </c>
      <c r="N860" s="71">
        <v>9999</v>
      </c>
      <c r="O860" s="66" t="s">
        <v>27</v>
      </c>
      <c r="P860" s="82" t="s">
        <v>4302</v>
      </c>
      <c r="Q860" s="84" t="s">
        <v>1091</v>
      </c>
      <c r="R860" s="84" t="s">
        <v>1068</v>
      </c>
      <c r="S860" s="84">
        <v>0.13800000000000001</v>
      </c>
      <c r="T860" s="82" t="s">
        <v>4303</v>
      </c>
      <c r="U860" s="84" t="s">
        <v>3584</v>
      </c>
      <c r="V860" s="54"/>
    </row>
    <row r="861" spans="1:22" s="11" customFormat="1" ht="45" customHeight="1" x14ac:dyDescent="0.2">
      <c r="A861" s="66" t="s">
        <v>3577</v>
      </c>
      <c r="B861" s="66" t="s">
        <v>1707</v>
      </c>
      <c r="C861" s="66" t="s">
        <v>3578</v>
      </c>
      <c r="D861" s="66">
        <v>80321</v>
      </c>
      <c r="E861" s="68" t="s">
        <v>4304</v>
      </c>
      <c r="F861" s="66" t="s">
        <v>4305</v>
      </c>
      <c r="G861" s="71">
        <v>6500</v>
      </c>
      <c r="H861" s="73"/>
      <c r="I861" s="75">
        <v>0.1</v>
      </c>
      <c r="J861" s="77"/>
      <c r="K861" s="66"/>
      <c r="L861" s="66"/>
      <c r="M861" s="79" t="str">
        <f>HYPERLINK("http://www.pristavka.com/catalog/funko/Fun80321/")</f>
        <v>http://www.pristavka.com/catalog/funko/Fun80321/</v>
      </c>
      <c r="N861" s="71">
        <v>9999</v>
      </c>
      <c r="O861" s="66" t="s">
        <v>27</v>
      </c>
      <c r="P861" s="82" t="s">
        <v>4306</v>
      </c>
      <c r="Q861" s="84" t="s">
        <v>1091</v>
      </c>
      <c r="R861" s="84" t="s">
        <v>1068</v>
      </c>
      <c r="S861" s="84">
        <v>0.13600000000000001</v>
      </c>
      <c r="T861" s="82" t="s">
        <v>4084</v>
      </c>
      <c r="U861" s="84" t="s">
        <v>3584</v>
      </c>
      <c r="V861" s="54"/>
    </row>
    <row r="862" spans="1:22" s="11" customFormat="1" ht="45" customHeight="1" x14ac:dyDescent="0.2">
      <c r="A862" s="66" t="s">
        <v>3577</v>
      </c>
      <c r="B862" s="66" t="s">
        <v>1707</v>
      </c>
      <c r="C862" s="66" t="s">
        <v>3578</v>
      </c>
      <c r="D862" s="66">
        <v>80322</v>
      </c>
      <c r="E862" s="68" t="s">
        <v>4307</v>
      </c>
      <c r="F862" s="66" t="s">
        <v>4308</v>
      </c>
      <c r="G862" s="71">
        <v>6500</v>
      </c>
      <c r="H862" s="73"/>
      <c r="I862" s="75">
        <v>0.1</v>
      </c>
      <c r="J862" s="77"/>
      <c r="K862" s="66"/>
      <c r="L862" s="66"/>
      <c r="M862" s="79" t="str">
        <f>HYPERLINK("http://www.pristavka.com/catalog/funko/Fun80322/")</f>
        <v>http://www.pristavka.com/catalog/funko/Fun80322/</v>
      </c>
      <c r="N862" s="71">
        <v>9999</v>
      </c>
      <c r="O862" s="66" t="s">
        <v>27</v>
      </c>
      <c r="P862" s="82" t="s">
        <v>4309</v>
      </c>
      <c r="Q862" s="84" t="s">
        <v>1091</v>
      </c>
      <c r="R862" s="84" t="s">
        <v>1068</v>
      </c>
      <c r="S862" s="84">
        <v>0.157</v>
      </c>
      <c r="T862" s="82" t="s">
        <v>4084</v>
      </c>
      <c r="U862" s="84" t="s">
        <v>3584</v>
      </c>
      <c r="V862" s="54"/>
    </row>
    <row r="863" spans="1:22" s="11" customFormat="1" ht="45" customHeight="1" x14ac:dyDescent="0.2">
      <c r="A863" s="66" t="s">
        <v>3577</v>
      </c>
      <c r="B863" s="66" t="s">
        <v>1707</v>
      </c>
      <c r="C863" s="66" t="s">
        <v>3578</v>
      </c>
      <c r="D863" s="66">
        <v>80323</v>
      </c>
      <c r="E863" s="68" t="s">
        <v>4310</v>
      </c>
      <c r="F863" s="66" t="s">
        <v>4311</v>
      </c>
      <c r="G863" s="71">
        <v>6500</v>
      </c>
      <c r="H863" s="73"/>
      <c r="I863" s="75">
        <v>0.1</v>
      </c>
      <c r="J863" s="77"/>
      <c r="K863" s="66"/>
      <c r="L863" s="66"/>
      <c r="M863" s="79" t="str">
        <f>HYPERLINK("http://www.pristavka.com/catalog/funko/Fun80323/")</f>
        <v>http://www.pristavka.com/catalog/funko/Fun80323/</v>
      </c>
      <c r="N863" s="71">
        <v>9999</v>
      </c>
      <c r="O863" s="66" t="s">
        <v>27</v>
      </c>
      <c r="P863" s="82" t="s">
        <v>4312</v>
      </c>
      <c r="Q863" s="84" t="s">
        <v>1091</v>
      </c>
      <c r="R863" s="84" t="s">
        <v>1068</v>
      </c>
      <c r="S863" s="84">
        <v>0.155</v>
      </c>
      <c r="T863" s="82" t="s">
        <v>4084</v>
      </c>
      <c r="U863" s="84" t="s">
        <v>3584</v>
      </c>
      <c r="V863" s="54"/>
    </row>
    <row r="864" spans="1:22" s="11" customFormat="1" ht="45" customHeight="1" x14ac:dyDescent="0.2">
      <c r="A864" s="66" t="s">
        <v>3577</v>
      </c>
      <c r="B864" s="66" t="s">
        <v>1707</v>
      </c>
      <c r="C864" s="66" t="s">
        <v>3578</v>
      </c>
      <c r="D864" s="66">
        <v>84413</v>
      </c>
      <c r="E864" s="68" t="s">
        <v>4313</v>
      </c>
      <c r="F864" s="66" t="s">
        <v>4314</v>
      </c>
      <c r="G864" s="71">
        <v>6890</v>
      </c>
      <c r="H864" s="73"/>
      <c r="I864" s="75">
        <v>0.1</v>
      </c>
      <c r="J864" s="77"/>
      <c r="K864" s="66"/>
      <c r="L864" s="66"/>
      <c r="M864" s="79" t="str">
        <f>HYPERLINK("http://www.pristavka.com/catalog/funko/Fun84413/")</f>
        <v>http://www.pristavka.com/catalog/funko/Fun84413/</v>
      </c>
      <c r="N864" s="71">
        <v>10599</v>
      </c>
      <c r="O864" s="66" t="s">
        <v>27</v>
      </c>
      <c r="P864" s="82" t="s">
        <v>4315</v>
      </c>
      <c r="Q864" s="84" t="s">
        <v>1091</v>
      </c>
      <c r="R864" s="84" t="s">
        <v>1068</v>
      </c>
      <c r="S864" s="84">
        <v>0.14499999999999999</v>
      </c>
      <c r="T864" s="82" t="s">
        <v>4113</v>
      </c>
      <c r="U864" s="84" t="s">
        <v>3584</v>
      </c>
      <c r="V864" s="54"/>
    </row>
    <row r="865" spans="1:22" s="11" customFormat="1" ht="45" customHeight="1" x14ac:dyDescent="0.2">
      <c r="A865" s="66" t="s">
        <v>3577</v>
      </c>
      <c r="B865" s="66" t="s">
        <v>1707</v>
      </c>
      <c r="C865" s="66" t="s">
        <v>3578</v>
      </c>
      <c r="D865" s="66">
        <v>83631</v>
      </c>
      <c r="E865" s="68" t="s">
        <v>4316</v>
      </c>
      <c r="F865" s="66" t="s">
        <v>4317</v>
      </c>
      <c r="G865" s="71">
        <v>6500</v>
      </c>
      <c r="H865" s="73"/>
      <c r="I865" s="75">
        <v>0.1</v>
      </c>
      <c r="J865" s="77"/>
      <c r="K865" s="66"/>
      <c r="L865" s="66"/>
      <c r="M865" s="79" t="str">
        <f>HYPERLINK("http://www.pristavka.com/catalog/funko/Fun83631/")</f>
        <v>http://www.pristavka.com/catalog/funko/Fun83631/</v>
      </c>
      <c r="N865" s="71">
        <v>9999</v>
      </c>
      <c r="O865" s="66" t="s">
        <v>27</v>
      </c>
      <c r="P865" s="82" t="s">
        <v>4318</v>
      </c>
      <c r="Q865" s="84" t="s">
        <v>1091</v>
      </c>
      <c r="R865" s="84" t="s">
        <v>1068</v>
      </c>
      <c r="S865" s="84">
        <v>0.17</v>
      </c>
      <c r="T865" s="82" t="s">
        <v>4113</v>
      </c>
      <c r="U865" s="84" t="s">
        <v>3584</v>
      </c>
      <c r="V865" s="54"/>
    </row>
    <row r="866" spans="1:22" s="11" customFormat="1" ht="45" customHeight="1" x14ac:dyDescent="0.2">
      <c r="A866" s="66" t="s">
        <v>3577</v>
      </c>
      <c r="B866" s="66" t="s">
        <v>1707</v>
      </c>
      <c r="C866" s="66" t="s">
        <v>3578</v>
      </c>
      <c r="D866" s="66">
        <v>84412</v>
      </c>
      <c r="E866" s="68" t="s">
        <v>4319</v>
      </c>
      <c r="F866" s="66" t="s">
        <v>4320</v>
      </c>
      <c r="G866" s="71">
        <v>6890</v>
      </c>
      <c r="H866" s="73"/>
      <c r="I866" s="75">
        <v>0.1</v>
      </c>
      <c r="J866" s="77"/>
      <c r="K866" s="66"/>
      <c r="L866" s="66"/>
      <c r="M866" s="79" t="str">
        <f>HYPERLINK("http://www.pristavka.com/catalog/funko/Fun84412/")</f>
        <v>http://www.pristavka.com/catalog/funko/Fun84412/</v>
      </c>
      <c r="N866" s="71">
        <v>10599</v>
      </c>
      <c r="O866" s="66" t="s">
        <v>27</v>
      </c>
      <c r="P866" s="82" t="s">
        <v>4321</v>
      </c>
      <c r="Q866" s="84" t="s">
        <v>1091</v>
      </c>
      <c r="R866" s="84" t="s">
        <v>1068</v>
      </c>
      <c r="S866" s="84">
        <v>0.13500000000000001</v>
      </c>
      <c r="T866" s="82" t="s">
        <v>4084</v>
      </c>
      <c r="U866" s="84" t="s">
        <v>3584</v>
      </c>
      <c r="V866" s="54"/>
    </row>
    <row r="867" spans="1:22" s="11" customFormat="1" ht="45" customHeight="1" x14ac:dyDescent="0.2">
      <c r="A867" s="66" t="s">
        <v>3577</v>
      </c>
      <c r="B867" s="66" t="s">
        <v>1707</v>
      </c>
      <c r="C867" s="66" t="s">
        <v>3578</v>
      </c>
      <c r="D867" s="66">
        <v>84131</v>
      </c>
      <c r="E867" s="68" t="s">
        <v>4322</v>
      </c>
      <c r="F867" s="66" t="s">
        <v>4323</v>
      </c>
      <c r="G867" s="71">
        <v>6500</v>
      </c>
      <c r="H867" s="73"/>
      <c r="I867" s="75">
        <v>0.1</v>
      </c>
      <c r="J867" s="77"/>
      <c r="K867" s="66"/>
      <c r="L867" s="66"/>
      <c r="M867" s="79" t="str">
        <f>HYPERLINK("http://www.pristavka.com/catalog/funko/Fun84131/")</f>
        <v>http://www.pristavka.com/catalog/funko/Fun84131/</v>
      </c>
      <c r="N867" s="71">
        <v>9999</v>
      </c>
      <c r="O867" s="66" t="s">
        <v>27</v>
      </c>
      <c r="P867" s="82" t="s">
        <v>4324</v>
      </c>
      <c r="Q867" s="84" t="s">
        <v>4325</v>
      </c>
      <c r="R867" s="84" t="s">
        <v>3566</v>
      </c>
      <c r="S867" s="84">
        <v>0.13200000000000001</v>
      </c>
      <c r="T867" s="82" t="s">
        <v>4084</v>
      </c>
      <c r="U867" s="84" t="s">
        <v>3584</v>
      </c>
      <c r="V867" s="54"/>
    </row>
    <row r="868" spans="1:22" s="11" customFormat="1" ht="45" customHeight="1" x14ac:dyDescent="0.2">
      <c r="A868" s="66" t="s">
        <v>3577</v>
      </c>
      <c r="B868" s="66" t="s">
        <v>1707</v>
      </c>
      <c r="C868" s="66" t="s">
        <v>3578</v>
      </c>
      <c r="D868" s="66">
        <v>84132</v>
      </c>
      <c r="E868" s="68" t="s">
        <v>4326</v>
      </c>
      <c r="F868" s="66" t="s">
        <v>4327</v>
      </c>
      <c r="G868" s="71">
        <v>6500</v>
      </c>
      <c r="H868" s="73"/>
      <c r="I868" s="75">
        <v>0.1</v>
      </c>
      <c r="J868" s="77"/>
      <c r="K868" s="66"/>
      <c r="L868" s="66"/>
      <c r="M868" s="79" t="str">
        <f>HYPERLINK("http://www.pristavka.com/catalog/funko/Fun84132/")</f>
        <v>http://www.pristavka.com/catalog/funko/Fun84132/</v>
      </c>
      <c r="N868" s="71">
        <v>9999</v>
      </c>
      <c r="O868" s="66" t="s">
        <v>27</v>
      </c>
      <c r="P868" s="82" t="s">
        <v>4328</v>
      </c>
      <c r="Q868" s="84" t="s">
        <v>4325</v>
      </c>
      <c r="R868" s="84" t="s">
        <v>3566</v>
      </c>
      <c r="S868" s="84">
        <v>0.17</v>
      </c>
      <c r="T868" s="82" t="s">
        <v>4113</v>
      </c>
      <c r="U868" s="84" t="s">
        <v>3584</v>
      </c>
      <c r="V868" s="54"/>
    </row>
    <row r="869" spans="1:22" s="11" customFormat="1" ht="45" customHeight="1" x14ac:dyDescent="0.2">
      <c r="A869" s="66" t="s">
        <v>3577</v>
      </c>
      <c r="B869" s="66" t="s">
        <v>1707</v>
      </c>
      <c r="C869" s="66" t="s">
        <v>3578</v>
      </c>
      <c r="D869" s="66">
        <v>84133</v>
      </c>
      <c r="E869" s="68" t="s">
        <v>4329</v>
      </c>
      <c r="F869" s="66" t="s">
        <v>4330</v>
      </c>
      <c r="G869" s="71">
        <v>6500</v>
      </c>
      <c r="H869" s="73"/>
      <c r="I869" s="75">
        <v>0.1</v>
      </c>
      <c r="J869" s="77"/>
      <c r="K869" s="66"/>
      <c r="L869" s="66"/>
      <c r="M869" s="79" t="str">
        <f>HYPERLINK("http://www.pristavka.com/catalog/funko/Fun84133/")</f>
        <v>http://www.pristavka.com/catalog/funko/Fun84133/</v>
      </c>
      <c r="N869" s="71">
        <v>9999</v>
      </c>
      <c r="O869" s="66" t="s">
        <v>27</v>
      </c>
      <c r="P869" s="82" t="s">
        <v>4331</v>
      </c>
      <c r="Q869" s="84" t="s">
        <v>4325</v>
      </c>
      <c r="R869" s="84" t="s">
        <v>3566</v>
      </c>
      <c r="S869" s="84">
        <v>0.14000000000000001</v>
      </c>
      <c r="T869" s="82" t="s">
        <v>4113</v>
      </c>
      <c r="U869" s="84" t="s">
        <v>3584</v>
      </c>
      <c r="V869" s="54"/>
    </row>
    <row r="870" spans="1:22" s="11" customFormat="1" ht="45" customHeight="1" x14ac:dyDescent="0.2">
      <c r="A870" s="66" t="s">
        <v>3577</v>
      </c>
      <c r="B870" s="66" t="s">
        <v>1707</v>
      </c>
      <c r="C870" s="66" t="s">
        <v>3578</v>
      </c>
      <c r="D870" s="66">
        <v>84134</v>
      </c>
      <c r="E870" s="68" t="s">
        <v>4332</v>
      </c>
      <c r="F870" s="66" t="s">
        <v>4333</v>
      </c>
      <c r="G870" s="71">
        <v>6500</v>
      </c>
      <c r="H870" s="73"/>
      <c r="I870" s="75">
        <v>0.1</v>
      </c>
      <c r="J870" s="77"/>
      <c r="K870" s="66"/>
      <c r="L870" s="66"/>
      <c r="M870" s="79" t="str">
        <f>HYPERLINK("http://www.pristavka.com/catalog/funko/Fun84134/")</f>
        <v>http://www.pristavka.com/catalog/funko/Fun84134/</v>
      </c>
      <c r="N870" s="71">
        <v>9999</v>
      </c>
      <c r="O870" s="66" t="s">
        <v>27</v>
      </c>
      <c r="P870" s="82" t="s">
        <v>4334</v>
      </c>
      <c r="Q870" s="84" t="s">
        <v>4325</v>
      </c>
      <c r="R870" s="84" t="s">
        <v>3566</v>
      </c>
      <c r="S870" s="84">
        <v>0.11600000000000001</v>
      </c>
      <c r="T870" s="82" t="s">
        <v>4084</v>
      </c>
      <c r="U870" s="84" t="s">
        <v>3584</v>
      </c>
      <c r="V870" s="54"/>
    </row>
    <row r="871" spans="1:22" s="11" customFormat="1" ht="45" customHeight="1" x14ac:dyDescent="0.2">
      <c r="A871" s="66" t="s">
        <v>3577</v>
      </c>
      <c r="B871" s="66" t="s">
        <v>1707</v>
      </c>
      <c r="C871" s="66" t="s">
        <v>3578</v>
      </c>
      <c r="D871" s="66">
        <v>75570</v>
      </c>
      <c r="E871" s="68" t="s">
        <v>4335</v>
      </c>
      <c r="F871" s="66" t="s">
        <v>4336</v>
      </c>
      <c r="G871" s="71">
        <v>6500</v>
      </c>
      <c r="H871" s="73"/>
      <c r="I871" s="75">
        <v>0.1</v>
      </c>
      <c r="J871" s="77"/>
      <c r="K871" s="66"/>
      <c r="L871" s="66"/>
      <c r="M871" s="79" t="str">
        <f>HYPERLINK("http://www.pristavka.com/catalog/funko/Fun75570/")</f>
        <v>http://www.pristavka.com/catalog/funko/Fun75570/</v>
      </c>
      <c r="N871" s="71">
        <v>9999</v>
      </c>
      <c r="O871" s="66" t="s">
        <v>27</v>
      </c>
      <c r="P871" s="82" t="s">
        <v>4337</v>
      </c>
      <c r="Q871" s="84" t="s">
        <v>1522</v>
      </c>
      <c r="R871" s="84" t="s">
        <v>1068</v>
      </c>
      <c r="S871" s="84">
        <v>0.158</v>
      </c>
      <c r="T871" s="82" t="s">
        <v>4091</v>
      </c>
      <c r="U871" s="84" t="s">
        <v>3584</v>
      </c>
      <c r="V871" s="54"/>
    </row>
    <row r="872" spans="1:22" s="11" customFormat="1" ht="45" customHeight="1" x14ac:dyDescent="0.2">
      <c r="A872" s="66" t="s">
        <v>3577</v>
      </c>
      <c r="B872" s="66" t="s">
        <v>1707</v>
      </c>
      <c r="C872" s="66" t="s">
        <v>3578</v>
      </c>
      <c r="D872" s="66">
        <v>72609</v>
      </c>
      <c r="E872" s="68" t="s">
        <v>4338</v>
      </c>
      <c r="F872" s="66" t="s">
        <v>4339</v>
      </c>
      <c r="G872" s="71">
        <v>6500</v>
      </c>
      <c r="H872" s="73"/>
      <c r="I872" s="75">
        <v>0.1</v>
      </c>
      <c r="J872" s="77"/>
      <c r="K872" s="66"/>
      <c r="L872" s="66"/>
      <c r="M872" s="79" t="str">
        <f>HYPERLINK("http://www.pristavka.com/catalog/funko/Fun72609/")</f>
        <v>http://www.pristavka.com/catalog/funko/Fun72609/</v>
      </c>
      <c r="N872" s="71">
        <v>9999</v>
      </c>
      <c r="O872" s="66" t="s">
        <v>27</v>
      </c>
      <c r="P872" s="82" t="s">
        <v>4340</v>
      </c>
      <c r="Q872" s="84" t="s">
        <v>1522</v>
      </c>
      <c r="R872" s="84" t="s">
        <v>1068</v>
      </c>
      <c r="S872" s="84">
        <v>0.156</v>
      </c>
      <c r="T872" s="82" t="s">
        <v>4165</v>
      </c>
      <c r="U872" s="84" t="s">
        <v>3584</v>
      </c>
      <c r="V872" s="54"/>
    </row>
    <row r="873" spans="1:22" s="11" customFormat="1" ht="45" customHeight="1" x14ac:dyDescent="0.2">
      <c r="A873" s="66" t="s">
        <v>3577</v>
      </c>
      <c r="B873" s="66" t="s">
        <v>1707</v>
      </c>
      <c r="C873" s="66" t="s">
        <v>3578</v>
      </c>
      <c r="D873" s="66">
        <v>85328</v>
      </c>
      <c r="E873" s="68" t="s">
        <v>4341</v>
      </c>
      <c r="F873" s="66" t="s">
        <v>4342</v>
      </c>
      <c r="G873" s="71">
        <v>6500</v>
      </c>
      <c r="H873" s="73"/>
      <c r="I873" s="75">
        <v>0.1</v>
      </c>
      <c r="J873" s="77"/>
      <c r="K873" s="66"/>
      <c r="L873" s="66"/>
      <c r="M873" s="79" t="str">
        <f>HYPERLINK("http://www.pristavka.com/catalog/funko/Fun85328/")</f>
        <v>http://www.pristavka.com/catalog/funko/Fun85328/</v>
      </c>
      <c r="N873" s="71">
        <v>9999</v>
      </c>
      <c r="O873" s="66" t="s">
        <v>27</v>
      </c>
      <c r="P873" s="82" t="s">
        <v>4343</v>
      </c>
      <c r="Q873" s="84" t="s">
        <v>1522</v>
      </c>
      <c r="R873" s="84" t="s">
        <v>1068</v>
      </c>
      <c r="S873" s="84">
        <v>0.16</v>
      </c>
      <c r="T873" s="82" t="s">
        <v>4113</v>
      </c>
      <c r="U873" s="84" t="s">
        <v>3584</v>
      </c>
      <c r="V873" s="54"/>
    </row>
    <row r="874" spans="1:22" s="11" customFormat="1" ht="45" customHeight="1" x14ac:dyDescent="0.2">
      <c r="A874" s="66" t="s">
        <v>3577</v>
      </c>
      <c r="B874" s="66" t="s">
        <v>1707</v>
      </c>
      <c r="C874" s="66" t="s">
        <v>3578</v>
      </c>
      <c r="D874" s="66">
        <v>85330</v>
      </c>
      <c r="E874" s="68" t="s">
        <v>4344</v>
      </c>
      <c r="F874" s="66" t="s">
        <v>4345</v>
      </c>
      <c r="G874" s="71">
        <v>6500</v>
      </c>
      <c r="H874" s="73"/>
      <c r="I874" s="75">
        <v>0.1</v>
      </c>
      <c r="J874" s="77"/>
      <c r="K874" s="66"/>
      <c r="L874" s="66"/>
      <c r="M874" s="79" t="str">
        <f>HYPERLINK("http://www.pristavka.com/catalog/funko/Fun85330/")</f>
        <v>http://www.pristavka.com/catalog/funko/Fun85330/</v>
      </c>
      <c r="N874" s="71">
        <v>9999</v>
      </c>
      <c r="O874" s="66" t="s">
        <v>27</v>
      </c>
      <c r="P874" s="82" t="s">
        <v>4346</v>
      </c>
      <c r="Q874" s="84" t="s">
        <v>1522</v>
      </c>
      <c r="R874" s="84" t="s">
        <v>1068</v>
      </c>
      <c r="S874" s="84">
        <v>0.17399999999999999</v>
      </c>
      <c r="T874" s="82" t="s">
        <v>4091</v>
      </c>
      <c r="U874" s="84" t="s">
        <v>3584</v>
      </c>
      <c r="V874" s="54"/>
    </row>
    <row r="875" spans="1:22" s="11" customFormat="1" ht="45" customHeight="1" x14ac:dyDescent="0.2">
      <c r="A875" s="66" t="s">
        <v>3577</v>
      </c>
      <c r="B875" s="66" t="s">
        <v>1707</v>
      </c>
      <c r="C875" s="66" t="s">
        <v>3578</v>
      </c>
      <c r="D875" s="66">
        <v>75572</v>
      </c>
      <c r="E875" s="68" t="s">
        <v>4347</v>
      </c>
      <c r="F875" s="66" t="s">
        <v>4348</v>
      </c>
      <c r="G875" s="71">
        <v>6500</v>
      </c>
      <c r="H875" s="73"/>
      <c r="I875" s="75">
        <v>0.1</v>
      </c>
      <c r="J875" s="77"/>
      <c r="K875" s="66"/>
      <c r="L875" s="66"/>
      <c r="M875" s="79" t="str">
        <f>HYPERLINK("http://www.pristavka.com/catalog/funko/Fun75572/")</f>
        <v>http://www.pristavka.com/catalog/funko/Fun75572/</v>
      </c>
      <c r="N875" s="71">
        <v>9999</v>
      </c>
      <c r="O875" s="66" t="s">
        <v>27</v>
      </c>
      <c r="P875" s="82" t="s">
        <v>4349</v>
      </c>
      <c r="Q875" s="84" t="s">
        <v>1522</v>
      </c>
      <c r="R875" s="84" t="s">
        <v>1068</v>
      </c>
      <c r="S875" s="84">
        <v>0.183</v>
      </c>
      <c r="T875" s="82" t="s">
        <v>4091</v>
      </c>
      <c r="U875" s="84" t="s">
        <v>3584</v>
      </c>
      <c r="V875" s="54"/>
    </row>
    <row r="876" spans="1:22" s="11" customFormat="1" ht="45" customHeight="1" x14ac:dyDescent="0.2">
      <c r="A876" s="66" t="s">
        <v>3577</v>
      </c>
      <c r="B876" s="66" t="s">
        <v>1707</v>
      </c>
      <c r="C876" s="66" t="s">
        <v>3578</v>
      </c>
      <c r="D876" s="66">
        <v>68489</v>
      </c>
      <c r="E876" s="68" t="s">
        <v>4350</v>
      </c>
      <c r="F876" s="66" t="s">
        <v>4351</v>
      </c>
      <c r="G876" s="71">
        <v>6890</v>
      </c>
      <c r="H876" s="73"/>
      <c r="I876" s="75">
        <v>0.1</v>
      </c>
      <c r="J876" s="77"/>
      <c r="K876" s="66"/>
      <c r="L876" s="66"/>
      <c r="M876" s="79" t="str">
        <f>HYPERLINK("http://www.pristavka.com/catalog/funko/Fun68489/")</f>
        <v>http://www.pristavka.com/catalog/funko/Fun68489/</v>
      </c>
      <c r="N876" s="71">
        <v>10599</v>
      </c>
      <c r="O876" s="66" t="s">
        <v>27</v>
      </c>
      <c r="P876" s="82" t="s">
        <v>4352</v>
      </c>
      <c r="Q876" s="84" t="s">
        <v>1522</v>
      </c>
      <c r="R876" s="84" t="s">
        <v>1068</v>
      </c>
      <c r="S876" s="84">
        <v>0.13800000000000001</v>
      </c>
      <c r="T876" s="82" t="s">
        <v>4353</v>
      </c>
      <c r="U876" s="84" t="s">
        <v>3584</v>
      </c>
      <c r="V876" s="54"/>
    </row>
    <row r="877" spans="1:22" s="11" customFormat="1" ht="45" customHeight="1" x14ac:dyDescent="0.2">
      <c r="A877" s="66" t="s">
        <v>3577</v>
      </c>
      <c r="B877" s="66" t="s">
        <v>1707</v>
      </c>
      <c r="C877" s="66" t="s">
        <v>3578</v>
      </c>
      <c r="D877" s="66">
        <v>69052</v>
      </c>
      <c r="E877" s="68" t="s">
        <v>4354</v>
      </c>
      <c r="F877" s="66" t="s">
        <v>4355</v>
      </c>
      <c r="G877" s="71">
        <v>6890</v>
      </c>
      <c r="H877" s="73"/>
      <c r="I877" s="75">
        <v>0.1</v>
      </c>
      <c r="J877" s="77"/>
      <c r="K877" s="66"/>
      <c r="L877" s="66"/>
      <c r="M877" s="79" t="str">
        <f>HYPERLINK("http://www.pristavka.com/catalog/funko/Fun69052/")</f>
        <v>http://www.pristavka.com/catalog/funko/Fun69052/</v>
      </c>
      <c r="N877" s="71">
        <v>10599</v>
      </c>
      <c r="O877" s="66" t="s">
        <v>28</v>
      </c>
      <c r="P877" s="82" t="s">
        <v>4356</v>
      </c>
      <c r="Q877" s="84" t="s">
        <v>1522</v>
      </c>
      <c r="R877" s="84" t="s">
        <v>1068</v>
      </c>
      <c r="S877" s="84">
        <v>0.16200000000000001</v>
      </c>
      <c r="T877" s="82" t="s">
        <v>4353</v>
      </c>
      <c r="U877" s="84" t="s">
        <v>3584</v>
      </c>
      <c r="V877" s="54"/>
    </row>
    <row r="878" spans="1:22" s="11" customFormat="1" ht="45" customHeight="1" x14ac:dyDescent="0.2">
      <c r="A878" s="66" t="s">
        <v>3577</v>
      </c>
      <c r="B878" s="66" t="s">
        <v>1707</v>
      </c>
      <c r="C878" s="66" t="s">
        <v>3578</v>
      </c>
      <c r="D878" s="66">
        <v>65623</v>
      </c>
      <c r="E878" s="68" t="s">
        <v>4357</v>
      </c>
      <c r="F878" s="66" t="s">
        <v>4358</v>
      </c>
      <c r="G878" s="71">
        <v>6500</v>
      </c>
      <c r="H878" s="73"/>
      <c r="I878" s="75">
        <v>0.1</v>
      </c>
      <c r="J878" s="77"/>
      <c r="K878" s="66"/>
      <c r="L878" s="66"/>
      <c r="M878" s="79" t="str">
        <f>HYPERLINK("http://www.pristavka.com/catalog/funko/Fun65623/")</f>
        <v>http://www.pristavka.com/catalog/funko/Fun65623/</v>
      </c>
      <c r="N878" s="71">
        <v>9999</v>
      </c>
      <c r="O878" s="66" t="s">
        <v>27</v>
      </c>
      <c r="P878" s="82" t="s">
        <v>4359</v>
      </c>
      <c r="Q878" s="84" t="s">
        <v>1522</v>
      </c>
      <c r="R878" s="84" t="s">
        <v>1068</v>
      </c>
      <c r="S878" s="84">
        <v>0.188</v>
      </c>
      <c r="T878" s="82" t="s">
        <v>4113</v>
      </c>
      <c r="U878" s="84" t="s">
        <v>3584</v>
      </c>
      <c r="V878" s="54"/>
    </row>
    <row r="879" spans="1:22" s="11" customFormat="1" ht="45" customHeight="1" x14ac:dyDescent="0.2">
      <c r="A879" s="66" t="s">
        <v>3577</v>
      </c>
      <c r="B879" s="66" t="s">
        <v>1707</v>
      </c>
      <c r="C879" s="66" t="s">
        <v>3578</v>
      </c>
      <c r="D879" s="66">
        <v>71762</v>
      </c>
      <c r="E879" s="68" t="s">
        <v>4360</v>
      </c>
      <c r="F879" s="66" t="s">
        <v>4361</v>
      </c>
      <c r="G879" s="71">
        <v>16900</v>
      </c>
      <c r="H879" s="73"/>
      <c r="I879" s="75">
        <v>0.1</v>
      </c>
      <c r="J879" s="77"/>
      <c r="K879" s="66"/>
      <c r="L879" s="66"/>
      <c r="M879" s="79" t="str">
        <f>HYPERLINK("http://www.pristavka.com/catalog/funko/Fun71762/")</f>
        <v>http://www.pristavka.com/catalog/funko/Fun71762/</v>
      </c>
      <c r="N879" s="71">
        <v>25999</v>
      </c>
      <c r="O879" s="66" t="s">
        <v>27</v>
      </c>
      <c r="P879" s="82" t="s">
        <v>4362</v>
      </c>
      <c r="Q879" s="84" t="s">
        <v>1522</v>
      </c>
      <c r="R879" s="84" t="s">
        <v>1068</v>
      </c>
      <c r="S879" s="84">
        <v>0.32200000000000001</v>
      </c>
      <c r="T879" s="82" t="s">
        <v>4363</v>
      </c>
      <c r="U879" s="84" t="s">
        <v>3584</v>
      </c>
      <c r="V879" s="54"/>
    </row>
    <row r="880" spans="1:22" s="11" customFormat="1" ht="45" customHeight="1" x14ac:dyDescent="0.2">
      <c r="A880" s="66" t="s">
        <v>3577</v>
      </c>
      <c r="B880" s="66" t="s">
        <v>1707</v>
      </c>
      <c r="C880" s="66" t="s">
        <v>3578</v>
      </c>
      <c r="D880" s="66">
        <v>72132</v>
      </c>
      <c r="E880" s="68" t="s">
        <v>4364</v>
      </c>
      <c r="F880" s="66" t="s">
        <v>4365</v>
      </c>
      <c r="G880" s="71">
        <v>6500</v>
      </c>
      <c r="H880" s="73"/>
      <c r="I880" s="75">
        <v>0.1</v>
      </c>
      <c r="J880" s="77"/>
      <c r="K880" s="66"/>
      <c r="L880" s="66"/>
      <c r="M880" s="79" t="str">
        <f>HYPERLINK("http://www.pristavka.com/catalog/funko/Fun72132/")</f>
        <v>http://www.pristavka.com/catalog/funko/Fun72132/</v>
      </c>
      <c r="N880" s="71">
        <v>9999</v>
      </c>
      <c r="O880" s="66" t="s">
        <v>27</v>
      </c>
      <c r="P880" s="82" t="s">
        <v>4366</v>
      </c>
      <c r="Q880" s="84" t="s">
        <v>1522</v>
      </c>
      <c r="R880" s="84" t="s">
        <v>1068</v>
      </c>
      <c r="S880" s="84">
        <v>0.16400000000000001</v>
      </c>
      <c r="T880" s="82" t="s">
        <v>4084</v>
      </c>
      <c r="U880" s="84" t="s">
        <v>3584</v>
      </c>
      <c r="V880" s="54"/>
    </row>
    <row r="881" spans="1:22" s="11" customFormat="1" ht="45" customHeight="1" x14ac:dyDescent="0.2">
      <c r="A881" s="66" t="s">
        <v>3577</v>
      </c>
      <c r="B881" s="66" t="s">
        <v>1707</v>
      </c>
      <c r="C881" s="66" t="s">
        <v>3578</v>
      </c>
      <c r="D881" s="66">
        <v>57344</v>
      </c>
      <c r="E881" s="68" t="s">
        <v>4367</v>
      </c>
      <c r="F881" s="66" t="s">
        <v>4368</v>
      </c>
      <c r="G881" s="71">
        <v>6500</v>
      </c>
      <c r="H881" s="73"/>
      <c r="I881" s="75">
        <v>0.1</v>
      </c>
      <c r="J881" s="77"/>
      <c r="K881" s="66"/>
      <c r="L881" s="66"/>
      <c r="M881" s="79" t="str">
        <f>HYPERLINK("http://www.pristavka.com/catalog/funko/Fun57344/")</f>
        <v>http://www.pristavka.com/catalog/funko/Fun57344/</v>
      </c>
      <c r="N881" s="71">
        <v>9999</v>
      </c>
      <c r="O881" s="66" t="s">
        <v>27</v>
      </c>
      <c r="P881" s="82" t="s">
        <v>4369</v>
      </c>
      <c r="Q881" s="84" t="s">
        <v>1522</v>
      </c>
      <c r="R881" s="84" t="s">
        <v>1068</v>
      </c>
      <c r="S881" s="84">
        <v>0.17599999999999999</v>
      </c>
      <c r="T881" s="82" t="s">
        <v>4370</v>
      </c>
      <c r="U881" s="84" t="s">
        <v>3584</v>
      </c>
      <c r="V881" s="54"/>
    </row>
    <row r="882" spans="1:22" s="11" customFormat="1" ht="45" customHeight="1" x14ac:dyDescent="0.2">
      <c r="A882" s="66" t="s">
        <v>3577</v>
      </c>
      <c r="B882" s="66" t="s">
        <v>1707</v>
      </c>
      <c r="C882" s="66" t="s">
        <v>3578</v>
      </c>
      <c r="D882" s="66">
        <v>85331</v>
      </c>
      <c r="E882" s="68" t="s">
        <v>4371</v>
      </c>
      <c r="F882" s="66" t="s">
        <v>4372</v>
      </c>
      <c r="G882" s="71">
        <v>6500</v>
      </c>
      <c r="H882" s="73"/>
      <c r="I882" s="75">
        <v>0.1</v>
      </c>
      <c r="J882" s="77"/>
      <c r="K882" s="66"/>
      <c r="L882" s="66"/>
      <c r="M882" s="79" t="str">
        <f>HYPERLINK("http://www.pristavka.com/catalog/funko/Fun85331/")</f>
        <v>http://www.pristavka.com/catalog/funko/Fun85331/</v>
      </c>
      <c r="N882" s="71">
        <v>9999</v>
      </c>
      <c r="O882" s="66" t="s">
        <v>27</v>
      </c>
      <c r="P882" s="82" t="s">
        <v>4373</v>
      </c>
      <c r="Q882" s="84" t="s">
        <v>1522</v>
      </c>
      <c r="R882" s="84" t="s">
        <v>1068</v>
      </c>
      <c r="S882" s="84">
        <v>0.17599999999999999</v>
      </c>
      <c r="T882" s="82" t="s">
        <v>4113</v>
      </c>
      <c r="U882" s="84" t="s">
        <v>3584</v>
      </c>
      <c r="V882" s="54"/>
    </row>
    <row r="883" spans="1:22" s="11" customFormat="1" ht="45" customHeight="1" x14ac:dyDescent="0.2">
      <c r="A883" s="66" t="s">
        <v>3577</v>
      </c>
      <c r="B883" s="66" t="s">
        <v>1707</v>
      </c>
      <c r="C883" s="66" t="s">
        <v>3578</v>
      </c>
      <c r="D883" s="66">
        <v>85403</v>
      </c>
      <c r="E883" s="68" t="s">
        <v>4374</v>
      </c>
      <c r="F883" s="66" t="s">
        <v>4375</v>
      </c>
      <c r="G883" s="71">
        <v>6890</v>
      </c>
      <c r="H883" s="73"/>
      <c r="I883" s="75">
        <v>0.1</v>
      </c>
      <c r="J883" s="77"/>
      <c r="K883" s="66"/>
      <c r="L883" s="66"/>
      <c r="M883" s="79" t="str">
        <f>HYPERLINK("http://www.pristavka.com/catalog/funko/Fun85403/")</f>
        <v>http://www.pristavka.com/catalog/funko/Fun85403/</v>
      </c>
      <c r="N883" s="71">
        <v>10599</v>
      </c>
      <c r="O883" s="66" t="s">
        <v>27</v>
      </c>
      <c r="P883" s="82" t="s">
        <v>4376</v>
      </c>
      <c r="Q883" s="84" t="s">
        <v>1522</v>
      </c>
      <c r="R883" s="84" t="s">
        <v>1068</v>
      </c>
      <c r="S883" s="84">
        <v>0.16200000000000001</v>
      </c>
      <c r="T883" s="82" t="s">
        <v>4113</v>
      </c>
      <c r="U883" s="84" t="s">
        <v>3584</v>
      </c>
      <c r="V883" s="54"/>
    </row>
    <row r="884" spans="1:22" s="11" customFormat="1" ht="45" customHeight="1" x14ac:dyDescent="0.2">
      <c r="A884" s="66" t="s">
        <v>3577</v>
      </c>
      <c r="B884" s="66" t="s">
        <v>1707</v>
      </c>
      <c r="C884" s="66" t="s">
        <v>3578</v>
      </c>
      <c r="D884" s="66">
        <v>85332</v>
      </c>
      <c r="E884" s="68" t="s">
        <v>4377</v>
      </c>
      <c r="F884" s="66" t="s">
        <v>4378</v>
      </c>
      <c r="G884" s="71">
        <v>6500</v>
      </c>
      <c r="H884" s="73"/>
      <c r="I884" s="75">
        <v>0.1</v>
      </c>
      <c r="J884" s="77"/>
      <c r="K884" s="66"/>
      <c r="L884" s="66"/>
      <c r="M884" s="79" t="str">
        <f>HYPERLINK("http://www.pristavka.com/catalog/funko/Fun85332/")</f>
        <v>http://www.pristavka.com/catalog/funko/Fun85332/</v>
      </c>
      <c r="N884" s="71">
        <v>9999</v>
      </c>
      <c r="O884" s="66" t="s">
        <v>27</v>
      </c>
      <c r="P884" s="82" t="s">
        <v>4379</v>
      </c>
      <c r="Q884" s="84" t="s">
        <v>1522</v>
      </c>
      <c r="R884" s="84" t="s">
        <v>1068</v>
      </c>
      <c r="S884" s="84">
        <v>0.19</v>
      </c>
      <c r="T884" s="82" t="s">
        <v>4113</v>
      </c>
      <c r="U884" s="84" t="s">
        <v>3584</v>
      </c>
      <c r="V884" s="54"/>
    </row>
    <row r="885" spans="1:22" s="11" customFormat="1" ht="45" customHeight="1" x14ac:dyDescent="0.2">
      <c r="A885" s="66" t="s">
        <v>3577</v>
      </c>
      <c r="B885" s="66" t="s">
        <v>1707</v>
      </c>
      <c r="C885" s="66" t="s">
        <v>3578</v>
      </c>
      <c r="D885" s="66">
        <v>80333</v>
      </c>
      <c r="E885" s="68" t="s">
        <v>4380</v>
      </c>
      <c r="F885" s="66" t="s">
        <v>4381</v>
      </c>
      <c r="G885" s="71">
        <v>6500</v>
      </c>
      <c r="H885" s="73"/>
      <c r="I885" s="75">
        <v>0.1</v>
      </c>
      <c r="J885" s="77"/>
      <c r="K885" s="66"/>
      <c r="L885" s="66"/>
      <c r="M885" s="79" t="str">
        <f>HYPERLINK("http://www.pristavka.com/catalog/funko/Fun80333/")</f>
        <v>http://www.pristavka.com/catalog/funko/Fun80333/</v>
      </c>
      <c r="N885" s="71">
        <v>9999</v>
      </c>
      <c r="O885" s="66" t="s">
        <v>27</v>
      </c>
      <c r="P885" s="82" t="s">
        <v>4382</v>
      </c>
      <c r="Q885" s="84" t="s">
        <v>1522</v>
      </c>
      <c r="R885" s="84" t="s">
        <v>1068</v>
      </c>
      <c r="S885" s="84">
        <v>0.16</v>
      </c>
      <c r="T885" s="82" t="s">
        <v>4084</v>
      </c>
      <c r="U885" s="84" t="s">
        <v>3584</v>
      </c>
      <c r="V885" s="54"/>
    </row>
    <row r="886" spans="1:22" s="11" customFormat="1" ht="45" customHeight="1" x14ac:dyDescent="0.2">
      <c r="A886" s="66" t="s">
        <v>3577</v>
      </c>
      <c r="B886" s="66" t="s">
        <v>1707</v>
      </c>
      <c r="C886" s="66" t="s">
        <v>3578</v>
      </c>
      <c r="D886" s="66">
        <v>71279</v>
      </c>
      <c r="E886" s="68" t="s">
        <v>4383</v>
      </c>
      <c r="F886" s="66" t="s">
        <v>4384</v>
      </c>
      <c r="G886" s="71">
        <v>6890</v>
      </c>
      <c r="H886" s="73"/>
      <c r="I886" s="75">
        <v>0.1</v>
      </c>
      <c r="J886" s="77"/>
      <c r="K886" s="66"/>
      <c r="L886" s="66"/>
      <c r="M886" s="79" t="str">
        <f>HYPERLINK("http://www.pristavka.com/catalog/funko/Fun71279/")</f>
        <v>http://www.pristavka.com/catalog/funko/Fun71279/</v>
      </c>
      <c r="N886" s="71">
        <v>10599</v>
      </c>
      <c r="O886" s="66" t="s">
        <v>27</v>
      </c>
      <c r="P886" s="82" t="s">
        <v>4385</v>
      </c>
      <c r="Q886" s="84" t="s">
        <v>1522</v>
      </c>
      <c r="R886" s="84" t="s">
        <v>1068</v>
      </c>
      <c r="S886" s="84">
        <v>0.182</v>
      </c>
      <c r="T886" s="82" t="s">
        <v>4084</v>
      </c>
      <c r="U886" s="84" t="s">
        <v>3584</v>
      </c>
      <c r="V886" s="54"/>
    </row>
    <row r="887" spans="1:22" s="11" customFormat="1" ht="45" customHeight="1" x14ac:dyDescent="0.2">
      <c r="A887" s="66" t="s">
        <v>3577</v>
      </c>
      <c r="B887" s="66" t="s">
        <v>1707</v>
      </c>
      <c r="C887" s="66" t="s">
        <v>3578</v>
      </c>
      <c r="D887" s="66">
        <v>84594</v>
      </c>
      <c r="E887" s="68" t="s">
        <v>4386</v>
      </c>
      <c r="F887" s="66" t="s">
        <v>4387</v>
      </c>
      <c r="G887" s="71">
        <v>19825</v>
      </c>
      <c r="H887" s="73"/>
      <c r="I887" s="75">
        <v>0.1</v>
      </c>
      <c r="J887" s="77"/>
      <c r="K887" s="66"/>
      <c r="L887" s="66"/>
      <c r="M887" s="79" t="str">
        <f>HYPERLINK("http://www.pristavka.com/catalog/funko/Fun84594/")</f>
        <v>http://www.pristavka.com/catalog/funko/Fun84594/</v>
      </c>
      <c r="N887" s="71">
        <v>30499</v>
      </c>
      <c r="O887" s="66" t="s">
        <v>27</v>
      </c>
      <c r="P887" s="82" t="s">
        <v>4388</v>
      </c>
      <c r="Q887" s="84" t="s">
        <v>1522</v>
      </c>
      <c r="R887" s="84" t="s">
        <v>1068</v>
      </c>
      <c r="S887" s="84">
        <v>1.454</v>
      </c>
      <c r="T887" s="82" t="s">
        <v>4389</v>
      </c>
      <c r="U887" s="84" t="s">
        <v>3584</v>
      </c>
      <c r="V887" s="54"/>
    </row>
    <row r="888" spans="1:22" s="11" customFormat="1" ht="45" customHeight="1" x14ac:dyDescent="0.2">
      <c r="A888" s="66" t="s">
        <v>3577</v>
      </c>
      <c r="B888" s="66" t="s">
        <v>1707</v>
      </c>
      <c r="C888" s="66" t="s">
        <v>3578</v>
      </c>
      <c r="D888" s="66">
        <v>77105</v>
      </c>
      <c r="E888" s="68" t="s">
        <v>4390</v>
      </c>
      <c r="F888" s="66" t="s">
        <v>4391</v>
      </c>
      <c r="G888" s="71">
        <v>6890</v>
      </c>
      <c r="H888" s="73"/>
      <c r="I888" s="75">
        <v>0.1</v>
      </c>
      <c r="J888" s="77"/>
      <c r="K888" s="66"/>
      <c r="L888" s="66"/>
      <c r="M888" s="79" t="str">
        <f>HYPERLINK("http://www.pristavka.com/catalog/funko/Fun77105/")</f>
        <v>http://www.pristavka.com/catalog/funko/Fun77105/</v>
      </c>
      <c r="N888" s="71">
        <v>10599</v>
      </c>
      <c r="O888" s="66" t="s">
        <v>27</v>
      </c>
      <c r="P888" s="82" t="s">
        <v>4392</v>
      </c>
      <c r="Q888" s="84" t="s">
        <v>1522</v>
      </c>
      <c r="R888" s="84" t="s">
        <v>1068</v>
      </c>
      <c r="S888" s="84">
        <v>0.16900000000000001</v>
      </c>
      <c r="T888" s="82" t="s">
        <v>4091</v>
      </c>
      <c r="U888" s="84" t="s">
        <v>3584</v>
      </c>
      <c r="V888" s="54"/>
    </row>
    <row r="889" spans="1:22" s="11" customFormat="1" ht="45" customHeight="1" x14ac:dyDescent="0.2">
      <c r="A889" s="66" t="s">
        <v>3577</v>
      </c>
      <c r="B889" s="66" t="s">
        <v>1707</v>
      </c>
      <c r="C889" s="66" t="s">
        <v>3578</v>
      </c>
      <c r="D889" s="66">
        <v>72611</v>
      </c>
      <c r="E889" s="68" t="s">
        <v>4393</v>
      </c>
      <c r="F889" s="66" t="s">
        <v>4394</v>
      </c>
      <c r="G889" s="71">
        <v>6500</v>
      </c>
      <c r="H889" s="73"/>
      <c r="I889" s="75">
        <v>0.1</v>
      </c>
      <c r="J889" s="77"/>
      <c r="K889" s="66"/>
      <c r="L889" s="66"/>
      <c r="M889" s="79" t="str">
        <f>HYPERLINK("http://www.pristavka.com/catalog/funko/Fun72611/")</f>
        <v>http://www.pristavka.com/catalog/funko/Fun72611/</v>
      </c>
      <c r="N889" s="71">
        <v>9999</v>
      </c>
      <c r="O889" s="66" t="s">
        <v>27</v>
      </c>
      <c r="P889" s="82" t="s">
        <v>4395</v>
      </c>
      <c r="Q889" s="84" t="s">
        <v>1522</v>
      </c>
      <c r="R889" s="84" t="s">
        <v>1068</v>
      </c>
      <c r="S889" s="84">
        <v>0.155</v>
      </c>
      <c r="T889" s="82" t="s">
        <v>4102</v>
      </c>
      <c r="U889" s="84" t="s">
        <v>3584</v>
      </c>
      <c r="V889" s="54"/>
    </row>
    <row r="890" spans="1:22" s="11" customFormat="1" ht="45" customHeight="1" x14ac:dyDescent="0.2">
      <c r="A890" s="66" t="s">
        <v>3577</v>
      </c>
      <c r="B890" s="66" t="s">
        <v>1707</v>
      </c>
      <c r="C890" s="66" t="s">
        <v>3578</v>
      </c>
      <c r="D890" s="66">
        <v>72612</v>
      </c>
      <c r="E890" s="68" t="s">
        <v>4396</v>
      </c>
      <c r="F890" s="66" t="s">
        <v>4397</v>
      </c>
      <c r="G890" s="71">
        <v>6500</v>
      </c>
      <c r="H890" s="73"/>
      <c r="I890" s="75">
        <v>0.1</v>
      </c>
      <c r="J890" s="77"/>
      <c r="K890" s="66"/>
      <c r="L890" s="66"/>
      <c r="M890" s="79" t="str">
        <f>HYPERLINK("http://www.pristavka.com/catalog/funko/Fun72612/")</f>
        <v>http://www.pristavka.com/catalog/funko/Fun72612/</v>
      </c>
      <c r="N890" s="71">
        <v>9999</v>
      </c>
      <c r="O890" s="66" t="s">
        <v>27</v>
      </c>
      <c r="P890" s="82" t="s">
        <v>4398</v>
      </c>
      <c r="Q890" s="84" t="s">
        <v>1522</v>
      </c>
      <c r="R890" s="84" t="s">
        <v>1068</v>
      </c>
      <c r="S890" s="84">
        <v>0.13100000000000001</v>
      </c>
      <c r="T890" s="82" t="s">
        <v>4091</v>
      </c>
      <c r="U890" s="84" t="s">
        <v>3584</v>
      </c>
      <c r="V890" s="54"/>
    </row>
    <row r="891" spans="1:22" s="11" customFormat="1" ht="45" customHeight="1" x14ac:dyDescent="0.2">
      <c r="A891" s="66" t="s">
        <v>3577</v>
      </c>
      <c r="B891" s="66" t="s">
        <v>1707</v>
      </c>
      <c r="C891" s="66" t="s">
        <v>3578</v>
      </c>
      <c r="D891" s="66">
        <v>49010</v>
      </c>
      <c r="E891" s="68" t="s">
        <v>4399</v>
      </c>
      <c r="F891" s="66" t="s">
        <v>4400</v>
      </c>
      <c r="G891" s="71">
        <v>6500</v>
      </c>
      <c r="H891" s="73"/>
      <c r="I891" s="75">
        <v>0.1</v>
      </c>
      <c r="J891" s="77"/>
      <c r="K891" s="66"/>
      <c r="L891" s="66"/>
      <c r="M891" s="79" t="str">
        <f>HYPERLINK("http://www.pristavka.com/catalog/funko/Fun25491329/")</f>
        <v>http://www.pristavka.com/catalog/funko/Fun25491329/</v>
      </c>
      <c r="N891" s="71">
        <v>9999</v>
      </c>
      <c r="O891" s="66" t="s">
        <v>27</v>
      </c>
      <c r="P891" s="82" t="s">
        <v>4401</v>
      </c>
      <c r="Q891" s="84" t="s">
        <v>1522</v>
      </c>
      <c r="R891" s="84" t="s">
        <v>1068</v>
      </c>
      <c r="S891" s="84">
        <v>0.157</v>
      </c>
      <c r="T891" s="82" t="s">
        <v>4402</v>
      </c>
      <c r="U891" s="84" t="s">
        <v>3584</v>
      </c>
      <c r="V891" s="54"/>
    </row>
    <row r="892" spans="1:22" s="11" customFormat="1" ht="45" customHeight="1" x14ac:dyDescent="0.2">
      <c r="A892" s="66" t="s">
        <v>3577</v>
      </c>
      <c r="B892" s="66" t="s">
        <v>1707</v>
      </c>
      <c r="C892" s="66" t="s">
        <v>3578</v>
      </c>
      <c r="D892" s="66">
        <v>75573</v>
      </c>
      <c r="E892" s="68" t="s">
        <v>4403</v>
      </c>
      <c r="F892" s="66" t="s">
        <v>4404</v>
      </c>
      <c r="G892" s="71">
        <v>6500</v>
      </c>
      <c r="H892" s="73"/>
      <c r="I892" s="75">
        <v>0.1</v>
      </c>
      <c r="J892" s="77"/>
      <c r="K892" s="66"/>
      <c r="L892" s="66"/>
      <c r="M892" s="79" t="str">
        <f>HYPERLINK("http://www.pristavka.com/catalog/funko/Fun75573/")</f>
        <v>http://www.pristavka.com/catalog/funko/Fun75573/</v>
      </c>
      <c r="N892" s="71">
        <v>9999</v>
      </c>
      <c r="O892" s="66" t="s">
        <v>27</v>
      </c>
      <c r="P892" s="82" t="s">
        <v>4405</v>
      </c>
      <c r="Q892" s="84" t="s">
        <v>1522</v>
      </c>
      <c r="R892" s="84" t="s">
        <v>1068</v>
      </c>
      <c r="S892" s="84">
        <v>0.158</v>
      </c>
      <c r="T892" s="82" t="s">
        <v>4091</v>
      </c>
      <c r="U892" s="84" t="s">
        <v>3584</v>
      </c>
      <c r="V892" s="54"/>
    </row>
    <row r="893" spans="1:22" s="11" customFormat="1" ht="45" customHeight="1" x14ac:dyDescent="0.2">
      <c r="A893" s="66" t="s">
        <v>3577</v>
      </c>
      <c r="B893" s="66" t="s">
        <v>1707</v>
      </c>
      <c r="C893" s="66" t="s">
        <v>3578</v>
      </c>
      <c r="D893" s="66">
        <v>80334</v>
      </c>
      <c r="E893" s="68" t="s">
        <v>4406</v>
      </c>
      <c r="F893" s="66" t="s">
        <v>4407</v>
      </c>
      <c r="G893" s="71">
        <v>6500</v>
      </c>
      <c r="H893" s="73"/>
      <c r="I893" s="75">
        <v>0.1</v>
      </c>
      <c r="J893" s="77"/>
      <c r="K893" s="66"/>
      <c r="L893" s="66"/>
      <c r="M893" s="79" t="str">
        <f>HYPERLINK("http://www.pristavka.com/catalog/funko/Fun80334/")</f>
        <v>http://www.pristavka.com/catalog/funko/Fun80334/</v>
      </c>
      <c r="N893" s="71">
        <v>9999</v>
      </c>
      <c r="O893" s="66" t="s">
        <v>27</v>
      </c>
      <c r="P893" s="82" t="s">
        <v>4408</v>
      </c>
      <c r="Q893" s="84" t="s">
        <v>1522</v>
      </c>
      <c r="R893" s="84" t="s">
        <v>1068</v>
      </c>
      <c r="S893" s="84">
        <v>0.15</v>
      </c>
      <c r="T893" s="82" t="s">
        <v>4091</v>
      </c>
      <c r="U893" s="84" t="s">
        <v>3584</v>
      </c>
      <c r="V893" s="54"/>
    </row>
    <row r="894" spans="1:22" s="11" customFormat="1" ht="45" customHeight="1" x14ac:dyDescent="0.2">
      <c r="A894" s="66" t="s">
        <v>3577</v>
      </c>
      <c r="B894" s="66" t="s">
        <v>1707</v>
      </c>
      <c r="C894" s="66" t="s">
        <v>3578</v>
      </c>
      <c r="D894" s="66">
        <v>72613</v>
      </c>
      <c r="E894" s="68" t="s">
        <v>4409</v>
      </c>
      <c r="F894" s="66" t="s">
        <v>4410</v>
      </c>
      <c r="G894" s="71">
        <v>6500</v>
      </c>
      <c r="H894" s="73"/>
      <c r="I894" s="75">
        <v>0.1</v>
      </c>
      <c r="J894" s="77"/>
      <c r="K894" s="66"/>
      <c r="L894" s="66"/>
      <c r="M894" s="79" t="str">
        <f>HYPERLINK("http://www.pristavka.com/catalog/funko/Fun72613/")</f>
        <v>http://www.pristavka.com/catalog/funko/Fun72613/</v>
      </c>
      <c r="N894" s="71">
        <v>9999</v>
      </c>
      <c r="O894" s="66" t="s">
        <v>27</v>
      </c>
      <c r="P894" s="82" t="s">
        <v>4411</v>
      </c>
      <c r="Q894" s="84" t="s">
        <v>1522</v>
      </c>
      <c r="R894" s="84" t="s">
        <v>1068</v>
      </c>
      <c r="S894" s="84">
        <v>0.17399999999999999</v>
      </c>
      <c r="T894" s="82" t="s">
        <v>4084</v>
      </c>
      <c r="U894" s="84" t="s">
        <v>3584</v>
      </c>
      <c r="V894" s="54"/>
    </row>
    <row r="895" spans="1:22" s="11" customFormat="1" ht="45" customHeight="1" x14ac:dyDescent="0.2">
      <c r="A895" s="66" t="s">
        <v>3577</v>
      </c>
      <c r="B895" s="66" t="s">
        <v>1707</v>
      </c>
      <c r="C895" s="66" t="s">
        <v>3578</v>
      </c>
      <c r="D895" s="66">
        <v>83720</v>
      </c>
      <c r="E895" s="68" t="s">
        <v>4412</v>
      </c>
      <c r="F895" s="66" t="s">
        <v>4413</v>
      </c>
      <c r="G895" s="71">
        <v>19825</v>
      </c>
      <c r="H895" s="73"/>
      <c r="I895" s="75">
        <v>0.1</v>
      </c>
      <c r="J895" s="77"/>
      <c r="K895" s="66"/>
      <c r="L895" s="66"/>
      <c r="M895" s="79" t="str">
        <f>HYPERLINK("http://www.pristavka.com/catalog/funko/Fun83720/")</f>
        <v>http://www.pristavka.com/catalog/funko/Fun83720/</v>
      </c>
      <c r="N895" s="71">
        <v>30499</v>
      </c>
      <c r="O895" s="66" t="s">
        <v>27</v>
      </c>
      <c r="P895" s="82" t="s">
        <v>4414</v>
      </c>
      <c r="Q895" s="84" t="s">
        <v>1522</v>
      </c>
      <c r="R895" s="84" t="s">
        <v>1068</v>
      </c>
      <c r="S895" s="84">
        <v>1.19</v>
      </c>
      <c r="T895" s="82" t="s">
        <v>4415</v>
      </c>
      <c r="U895" s="84" t="s">
        <v>3584</v>
      </c>
      <c r="V895" s="54"/>
    </row>
    <row r="896" spans="1:22" s="11" customFormat="1" ht="45" customHeight="1" x14ac:dyDescent="0.2">
      <c r="A896" s="66" t="s">
        <v>3577</v>
      </c>
      <c r="B896" s="66" t="s">
        <v>1707</v>
      </c>
      <c r="C896" s="66" t="s">
        <v>3578</v>
      </c>
      <c r="D896" s="66">
        <v>68862</v>
      </c>
      <c r="E896" s="68" t="s">
        <v>4416</v>
      </c>
      <c r="F896" s="66" t="s">
        <v>4417</v>
      </c>
      <c r="G896" s="71">
        <v>6890</v>
      </c>
      <c r="H896" s="73"/>
      <c r="I896" s="75">
        <v>0.1</v>
      </c>
      <c r="J896" s="77"/>
      <c r="K896" s="66"/>
      <c r="L896" s="66"/>
      <c r="M896" s="79" t="str">
        <f>HYPERLINK("http://www.pristavka.com/catalog/funko/Fun68862/")</f>
        <v>http://www.pristavka.com/catalog/funko/Fun68862/</v>
      </c>
      <c r="N896" s="71">
        <v>10599</v>
      </c>
      <c r="O896" s="66" t="s">
        <v>27</v>
      </c>
      <c r="P896" s="82" t="s">
        <v>4418</v>
      </c>
      <c r="Q896" s="84" t="s">
        <v>1522</v>
      </c>
      <c r="R896" s="84" t="s">
        <v>1068</v>
      </c>
      <c r="S896" s="84">
        <v>0.18099999999999999</v>
      </c>
      <c r="T896" s="82" t="s">
        <v>4370</v>
      </c>
      <c r="U896" s="84" t="s">
        <v>3584</v>
      </c>
      <c r="V896" s="54"/>
    </row>
    <row r="897" spans="1:22" s="11" customFormat="1" ht="45" customHeight="1" x14ac:dyDescent="0.2">
      <c r="A897" s="66" t="s">
        <v>3577</v>
      </c>
      <c r="B897" s="66" t="s">
        <v>1707</v>
      </c>
      <c r="C897" s="66" t="s">
        <v>3578</v>
      </c>
      <c r="D897" s="66">
        <v>72614</v>
      </c>
      <c r="E897" s="68" t="s">
        <v>4419</v>
      </c>
      <c r="F897" s="66" t="s">
        <v>4420</v>
      </c>
      <c r="G897" s="71">
        <v>6500</v>
      </c>
      <c r="H897" s="73"/>
      <c r="I897" s="75">
        <v>0.1</v>
      </c>
      <c r="J897" s="77"/>
      <c r="K897" s="66"/>
      <c r="L897" s="66"/>
      <c r="M897" s="79" t="str">
        <f>HYPERLINK("http://www.pristavka.com/catalog/funko/Fun72614/")</f>
        <v>http://www.pristavka.com/catalog/funko/Fun72614/</v>
      </c>
      <c r="N897" s="71">
        <v>9999</v>
      </c>
      <c r="O897" s="66" t="s">
        <v>28</v>
      </c>
      <c r="P897" s="82" t="s">
        <v>4421</v>
      </c>
      <c r="Q897" s="84" t="s">
        <v>1522</v>
      </c>
      <c r="R897" s="84" t="s">
        <v>1068</v>
      </c>
      <c r="S897" s="84">
        <v>0.127</v>
      </c>
      <c r="T897" s="82" t="s">
        <v>4091</v>
      </c>
      <c r="U897" s="84" t="s">
        <v>3584</v>
      </c>
      <c r="V897" s="54"/>
    </row>
    <row r="898" spans="1:22" s="11" customFormat="1" ht="45" customHeight="1" x14ac:dyDescent="0.2">
      <c r="A898" s="66" t="s">
        <v>3577</v>
      </c>
      <c r="B898" s="66" t="s">
        <v>1707</v>
      </c>
      <c r="C898" s="66" t="s">
        <v>3578</v>
      </c>
      <c r="D898" s="66">
        <v>73903</v>
      </c>
      <c r="E898" s="68" t="s">
        <v>4422</v>
      </c>
      <c r="F898" s="66" t="s">
        <v>4423</v>
      </c>
      <c r="G898" s="71">
        <v>6890</v>
      </c>
      <c r="H898" s="73"/>
      <c r="I898" s="75">
        <v>0.1</v>
      </c>
      <c r="J898" s="77"/>
      <c r="K898" s="66"/>
      <c r="L898" s="66"/>
      <c r="M898" s="79" t="str">
        <f>HYPERLINK("http://www.pristavka.com/catalog/funko/Fun73903/")</f>
        <v>http://www.pristavka.com/catalog/funko/Fun73903/</v>
      </c>
      <c r="N898" s="71">
        <v>10599</v>
      </c>
      <c r="O898" s="66" t="s">
        <v>27</v>
      </c>
      <c r="P898" s="82" t="s">
        <v>4424</v>
      </c>
      <c r="Q898" s="84" t="s">
        <v>1522</v>
      </c>
      <c r="R898" s="84" t="s">
        <v>1068</v>
      </c>
      <c r="S898" s="84">
        <v>0.13300000000000001</v>
      </c>
      <c r="T898" s="82" t="s">
        <v>4091</v>
      </c>
      <c r="U898" s="84" t="s">
        <v>3584</v>
      </c>
      <c r="V898" s="54"/>
    </row>
    <row r="899" spans="1:22" s="11" customFormat="1" ht="45" customHeight="1" x14ac:dyDescent="0.2">
      <c r="A899" s="66" t="s">
        <v>3577</v>
      </c>
      <c r="B899" s="66" t="s">
        <v>1707</v>
      </c>
      <c r="C899" s="66" t="s">
        <v>3578</v>
      </c>
      <c r="D899" s="66">
        <v>75575</v>
      </c>
      <c r="E899" s="68" t="s">
        <v>4425</v>
      </c>
      <c r="F899" s="66" t="s">
        <v>4426</v>
      </c>
      <c r="G899" s="71">
        <v>6500</v>
      </c>
      <c r="H899" s="73"/>
      <c r="I899" s="75">
        <v>0.1</v>
      </c>
      <c r="J899" s="77"/>
      <c r="K899" s="66"/>
      <c r="L899" s="66"/>
      <c r="M899" s="79" t="str">
        <f>HYPERLINK("http://www.pristavka.com/catalog/funko/Fun75575/")</f>
        <v>http://www.pristavka.com/catalog/funko/Fun75575/</v>
      </c>
      <c r="N899" s="71">
        <v>9999</v>
      </c>
      <c r="O899" s="66" t="s">
        <v>28</v>
      </c>
      <c r="P899" s="82" t="s">
        <v>4427</v>
      </c>
      <c r="Q899" s="84" t="s">
        <v>1522</v>
      </c>
      <c r="R899" s="84" t="s">
        <v>1068</v>
      </c>
      <c r="S899" s="84">
        <v>0.16500000000000001</v>
      </c>
      <c r="T899" s="82" t="s">
        <v>4091</v>
      </c>
      <c r="U899" s="84" t="s">
        <v>3584</v>
      </c>
      <c r="V899" s="54"/>
    </row>
    <row r="900" spans="1:22" s="11" customFormat="1" ht="45" customHeight="1" x14ac:dyDescent="0.2">
      <c r="A900" s="66" t="s">
        <v>3577</v>
      </c>
      <c r="B900" s="66" t="s">
        <v>1707</v>
      </c>
      <c r="C900" s="66" t="s">
        <v>3578</v>
      </c>
      <c r="D900" s="66">
        <v>85405</v>
      </c>
      <c r="E900" s="68" t="s">
        <v>4428</v>
      </c>
      <c r="F900" s="66" t="s">
        <v>4429</v>
      </c>
      <c r="G900" s="71">
        <v>6890</v>
      </c>
      <c r="H900" s="73"/>
      <c r="I900" s="75">
        <v>0.1</v>
      </c>
      <c r="J900" s="77"/>
      <c r="K900" s="66"/>
      <c r="L900" s="66"/>
      <c r="M900" s="79" t="str">
        <f>HYPERLINK("http://www.pristavka.com/catalog/funko/Fun85405/")</f>
        <v>http://www.pristavka.com/catalog/funko/Fun85405/</v>
      </c>
      <c r="N900" s="71">
        <v>10599</v>
      </c>
      <c r="O900" s="66" t="s">
        <v>27</v>
      </c>
      <c r="P900" s="82" t="s">
        <v>4430</v>
      </c>
      <c r="Q900" s="84" t="s">
        <v>1522</v>
      </c>
      <c r="R900" s="84" t="s">
        <v>1068</v>
      </c>
      <c r="S900" s="84">
        <v>0.17399999999999999</v>
      </c>
      <c r="T900" s="82" t="s">
        <v>4113</v>
      </c>
      <c r="U900" s="84" t="s">
        <v>3584</v>
      </c>
      <c r="V900" s="54"/>
    </row>
    <row r="901" spans="1:22" s="11" customFormat="1" ht="45" customHeight="1" x14ac:dyDescent="0.2">
      <c r="A901" s="66" t="s">
        <v>3577</v>
      </c>
      <c r="B901" s="66" t="s">
        <v>1707</v>
      </c>
      <c r="C901" s="66" t="s">
        <v>3578</v>
      </c>
      <c r="D901" s="66">
        <v>83877</v>
      </c>
      <c r="E901" s="68" t="s">
        <v>4431</v>
      </c>
      <c r="F901" s="66" t="s">
        <v>4432</v>
      </c>
      <c r="G901" s="71">
        <v>6500</v>
      </c>
      <c r="H901" s="73"/>
      <c r="I901" s="75">
        <v>0.1</v>
      </c>
      <c r="J901" s="77"/>
      <c r="K901" s="66"/>
      <c r="L901" s="66"/>
      <c r="M901" s="79" t="str">
        <f>HYPERLINK("http://www.pristavka.com/catalog/funko/Fun83877/")</f>
        <v>http://www.pristavka.com/catalog/funko/Fun83877/</v>
      </c>
      <c r="N901" s="71">
        <v>9999</v>
      </c>
      <c r="O901" s="66" t="s">
        <v>28</v>
      </c>
      <c r="P901" s="82" t="s">
        <v>4433</v>
      </c>
      <c r="Q901" s="84" t="s">
        <v>4434</v>
      </c>
      <c r="R901" s="84" t="s">
        <v>1068</v>
      </c>
      <c r="S901" s="84">
        <v>0.155</v>
      </c>
      <c r="T901" s="82" t="s">
        <v>4113</v>
      </c>
      <c r="U901" s="84" t="s">
        <v>3584</v>
      </c>
      <c r="V901" s="54"/>
    </row>
    <row r="902" spans="1:22" s="11" customFormat="1" ht="45" customHeight="1" x14ac:dyDescent="0.2">
      <c r="A902" s="66" t="s">
        <v>3577</v>
      </c>
      <c r="B902" s="66" t="s">
        <v>1707</v>
      </c>
      <c r="C902" s="66" t="s">
        <v>3578</v>
      </c>
      <c r="D902" s="66">
        <v>72088</v>
      </c>
      <c r="E902" s="68" t="s">
        <v>4435</v>
      </c>
      <c r="F902" s="66" t="s">
        <v>4436</v>
      </c>
      <c r="G902" s="71">
        <v>6500</v>
      </c>
      <c r="H902" s="73"/>
      <c r="I902" s="75">
        <v>0.1</v>
      </c>
      <c r="J902" s="77"/>
      <c r="K902" s="66"/>
      <c r="L902" s="66"/>
      <c r="M902" s="79" t="str">
        <f>HYPERLINK("http://www.pristavka.com/catalog/funko/Fun72088/")</f>
        <v>http://www.pristavka.com/catalog/funko/Fun72088/</v>
      </c>
      <c r="N902" s="71">
        <v>9999</v>
      </c>
      <c r="O902" s="66" t="s">
        <v>28</v>
      </c>
      <c r="P902" s="82" t="s">
        <v>4437</v>
      </c>
      <c r="Q902" s="84" t="s">
        <v>4434</v>
      </c>
      <c r="R902" s="84" t="s">
        <v>1068</v>
      </c>
      <c r="S902" s="84">
        <v>0.16200000000000001</v>
      </c>
      <c r="T902" s="82" t="s">
        <v>4084</v>
      </c>
      <c r="U902" s="84" t="s">
        <v>3584</v>
      </c>
      <c r="V902" s="54"/>
    </row>
    <row r="903" spans="1:22" s="11" customFormat="1" ht="45" customHeight="1" x14ac:dyDescent="0.2">
      <c r="A903" s="66" t="s">
        <v>3577</v>
      </c>
      <c r="B903" s="66" t="s">
        <v>1707</v>
      </c>
      <c r="C903" s="66" t="s">
        <v>3578</v>
      </c>
      <c r="D903" s="66">
        <v>74607</v>
      </c>
      <c r="E903" s="68" t="s">
        <v>4438</v>
      </c>
      <c r="F903" s="66" t="s">
        <v>4439</v>
      </c>
      <c r="G903" s="71">
        <v>6890</v>
      </c>
      <c r="H903" s="73"/>
      <c r="I903" s="75">
        <v>0.1</v>
      </c>
      <c r="J903" s="77"/>
      <c r="K903" s="66"/>
      <c r="L903" s="66"/>
      <c r="M903" s="79" t="str">
        <f>HYPERLINK("http://www.pristavka.com/catalog/funko/Fun74607/")</f>
        <v>http://www.pristavka.com/catalog/funko/Fun74607/</v>
      </c>
      <c r="N903" s="71">
        <v>10599</v>
      </c>
      <c r="O903" s="66" t="s">
        <v>28</v>
      </c>
      <c r="P903" s="82" t="s">
        <v>4440</v>
      </c>
      <c r="Q903" s="84" t="s">
        <v>4434</v>
      </c>
      <c r="R903" s="84" t="s">
        <v>1068</v>
      </c>
      <c r="S903" s="84">
        <v>0.156</v>
      </c>
      <c r="T903" s="82" t="s">
        <v>4084</v>
      </c>
      <c r="U903" s="84" t="s">
        <v>3584</v>
      </c>
      <c r="V903" s="54"/>
    </row>
    <row r="904" spans="1:22" s="11" customFormat="1" ht="45" customHeight="1" x14ac:dyDescent="0.2">
      <c r="A904" s="66" t="s">
        <v>3577</v>
      </c>
      <c r="B904" s="66" t="s">
        <v>1707</v>
      </c>
      <c r="C904" s="66" t="s">
        <v>3578</v>
      </c>
      <c r="D904" s="66">
        <v>72092</v>
      </c>
      <c r="E904" s="68" t="s">
        <v>4441</v>
      </c>
      <c r="F904" s="66" t="s">
        <v>4442</v>
      </c>
      <c r="G904" s="71">
        <v>6500</v>
      </c>
      <c r="H904" s="73"/>
      <c r="I904" s="75">
        <v>0.1</v>
      </c>
      <c r="J904" s="77"/>
      <c r="K904" s="66"/>
      <c r="L904" s="66"/>
      <c r="M904" s="79" t="str">
        <f>HYPERLINK("http://www.pristavka.com/catalog/funko/Fun72092/")</f>
        <v>http://www.pristavka.com/catalog/funko/Fun72092/</v>
      </c>
      <c r="N904" s="71">
        <v>9999</v>
      </c>
      <c r="O904" s="66" t="s">
        <v>28</v>
      </c>
      <c r="P904" s="82" t="s">
        <v>4443</v>
      </c>
      <c r="Q904" s="84" t="s">
        <v>4434</v>
      </c>
      <c r="R904" s="84" t="s">
        <v>1068</v>
      </c>
      <c r="S904" s="84">
        <v>0.16400000000000001</v>
      </c>
      <c r="T904" s="82" t="s">
        <v>4091</v>
      </c>
      <c r="U904" s="84" t="s">
        <v>3584</v>
      </c>
      <c r="V904" s="54"/>
    </row>
    <row r="905" spans="1:22" s="11" customFormat="1" ht="45" customHeight="1" x14ac:dyDescent="0.2">
      <c r="A905" s="66" t="s">
        <v>3577</v>
      </c>
      <c r="B905" s="66" t="s">
        <v>1707</v>
      </c>
      <c r="C905" s="66" t="s">
        <v>3578</v>
      </c>
      <c r="D905" s="66">
        <v>75639</v>
      </c>
      <c r="E905" s="68" t="s">
        <v>4444</v>
      </c>
      <c r="F905" s="66" t="s">
        <v>4445</v>
      </c>
      <c r="G905" s="71">
        <v>6500</v>
      </c>
      <c r="H905" s="73"/>
      <c r="I905" s="75">
        <v>0.1</v>
      </c>
      <c r="J905" s="77"/>
      <c r="K905" s="66"/>
      <c r="L905" s="66"/>
      <c r="M905" s="79" t="str">
        <f>HYPERLINK("http://www.pristavka.com/catalog/funko/Fun75639/")</f>
        <v>http://www.pristavka.com/catalog/funko/Fun75639/</v>
      </c>
      <c r="N905" s="71">
        <v>9999</v>
      </c>
      <c r="O905" s="66" t="s">
        <v>28</v>
      </c>
      <c r="P905" s="82" t="s">
        <v>4446</v>
      </c>
      <c r="Q905" s="84" t="s">
        <v>4434</v>
      </c>
      <c r="R905" s="84" t="s">
        <v>1068</v>
      </c>
      <c r="S905" s="84">
        <v>0.16</v>
      </c>
      <c r="T905" s="82" t="s">
        <v>4084</v>
      </c>
      <c r="U905" s="84" t="s">
        <v>3584</v>
      </c>
      <c r="V905" s="54"/>
    </row>
    <row r="906" spans="1:22" s="11" customFormat="1" ht="45" customHeight="1" x14ac:dyDescent="0.2">
      <c r="A906" s="66" t="s">
        <v>3577</v>
      </c>
      <c r="B906" s="66" t="s">
        <v>1707</v>
      </c>
      <c r="C906" s="66" t="s">
        <v>3578</v>
      </c>
      <c r="D906" s="66">
        <v>82464</v>
      </c>
      <c r="E906" s="68" t="s">
        <v>4447</v>
      </c>
      <c r="F906" s="66" t="s">
        <v>4448</v>
      </c>
      <c r="G906" s="71">
        <v>6890</v>
      </c>
      <c r="H906" s="73"/>
      <c r="I906" s="75">
        <v>0.1</v>
      </c>
      <c r="J906" s="77"/>
      <c r="K906" s="66"/>
      <c r="L906" s="66"/>
      <c r="M906" s="79" t="str">
        <f>HYPERLINK("http://www.pristavka.com/catalog/funko/Fun82464/")</f>
        <v>http://www.pristavka.com/catalog/funko/Fun82464/</v>
      </c>
      <c r="N906" s="71">
        <v>10599</v>
      </c>
      <c r="O906" s="66" t="s">
        <v>27</v>
      </c>
      <c r="P906" s="82" t="s">
        <v>4449</v>
      </c>
      <c r="Q906" s="84" t="s">
        <v>4434</v>
      </c>
      <c r="R906" s="84" t="s">
        <v>1068</v>
      </c>
      <c r="S906" s="84">
        <v>0.17399999999999999</v>
      </c>
      <c r="T906" s="82" t="s">
        <v>4084</v>
      </c>
      <c r="U906" s="84" t="s">
        <v>3584</v>
      </c>
      <c r="V906" s="54"/>
    </row>
    <row r="907" spans="1:22" s="11" customFormat="1" ht="45" customHeight="1" x14ac:dyDescent="0.2">
      <c r="A907" s="66" t="s">
        <v>3577</v>
      </c>
      <c r="B907" s="66" t="s">
        <v>1707</v>
      </c>
      <c r="C907" s="66" t="s">
        <v>3578</v>
      </c>
      <c r="D907" s="66">
        <v>75637</v>
      </c>
      <c r="E907" s="68" t="s">
        <v>4450</v>
      </c>
      <c r="F907" s="66" t="s">
        <v>4451</v>
      </c>
      <c r="G907" s="71">
        <v>0</v>
      </c>
      <c r="H907" s="73"/>
      <c r="I907" s="75">
        <v>0.1</v>
      </c>
      <c r="J907" s="77"/>
      <c r="K907" s="66"/>
      <c r="L907" s="66"/>
      <c r="M907" s="79" t="str">
        <f>HYPERLINK("http://www.pristavka.com/catalog/funko/Fun75637/")</f>
        <v>http://www.pristavka.com/catalog/funko/Fun75637/</v>
      </c>
      <c r="N907" s="71"/>
      <c r="O907" s="66" t="s">
        <v>28</v>
      </c>
      <c r="P907" s="82" t="s">
        <v>4452</v>
      </c>
      <c r="Q907" s="84" t="s">
        <v>4434</v>
      </c>
      <c r="R907" s="84" t="s">
        <v>1068</v>
      </c>
      <c r="S907" s="84">
        <v>0.13200000000000001</v>
      </c>
      <c r="T907" s="82" t="s">
        <v>4084</v>
      </c>
      <c r="U907" s="84" t="s">
        <v>3584</v>
      </c>
      <c r="V907" s="54"/>
    </row>
    <row r="908" spans="1:22" s="11" customFormat="1" ht="45" customHeight="1" x14ac:dyDescent="0.2">
      <c r="A908" s="66" t="s">
        <v>3577</v>
      </c>
      <c r="B908" s="66" t="s">
        <v>1707</v>
      </c>
      <c r="C908" s="66" t="s">
        <v>3578</v>
      </c>
      <c r="D908" s="66">
        <v>75636</v>
      </c>
      <c r="E908" s="68" t="s">
        <v>4453</v>
      </c>
      <c r="F908" s="66" t="s">
        <v>4454</v>
      </c>
      <c r="G908" s="71">
        <v>0</v>
      </c>
      <c r="H908" s="73"/>
      <c r="I908" s="75">
        <v>0.1</v>
      </c>
      <c r="J908" s="77"/>
      <c r="K908" s="66"/>
      <c r="L908" s="66"/>
      <c r="M908" s="79" t="str">
        <f>HYPERLINK("http://www.pristavka.com/catalog/funko/Fun75636/")</f>
        <v>http://www.pristavka.com/catalog/funko/Fun75636/</v>
      </c>
      <c r="N908" s="71"/>
      <c r="O908" s="66" t="s">
        <v>27</v>
      </c>
      <c r="P908" s="82" t="s">
        <v>4455</v>
      </c>
      <c r="Q908" s="84" t="s">
        <v>4434</v>
      </c>
      <c r="R908" s="84" t="s">
        <v>1068</v>
      </c>
      <c r="S908" s="84">
        <v>0.16600000000000001</v>
      </c>
      <c r="T908" s="82" t="s">
        <v>4084</v>
      </c>
      <c r="U908" s="84" t="s">
        <v>3584</v>
      </c>
      <c r="V908" s="54"/>
    </row>
    <row r="909" spans="1:22" s="11" customFormat="1" ht="45" customHeight="1" x14ac:dyDescent="0.2">
      <c r="A909" s="66" t="s">
        <v>3577</v>
      </c>
      <c r="B909" s="66" t="s">
        <v>1707</v>
      </c>
      <c r="C909" s="66" t="s">
        <v>3578</v>
      </c>
      <c r="D909" s="66">
        <v>78647</v>
      </c>
      <c r="E909" s="68" t="s">
        <v>4456</v>
      </c>
      <c r="F909" s="66" t="s">
        <v>4457</v>
      </c>
      <c r="G909" s="71">
        <v>0</v>
      </c>
      <c r="H909" s="73"/>
      <c r="I909" s="75">
        <v>0.1</v>
      </c>
      <c r="J909" s="77"/>
      <c r="K909" s="66"/>
      <c r="L909" s="66"/>
      <c r="M909" s="79" t="str">
        <f>HYPERLINK("https://pristavka.com/catalog/funko_figures/Fun78647/")</f>
        <v>https://pristavka.com/catalog/funko_figures/Fun78647/</v>
      </c>
      <c r="N909" s="71"/>
      <c r="O909" s="66" t="s">
        <v>28</v>
      </c>
      <c r="P909" s="82" t="s">
        <v>4458</v>
      </c>
      <c r="Q909" s="84" t="s">
        <v>4434</v>
      </c>
      <c r="R909" s="84" t="s">
        <v>1068</v>
      </c>
      <c r="S909" s="84">
        <v>0.13400000000000001</v>
      </c>
      <c r="T909" s="82" t="s">
        <v>4084</v>
      </c>
      <c r="U909" s="84" t="s">
        <v>3584</v>
      </c>
      <c r="V909" s="54"/>
    </row>
    <row r="910" spans="1:22" s="11" customFormat="1" ht="45" customHeight="1" x14ac:dyDescent="0.2">
      <c r="A910" s="66" t="s">
        <v>3577</v>
      </c>
      <c r="B910" s="66" t="s">
        <v>1707</v>
      </c>
      <c r="C910" s="66" t="s">
        <v>3578</v>
      </c>
      <c r="D910" s="66">
        <v>50223</v>
      </c>
      <c r="E910" s="68" t="s">
        <v>4459</v>
      </c>
      <c r="F910" s="66" t="s">
        <v>4460</v>
      </c>
      <c r="G910" s="71">
        <v>22750</v>
      </c>
      <c r="H910" s="73"/>
      <c r="I910" s="75">
        <v>0.1</v>
      </c>
      <c r="J910" s="77"/>
      <c r="K910" s="66"/>
      <c r="L910" s="66"/>
      <c r="M910" s="79" t="str">
        <f>HYPERLINK("http://www.pristavka.com/catalog/funko/Fun2549818/")</f>
        <v>http://www.pristavka.com/catalog/funko/Fun2549818/</v>
      </c>
      <c r="N910" s="71">
        <v>34999</v>
      </c>
      <c r="O910" s="66" t="s">
        <v>27</v>
      </c>
      <c r="P910" s="82" t="s">
        <v>4461</v>
      </c>
      <c r="Q910" s="84" t="s">
        <v>4434</v>
      </c>
      <c r="R910" s="84" t="s">
        <v>1068</v>
      </c>
      <c r="S910" s="84">
        <v>1.419</v>
      </c>
      <c r="T910" s="82" t="s">
        <v>4462</v>
      </c>
      <c r="U910" s="84" t="s">
        <v>3584</v>
      </c>
      <c r="V910" s="54"/>
    </row>
    <row r="911" spans="1:22" s="11" customFormat="1" ht="45" customHeight="1" x14ac:dyDescent="0.2">
      <c r="A911" s="66" t="s">
        <v>3577</v>
      </c>
      <c r="B911" s="66" t="s">
        <v>1707</v>
      </c>
      <c r="C911" s="66" t="s">
        <v>3578</v>
      </c>
      <c r="D911" s="66">
        <v>76851</v>
      </c>
      <c r="E911" s="68" t="s">
        <v>4463</v>
      </c>
      <c r="F911" s="66" t="s">
        <v>4464</v>
      </c>
      <c r="G911" s="71">
        <v>8450</v>
      </c>
      <c r="H911" s="73"/>
      <c r="I911" s="75">
        <v>0.1</v>
      </c>
      <c r="J911" s="77"/>
      <c r="K911" s="66"/>
      <c r="L911" s="66"/>
      <c r="M911" s="79" t="str">
        <f>HYPERLINK("http://www.pristavka.com/catalog/funko/Fun76851/")</f>
        <v>http://www.pristavka.com/catalog/funko/Fun76851/</v>
      </c>
      <c r="N911" s="71">
        <v>12999</v>
      </c>
      <c r="O911" s="66" t="s">
        <v>27</v>
      </c>
      <c r="P911" s="82" t="s">
        <v>4465</v>
      </c>
      <c r="Q911" s="84" t="s">
        <v>4434</v>
      </c>
      <c r="R911" s="84" t="s">
        <v>1068</v>
      </c>
      <c r="S911" s="84">
        <v>0.20200000000000001</v>
      </c>
      <c r="T911" s="82" t="s">
        <v>4091</v>
      </c>
      <c r="U911" s="84" t="s">
        <v>3584</v>
      </c>
      <c r="V911" s="54"/>
    </row>
    <row r="912" spans="1:22" s="11" customFormat="1" ht="45" customHeight="1" x14ac:dyDescent="0.2">
      <c r="A912" s="66" t="s">
        <v>3577</v>
      </c>
      <c r="B912" s="66" t="s">
        <v>1707</v>
      </c>
      <c r="C912" s="66" t="s">
        <v>3578</v>
      </c>
      <c r="D912" s="66">
        <v>83530</v>
      </c>
      <c r="E912" s="68" t="s">
        <v>4466</v>
      </c>
      <c r="F912" s="66" t="s">
        <v>4467</v>
      </c>
      <c r="G912" s="71">
        <v>6500</v>
      </c>
      <c r="H912" s="73"/>
      <c r="I912" s="75">
        <v>0.1</v>
      </c>
      <c r="J912" s="77"/>
      <c r="K912" s="66"/>
      <c r="L912" s="66"/>
      <c r="M912" s="79" t="str">
        <f>HYPERLINK("http://www.pristavka.com/catalog/funko/Fun83530/")</f>
        <v>http://www.pristavka.com/catalog/funko/Fun83530/</v>
      </c>
      <c r="N912" s="71">
        <v>9999</v>
      </c>
      <c r="O912" s="66" t="s">
        <v>27</v>
      </c>
      <c r="P912" s="82" t="s">
        <v>4468</v>
      </c>
      <c r="Q912" s="84" t="s">
        <v>1765</v>
      </c>
      <c r="R912" s="84" t="s">
        <v>1765</v>
      </c>
      <c r="S912" s="84">
        <v>0.13</v>
      </c>
      <c r="T912" s="82" t="s">
        <v>4084</v>
      </c>
      <c r="U912" s="84" t="s">
        <v>3584</v>
      </c>
      <c r="V912" s="54"/>
    </row>
    <row r="913" spans="1:22" s="11" customFormat="1" ht="45" customHeight="1" x14ac:dyDescent="0.2">
      <c r="A913" s="66" t="s">
        <v>3577</v>
      </c>
      <c r="B913" s="66" t="s">
        <v>1707</v>
      </c>
      <c r="C913" s="66" t="s">
        <v>3578</v>
      </c>
      <c r="D913" s="66">
        <v>83529</v>
      </c>
      <c r="E913" s="68" t="s">
        <v>4469</v>
      </c>
      <c r="F913" s="66" t="s">
        <v>4470</v>
      </c>
      <c r="G913" s="71">
        <v>6500</v>
      </c>
      <c r="H913" s="73"/>
      <c r="I913" s="75">
        <v>0.1</v>
      </c>
      <c r="J913" s="77"/>
      <c r="K913" s="66"/>
      <c r="L913" s="66"/>
      <c r="M913" s="79" t="str">
        <f>HYPERLINK("http://www.pristavka.com/catalog/funko/Fun83529/")</f>
        <v>http://www.pristavka.com/catalog/funko/Fun83529/</v>
      </c>
      <c r="N913" s="71">
        <v>9999</v>
      </c>
      <c r="O913" s="66" t="s">
        <v>27</v>
      </c>
      <c r="P913" s="82" t="s">
        <v>4471</v>
      </c>
      <c r="Q913" s="84" t="s">
        <v>1765</v>
      </c>
      <c r="R913" s="84" t="s">
        <v>1765</v>
      </c>
      <c r="S913" s="84">
        <v>0.13400000000000001</v>
      </c>
      <c r="T913" s="82" t="s">
        <v>4091</v>
      </c>
      <c r="U913" s="84" t="s">
        <v>3584</v>
      </c>
      <c r="V913" s="54"/>
    </row>
    <row r="914" spans="1:22" s="11" customFormat="1" ht="45" customHeight="1" x14ac:dyDescent="0.2">
      <c r="A914" s="66" t="s">
        <v>3577</v>
      </c>
      <c r="B914" s="66" t="s">
        <v>1707</v>
      </c>
      <c r="C914" s="66" t="s">
        <v>3578</v>
      </c>
      <c r="D914" s="66">
        <v>83531</v>
      </c>
      <c r="E914" s="68" t="s">
        <v>4472</v>
      </c>
      <c r="F914" s="66" t="s">
        <v>4473</v>
      </c>
      <c r="G914" s="71">
        <v>6500</v>
      </c>
      <c r="H914" s="73"/>
      <c r="I914" s="75">
        <v>0.1</v>
      </c>
      <c r="J914" s="77"/>
      <c r="K914" s="66"/>
      <c r="L914" s="66"/>
      <c r="M914" s="79" t="str">
        <f>HYPERLINK("http://www.pristavka.com/catalog/funko/Fun83531/")</f>
        <v>http://www.pristavka.com/catalog/funko/Fun83531/</v>
      </c>
      <c r="N914" s="71">
        <v>9999</v>
      </c>
      <c r="O914" s="66" t="s">
        <v>27</v>
      </c>
      <c r="P914" s="82" t="s">
        <v>4474</v>
      </c>
      <c r="Q914" s="84" t="s">
        <v>1765</v>
      </c>
      <c r="R914" s="84" t="s">
        <v>1765</v>
      </c>
      <c r="S914" s="84">
        <v>0.124</v>
      </c>
      <c r="T914" s="82" t="s">
        <v>4091</v>
      </c>
      <c r="U914" s="84" t="s">
        <v>3584</v>
      </c>
      <c r="V914" s="54"/>
    </row>
    <row r="915" spans="1:22" s="11" customFormat="1" ht="45" customHeight="1" x14ac:dyDescent="0.2">
      <c r="A915" s="66" t="s">
        <v>3577</v>
      </c>
      <c r="B915" s="66" t="s">
        <v>1707</v>
      </c>
      <c r="C915" s="66" t="s">
        <v>3578</v>
      </c>
      <c r="D915" s="66">
        <v>75618</v>
      </c>
      <c r="E915" s="68" t="s">
        <v>4475</v>
      </c>
      <c r="F915" s="66" t="s">
        <v>4476</v>
      </c>
      <c r="G915" s="71">
        <v>6500</v>
      </c>
      <c r="H915" s="73"/>
      <c r="I915" s="75">
        <v>0.1</v>
      </c>
      <c r="J915" s="77"/>
      <c r="K915" s="66"/>
      <c r="L915" s="66"/>
      <c r="M915" s="79" t="str">
        <f>HYPERLINK("http://www.pristavka.com/catalog/funko/Fun75618/")</f>
        <v>http://www.pristavka.com/catalog/funko/Fun75618/</v>
      </c>
      <c r="N915" s="71">
        <v>9999</v>
      </c>
      <c r="O915" s="66" t="s">
        <v>27</v>
      </c>
      <c r="P915" s="82" t="s">
        <v>4477</v>
      </c>
      <c r="Q915" s="84" t="s">
        <v>1426</v>
      </c>
      <c r="R915" s="84" t="s">
        <v>1068</v>
      </c>
      <c r="S915" s="84">
        <v>0.14000000000000001</v>
      </c>
      <c r="T915" s="82" t="s">
        <v>4084</v>
      </c>
      <c r="U915" s="84" t="s">
        <v>3584</v>
      </c>
      <c r="V915" s="54"/>
    </row>
    <row r="916" spans="1:22" s="11" customFormat="1" ht="45" customHeight="1" x14ac:dyDescent="0.2">
      <c r="A916" s="66" t="s">
        <v>3577</v>
      </c>
      <c r="B916" s="66" t="s">
        <v>1707</v>
      </c>
      <c r="C916" s="66" t="s">
        <v>3578</v>
      </c>
      <c r="D916" s="66">
        <v>75619</v>
      </c>
      <c r="E916" s="68" t="s">
        <v>4478</v>
      </c>
      <c r="F916" s="66" t="s">
        <v>4479</v>
      </c>
      <c r="G916" s="71">
        <v>6500</v>
      </c>
      <c r="H916" s="73"/>
      <c r="I916" s="75">
        <v>0.1</v>
      </c>
      <c r="J916" s="77"/>
      <c r="K916" s="66"/>
      <c r="L916" s="66"/>
      <c r="M916" s="79" t="str">
        <f>HYPERLINK("http://www.pristavka.com/catalog/funko/Fun75619/")</f>
        <v>http://www.pristavka.com/catalog/funko/Fun75619/</v>
      </c>
      <c r="N916" s="71">
        <v>9999</v>
      </c>
      <c r="O916" s="66" t="s">
        <v>27</v>
      </c>
      <c r="P916" s="82" t="s">
        <v>4480</v>
      </c>
      <c r="Q916" s="84" t="s">
        <v>1426</v>
      </c>
      <c r="R916" s="84" t="s">
        <v>1068</v>
      </c>
      <c r="S916" s="84">
        <v>0.185</v>
      </c>
      <c r="T916" s="82" t="s">
        <v>4084</v>
      </c>
      <c r="U916" s="84" t="s">
        <v>3584</v>
      </c>
      <c r="V916" s="54"/>
    </row>
    <row r="917" spans="1:22" s="11" customFormat="1" ht="45" customHeight="1" x14ac:dyDescent="0.2">
      <c r="A917" s="66" t="s">
        <v>3577</v>
      </c>
      <c r="B917" s="66" t="s">
        <v>1707</v>
      </c>
      <c r="C917" s="66" t="s">
        <v>3578</v>
      </c>
      <c r="D917" s="66">
        <v>74394</v>
      </c>
      <c r="E917" s="68" t="s">
        <v>4481</v>
      </c>
      <c r="F917" s="66" t="s">
        <v>4482</v>
      </c>
      <c r="G917" s="71">
        <v>6890</v>
      </c>
      <c r="H917" s="73"/>
      <c r="I917" s="75">
        <v>0.1</v>
      </c>
      <c r="J917" s="77"/>
      <c r="K917" s="66"/>
      <c r="L917" s="66"/>
      <c r="M917" s="79" t="str">
        <f>HYPERLINK("http://www.pristavka.com/catalog/funko/Fun74394/")</f>
        <v>http://www.pristavka.com/catalog/funko/Fun74394/</v>
      </c>
      <c r="N917" s="71">
        <v>10599</v>
      </c>
      <c r="O917" s="66" t="s">
        <v>27</v>
      </c>
      <c r="P917" s="82" t="s">
        <v>4483</v>
      </c>
      <c r="Q917" s="84" t="s">
        <v>1426</v>
      </c>
      <c r="R917" s="84" t="s">
        <v>1068</v>
      </c>
      <c r="S917" s="84">
        <v>0.14000000000000001</v>
      </c>
      <c r="T917" s="82" t="s">
        <v>4091</v>
      </c>
      <c r="U917" s="84" t="s">
        <v>3584</v>
      </c>
      <c r="V917" s="54"/>
    </row>
    <row r="918" spans="1:22" s="11" customFormat="1" ht="45" customHeight="1" x14ac:dyDescent="0.2">
      <c r="A918" s="66" t="s">
        <v>3577</v>
      </c>
      <c r="B918" s="66" t="s">
        <v>1707</v>
      </c>
      <c r="C918" s="66" t="s">
        <v>3578</v>
      </c>
      <c r="D918" s="66">
        <v>80080</v>
      </c>
      <c r="E918" s="68" t="s">
        <v>4484</v>
      </c>
      <c r="F918" s="66" t="s">
        <v>4485</v>
      </c>
      <c r="G918" s="71">
        <v>6500</v>
      </c>
      <c r="H918" s="73"/>
      <c r="I918" s="75">
        <v>0.1</v>
      </c>
      <c r="J918" s="77"/>
      <c r="K918" s="66"/>
      <c r="L918" s="66"/>
      <c r="M918" s="79" t="str">
        <f>HYPERLINK("http://www.pristavka.com/catalog/funko/Fun80080/")</f>
        <v>http://www.pristavka.com/catalog/funko/Fun80080/</v>
      </c>
      <c r="N918" s="71">
        <v>9999</v>
      </c>
      <c r="O918" s="66" t="s">
        <v>27</v>
      </c>
      <c r="P918" s="82" t="s">
        <v>4486</v>
      </c>
      <c r="Q918" s="84" t="s">
        <v>4487</v>
      </c>
      <c r="R918" s="84" t="s">
        <v>3992</v>
      </c>
      <c r="S918" s="84">
        <v>0.13500000000000001</v>
      </c>
      <c r="T918" s="82" t="s">
        <v>4113</v>
      </c>
      <c r="U918" s="84" t="s">
        <v>3584</v>
      </c>
      <c r="V918" s="54"/>
    </row>
    <row r="919" spans="1:22" s="11" customFormat="1" ht="45" customHeight="1" x14ac:dyDescent="0.2">
      <c r="A919" s="66" t="s">
        <v>3577</v>
      </c>
      <c r="B919" s="66" t="s">
        <v>1707</v>
      </c>
      <c r="C919" s="66" t="s">
        <v>3578</v>
      </c>
      <c r="D919" s="66">
        <v>80078</v>
      </c>
      <c r="E919" s="68" t="s">
        <v>4488</v>
      </c>
      <c r="F919" s="66" t="s">
        <v>4489</v>
      </c>
      <c r="G919" s="71">
        <v>0</v>
      </c>
      <c r="H919" s="73"/>
      <c r="I919" s="75">
        <v>0.1</v>
      </c>
      <c r="J919" s="77"/>
      <c r="K919" s="66"/>
      <c r="L919" s="66"/>
      <c r="M919" s="79" t="str">
        <f>HYPERLINK("http://www.pristavka.com/catalog/funko/Fun80078/")</f>
        <v>http://www.pristavka.com/catalog/funko/Fun80078/</v>
      </c>
      <c r="N919" s="71"/>
      <c r="O919" s="66" t="s">
        <v>27</v>
      </c>
      <c r="P919" s="82" t="s">
        <v>4490</v>
      </c>
      <c r="Q919" s="84" t="s">
        <v>4487</v>
      </c>
      <c r="R919" s="84" t="s">
        <v>3992</v>
      </c>
      <c r="S919" s="84">
        <v>0.12</v>
      </c>
      <c r="T919" s="82" t="s">
        <v>4084</v>
      </c>
      <c r="U919" s="84" t="s">
        <v>3584</v>
      </c>
      <c r="V919" s="54"/>
    </row>
    <row r="920" spans="1:22" s="11" customFormat="1" ht="45" customHeight="1" x14ac:dyDescent="0.2">
      <c r="A920" s="66" t="s">
        <v>3577</v>
      </c>
      <c r="B920" s="66" t="s">
        <v>1707</v>
      </c>
      <c r="C920" s="66" t="s">
        <v>3578</v>
      </c>
      <c r="D920" s="66">
        <v>80077</v>
      </c>
      <c r="E920" s="68" t="s">
        <v>4491</v>
      </c>
      <c r="F920" s="66" t="s">
        <v>4492</v>
      </c>
      <c r="G920" s="71">
        <v>0</v>
      </c>
      <c r="H920" s="73"/>
      <c r="I920" s="75">
        <v>0.1</v>
      </c>
      <c r="J920" s="77"/>
      <c r="K920" s="66"/>
      <c r="L920" s="66"/>
      <c r="M920" s="79" t="str">
        <f>HYPERLINK("http://www.pristavka.com/catalog/funko/Fun80077/")</f>
        <v>http://www.pristavka.com/catalog/funko/Fun80077/</v>
      </c>
      <c r="N920" s="71"/>
      <c r="O920" s="66" t="s">
        <v>27</v>
      </c>
      <c r="P920" s="82" t="s">
        <v>4493</v>
      </c>
      <c r="Q920" s="84" t="s">
        <v>4487</v>
      </c>
      <c r="R920" s="84" t="s">
        <v>3992</v>
      </c>
      <c r="S920" s="84">
        <v>0.12</v>
      </c>
      <c r="T920" s="82" t="s">
        <v>4113</v>
      </c>
      <c r="U920" s="84" t="s">
        <v>3584</v>
      </c>
      <c r="V920" s="54"/>
    </row>
    <row r="921" spans="1:22" s="11" customFormat="1" ht="45" customHeight="1" x14ac:dyDescent="0.2">
      <c r="A921" s="66" t="s">
        <v>3577</v>
      </c>
      <c r="B921" s="66" t="s">
        <v>1707</v>
      </c>
      <c r="C921" s="66" t="s">
        <v>3578</v>
      </c>
      <c r="D921" s="66">
        <v>80079</v>
      </c>
      <c r="E921" s="68" t="s">
        <v>4494</v>
      </c>
      <c r="F921" s="66" t="s">
        <v>4495</v>
      </c>
      <c r="G921" s="71">
        <v>0</v>
      </c>
      <c r="H921" s="73"/>
      <c r="I921" s="75">
        <v>0.1</v>
      </c>
      <c r="J921" s="77"/>
      <c r="K921" s="66"/>
      <c r="L921" s="66"/>
      <c r="M921" s="79" t="str">
        <f>HYPERLINK("http://www.pristavka.com/catalog/funko/Fun80079/")</f>
        <v>http://www.pristavka.com/catalog/funko/Fun80079/</v>
      </c>
      <c r="N921" s="71"/>
      <c r="O921" s="66" t="s">
        <v>27</v>
      </c>
      <c r="P921" s="82" t="s">
        <v>4496</v>
      </c>
      <c r="Q921" s="84" t="s">
        <v>4487</v>
      </c>
      <c r="R921" s="84" t="s">
        <v>3992</v>
      </c>
      <c r="S921" s="84">
        <v>0.115</v>
      </c>
      <c r="T921" s="82" t="s">
        <v>4113</v>
      </c>
      <c r="U921" s="84" t="s">
        <v>3584</v>
      </c>
      <c r="V921" s="54"/>
    </row>
    <row r="922" spans="1:22" s="11" customFormat="1" ht="45" customHeight="1" x14ac:dyDescent="0.2">
      <c r="A922" s="66" t="s">
        <v>3577</v>
      </c>
      <c r="B922" s="66" t="s">
        <v>1707</v>
      </c>
      <c r="C922" s="66" t="s">
        <v>3578</v>
      </c>
      <c r="D922" s="66">
        <v>70566</v>
      </c>
      <c r="E922" s="68" t="s">
        <v>4497</v>
      </c>
      <c r="F922" s="66" t="s">
        <v>4498</v>
      </c>
      <c r="G922" s="71">
        <v>6500</v>
      </c>
      <c r="H922" s="73"/>
      <c r="I922" s="75">
        <v>0.1</v>
      </c>
      <c r="J922" s="77"/>
      <c r="K922" s="66"/>
      <c r="L922" s="66"/>
      <c r="M922" s="79" t="str">
        <f>HYPERLINK("http://www.pristavka.com/catalog/funko/Fun70566/")</f>
        <v>http://www.pristavka.com/catalog/funko/Fun70566/</v>
      </c>
      <c r="N922" s="71">
        <v>9999</v>
      </c>
      <c r="O922" s="66" t="s">
        <v>27</v>
      </c>
      <c r="P922" s="82" t="s">
        <v>4499</v>
      </c>
      <c r="Q922" s="84" t="s">
        <v>4500</v>
      </c>
      <c r="R922" s="84" t="s">
        <v>1068</v>
      </c>
      <c r="S922" s="84">
        <v>0.14499999999999999</v>
      </c>
      <c r="T922" s="82" t="s">
        <v>4091</v>
      </c>
      <c r="U922" s="84" t="s">
        <v>3584</v>
      </c>
      <c r="V922" s="54"/>
    </row>
    <row r="923" spans="1:22" s="11" customFormat="1" ht="45" customHeight="1" x14ac:dyDescent="0.2">
      <c r="A923" s="66" t="s">
        <v>3577</v>
      </c>
      <c r="B923" s="66" t="s">
        <v>1707</v>
      </c>
      <c r="C923" s="66" t="s">
        <v>3578</v>
      </c>
      <c r="D923" s="66">
        <v>80346</v>
      </c>
      <c r="E923" s="68" t="s">
        <v>4501</v>
      </c>
      <c r="F923" s="66" t="s">
        <v>4502</v>
      </c>
      <c r="G923" s="71">
        <v>6500</v>
      </c>
      <c r="H923" s="73"/>
      <c r="I923" s="75">
        <v>0.1</v>
      </c>
      <c r="J923" s="77"/>
      <c r="K923" s="66"/>
      <c r="L923" s="66"/>
      <c r="M923" s="79" t="str">
        <f>HYPERLINK("http://www.pristavka.com/catalog/funko/Fun80346/")</f>
        <v>http://www.pristavka.com/catalog/funko/Fun80346/</v>
      </c>
      <c r="N923" s="71">
        <v>9999</v>
      </c>
      <c r="O923" s="66" t="s">
        <v>27</v>
      </c>
      <c r="P923" s="82" t="s">
        <v>4503</v>
      </c>
      <c r="Q923" s="84" t="s">
        <v>1436</v>
      </c>
      <c r="R923" s="84" t="s">
        <v>1068</v>
      </c>
      <c r="S923" s="84">
        <v>0.13800000000000001</v>
      </c>
      <c r="T923" s="82" t="s">
        <v>4084</v>
      </c>
      <c r="U923" s="84" t="s">
        <v>3584</v>
      </c>
      <c r="V923" s="54"/>
    </row>
    <row r="924" spans="1:22" s="11" customFormat="1" ht="45" customHeight="1" x14ac:dyDescent="0.2">
      <c r="A924" s="66" t="s">
        <v>3577</v>
      </c>
      <c r="B924" s="66" t="s">
        <v>1707</v>
      </c>
      <c r="C924" s="66" t="s">
        <v>3578</v>
      </c>
      <c r="D924" s="66">
        <v>80347</v>
      </c>
      <c r="E924" s="68" t="s">
        <v>4504</v>
      </c>
      <c r="F924" s="66" t="s">
        <v>4505</v>
      </c>
      <c r="G924" s="71">
        <v>6500</v>
      </c>
      <c r="H924" s="73"/>
      <c r="I924" s="75">
        <v>0.1</v>
      </c>
      <c r="J924" s="77"/>
      <c r="K924" s="66"/>
      <c r="L924" s="66"/>
      <c r="M924" s="79" t="str">
        <f>HYPERLINK("http://www.pristavka.com/catalog/funko/Fun80347/")</f>
        <v>http://www.pristavka.com/catalog/funko/Fun80347/</v>
      </c>
      <c r="N924" s="71">
        <v>9999</v>
      </c>
      <c r="O924" s="66" t="s">
        <v>27</v>
      </c>
      <c r="P924" s="82" t="s">
        <v>4506</v>
      </c>
      <c r="Q924" s="84" t="s">
        <v>1436</v>
      </c>
      <c r="R924" s="84" t="s">
        <v>1068</v>
      </c>
      <c r="S924" s="84">
        <v>0.14000000000000001</v>
      </c>
      <c r="T924" s="82" t="s">
        <v>4113</v>
      </c>
      <c r="U924" s="84" t="s">
        <v>3584</v>
      </c>
      <c r="V924" s="54"/>
    </row>
    <row r="925" spans="1:22" s="11" customFormat="1" ht="45" customHeight="1" x14ac:dyDescent="0.2">
      <c r="A925" s="66" t="s">
        <v>3577</v>
      </c>
      <c r="B925" s="66" t="s">
        <v>1707</v>
      </c>
      <c r="C925" s="66" t="s">
        <v>3578</v>
      </c>
      <c r="D925" s="66">
        <v>75585</v>
      </c>
      <c r="E925" s="68" t="s">
        <v>4507</v>
      </c>
      <c r="F925" s="66" t="s">
        <v>4508</v>
      </c>
      <c r="G925" s="71">
        <v>6500</v>
      </c>
      <c r="H925" s="73"/>
      <c r="I925" s="75">
        <v>0.1</v>
      </c>
      <c r="J925" s="77"/>
      <c r="K925" s="66"/>
      <c r="L925" s="66"/>
      <c r="M925" s="79" t="str">
        <f>HYPERLINK("http://www.pristavka.com/catalog/funko/Fun75585/")</f>
        <v>http://www.pristavka.com/catalog/funko/Fun75585/</v>
      </c>
      <c r="N925" s="71">
        <v>9999</v>
      </c>
      <c r="O925" s="66" t="s">
        <v>27</v>
      </c>
      <c r="P925" s="82" t="s">
        <v>4509</v>
      </c>
      <c r="Q925" s="84" t="s">
        <v>1436</v>
      </c>
      <c r="R925" s="84" t="s">
        <v>1068</v>
      </c>
      <c r="S925" s="84">
        <v>0.115</v>
      </c>
      <c r="T925" s="82" t="s">
        <v>4084</v>
      </c>
      <c r="U925" s="84" t="s">
        <v>3584</v>
      </c>
      <c r="V925" s="54"/>
    </row>
    <row r="926" spans="1:22" s="11" customFormat="1" ht="45" customHeight="1" x14ac:dyDescent="0.2">
      <c r="A926" s="66" t="s">
        <v>3577</v>
      </c>
      <c r="B926" s="66" t="s">
        <v>1707</v>
      </c>
      <c r="C926" s="66" t="s">
        <v>3578</v>
      </c>
      <c r="D926" s="66">
        <v>80348</v>
      </c>
      <c r="E926" s="68" t="s">
        <v>4510</v>
      </c>
      <c r="F926" s="66" t="s">
        <v>4511</v>
      </c>
      <c r="G926" s="71">
        <v>6500</v>
      </c>
      <c r="H926" s="73"/>
      <c r="I926" s="75">
        <v>0.1</v>
      </c>
      <c r="J926" s="77"/>
      <c r="K926" s="66"/>
      <c r="L926" s="66"/>
      <c r="M926" s="79" t="str">
        <f>HYPERLINK("http://www.pristavka.com/catalog/funko/Fun80348/")</f>
        <v>http://www.pristavka.com/catalog/funko/Fun80348/</v>
      </c>
      <c r="N926" s="71">
        <v>9999</v>
      </c>
      <c r="O926" s="66" t="s">
        <v>27</v>
      </c>
      <c r="P926" s="82" t="s">
        <v>4512</v>
      </c>
      <c r="Q926" s="84" t="s">
        <v>1436</v>
      </c>
      <c r="R926" s="84" t="s">
        <v>1068</v>
      </c>
      <c r="S926" s="84">
        <v>0.20599999999999999</v>
      </c>
      <c r="T926" s="82" t="s">
        <v>4091</v>
      </c>
      <c r="U926" s="84" t="s">
        <v>3584</v>
      </c>
      <c r="V926" s="54"/>
    </row>
    <row r="927" spans="1:22" s="11" customFormat="1" ht="45" customHeight="1" x14ac:dyDescent="0.2">
      <c r="A927" s="66" t="s">
        <v>3577</v>
      </c>
      <c r="B927" s="66" t="s">
        <v>1707</v>
      </c>
      <c r="C927" s="66" t="s">
        <v>3578</v>
      </c>
      <c r="D927" s="66">
        <v>80345</v>
      </c>
      <c r="E927" s="68" t="s">
        <v>4513</v>
      </c>
      <c r="F927" s="66" t="s">
        <v>4514</v>
      </c>
      <c r="G927" s="71">
        <v>6500</v>
      </c>
      <c r="H927" s="73"/>
      <c r="I927" s="75">
        <v>0.1</v>
      </c>
      <c r="J927" s="77"/>
      <c r="K927" s="66"/>
      <c r="L927" s="66"/>
      <c r="M927" s="79" t="str">
        <f>HYPERLINK("http://www.pristavka.com/catalog/funko/Fun80345/")</f>
        <v>http://www.pristavka.com/catalog/funko/Fun80345/</v>
      </c>
      <c r="N927" s="71">
        <v>9999</v>
      </c>
      <c r="O927" s="66" t="s">
        <v>27</v>
      </c>
      <c r="P927" s="82" t="s">
        <v>4515</v>
      </c>
      <c r="Q927" s="84" t="s">
        <v>1436</v>
      </c>
      <c r="R927" s="84" t="s">
        <v>1068</v>
      </c>
      <c r="S927" s="84">
        <v>0.2</v>
      </c>
      <c r="T927" s="82" t="s">
        <v>4113</v>
      </c>
      <c r="U927" s="84" t="s">
        <v>3584</v>
      </c>
      <c r="V927" s="54"/>
    </row>
    <row r="928" spans="1:22" s="11" customFormat="1" ht="45" customHeight="1" x14ac:dyDescent="0.2">
      <c r="A928" s="66" t="s">
        <v>3577</v>
      </c>
      <c r="B928" s="66" t="s">
        <v>1707</v>
      </c>
      <c r="C928" s="66" t="s">
        <v>3578</v>
      </c>
      <c r="D928" s="66">
        <v>46918</v>
      </c>
      <c r="E928" s="68" t="s">
        <v>4516</v>
      </c>
      <c r="F928" s="66" t="s">
        <v>4517</v>
      </c>
      <c r="G928" s="71">
        <v>6500</v>
      </c>
      <c r="H928" s="73"/>
      <c r="I928" s="75">
        <v>0.1</v>
      </c>
      <c r="J928" s="77"/>
      <c r="K928" s="66"/>
      <c r="L928" s="66"/>
      <c r="M928" s="79" t="str">
        <f>HYPERLINK("http://www.pristavka.com/catalog/funko/Fun25492158/")</f>
        <v>http://www.pristavka.com/catalog/funko/Fun25492158/</v>
      </c>
      <c r="N928" s="71">
        <v>9999</v>
      </c>
      <c r="O928" s="66" t="s">
        <v>27</v>
      </c>
      <c r="P928" s="82" t="s">
        <v>4518</v>
      </c>
      <c r="Q928" s="84" t="s">
        <v>2725</v>
      </c>
      <c r="R928" s="84" t="s">
        <v>1068</v>
      </c>
      <c r="S928" s="84">
        <v>0.15</v>
      </c>
      <c r="T928" s="82" t="s">
        <v>4370</v>
      </c>
      <c r="U928" s="84" t="s">
        <v>3584</v>
      </c>
      <c r="V928" s="54"/>
    </row>
    <row r="929" spans="1:22" s="11" customFormat="1" ht="45" customHeight="1" x14ac:dyDescent="0.2">
      <c r="A929" s="66" t="s">
        <v>3577</v>
      </c>
      <c r="B929" s="66" t="s">
        <v>1707</v>
      </c>
      <c r="C929" s="66" t="s">
        <v>3578</v>
      </c>
      <c r="D929" s="66">
        <v>83717</v>
      </c>
      <c r="E929" s="68" t="s">
        <v>4519</v>
      </c>
      <c r="F929" s="66" t="s">
        <v>4520</v>
      </c>
      <c r="G929" s="71">
        <v>6500</v>
      </c>
      <c r="H929" s="73"/>
      <c r="I929" s="75">
        <v>0.1</v>
      </c>
      <c r="J929" s="77"/>
      <c r="K929" s="66"/>
      <c r="L929" s="66"/>
      <c r="M929" s="79" t="str">
        <f>HYPERLINK("http://www.pristavka.com/catalog/funko/Fun83717/")</f>
        <v>http://www.pristavka.com/catalog/funko/Fun83717/</v>
      </c>
      <c r="N929" s="71">
        <v>9999</v>
      </c>
      <c r="O929" s="66" t="s">
        <v>27</v>
      </c>
      <c r="P929" s="82" t="s">
        <v>4521</v>
      </c>
      <c r="Q929" s="84" t="s">
        <v>2725</v>
      </c>
      <c r="R929" s="84" t="s">
        <v>1068</v>
      </c>
      <c r="S929" s="84">
        <v>0.19</v>
      </c>
      <c r="T929" s="82" t="s">
        <v>4113</v>
      </c>
      <c r="U929" s="84" t="s">
        <v>3584</v>
      </c>
      <c r="V929" s="54"/>
    </row>
    <row r="930" spans="1:22" s="11" customFormat="1" ht="45" customHeight="1" x14ac:dyDescent="0.2">
      <c r="A930" s="66" t="s">
        <v>3577</v>
      </c>
      <c r="B930" s="66" t="s">
        <v>1707</v>
      </c>
      <c r="C930" s="66" t="s">
        <v>3578</v>
      </c>
      <c r="D930" s="66">
        <v>75610</v>
      </c>
      <c r="E930" s="68" t="s">
        <v>4522</v>
      </c>
      <c r="F930" s="66" t="s">
        <v>4523</v>
      </c>
      <c r="G930" s="71">
        <v>6500</v>
      </c>
      <c r="H930" s="73"/>
      <c r="I930" s="75">
        <v>0.1</v>
      </c>
      <c r="J930" s="77"/>
      <c r="K930" s="66"/>
      <c r="L930" s="66"/>
      <c r="M930" s="79" t="str">
        <f>HYPERLINK("http://www.pristavka.com/catalog/funko/Fun75610/")</f>
        <v>http://www.pristavka.com/catalog/funko/Fun75610/</v>
      </c>
      <c r="N930" s="71">
        <v>9999</v>
      </c>
      <c r="O930" s="66" t="s">
        <v>27</v>
      </c>
      <c r="P930" s="82" t="s">
        <v>4524</v>
      </c>
      <c r="Q930" s="84" t="s">
        <v>2725</v>
      </c>
      <c r="R930" s="84" t="s">
        <v>1068</v>
      </c>
      <c r="S930" s="84">
        <v>0.17</v>
      </c>
      <c r="T930" s="82" t="s">
        <v>4102</v>
      </c>
      <c r="U930" s="84" t="s">
        <v>3584</v>
      </c>
      <c r="V930" s="54"/>
    </row>
    <row r="931" spans="1:22" s="11" customFormat="1" ht="45" customHeight="1" x14ac:dyDescent="0.2">
      <c r="A931" s="66" t="s">
        <v>3577</v>
      </c>
      <c r="B931" s="66" t="s">
        <v>1707</v>
      </c>
      <c r="C931" s="66" t="s">
        <v>3578</v>
      </c>
      <c r="D931" s="66">
        <v>58025</v>
      </c>
      <c r="E931" s="68" t="s">
        <v>4525</v>
      </c>
      <c r="F931" s="66" t="s">
        <v>4526</v>
      </c>
      <c r="G931" s="71">
        <v>6500</v>
      </c>
      <c r="H931" s="73"/>
      <c r="I931" s="75">
        <v>0.1</v>
      </c>
      <c r="J931" s="77"/>
      <c r="K931" s="66"/>
      <c r="L931" s="66"/>
      <c r="M931" s="79" t="str">
        <f>HYPERLINK("http://www.pristavka.com/catalog/funko/Fun58025/")</f>
        <v>http://www.pristavka.com/catalog/funko/Fun58025/</v>
      </c>
      <c r="N931" s="71">
        <v>9999</v>
      </c>
      <c r="O931" s="66" t="s">
        <v>27</v>
      </c>
      <c r="P931" s="82" t="s">
        <v>4527</v>
      </c>
      <c r="Q931" s="84" t="s">
        <v>2725</v>
      </c>
      <c r="R931" s="84" t="s">
        <v>1068</v>
      </c>
      <c r="S931" s="84">
        <v>0.121</v>
      </c>
      <c r="T931" s="82" t="s">
        <v>4091</v>
      </c>
      <c r="U931" s="84" t="s">
        <v>3584</v>
      </c>
      <c r="V931" s="54"/>
    </row>
    <row r="932" spans="1:22" s="11" customFormat="1" ht="45" customHeight="1" x14ac:dyDescent="0.2">
      <c r="A932" s="66" t="s">
        <v>3577</v>
      </c>
      <c r="B932" s="66" t="s">
        <v>1707</v>
      </c>
      <c r="C932" s="66" t="s">
        <v>3578</v>
      </c>
      <c r="D932" s="66">
        <v>75615</v>
      </c>
      <c r="E932" s="68" t="s">
        <v>4528</v>
      </c>
      <c r="F932" s="66" t="s">
        <v>4529</v>
      </c>
      <c r="G932" s="71">
        <v>6500</v>
      </c>
      <c r="H932" s="73"/>
      <c r="I932" s="75">
        <v>0.1</v>
      </c>
      <c r="J932" s="77"/>
      <c r="K932" s="66"/>
      <c r="L932" s="66"/>
      <c r="M932" s="79" t="str">
        <f>HYPERLINK("http://www.pristavka.com/catalog/funko/Fun75615/")</f>
        <v>http://www.pristavka.com/catalog/funko/Fun75615/</v>
      </c>
      <c r="N932" s="71">
        <v>9999</v>
      </c>
      <c r="O932" s="66" t="s">
        <v>27</v>
      </c>
      <c r="P932" s="82" t="s">
        <v>4530</v>
      </c>
      <c r="Q932" s="84" t="s">
        <v>2725</v>
      </c>
      <c r="R932" s="84" t="s">
        <v>1068</v>
      </c>
      <c r="S932" s="84">
        <v>0.16</v>
      </c>
      <c r="T932" s="82" t="s">
        <v>4084</v>
      </c>
      <c r="U932" s="84" t="s">
        <v>3584</v>
      </c>
      <c r="V932" s="54"/>
    </row>
    <row r="933" spans="1:22" s="11" customFormat="1" ht="45" customHeight="1" x14ac:dyDescent="0.2">
      <c r="A933" s="66" t="s">
        <v>3577</v>
      </c>
      <c r="B933" s="66" t="s">
        <v>1707</v>
      </c>
      <c r="C933" s="66" t="s">
        <v>3578</v>
      </c>
      <c r="D933" s="66">
        <v>75611</v>
      </c>
      <c r="E933" s="68" t="s">
        <v>4531</v>
      </c>
      <c r="F933" s="66" t="s">
        <v>4532</v>
      </c>
      <c r="G933" s="71">
        <v>6500</v>
      </c>
      <c r="H933" s="73"/>
      <c r="I933" s="75">
        <v>0.1</v>
      </c>
      <c r="J933" s="77"/>
      <c r="K933" s="66"/>
      <c r="L933" s="66"/>
      <c r="M933" s="79" t="str">
        <f>HYPERLINK("http://www.pristavka.com/catalog/funko/Fun75611/")</f>
        <v>http://www.pristavka.com/catalog/funko/Fun75611/</v>
      </c>
      <c r="N933" s="71">
        <v>9999</v>
      </c>
      <c r="O933" s="66" t="s">
        <v>27</v>
      </c>
      <c r="P933" s="82" t="s">
        <v>4533</v>
      </c>
      <c r="Q933" s="84" t="s">
        <v>2725</v>
      </c>
      <c r="R933" s="84" t="s">
        <v>1068</v>
      </c>
      <c r="S933" s="84">
        <v>0.14399999999999999</v>
      </c>
      <c r="T933" s="82" t="s">
        <v>4091</v>
      </c>
      <c r="U933" s="84" t="s">
        <v>3584</v>
      </c>
      <c r="V933" s="54"/>
    </row>
    <row r="934" spans="1:22" s="11" customFormat="1" ht="45" customHeight="1" x14ac:dyDescent="0.2">
      <c r="A934" s="66" t="s">
        <v>3577</v>
      </c>
      <c r="B934" s="66" t="s">
        <v>1707</v>
      </c>
      <c r="C934" s="66" t="s">
        <v>3578</v>
      </c>
      <c r="D934" s="66">
        <v>76196</v>
      </c>
      <c r="E934" s="68" t="s">
        <v>4534</v>
      </c>
      <c r="F934" s="66" t="s">
        <v>4535</v>
      </c>
      <c r="G934" s="71">
        <v>6500</v>
      </c>
      <c r="H934" s="73"/>
      <c r="I934" s="75">
        <v>0.1</v>
      </c>
      <c r="J934" s="77"/>
      <c r="K934" s="66"/>
      <c r="L934" s="66"/>
      <c r="M934" s="79" t="str">
        <f>HYPERLINK("http://www.pristavka.com/catalog/funko/Fun76196/")</f>
        <v>http://www.pristavka.com/catalog/funko/Fun76196/</v>
      </c>
      <c r="N934" s="71">
        <v>9999</v>
      </c>
      <c r="O934" s="66" t="s">
        <v>27</v>
      </c>
      <c r="P934" s="82" t="s">
        <v>4536</v>
      </c>
      <c r="Q934" s="84" t="s">
        <v>2725</v>
      </c>
      <c r="R934" s="84" t="s">
        <v>1068</v>
      </c>
      <c r="S934" s="84">
        <v>0.16500000000000001</v>
      </c>
      <c r="T934" s="82" t="s">
        <v>4084</v>
      </c>
      <c r="U934" s="84" t="s">
        <v>3584</v>
      </c>
      <c r="V934" s="54"/>
    </row>
    <row r="935" spans="1:22" s="11" customFormat="1" ht="45" customHeight="1" x14ac:dyDescent="0.2">
      <c r="A935" s="66" t="s">
        <v>3577</v>
      </c>
      <c r="B935" s="66" t="s">
        <v>1707</v>
      </c>
      <c r="C935" s="66" t="s">
        <v>3578</v>
      </c>
      <c r="D935" s="66">
        <v>77401</v>
      </c>
      <c r="E935" s="68" t="s">
        <v>4537</v>
      </c>
      <c r="F935" s="66" t="s">
        <v>4538</v>
      </c>
      <c r="G935" s="71">
        <v>6890</v>
      </c>
      <c r="H935" s="73"/>
      <c r="I935" s="75">
        <v>0.1</v>
      </c>
      <c r="J935" s="77"/>
      <c r="K935" s="66"/>
      <c r="L935" s="66"/>
      <c r="M935" s="79" t="str">
        <f>HYPERLINK("http://www.pristavka.com/catalog/funko/Fun77401/")</f>
        <v>http://www.pristavka.com/catalog/funko/Fun77401/</v>
      </c>
      <c r="N935" s="71">
        <v>10599</v>
      </c>
      <c r="O935" s="66" t="s">
        <v>27</v>
      </c>
      <c r="P935" s="82" t="s">
        <v>4539</v>
      </c>
      <c r="Q935" s="84" t="s">
        <v>2725</v>
      </c>
      <c r="R935" s="84" t="s">
        <v>1068</v>
      </c>
      <c r="S935" s="84">
        <v>0.13700000000000001</v>
      </c>
      <c r="T935" s="82" t="s">
        <v>4084</v>
      </c>
      <c r="U935" s="84" t="s">
        <v>3584</v>
      </c>
      <c r="V935" s="54"/>
    </row>
    <row r="936" spans="1:22" s="11" customFormat="1" ht="45" customHeight="1" x14ac:dyDescent="0.2">
      <c r="A936" s="66" t="s">
        <v>3577</v>
      </c>
      <c r="B936" s="66" t="s">
        <v>1707</v>
      </c>
      <c r="C936" s="66" t="s">
        <v>3578</v>
      </c>
      <c r="D936" s="66">
        <v>58027</v>
      </c>
      <c r="E936" s="68" t="s">
        <v>4540</v>
      </c>
      <c r="F936" s="66" t="s">
        <v>4541</v>
      </c>
      <c r="G936" s="71">
        <v>6500</v>
      </c>
      <c r="H936" s="73"/>
      <c r="I936" s="75">
        <v>0.1</v>
      </c>
      <c r="J936" s="77"/>
      <c r="K936" s="66"/>
      <c r="L936" s="66"/>
      <c r="M936" s="79" t="str">
        <f>HYPERLINK("http://www.pristavka.com/catalog/funko/Fun58027/")</f>
        <v>http://www.pristavka.com/catalog/funko/Fun58027/</v>
      </c>
      <c r="N936" s="71">
        <v>9999</v>
      </c>
      <c r="O936" s="66" t="s">
        <v>27</v>
      </c>
      <c r="P936" s="82" t="s">
        <v>4542</v>
      </c>
      <c r="Q936" s="84" t="s">
        <v>2725</v>
      </c>
      <c r="R936" s="84" t="s">
        <v>1068</v>
      </c>
      <c r="S936" s="84">
        <v>0.20499999999999999</v>
      </c>
      <c r="T936" s="82" t="s">
        <v>4370</v>
      </c>
      <c r="U936" s="84" t="s">
        <v>3584</v>
      </c>
      <c r="V936" s="54"/>
    </row>
    <row r="937" spans="1:22" s="11" customFormat="1" ht="45" customHeight="1" x14ac:dyDescent="0.2">
      <c r="A937" s="66" t="s">
        <v>3577</v>
      </c>
      <c r="B937" s="66" t="s">
        <v>1707</v>
      </c>
      <c r="C937" s="66" t="s">
        <v>3578</v>
      </c>
      <c r="D937" s="66">
        <v>58028</v>
      </c>
      <c r="E937" s="68" t="s">
        <v>4543</v>
      </c>
      <c r="F937" s="66" t="s">
        <v>4544</v>
      </c>
      <c r="G937" s="71">
        <v>6500</v>
      </c>
      <c r="H937" s="73"/>
      <c r="I937" s="75">
        <v>0.1</v>
      </c>
      <c r="J937" s="77"/>
      <c r="K937" s="66"/>
      <c r="L937" s="66"/>
      <c r="M937" s="79" t="str">
        <f>HYPERLINK("http://www.pristavka.com/catalog/funko/Fun58028/")</f>
        <v>http://www.pristavka.com/catalog/funko/Fun58028/</v>
      </c>
      <c r="N937" s="71">
        <v>9999</v>
      </c>
      <c r="O937" s="66" t="s">
        <v>28</v>
      </c>
      <c r="P937" s="82" t="s">
        <v>4545</v>
      </c>
      <c r="Q937" s="84" t="s">
        <v>2725</v>
      </c>
      <c r="R937" s="84" t="s">
        <v>1068</v>
      </c>
      <c r="S937" s="84">
        <v>0.113</v>
      </c>
      <c r="T937" s="82" t="s">
        <v>4091</v>
      </c>
      <c r="U937" s="84" t="s">
        <v>3584</v>
      </c>
      <c r="V937" s="54"/>
    </row>
    <row r="938" spans="1:22" s="11" customFormat="1" ht="45" customHeight="1" x14ac:dyDescent="0.2">
      <c r="A938" s="66" t="s">
        <v>3577</v>
      </c>
      <c r="B938" s="66" t="s">
        <v>1707</v>
      </c>
      <c r="C938" s="66" t="s">
        <v>3578</v>
      </c>
      <c r="D938" s="66">
        <v>60299</v>
      </c>
      <c r="E938" s="68" t="s">
        <v>4546</v>
      </c>
      <c r="F938" s="66" t="s">
        <v>4547</v>
      </c>
      <c r="G938" s="71">
        <v>6890</v>
      </c>
      <c r="H938" s="73"/>
      <c r="I938" s="75">
        <v>0.1</v>
      </c>
      <c r="J938" s="77"/>
      <c r="K938" s="66"/>
      <c r="L938" s="66"/>
      <c r="M938" s="79" t="str">
        <f>HYPERLINK("http://www.pristavka.com/catalog/funko/Fun60299/")</f>
        <v>http://www.pristavka.com/catalog/funko/Fun60299/</v>
      </c>
      <c r="N938" s="71">
        <v>10599</v>
      </c>
      <c r="O938" s="66" t="s">
        <v>27</v>
      </c>
      <c r="P938" s="82" t="s">
        <v>4548</v>
      </c>
      <c r="Q938" s="84" t="s">
        <v>2725</v>
      </c>
      <c r="R938" s="84" t="s">
        <v>1068</v>
      </c>
      <c r="S938" s="84">
        <v>0.13</v>
      </c>
      <c r="T938" s="82" t="s">
        <v>4091</v>
      </c>
      <c r="U938" s="84" t="s">
        <v>3584</v>
      </c>
      <c r="V938" s="54"/>
    </row>
    <row r="939" spans="1:22" s="11" customFormat="1" ht="45" customHeight="1" x14ac:dyDescent="0.2">
      <c r="A939" s="66" t="s">
        <v>3577</v>
      </c>
      <c r="B939" s="66" t="s">
        <v>1707</v>
      </c>
      <c r="C939" s="66" t="s">
        <v>3578</v>
      </c>
      <c r="D939" s="66">
        <v>73900</v>
      </c>
      <c r="E939" s="68" t="s">
        <v>4549</v>
      </c>
      <c r="F939" s="66" t="s">
        <v>4550</v>
      </c>
      <c r="G939" s="71">
        <v>0</v>
      </c>
      <c r="H939" s="73"/>
      <c r="I939" s="75">
        <v>0.1</v>
      </c>
      <c r="J939" s="77"/>
      <c r="K939" s="66"/>
      <c r="L939" s="66"/>
      <c r="M939" s="79" t="str">
        <f>HYPERLINK("http://www.pristavka.com/catalog/funko/Fun73900/")</f>
        <v>http://www.pristavka.com/catalog/funko/Fun73900/</v>
      </c>
      <c r="N939" s="71"/>
      <c r="O939" s="66" t="s">
        <v>27</v>
      </c>
      <c r="P939" s="82" t="s">
        <v>4551</v>
      </c>
      <c r="Q939" s="84" t="s">
        <v>1117</v>
      </c>
      <c r="R939" s="84" t="s">
        <v>1068</v>
      </c>
      <c r="S939" s="84">
        <v>0.13900000000000001</v>
      </c>
      <c r="T939" s="82" t="s">
        <v>4084</v>
      </c>
      <c r="U939" s="84" t="s">
        <v>3584</v>
      </c>
      <c r="V939" s="54"/>
    </row>
    <row r="940" spans="1:22" s="11" customFormat="1" ht="45" customHeight="1" x14ac:dyDescent="0.2">
      <c r="A940" s="66" t="s">
        <v>3577</v>
      </c>
      <c r="B940" s="66" t="s">
        <v>1707</v>
      </c>
      <c r="C940" s="66" t="s">
        <v>3578</v>
      </c>
      <c r="D940" s="66">
        <v>80279</v>
      </c>
      <c r="E940" s="68" t="s">
        <v>4552</v>
      </c>
      <c r="F940" s="66" t="s">
        <v>4553</v>
      </c>
      <c r="G940" s="71">
        <v>6500</v>
      </c>
      <c r="H940" s="73"/>
      <c r="I940" s="75">
        <v>0.1</v>
      </c>
      <c r="J940" s="77"/>
      <c r="K940" s="66"/>
      <c r="L940" s="66"/>
      <c r="M940" s="79" t="str">
        <f>HYPERLINK("http://www.pristavka.com/catalog/funko/Fun80279/")</f>
        <v>http://www.pristavka.com/catalog/funko/Fun80279/</v>
      </c>
      <c r="N940" s="71">
        <v>9999</v>
      </c>
      <c r="O940" s="66" t="s">
        <v>27</v>
      </c>
      <c r="P940" s="82" t="s">
        <v>4554</v>
      </c>
      <c r="Q940" s="84" t="s">
        <v>1117</v>
      </c>
      <c r="R940" s="84" t="s">
        <v>1068</v>
      </c>
      <c r="S940" s="84">
        <v>0.153</v>
      </c>
      <c r="T940" s="82" t="s">
        <v>4113</v>
      </c>
      <c r="U940" s="84" t="s">
        <v>3584</v>
      </c>
      <c r="V940" s="54"/>
    </row>
    <row r="941" spans="1:22" s="11" customFormat="1" ht="45" customHeight="1" x14ac:dyDescent="0.2">
      <c r="A941" s="66" t="s">
        <v>3577</v>
      </c>
      <c r="B941" s="66" t="s">
        <v>1707</v>
      </c>
      <c r="C941" s="66" t="s">
        <v>3578</v>
      </c>
      <c r="D941" s="66">
        <v>62336</v>
      </c>
      <c r="E941" s="68" t="s">
        <v>4555</v>
      </c>
      <c r="F941" s="66" t="s">
        <v>4556</v>
      </c>
      <c r="G941" s="71">
        <v>6890</v>
      </c>
      <c r="H941" s="73"/>
      <c r="I941" s="75">
        <v>0.1</v>
      </c>
      <c r="J941" s="77"/>
      <c r="K941" s="66"/>
      <c r="L941" s="66"/>
      <c r="M941" s="79" t="str">
        <f>HYPERLINK("http://www.pristavka.com/catalog/funko/Fun62336/")</f>
        <v>http://www.pristavka.com/catalog/funko/Fun62336/</v>
      </c>
      <c r="N941" s="71">
        <v>10599</v>
      </c>
      <c r="O941" s="66" t="s">
        <v>27</v>
      </c>
      <c r="P941" s="82" t="s">
        <v>4557</v>
      </c>
      <c r="Q941" s="84" t="s">
        <v>1117</v>
      </c>
      <c r="R941" s="84" t="s">
        <v>1068</v>
      </c>
      <c r="S941" s="84">
        <v>0.151</v>
      </c>
      <c r="T941" s="82" t="s">
        <v>4558</v>
      </c>
      <c r="U941" s="84" t="s">
        <v>3584</v>
      </c>
      <c r="V941" s="54"/>
    </row>
    <row r="942" spans="1:22" s="11" customFormat="1" ht="45" customHeight="1" x14ac:dyDescent="0.2">
      <c r="A942" s="66" t="s">
        <v>3577</v>
      </c>
      <c r="B942" s="66" t="s">
        <v>1707</v>
      </c>
      <c r="C942" s="66" t="s">
        <v>3578</v>
      </c>
      <c r="D942" s="66">
        <v>85323</v>
      </c>
      <c r="E942" s="68" t="s">
        <v>4559</v>
      </c>
      <c r="F942" s="66" t="s">
        <v>4560</v>
      </c>
      <c r="G942" s="71">
        <v>6500</v>
      </c>
      <c r="H942" s="73"/>
      <c r="I942" s="75">
        <v>0.1</v>
      </c>
      <c r="J942" s="77"/>
      <c r="K942" s="66"/>
      <c r="L942" s="66"/>
      <c r="M942" s="79" t="str">
        <f>HYPERLINK("http://www.pristavka.com/catalog/funko/Fun85323/")</f>
        <v>http://www.pristavka.com/catalog/funko/Fun85323/</v>
      </c>
      <c r="N942" s="71">
        <v>9999</v>
      </c>
      <c r="O942" s="66" t="s">
        <v>27</v>
      </c>
      <c r="P942" s="82" t="s">
        <v>4561</v>
      </c>
      <c r="Q942" s="84" t="s">
        <v>1117</v>
      </c>
      <c r="R942" s="84" t="s">
        <v>1068</v>
      </c>
      <c r="S942" s="84">
        <v>0.16800000000000001</v>
      </c>
      <c r="T942" s="82" t="s">
        <v>4084</v>
      </c>
      <c r="U942" s="84" t="s">
        <v>3584</v>
      </c>
      <c r="V942" s="54"/>
    </row>
    <row r="943" spans="1:22" s="11" customFormat="1" ht="45" customHeight="1" x14ac:dyDescent="0.2">
      <c r="A943" s="66" t="s">
        <v>3577</v>
      </c>
      <c r="B943" s="66" t="s">
        <v>1707</v>
      </c>
      <c r="C943" s="66" t="s">
        <v>3578</v>
      </c>
      <c r="D943" s="66">
        <v>80281</v>
      </c>
      <c r="E943" s="68" t="s">
        <v>4562</v>
      </c>
      <c r="F943" s="66" t="s">
        <v>4563</v>
      </c>
      <c r="G943" s="71">
        <v>6500</v>
      </c>
      <c r="H943" s="73"/>
      <c r="I943" s="75">
        <v>0.1</v>
      </c>
      <c r="J943" s="77"/>
      <c r="K943" s="66"/>
      <c r="L943" s="66"/>
      <c r="M943" s="79" t="str">
        <f>HYPERLINK("http://www.pristavka.com/catalog/funko/Fun80281/")</f>
        <v>http://www.pristavka.com/catalog/funko/Fun80281/</v>
      </c>
      <c r="N943" s="71">
        <v>9999</v>
      </c>
      <c r="O943" s="66" t="s">
        <v>27</v>
      </c>
      <c r="P943" s="82" t="s">
        <v>4564</v>
      </c>
      <c r="Q943" s="84" t="s">
        <v>1117</v>
      </c>
      <c r="R943" s="84" t="s">
        <v>1068</v>
      </c>
      <c r="S943" s="84">
        <v>0.14000000000000001</v>
      </c>
      <c r="T943" s="82" t="s">
        <v>1355</v>
      </c>
      <c r="U943" s="84" t="s">
        <v>3584</v>
      </c>
      <c r="V943" s="54"/>
    </row>
    <row r="944" spans="1:22" s="11" customFormat="1" ht="45" customHeight="1" x14ac:dyDescent="0.2">
      <c r="A944" s="66" t="s">
        <v>3577</v>
      </c>
      <c r="B944" s="66" t="s">
        <v>1707</v>
      </c>
      <c r="C944" s="66" t="s">
        <v>3578</v>
      </c>
      <c r="D944" s="66">
        <v>81680</v>
      </c>
      <c r="E944" s="68" t="s">
        <v>4565</v>
      </c>
      <c r="F944" s="66" t="s">
        <v>4566</v>
      </c>
      <c r="G944" s="71">
        <v>6890</v>
      </c>
      <c r="H944" s="73"/>
      <c r="I944" s="75">
        <v>0.1</v>
      </c>
      <c r="J944" s="77"/>
      <c r="K944" s="66"/>
      <c r="L944" s="66"/>
      <c r="M944" s="79" t="str">
        <f>HYPERLINK("http://www.pristavka.com/catalog/funko/Fun81680/")</f>
        <v>http://www.pristavka.com/catalog/funko/Fun81680/</v>
      </c>
      <c r="N944" s="71">
        <v>10599</v>
      </c>
      <c r="O944" s="66" t="s">
        <v>27</v>
      </c>
      <c r="P944" s="82" t="s">
        <v>4567</v>
      </c>
      <c r="Q944" s="84" t="s">
        <v>1117</v>
      </c>
      <c r="R944" s="84" t="s">
        <v>1068</v>
      </c>
      <c r="S944" s="84">
        <v>0.15</v>
      </c>
      <c r="T944" s="82" t="s">
        <v>4084</v>
      </c>
      <c r="U944" s="84" t="s">
        <v>3584</v>
      </c>
      <c r="V944" s="54"/>
    </row>
    <row r="945" spans="1:22" s="11" customFormat="1" ht="45" customHeight="1" x14ac:dyDescent="0.2">
      <c r="A945" s="66" t="s">
        <v>3577</v>
      </c>
      <c r="B945" s="66" t="s">
        <v>1707</v>
      </c>
      <c r="C945" s="66" t="s">
        <v>3578</v>
      </c>
      <c r="D945" s="66">
        <v>80278</v>
      </c>
      <c r="E945" s="68" t="s">
        <v>4568</v>
      </c>
      <c r="F945" s="66" t="s">
        <v>4569</v>
      </c>
      <c r="G945" s="71">
        <v>6500</v>
      </c>
      <c r="H945" s="73"/>
      <c r="I945" s="75">
        <v>0.1</v>
      </c>
      <c r="J945" s="77"/>
      <c r="K945" s="66"/>
      <c r="L945" s="66"/>
      <c r="M945" s="79" t="str">
        <f>HYPERLINK("http://www.pristavka.com/catalog/funko/Fun80278/")</f>
        <v>http://www.pristavka.com/catalog/funko/Fun80278/</v>
      </c>
      <c r="N945" s="71">
        <v>9999</v>
      </c>
      <c r="O945" s="66" t="s">
        <v>27</v>
      </c>
      <c r="P945" s="82" t="s">
        <v>4570</v>
      </c>
      <c r="Q945" s="84" t="s">
        <v>1117</v>
      </c>
      <c r="R945" s="84" t="s">
        <v>1068</v>
      </c>
      <c r="S945" s="84">
        <v>0.158</v>
      </c>
      <c r="T945" s="82" t="s">
        <v>4084</v>
      </c>
      <c r="U945" s="84" t="s">
        <v>3584</v>
      </c>
      <c r="V945" s="54"/>
    </row>
    <row r="946" spans="1:22" s="11" customFormat="1" ht="45" customHeight="1" x14ac:dyDescent="0.2">
      <c r="A946" s="66" t="s">
        <v>3577</v>
      </c>
      <c r="B946" s="66" t="s">
        <v>1707</v>
      </c>
      <c r="C946" s="66" t="s">
        <v>3578</v>
      </c>
      <c r="D946" s="66">
        <v>85322</v>
      </c>
      <c r="E946" s="68" t="s">
        <v>4571</v>
      </c>
      <c r="F946" s="66" t="s">
        <v>4572</v>
      </c>
      <c r="G946" s="71">
        <v>6500</v>
      </c>
      <c r="H946" s="73"/>
      <c r="I946" s="75">
        <v>0.1</v>
      </c>
      <c r="J946" s="77"/>
      <c r="K946" s="66"/>
      <c r="L946" s="66"/>
      <c r="M946" s="79" t="str">
        <f>HYPERLINK("http://www.pristavka.com/catalog/funko/Fun85322/")</f>
        <v>http://www.pristavka.com/catalog/funko/Fun85322/</v>
      </c>
      <c r="N946" s="71">
        <v>9999</v>
      </c>
      <c r="O946" s="66" t="s">
        <v>27</v>
      </c>
      <c r="P946" s="82" t="s">
        <v>4573</v>
      </c>
      <c r="Q946" s="84" t="s">
        <v>1117</v>
      </c>
      <c r="R946" s="84" t="s">
        <v>1068</v>
      </c>
      <c r="S946" s="84">
        <v>0.152</v>
      </c>
      <c r="T946" s="82" t="s">
        <v>4574</v>
      </c>
      <c r="U946" s="84" t="s">
        <v>3584</v>
      </c>
      <c r="V946" s="54"/>
    </row>
    <row r="947" spans="1:22" s="11" customFormat="1" ht="45" customHeight="1" x14ac:dyDescent="0.2">
      <c r="A947" s="66" t="s">
        <v>3577</v>
      </c>
      <c r="B947" s="66" t="s">
        <v>1707</v>
      </c>
      <c r="C947" s="66" t="s">
        <v>3578</v>
      </c>
      <c r="D947" s="66">
        <v>80283</v>
      </c>
      <c r="E947" s="68" t="s">
        <v>4575</v>
      </c>
      <c r="F947" s="66" t="s">
        <v>4576</v>
      </c>
      <c r="G947" s="71">
        <v>6500</v>
      </c>
      <c r="H947" s="73"/>
      <c r="I947" s="75">
        <v>0.1</v>
      </c>
      <c r="J947" s="77"/>
      <c r="K947" s="66"/>
      <c r="L947" s="66"/>
      <c r="M947" s="79" t="str">
        <f>HYPERLINK("http://www.pristavka.com/catalog/funko/Fun80283/")</f>
        <v>http://www.pristavka.com/catalog/funko/Fun80283/</v>
      </c>
      <c r="N947" s="71">
        <v>9999</v>
      </c>
      <c r="O947" s="66" t="s">
        <v>27</v>
      </c>
      <c r="P947" s="82" t="s">
        <v>4577</v>
      </c>
      <c r="Q947" s="84" t="s">
        <v>1117</v>
      </c>
      <c r="R947" s="84" t="s">
        <v>1068</v>
      </c>
      <c r="S947" s="84">
        <v>0.122</v>
      </c>
      <c r="T947" s="82" t="s">
        <v>4084</v>
      </c>
      <c r="U947" s="84" t="s">
        <v>3584</v>
      </c>
      <c r="V947" s="54"/>
    </row>
    <row r="948" spans="1:22" s="11" customFormat="1" ht="45" customHeight="1" x14ac:dyDescent="0.2">
      <c r="A948" s="66" t="s">
        <v>3577</v>
      </c>
      <c r="B948" s="66" t="s">
        <v>1707</v>
      </c>
      <c r="C948" s="66" t="s">
        <v>3578</v>
      </c>
      <c r="D948" s="66">
        <v>80277</v>
      </c>
      <c r="E948" s="68" t="s">
        <v>4578</v>
      </c>
      <c r="F948" s="66" t="s">
        <v>4579</v>
      </c>
      <c r="G948" s="71">
        <v>6500</v>
      </c>
      <c r="H948" s="73"/>
      <c r="I948" s="75">
        <v>0.1</v>
      </c>
      <c r="J948" s="77"/>
      <c r="K948" s="66"/>
      <c r="L948" s="66"/>
      <c r="M948" s="79" t="str">
        <f>HYPERLINK("http://www.pristavka.com/catalog/funko/Fun80277/")</f>
        <v>http://www.pristavka.com/catalog/funko/Fun80277/</v>
      </c>
      <c r="N948" s="71">
        <v>9999</v>
      </c>
      <c r="O948" s="66" t="s">
        <v>27</v>
      </c>
      <c r="P948" s="82" t="s">
        <v>4580</v>
      </c>
      <c r="Q948" s="84" t="s">
        <v>1117</v>
      </c>
      <c r="R948" s="84" t="s">
        <v>1068</v>
      </c>
      <c r="S948" s="84">
        <v>0.18</v>
      </c>
      <c r="T948" s="82" t="s">
        <v>4084</v>
      </c>
      <c r="U948" s="84" t="s">
        <v>3584</v>
      </c>
      <c r="V948" s="54"/>
    </row>
    <row r="949" spans="1:22" s="11" customFormat="1" ht="45" customHeight="1" x14ac:dyDescent="0.2">
      <c r="A949" s="66" t="s">
        <v>3577</v>
      </c>
      <c r="B949" s="66" t="s">
        <v>1707</v>
      </c>
      <c r="C949" s="66" t="s">
        <v>3578</v>
      </c>
      <c r="D949" s="66">
        <v>64979</v>
      </c>
      <c r="E949" s="68" t="s">
        <v>4581</v>
      </c>
      <c r="F949" s="66" t="s">
        <v>4582</v>
      </c>
      <c r="G949" s="71">
        <v>6890</v>
      </c>
      <c r="H949" s="73"/>
      <c r="I949" s="75">
        <v>0.1</v>
      </c>
      <c r="J949" s="77"/>
      <c r="K949" s="66"/>
      <c r="L949" s="66"/>
      <c r="M949" s="79" t="str">
        <f>HYPERLINK("http://www.pristavka.com/catalog/funko/Fun64979/")</f>
        <v>http://www.pristavka.com/catalog/funko/Fun64979/</v>
      </c>
      <c r="N949" s="71">
        <v>10599</v>
      </c>
      <c r="O949" s="66" t="s">
        <v>27</v>
      </c>
      <c r="P949" s="82" t="s">
        <v>4583</v>
      </c>
      <c r="Q949" s="84" t="s">
        <v>1117</v>
      </c>
      <c r="R949" s="84" t="s">
        <v>1068</v>
      </c>
      <c r="S949" s="84">
        <v>0.14899999999999999</v>
      </c>
      <c r="T949" s="82" t="s">
        <v>4558</v>
      </c>
      <c r="U949" s="84" t="s">
        <v>3584</v>
      </c>
      <c r="V949" s="54"/>
    </row>
    <row r="950" spans="1:22" s="11" customFormat="1" ht="45" customHeight="1" x14ac:dyDescent="0.2">
      <c r="A950" s="66" t="s">
        <v>3577</v>
      </c>
      <c r="B950" s="66" t="s">
        <v>1707</v>
      </c>
      <c r="C950" s="66" t="s">
        <v>3578</v>
      </c>
      <c r="D950" s="66">
        <v>80870</v>
      </c>
      <c r="E950" s="68" t="s">
        <v>4584</v>
      </c>
      <c r="F950" s="66" t="s">
        <v>4585</v>
      </c>
      <c r="G950" s="71">
        <v>6500</v>
      </c>
      <c r="H950" s="73"/>
      <c r="I950" s="75">
        <v>0.1</v>
      </c>
      <c r="J950" s="77"/>
      <c r="K950" s="66"/>
      <c r="L950" s="66"/>
      <c r="M950" s="79" t="str">
        <f>HYPERLINK("http://www.pristavka.com/catalog/funko/Fun80870/")</f>
        <v>http://www.pristavka.com/catalog/funko/Fun80870/</v>
      </c>
      <c r="N950" s="71">
        <v>9999</v>
      </c>
      <c r="O950" s="66" t="s">
        <v>27</v>
      </c>
      <c r="P950" s="82" t="s">
        <v>4586</v>
      </c>
      <c r="Q950" s="84" t="s">
        <v>4587</v>
      </c>
      <c r="R950" s="84" t="s">
        <v>1303</v>
      </c>
      <c r="S950" s="84">
        <v>0.125</v>
      </c>
      <c r="T950" s="82" t="s">
        <v>4084</v>
      </c>
      <c r="U950" s="84" t="s">
        <v>3584</v>
      </c>
      <c r="V950" s="54"/>
    </row>
    <row r="951" spans="1:22" s="11" customFormat="1" ht="45" customHeight="1" x14ac:dyDescent="0.2">
      <c r="A951" s="66" t="s">
        <v>3577</v>
      </c>
      <c r="B951" s="66" t="s">
        <v>1707</v>
      </c>
      <c r="C951" s="66" t="s">
        <v>3578</v>
      </c>
      <c r="D951" s="66">
        <v>80871</v>
      </c>
      <c r="E951" s="68" t="s">
        <v>4588</v>
      </c>
      <c r="F951" s="66" t="s">
        <v>4589</v>
      </c>
      <c r="G951" s="71">
        <v>6500</v>
      </c>
      <c r="H951" s="73"/>
      <c r="I951" s="75">
        <v>0.1</v>
      </c>
      <c r="J951" s="77"/>
      <c r="K951" s="66"/>
      <c r="L951" s="66"/>
      <c r="M951" s="79" t="str">
        <f>HYPERLINK("http://www.pristavka.com/catalog/funko/Fun80871/")</f>
        <v>http://www.pristavka.com/catalog/funko/Fun80871/</v>
      </c>
      <c r="N951" s="71">
        <v>9999</v>
      </c>
      <c r="O951" s="66" t="s">
        <v>27</v>
      </c>
      <c r="P951" s="82" t="s">
        <v>4590</v>
      </c>
      <c r="Q951" s="84" t="s">
        <v>4587</v>
      </c>
      <c r="R951" s="84" t="s">
        <v>1303</v>
      </c>
      <c r="S951" s="84">
        <v>0.11899999999999999</v>
      </c>
      <c r="T951" s="82" t="s">
        <v>4084</v>
      </c>
      <c r="U951" s="84" t="s">
        <v>3584</v>
      </c>
      <c r="V951" s="54"/>
    </row>
    <row r="952" spans="1:22" s="11" customFormat="1" ht="45" customHeight="1" x14ac:dyDescent="0.2">
      <c r="A952" s="66" t="s">
        <v>3577</v>
      </c>
      <c r="B952" s="66" t="s">
        <v>1707</v>
      </c>
      <c r="C952" s="66" t="s">
        <v>3578</v>
      </c>
      <c r="D952" s="66">
        <v>21975</v>
      </c>
      <c r="E952" s="68" t="s">
        <v>4591</v>
      </c>
      <c r="F952" s="66" t="s">
        <v>4592</v>
      </c>
      <c r="G952" s="71">
        <v>0</v>
      </c>
      <c r="H952" s="73"/>
      <c r="I952" s="75">
        <v>0.1</v>
      </c>
      <c r="J952" s="77"/>
      <c r="K952" s="66"/>
      <c r="L952" s="66"/>
      <c r="M952" s="79" t="str">
        <f>HYPERLINK("http://www.pristavka.com/catalog/funko/Fun831/")</f>
        <v>http://www.pristavka.com/catalog/funko/Fun831/</v>
      </c>
      <c r="N952" s="71"/>
      <c r="O952" s="66" t="s">
        <v>27</v>
      </c>
      <c r="P952" s="82" t="s">
        <v>4593</v>
      </c>
      <c r="Q952" s="84" t="s">
        <v>4587</v>
      </c>
      <c r="R952" s="84" t="s">
        <v>1303</v>
      </c>
      <c r="S952" s="84">
        <v>0.13</v>
      </c>
      <c r="T952" s="82" t="s">
        <v>4102</v>
      </c>
      <c r="U952" s="84" t="s">
        <v>3584</v>
      </c>
      <c r="V952" s="54"/>
    </row>
    <row r="953" spans="1:22" s="11" customFormat="1" ht="45" customHeight="1" x14ac:dyDescent="0.2">
      <c r="A953" s="66" t="s">
        <v>3577</v>
      </c>
      <c r="B953" s="66" t="s">
        <v>1707</v>
      </c>
      <c r="C953" s="66" t="s">
        <v>3578</v>
      </c>
      <c r="D953" s="66">
        <v>80873</v>
      </c>
      <c r="E953" s="68" t="s">
        <v>4594</v>
      </c>
      <c r="F953" s="66" t="s">
        <v>4595</v>
      </c>
      <c r="G953" s="71">
        <v>6500</v>
      </c>
      <c r="H953" s="73"/>
      <c r="I953" s="75">
        <v>0.1</v>
      </c>
      <c r="J953" s="77"/>
      <c r="K953" s="66"/>
      <c r="L953" s="66"/>
      <c r="M953" s="79" t="str">
        <f>HYPERLINK("http://www.pristavka.com/catalog/funko/Fun80873/")</f>
        <v>http://www.pristavka.com/catalog/funko/Fun80873/</v>
      </c>
      <c r="N953" s="71">
        <v>9999</v>
      </c>
      <c r="O953" s="66" t="s">
        <v>27</v>
      </c>
      <c r="P953" s="82" t="s">
        <v>4596</v>
      </c>
      <c r="Q953" s="84" t="s">
        <v>4587</v>
      </c>
      <c r="R953" s="84" t="s">
        <v>1303</v>
      </c>
      <c r="S953" s="84">
        <v>0.115</v>
      </c>
      <c r="T953" s="82" t="s">
        <v>4091</v>
      </c>
      <c r="U953" s="84" t="s">
        <v>3584</v>
      </c>
      <c r="V953" s="54"/>
    </row>
    <row r="954" spans="1:22" s="11" customFormat="1" ht="45" customHeight="1" x14ac:dyDescent="0.2">
      <c r="A954" s="66" t="s">
        <v>3577</v>
      </c>
      <c r="B954" s="66" t="s">
        <v>1707</v>
      </c>
      <c r="C954" s="66" t="s">
        <v>3578</v>
      </c>
      <c r="D954" s="66">
        <v>78669</v>
      </c>
      <c r="E954" s="68" t="s">
        <v>4597</v>
      </c>
      <c r="F954" s="66" t="s">
        <v>4598</v>
      </c>
      <c r="G954" s="71">
        <v>0</v>
      </c>
      <c r="H954" s="73"/>
      <c r="I954" s="75">
        <v>0.1</v>
      </c>
      <c r="J954" s="77"/>
      <c r="K954" s="66"/>
      <c r="L954" s="66"/>
      <c r="M954" s="79" t="str">
        <f>HYPERLINK("https://pristavka.com/catalog/funko_figures/Fun78669/")</f>
        <v>https://pristavka.com/catalog/funko_figures/Fun78669/</v>
      </c>
      <c r="N954" s="71"/>
      <c r="O954" s="66" t="s">
        <v>27</v>
      </c>
      <c r="P954" s="82" t="s">
        <v>4599</v>
      </c>
      <c r="Q954" s="84" t="s">
        <v>4587</v>
      </c>
      <c r="R954" s="84" t="s">
        <v>1303</v>
      </c>
      <c r="S954" s="84">
        <v>0.151</v>
      </c>
      <c r="T954" s="82" t="s">
        <v>4084</v>
      </c>
      <c r="U954" s="84" t="s">
        <v>3584</v>
      </c>
      <c r="V954" s="54"/>
    </row>
    <row r="955" spans="1:22" s="11" customFormat="1" ht="45" customHeight="1" x14ac:dyDescent="0.2">
      <c r="A955" s="66" t="s">
        <v>3577</v>
      </c>
      <c r="B955" s="66" t="s">
        <v>1707</v>
      </c>
      <c r="C955" s="66" t="s">
        <v>3578</v>
      </c>
      <c r="D955" s="66">
        <v>67044</v>
      </c>
      <c r="E955" s="68" t="s">
        <v>4600</v>
      </c>
      <c r="F955" s="66" t="s">
        <v>4601</v>
      </c>
      <c r="G955" s="71">
        <v>8450</v>
      </c>
      <c r="H955" s="73"/>
      <c r="I955" s="75">
        <v>0.1</v>
      </c>
      <c r="J955" s="77"/>
      <c r="K955" s="66"/>
      <c r="L955" s="66"/>
      <c r="M955" s="79" t="str">
        <f>HYPERLINK("http://www.pristavka.com/catalog/funko/Fun67044/")</f>
        <v>http://www.pristavka.com/catalog/funko/Fun67044/</v>
      </c>
      <c r="N955" s="71">
        <v>12999</v>
      </c>
      <c r="O955" s="66" t="s">
        <v>28</v>
      </c>
      <c r="P955" s="82" t="s">
        <v>4602</v>
      </c>
      <c r="Q955" s="84" t="s">
        <v>4587</v>
      </c>
      <c r="R955" s="84" t="s">
        <v>1303</v>
      </c>
      <c r="S955" s="84">
        <v>0.14699999999999999</v>
      </c>
      <c r="T955" s="82" t="s">
        <v>4091</v>
      </c>
      <c r="U955" s="84" t="s">
        <v>3584</v>
      </c>
      <c r="V955" s="54"/>
    </row>
    <row r="956" spans="1:22" s="11" customFormat="1" ht="45" customHeight="1" x14ac:dyDescent="0.2">
      <c r="A956" s="66" t="s">
        <v>3577</v>
      </c>
      <c r="B956" s="66" t="s">
        <v>1707</v>
      </c>
      <c r="C956" s="66" t="s">
        <v>3578</v>
      </c>
      <c r="D956" s="66">
        <v>80247</v>
      </c>
      <c r="E956" s="68" t="s">
        <v>4603</v>
      </c>
      <c r="F956" s="66" t="s">
        <v>4604</v>
      </c>
      <c r="G956" s="71">
        <v>6500</v>
      </c>
      <c r="H956" s="73"/>
      <c r="I956" s="75">
        <v>0.1</v>
      </c>
      <c r="J956" s="77"/>
      <c r="K956" s="66"/>
      <c r="L956" s="66"/>
      <c r="M956" s="79" t="str">
        <f>HYPERLINK("http://www.pristavka.com/catalog/funko/Fun80247/")</f>
        <v>http://www.pristavka.com/catalog/funko/Fun80247/</v>
      </c>
      <c r="N956" s="71">
        <v>9999</v>
      </c>
      <c r="O956" s="66" t="s">
        <v>27</v>
      </c>
      <c r="P956" s="82" t="s">
        <v>4605</v>
      </c>
      <c r="Q956" s="84" t="s">
        <v>4606</v>
      </c>
      <c r="R956" s="84" t="s">
        <v>1303</v>
      </c>
      <c r="S956" s="84">
        <v>0.23</v>
      </c>
      <c r="T956" s="82" t="s">
        <v>4084</v>
      </c>
      <c r="U956" s="84" t="s">
        <v>3584</v>
      </c>
      <c r="V956" s="54"/>
    </row>
    <row r="957" spans="1:22" s="11" customFormat="1" ht="45" customHeight="1" x14ac:dyDescent="0.2">
      <c r="A957" s="66" t="s">
        <v>3577</v>
      </c>
      <c r="B957" s="66" t="s">
        <v>1707</v>
      </c>
      <c r="C957" s="66" t="s">
        <v>3578</v>
      </c>
      <c r="D957" s="66">
        <v>80246</v>
      </c>
      <c r="E957" s="68" t="s">
        <v>4607</v>
      </c>
      <c r="F957" s="66" t="s">
        <v>4608</v>
      </c>
      <c r="G957" s="71">
        <v>6500</v>
      </c>
      <c r="H957" s="73"/>
      <c r="I957" s="75">
        <v>0.1</v>
      </c>
      <c r="J957" s="77"/>
      <c r="K957" s="66"/>
      <c r="L957" s="66"/>
      <c r="M957" s="79" t="str">
        <f>HYPERLINK("http://www.pristavka.com/catalog/funko/Fun80246/")</f>
        <v>http://www.pristavka.com/catalog/funko/Fun80246/</v>
      </c>
      <c r="N957" s="71">
        <v>9999</v>
      </c>
      <c r="O957" s="66" t="s">
        <v>27</v>
      </c>
      <c r="P957" s="82" t="s">
        <v>4609</v>
      </c>
      <c r="Q957" s="84" t="s">
        <v>4606</v>
      </c>
      <c r="R957" s="84" t="s">
        <v>1303</v>
      </c>
      <c r="S957" s="84">
        <v>0.17</v>
      </c>
      <c r="T957" s="82" t="s">
        <v>4084</v>
      </c>
      <c r="U957" s="84" t="s">
        <v>3584</v>
      </c>
      <c r="V957" s="54"/>
    </row>
    <row r="958" spans="1:22" s="11" customFormat="1" ht="45" customHeight="1" x14ac:dyDescent="0.2">
      <c r="A958" s="66" t="s">
        <v>3577</v>
      </c>
      <c r="B958" s="66" t="s">
        <v>1707</v>
      </c>
      <c r="C958" s="66" t="s">
        <v>3578</v>
      </c>
      <c r="D958" s="66">
        <v>80248</v>
      </c>
      <c r="E958" s="68" t="s">
        <v>4610</v>
      </c>
      <c r="F958" s="66" t="s">
        <v>4611</v>
      </c>
      <c r="G958" s="71">
        <v>6500</v>
      </c>
      <c r="H958" s="73"/>
      <c r="I958" s="75">
        <v>0.1</v>
      </c>
      <c r="J958" s="77"/>
      <c r="K958" s="66"/>
      <c r="L958" s="66"/>
      <c r="M958" s="79" t="str">
        <f>HYPERLINK("http://www.pristavka.com/catalog/funko/Fun80248/")</f>
        <v>http://www.pristavka.com/catalog/funko/Fun80248/</v>
      </c>
      <c r="N958" s="71">
        <v>9999</v>
      </c>
      <c r="O958" s="66" t="s">
        <v>27</v>
      </c>
      <c r="P958" s="82" t="s">
        <v>4612</v>
      </c>
      <c r="Q958" s="84" t="s">
        <v>4606</v>
      </c>
      <c r="R958" s="84" t="s">
        <v>1303</v>
      </c>
      <c r="S958" s="84">
        <v>0.19</v>
      </c>
      <c r="T958" s="82" t="s">
        <v>4084</v>
      </c>
      <c r="U958" s="84" t="s">
        <v>3584</v>
      </c>
      <c r="V958" s="54"/>
    </row>
    <row r="959" spans="1:22" s="11" customFormat="1" ht="45" customHeight="1" x14ac:dyDescent="0.2">
      <c r="A959" s="66" t="s">
        <v>3577</v>
      </c>
      <c r="B959" s="66" t="s">
        <v>1707</v>
      </c>
      <c r="C959" s="66" t="s">
        <v>3578</v>
      </c>
      <c r="D959" s="66">
        <v>82984</v>
      </c>
      <c r="E959" s="68" t="s">
        <v>4613</v>
      </c>
      <c r="F959" s="66" t="s">
        <v>4614</v>
      </c>
      <c r="G959" s="71">
        <v>0</v>
      </c>
      <c r="H959" s="73"/>
      <c r="I959" s="75">
        <v>0.1</v>
      </c>
      <c r="J959" s="77"/>
      <c r="K959" s="66"/>
      <c r="L959" s="66"/>
      <c r="M959" s="79" t="str">
        <f>HYPERLINK("http://www.pristavka.com/catalog/funko/Fun82984/")</f>
        <v>http://www.pristavka.com/catalog/funko/Fun82984/</v>
      </c>
      <c r="N959" s="71"/>
      <c r="O959" s="66" t="s">
        <v>27</v>
      </c>
      <c r="P959" s="82" t="s">
        <v>4615</v>
      </c>
      <c r="Q959" s="84" t="s">
        <v>2367</v>
      </c>
      <c r="R959" s="84" t="s">
        <v>1068</v>
      </c>
      <c r="S959" s="84">
        <v>0.46800000000000003</v>
      </c>
      <c r="T959" s="82" t="s">
        <v>4616</v>
      </c>
      <c r="U959" s="84" t="s">
        <v>3584</v>
      </c>
      <c r="V959" s="54"/>
    </row>
    <row r="960" spans="1:22" s="11" customFormat="1" ht="45" customHeight="1" x14ac:dyDescent="0.2">
      <c r="A960" s="66" t="s">
        <v>3577</v>
      </c>
      <c r="B960" s="66" t="s">
        <v>1707</v>
      </c>
      <c r="C960" s="66" t="s">
        <v>3578</v>
      </c>
      <c r="D960" s="66">
        <v>63282</v>
      </c>
      <c r="E960" s="68" t="s">
        <v>4617</v>
      </c>
      <c r="F960" s="66" t="s">
        <v>4618</v>
      </c>
      <c r="G960" s="71">
        <v>6890</v>
      </c>
      <c r="H960" s="73"/>
      <c r="I960" s="75">
        <v>0.1</v>
      </c>
      <c r="J960" s="77"/>
      <c r="K960" s="66"/>
      <c r="L960" s="66"/>
      <c r="M960" s="79" t="str">
        <f>HYPERLINK("http://www.pristavka.com/catalog/funko/Fun63282/")</f>
        <v>http://www.pristavka.com/catalog/funko/Fun63282/</v>
      </c>
      <c r="N960" s="71">
        <v>10599</v>
      </c>
      <c r="O960" s="66" t="s">
        <v>27</v>
      </c>
      <c r="P960" s="82" t="s">
        <v>4619</v>
      </c>
      <c r="Q960" s="84" t="s">
        <v>1545</v>
      </c>
      <c r="R960" s="84" t="s">
        <v>1068</v>
      </c>
      <c r="S960" s="84">
        <v>0.14699999999999999</v>
      </c>
      <c r="T960" s="82" t="s">
        <v>4620</v>
      </c>
      <c r="U960" s="84" t="s">
        <v>3584</v>
      </c>
      <c r="V960" s="54"/>
    </row>
    <row r="961" spans="1:22" s="11" customFormat="1" ht="45" customHeight="1" x14ac:dyDescent="0.2">
      <c r="A961" s="66" t="s">
        <v>3577</v>
      </c>
      <c r="B961" s="66" t="s">
        <v>1707</v>
      </c>
      <c r="C961" s="66" t="s">
        <v>3578</v>
      </c>
      <c r="D961" s="66">
        <v>82846</v>
      </c>
      <c r="E961" s="68" t="s">
        <v>4621</v>
      </c>
      <c r="F961" s="66" t="s">
        <v>4622</v>
      </c>
      <c r="G961" s="71">
        <v>6500</v>
      </c>
      <c r="H961" s="73"/>
      <c r="I961" s="75">
        <v>0.1</v>
      </c>
      <c r="J961" s="77"/>
      <c r="K961" s="66"/>
      <c r="L961" s="66"/>
      <c r="M961" s="79" t="str">
        <f>HYPERLINK("http://www.pristavka.com/catalog/funko/Fun82846/")</f>
        <v>http://www.pristavka.com/catalog/funko/Fun82846/</v>
      </c>
      <c r="N961" s="71">
        <v>9999</v>
      </c>
      <c r="O961" s="66" t="s">
        <v>27</v>
      </c>
      <c r="P961" s="82" t="s">
        <v>4623</v>
      </c>
      <c r="Q961" s="84" t="s">
        <v>1545</v>
      </c>
      <c r="R961" s="84" t="s">
        <v>1068</v>
      </c>
      <c r="S961" s="84">
        <v>0.14399999999999999</v>
      </c>
      <c r="T961" s="82" t="s">
        <v>4113</v>
      </c>
      <c r="U961" s="84" t="s">
        <v>3584</v>
      </c>
      <c r="V961" s="54"/>
    </row>
    <row r="962" spans="1:22" s="11" customFormat="1" ht="45" customHeight="1" x14ac:dyDescent="0.2">
      <c r="A962" s="66" t="s">
        <v>3577</v>
      </c>
      <c r="B962" s="66" t="s">
        <v>1707</v>
      </c>
      <c r="C962" s="66" t="s">
        <v>3578</v>
      </c>
      <c r="D962" s="66">
        <v>64674</v>
      </c>
      <c r="E962" s="68" t="s">
        <v>4624</v>
      </c>
      <c r="F962" s="66" t="s">
        <v>4625</v>
      </c>
      <c r="G962" s="71">
        <v>13000</v>
      </c>
      <c r="H962" s="73"/>
      <c r="I962" s="75">
        <v>0.1</v>
      </c>
      <c r="J962" s="77"/>
      <c r="K962" s="66"/>
      <c r="L962" s="66"/>
      <c r="M962" s="79" t="str">
        <f>HYPERLINK("http://www.pristavka.com/catalog/funko/Fun64674/")</f>
        <v>http://www.pristavka.com/catalog/funko/Fun64674/</v>
      </c>
      <c r="N962" s="71">
        <v>19999</v>
      </c>
      <c r="O962" s="66" t="s">
        <v>27</v>
      </c>
      <c r="P962" s="82" t="s">
        <v>4626</v>
      </c>
      <c r="Q962" s="84" t="s">
        <v>1545</v>
      </c>
      <c r="R962" s="84" t="s">
        <v>1068</v>
      </c>
      <c r="S962" s="84">
        <v>0.48</v>
      </c>
      <c r="T962" s="82" t="s">
        <v>4627</v>
      </c>
      <c r="U962" s="84" t="s">
        <v>3584</v>
      </c>
      <c r="V962" s="54"/>
    </row>
    <row r="963" spans="1:22" s="11" customFormat="1" ht="45" customHeight="1" x14ac:dyDescent="0.2">
      <c r="A963" s="66" t="s">
        <v>3577</v>
      </c>
      <c r="B963" s="66" t="s">
        <v>1707</v>
      </c>
      <c r="C963" s="66" t="s">
        <v>3578</v>
      </c>
      <c r="D963" s="66">
        <v>78045</v>
      </c>
      <c r="E963" s="68" t="s">
        <v>4628</v>
      </c>
      <c r="F963" s="66" t="s">
        <v>4629</v>
      </c>
      <c r="G963" s="71">
        <v>29575</v>
      </c>
      <c r="H963" s="73"/>
      <c r="I963" s="75">
        <v>0.1</v>
      </c>
      <c r="J963" s="77"/>
      <c r="K963" s="66"/>
      <c r="L963" s="66"/>
      <c r="M963" s="79" t="str">
        <f>HYPERLINK("http://www.pristavka.com/catalog/funko/Fun78045/")</f>
        <v>http://www.pristavka.com/catalog/funko/Fun78045/</v>
      </c>
      <c r="N963" s="71">
        <v>45499</v>
      </c>
      <c r="O963" s="66" t="s">
        <v>27</v>
      </c>
      <c r="P963" s="82" t="s">
        <v>4630</v>
      </c>
      <c r="Q963" s="84" t="s">
        <v>1545</v>
      </c>
      <c r="R963" s="84" t="s">
        <v>1068</v>
      </c>
      <c r="S963" s="84">
        <v>0.84499999999999997</v>
      </c>
      <c r="T963" s="82" t="s">
        <v>4631</v>
      </c>
      <c r="U963" s="84" t="s">
        <v>3584</v>
      </c>
      <c r="V963" s="54"/>
    </row>
    <row r="964" spans="1:22" s="11" customFormat="1" ht="45" customHeight="1" x14ac:dyDescent="0.2">
      <c r="A964" s="66" t="s">
        <v>3577</v>
      </c>
      <c r="B964" s="66" t="s">
        <v>1707</v>
      </c>
      <c r="C964" s="66" t="s">
        <v>3578</v>
      </c>
      <c r="D964" s="66">
        <v>70617</v>
      </c>
      <c r="E964" s="68" t="s">
        <v>4632</v>
      </c>
      <c r="F964" s="66" t="s">
        <v>4633</v>
      </c>
      <c r="G964" s="71">
        <v>13000</v>
      </c>
      <c r="H964" s="73"/>
      <c r="I964" s="75">
        <v>0.1</v>
      </c>
      <c r="J964" s="77"/>
      <c r="K964" s="66"/>
      <c r="L964" s="66"/>
      <c r="M964" s="79" t="str">
        <f>HYPERLINK("http://www.pristavka.com/catalog/funko/Fun70617/")</f>
        <v>http://www.pristavka.com/catalog/funko/Fun70617/</v>
      </c>
      <c r="N964" s="71">
        <v>19999</v>
      </c>
      <c r="O964" s="66" t="s">
        <v>27</v>
      </c>
      <c r="P964" s="82" t="s">
        <v>4634</v>
      </c>
      <c r="Q964" s="84" t="s">
        <v>1545</v>
      </c>
      <c r="R964" s="84" t="s">
        <v>1068</v>
      </c>
      <c r="S964" s="84">
        <v>0.435</v>
      </c>
      <c r="T964" s="82" t="s">
        <v>4635</v>
      </c>
      <c r="U964" s="84" t="s">
        <v>3584</v>
      </c>
      <c r="V964" s="54"/>
    </row>
    <row r="965" spans="1:22" s="11" customFormat="1" ht="45" customHeight="1" x14ac:dyDescent="0.2">
      <c r="A965" s="66" t="s">
        <v>3577</v>
      </c>
      <c r="B965" s="66" t="s">
        <v>1707</v>
      </c>
      <c r="C965" s="66" t="s">
        <v>3578</v>
      </c>
      <c r="D965" s="66">
        <v>70618</v>
      </c>
      <c r="E965" s="68" t="s">
        <v>4636</v>
      </c>
      <c r="F965" s="66" t="s">
        <v>4637</v>
      </c>
      <c r="G965" s="71">
        <v>13000</v>
      </c>
      <c r="H965" s="73"/>
      <c r="I965" s="75">
        <v>0.1</v>
      </c>
      <c r="J965" s="77"/>
      <c r="K965" s="66"/>
      <c r="L965" s="66"/>
      <c r="M965" s="79" t="str">
        <f>HYPERLINK("http://www.pristavka.com/catalog/funko/Fun70618/")</f>
        <v>http://www.pristavka.com/catalog/funko/Fun70618/</v>
      </c>
      <c r="N965" s="71">
        <v>19999</v>
      </c>
      <c r="O965" s="66" t="s">
        <v>27</v>
      </c>
      <c r="P965" s="82" t="s">
        <v>4638</v>
      </c>
      <c r="Q965" s="84" t="s">
        <v>1545</v>
      </c>
      <c r="R965" s="84" t="s">
        <v>1068</v>
      </c>
      <c r="S965" s="84">
        <v>0.47499999999999998</v>
      </c>
      <c r="T965" s="82" t="s">
        <v>4635</v>
      </c>
      <c r="U965" s="84" t="s">
        <v>3584</v>
      </c>
      <c r="V965" s="54"/>
    </row>
    <row r="966" spans="1:22" s="11" customFormat="1" ht="45" customHeight="1" x14ac:dyDescent="0.2">
      <c r="A966" s="66" t="s">
        <v>3577</v>
      </c>
      <c r="B966" s="66" t="s">
        <v>1707</v>
      </c>
      <c r="C966" s="66" t="s">
        <v>3578</v>
      </c>
      <c r="D966" s="66">
        <v>70611</v>
      </c>
      <c r="E966" s="68" t="s">
        <v>4639</v>
      </c>
      <c r="F966" s="66" t="s">
        <v>4640</v>
      </c>
      <c r="G966" s="71">
        <v>6500</v>
      </c>
      <c r="H966" s="73"/>
      <c r="I966" s="75">
        <v>0.1</v>
      </c>
      <c r="J966" s="77"/>
      <c r="K966" s="66"/>
      <c r="L966" s="66"/>
      <c r="M966" s="79" t="str">
        <f>HYPERLINK("http://www.pristavka.com/catalog/funko/Fun70611/")</f>
        <v>http://www.pristavka.com/catalog/funko/Fun70611/</v>
      </c>
      <c r="N966" s="71">
        <v>9999</v>
      </c>
      <c r="O966" s="66" t="s">
        <v>28</v>
      </c>
      <c r="P966" s="82" t="s">
        <v>4641</v>
      </c>
      <c r="Q966" s="84" t="s">
        <v>1545</v>
      </c>
      <c r="R966" s="84" t="s">
        <v>1068</v>
      </c>
      <c r="S966" s="84">
        <v>0.17</v>
      </c>
      <c r="T966" s="82" t="s">
        <v>4084</v>
      </c>
      <c r="U966" s="84" t="s">
        <v>3584</v>
      </c>
      <c r="V966" s="54"/>
    </row>
    <row r="967" spans="1:22" s="11" customFormat="1" ht="45" customHeight="1" x14ac:dyDescent="0.2">
      <c r="A967" s="66" t="s">
        <v>3577</v>
      </c>
      <c r="B967" s="66" t="s">
        <v>1707</v>
      </c>
      <c r="C967" s="66" t="s">
        <v>3578</v>
      </c>
      <c r="D967" s="66">
        <v>58600</v>
      </c>
      <c r="E967" s="68" t="s">
        <v>4642</v>
      </c>
      <c r="F967" s="66" t="s">
        <v>4643</v>
      </c>
      <c r="G967" s="71">
        <v>6500</v>
      </c>
      <c r="H967" s="73"/>
      <c r="I967" s="75">
        <v>0.1</v>
      </c>
      <c r="J967" s="77"/>
      <c r="K967" s="66"/>
      <c r="L967" s="66"/>
      <c r="M967" s="79" t="str">
        <f>HYPERLINK("http://www.pristavka.com/catalog/funko/Fun58600/")</f>
        <v>http://www.pristavka.com/catalog/funko/Fun58600/</v>
      </c>
      <c r="N967" s="71">
        <v>9999</v>
      </c>
      <c r="O967" s="66" t="s">
        <v>27</v>
      </c>
      <c r="P967" s="82" t="s">
        <v>4644</v>
      </c>
      <c r="Q967" s="84" t="s">
        <v>1545</v>
      </c>
      <c r="R967" s="84" t="s">
        <v>1068</v>
      </c>
      <c r="S967" s="84">
        <v>0.183</v>
      </c>
      <c r="T967" s="82" t="s">
        <v>4113</v>
      </c>
      <c r="U967" s="84" t="s">
        <v>3584</v>
      </c>
      <c r="V967" s="54"/>
    </row>
    <row r="968" spans="1:22" s="11" customFormat="1" ht="45" customHeight="1" x14ac:dyDescent="0.2">
      <c r="A968" s="66" t="s">
        <v>3577</v>
      </c>
      <c r="B968" s="66" t="s">
        <v>1707</v>
      </c>
      <c r="C968" s="66" t="s">
        <v>3578</v>
      </c>
      <c r="D968" s="66">
        <v>80395</v>
      </c>
      <c r="E968" s="68" t="s">
        <v>4645</v>
      </c>
      <c r="F968" s="66" t="s">
        <v>4646</v>
      </c>
      <c r="G968" s="71">
        <v>6500</v>
      </c>
      <c r="H968" s="73"/>
      <c r="I968" s="75">
        <v>0.1</v>
      </c>
      <c r="J968" s="77"/>
      <c r="K968" s="66"/>
      <c r="L968" s="66"/>
      <c r="M968" s="79" t="str">
        <f>HYPERLINK("http://www.pristavka.com/catalog/funko/Fun80395/")</f>
        <v>http://www.pristavka.com/catalog/funko/Fun80395/</v>
      </c>
      <c r="N968" s="71">
        <v>9999</v>
      </c>
      <c r="O968" s="66" t="s">
        <v>27</v>
      </c>
      <c r="P968" s="82" t="s">
        <v>4647</v>
      </c>
      <c r="Q968" s="84" t="s">
        <v>1545</v>
      </c>
      <c r="R968" s="84" t="s">
        <v>1068</v>
      </c>
      <c r="S968" s="84">
        <v>0.17499999999999999</v>
      </c>
      <c r="T968" s="82" t="s">
        <v>4113</v>
      </c>
      <c r="U968" s="84" t="s">
        <v>3584</v>
      </c>
      <c r="V968" s="54"/>
    </row>
    <row r="969" spans="1:22" s="11" customFormat="1" ht="45" customHeight="1" x14ac:dyDescent="0.2">
      <c r="A969" s="66" t="s">
        <v>3577</v>
      </c>
      <c r="B969" s="66" t="s">
        <v>1707</v>
      </c>
      <c r="C969" s="66" t="s">
        <v>3578</v>
      </c>
      <c r="D969" s="66">
        <v>75558</v>
      </c>
      <c r="E969" s="68" t="s">
        <v>4648</v>
      </c>
      <c r="F969" s="66" t="s">
        <v>4649</v>
      </c>
      <c r="G969" s="71">
        <v>6500</v>
      </c>
      <c r="H969" s="73"/>
      <c r="I969" s="75">
        <v>0.1</v>
      </c>
      <c r="J969" s="77"/>
      <c r="K969" s="66"/>
      <c r="L969" s="66"/>
      <c r="M969" s="79" t="str">
        <f>HYPERLINK("http://www.pristavka.com/catalog/funko/Fun75558/")</f>
        <v>http://www.pristavka.com/catalog/funko/Fun75558/</v>
      </c>
      <c r="N969" s="71">
        <v>9999</v>
      </c>
      <c r="O969" s="66" t="s">
        <v>28</v>
      </c>
      <c r="P969" s="82" t="s">
        <v>4650</v>
      </c>
      <c r="Q969" s="84" t="s">
        <v>1545</v>
      </c>
      <c r="R969" s="84" t="s">
        <v>1068</v>
      </c>
      <c r="S969" s="84">
        <v>0.17499999999999999</v>
      </c>
      <c r="T969" s="82" t="s">
        <v>4091</v>
      </c>
      <c r="U969" s="84" t="s">
        <v>3584</v>
      </c>
      <c r="V969" s="54"/>
    </row>
    <row r="970" spans="1:22" s="11" customFormat="1" ht="45" customHeight="1" x14ac:dyDescent="0.2">
      <c r="A970" s="66" t="s">
        <v>3577</v>
      </c>
      <c r="B970" s="66" t="s">
        <v>1707</v>
      </c>
      <c r="C970" s="66" t="s">
        <v>3578</v>
      </c>
      <c r="D970" s="66">
        <v>68853</v>
      </c>
      <c r="E970" s="68" t="s">
        <v>4651</v>
      </c>
      <c r="F970" s="66" t="s">
        <v>4652</v>
      </c>
      <c r="G970" s="71">
        <v>0</v>
      </c>
      <c r="H970" s="73"/>
      <c r="I970" s="75">
        <v>0.1</v>
      </c>
      <c r="J970" s="77"/>
      <c r="K970" s="66"/>
      <c r="L970" s="66"/>
      <c r="M970" s="79" t="str">
        <f>HYPERLINK("http://www.pristavka.com/catalog/funko/Fun68853/")</f>
        <v>http://www.pristavka.com/catalog/funko/Fun68853/</v>
      </c>
      <c r="N970" s="71"/>
      <c r="O970" s="66" t="s">
        <v>27</v>
      </c>
      <c r="P970" s="82" t="s">
        <v>4653</v>
      </c>
      <c r="Q970" s="84" t="s">
        <v>1545</v>
      </c>
      <c r="R970" s="84" t="s">
        <v>1068</v>
      </c>
      <c r="S970" s="84">
        <v>1.5149999999999999</v>
      </c>
      <c r="T970" s="82" t="s">
        <v>4654</v>
      </c>
      <c r="U970" s="84" t="s">
        <v>3584</v>
      </c>
      <c r="V970" s="54"/>
    </row>
    <row r="971" spans="1:22" s="11" customFormat="1" ht="45" customHeight="1" x14ac:dyDescent="0.2">
      <c r="A971" s="66" t="s">
        <v>3577</v>
      </c>
      <c r="B971" s="66" t="s">
        <v>1707</v>
      </c>
      <c r="C971" s="66" t="s">
        <v>3578</v>
      </c>
      <c r="D971" s="66">
        <v>80396</v>
      </c>
      <c r="E971" s="68" t="s">
        <v>4655</v>
      </c>
      <c r="F971" s="66" t="s">
        <v>4656</v>
      </c>
      <c r="G971" s="71">
        <v>6500</v>
      </c>
      <c r="H971" s="73"/>
      <c r="I971" s="75">
        <v>0.1</v>
      </c>
      <c r="J971" s="77"/>
      <c r="K971" s="66"/>
      <c r="L971" s="66"/>
      <c r="M971" s="79" t="str">
        <f>HYPERLINK("http://www.pristavka.com/catalog/funko/Fun80396/")</f>
        <v>http://www.pristavka.com/catalog/funko/Fun80396/</v>
      </c>
      <c r="N971" s="71">
        <v>9999</v>
      </c>
      <c r="O971" s="66" t="s">
        <v>27</v>
      </c>
      <c r="P971" s="82" t="s">
        <v>4657</v>
      </c>
      <c r="Q971" s="84" t="s">
        <v>1545</v>
      </c>
      <c r="R971" s="84" t="s">
        <v>1068</v>
      </c>
      <c r="S971" s="84">
        <v>0.152</v>
      </c>
      <c r="T971" s="82" t="s">
        <v>4113</v>
      </c>
      <c r="U971" s="84" t="s">
        <v>3584</v>
      </c>
      <c r="V971" s="54"/>
    </row>
    <row r="972" spans="1:22" s="11" customFormat="1" ht="45" customHeight="1" x14ac:dyDescent="0.2">
      <c r="A972" s="66" t="s">
        <v>3577</v>
      </c>
      <c r="B972" s="66" t="s">
        <v>1707</v>
      </c>
      <c r="C972" s="66" t="s">
        <v>3578</v>
      </c>
      <c r="D972" s="66">
        <v>67330</v>
      </c>
      <c r="E972" s="68" t="s">
        <v>4658</v>
      </c>
      <c r="F972" s="66" t="s">
        <v>4659</v>
      </c>
      <c r="G972" s="71">
        <v>6500</v>
      </c>
      <c r="H972" s="73"/>
      <c r="I972" s="75">
        <v>0.1</v>
      </c>
      <c r="J972" s="77"/>
      <c r="K972" s="66"/>
      <c r="L972" s="66"/>
      <c r="M972" s="79" t="str">
        <f>HYPERLINK("http://www.pristavka.com/catalog/funko/Fun67330/")</f>
        <v>http://www.pristavka.com/catalog/funko/Fun67330/</v>
      </c>
      <c r="N972" s="71">
        <v>9999</v>
      </c>
      <c r="O972" s="66" t="s">
        <v>27</v>
      </c>
      <c r="P972" s="82" t="s">
        <v>4660</v>
      </c>
      <c r="Q972" s="84" t="s">
        <v>1545</v>
      </c>
      <c r="R972" s="84" t="s">
        <v>1068</v>
      </c>
      <c r="S972" s="84">
        <v>0.17799999999999999</v>
      </c>
      <c r="T972" s="82" t="s">
        <v>4084</v>
      </c>
      <c r="U972" s="84" t="s">
        <v>3584</v>
      </c>
      <c r="V972" s="54"/>
    </row>
    <row r="973" spans="1:22" s="11" customFormat="1" ht="45" customHeight="1" x14ac:dyDescent="0.2">
      <c r="A973" s="66" t="s">
        <v>3577</v>
      </c>
      <c r="B973" s="66" t="s">
        <v>1707</v>
      </c>
      <c r="C973" s="66" t="s">
        <v>3578</v>
      </c>
      <c r="D973" s="66">
        <v>58040</v>
      </c>
      <c r="E973" s="68" t="s">
        <v>4661</v>
      </c>
      <c r="F973" s="66" t="s">
        <v>4662</v>
      </c>
      <c r="G973" s="71">
        <v>6500</v>
      </c>
      <c r="H973" s="73"/>
      <c r="I973" s="75">
        <v>0.1</v>
      </c>
      <c r="J973" s="77"/>
      <c r="K973" s="66"/>
      <c r="L973" s="66"/>
      <c r="M973" s="79" t="str">
        <f>HYPERLINK("http://www.pristavka.com/catalog/funko/Fun58040/")</f>
        <v>http://www.pristavka.com/catalog/funko/Fun58040/</v>
      </c>
      <c r="N973" s="71">
        <v>9999</v>
      </c>
      <c r="O973" s="66" t="s">
        <v>28</v>
      </c>
      <c r="P973" s="82" t="s">
        <v>4663</v>
      </c>
      <c r="Q973" s="84" t="s">
        <v>1545</v>
      </c>
      <c r="R973" s="84" t="s">
        <v>1068</v>
      </c>
      <c r="S973" s="84">
        <v>0.14000000000000001</v>
      </c>
      <c r="T973" s="82" t="s">
        <v>4113</v>
      </c>
      <c r="U973" s="84" t="s">
        <v>3584</v>
      </c>
      <c r="V973" s="54"/>
    </row>
    <row r="974" spans="1:22" s="11" customFormat="1" ht="45" customHeight="1" x14ac:dyDescent="0.2">
      <c r="A974" s="66" t="s">
        <v>3577</v>
      </c>
      <c r="B974" s="66" t="s">
        <v>1707</v>
      </c>
      <c r="C974" s="66" t="s">
        <v>3578</v>
      </c>
      <c r="D974" s="66">
        <v>75534</v>
      </c>
      <c r="E974" s="68" t="s">
        <v>4664</v>
      </c>
      <c r="F974" s="66" t="s">
        <v>4665</v>
      </c>
      <c r="G974" s="71">
        <v>6500</v>
      </c>
      <c r="H974" s="73"/>
      <c r="I974" s="75">
        <v>0.1</v>
      </c>
      <c r="J974" s="77"/>
      <c r="K974" s="66"/>
      <c r="L974" s="66"/>
      <c r="M974" s="79" t="str">
        <f>HYPERLINK("http://www.pristavka.com/catalog/funko/Fun75534/")</f>
        <v>http://www.pristavka.com/catalog/funko/Fun75534/</v>
      </c>
      <c r="N974" s="71">
        <v>9999</v>
      </c>
      <c r="O974" s="66" t="s">
        <v>27</v>
      </c>
      <c r="P974" s="82" t="s">
        <v>4666</v>
      </c>
      <c r="Q974" s="84" t="s">
        <v>1334</v>
      </c>
      <c r="R974" s="84" t="s">
        <v>1068</v>
      </c>
      <c r="S974" s="84">
        <v>0.189</v>
      </c>
      <c r="T974" s="82" t="s">
        <v>4084</v>
      </c>
      <c r="U974" s="84" t="s">
        <v>3584</v>
      </c>
      <c r="V974" s="54"/>
    </row>
    <row r="975" spans="1:22" s="11" customFormat="1" ht="45" customHeight="1" x14ac:dyDescent="0.2">
      <c r="A975" s="66" t="s">
        <v>3577</v>
      </c>
      <c r="B975" s="66" t="s">
        <v>1707</v>
      </c>
      <c r="C975" s="66" t="s">
        <v>3578</v>
      </c>
      <c r="D975" s="66">
        <v>63137</v>
      </c>
      <c r="E975" s="68" t="s">
        <v>4667</v>
      </c>
      <c r="F975" s="66" t="s">
        <v>4668</v>
      </c>
      <c r="G975" s="71">
        <v>16770</v>
      </c>
      <c r="H975" s="73"/>
      <c r="I975" s="75">
        <v>0.1</v>
      </c>
      <c r="J975" s="77"/>
      <c r="K975" s="66"/>
      <c r="L975" s="66"/>
      <c r="M975" s="79" t="str">
        <f>HYPERLINK("http://www.pristavka.com/catalog/funko/Fun63137/")</f>
        <v>http://www.pristavka.com/catalog/funko/Fun63137/</v>
      </c>
      <c r="N975" s="71">
        <v>25799</v>
      </c>
      <c r="O975" s="66" t="s">
        <v>28</v>
      </c>
      <c r="P975" s="82" t="s">
        <v>4669</v>
      </c>
      <c r="Q975" s="84" t="s">
        <v>1334</v>
      </c>
      <c r="R975" s="84" t="s">
        <v>1068</v>
      </c>
      <c r="S975" s="84">
        <v>0.35799999999999998</v>
      </c>
      <c r="T975" s="82" t="s">
        <v>4670</v>
      </c>
      <c r="U975" s="84" t="s">
        <v>3584</v>
      </c>
      <c r="V975" s="54"/>
    </row>
    <row r="976" spans="1:22" s="11" customFormat="1" ht="45" customHeight="1" x14ac:dyDescent="0.2">
      <c r="A976" s="66" t="s">
        <v>3577</v>
      </c>
      <c r="B976" s="66" t="s">
        <v>1707</v>
      </c>
      <c r="C976" s="66" t="s">
        <v>3578</v>
      </c>
      <c r="D976" s="66">
        <v>75529</v>
      </c>
      <c r="E976" s="68" t="s">
        <v>4671</v>
      </c>
      <c r="F976" s="66" t="s">
        <v>4672</v>
      </c>
      <c r="G976" s="71">
        <v>6500</v>
      </c>
      <c r="H976" s="73"/>
      <c r="I976" s="75">
        <v>0.1</v>
      </c>
      <c r="J976" s="77"/>
      <c r="K976" s="66"/>
      <c r="L976" s="66"/>
      <c r="M976" s="79" t="str">
        <f>HYPERLINK("http://www.pristavka.com/catalog/funko/Fun75529/")</f>
        <v>http://www.pristavka.com/catalog/funko/Fun75529/</v>
      </c>
      <c r="N976" s="71">
        <v>9999</v>
      </c>
      <c r="O976" s="66" t="s">
        <v>27</v>
      </c>
      <c r="P976" s="82" t="s">
        <v>4673</v>
      </c>
      <c r="Q976" s="84" t="s">
        <v>1334</v>
      </c>
      <c r="R976" s="84" t="s">
        <v>1068</v>
      </c>
      <c r="S976" s="84">
        <v>0.13800000000000001</v>
      </c>
      <c r="T976" s="82" t="s">
        <v>4084</v>
      </c>
      <c r="U976" s="84" t="s">
        <v>3584</v>
      </c>
      <c r="V976" s="54"/>
    </row>
    <row r="977" spans="1:22" s="11" customFormat="1" ht="45" customHeight="1" x14ac:dyDescent="0.2">
      <c r="A977" s="66" t="s">
        <v>3577</v>
      </c>
      <c r="B977" s="66" t="s">
        <v>1707</v>
      </c>
      <c r="C977" s="66" t="s">
        <v>3578</v>
      </c>
      <c r="D977" s="66">
        <v>77158</v>
      </c>
      <c r="E977" s="68" t="s">
        <v>4674</v>
      </c>
      <c r="F977" s="66" t="s">
        <v>4675</v>
      </c>
      <c r="G977" s="71">
        <v>6890</v>
      </c>
      <c r="H977" s="73"/>
      <c r="I977" s="75">
        <v>0.1</v>
      </c>
      <c r="J977" s="77"/>
      <c r="K977" s="66"/>
      <c r="L977" s="66"/>
      <c r="M977" s="79" t="str">
        <f>HYPERLINK("http://www.pristavka.com/catalog/funko/Fun77158/")</f>
        <v>http://www.pristavka.com/catalog/funko/Fun77158/</v>
      </c>
      <c r="N977" s="71">
        <v>10599</v>
      </c>
      <c r="O977" s="66" t="s">
        <v>27</v>
      </c>
      <c r="P977" s="82" t="s">
        <v>4676</v>
      </c>
      <c r="Q977" s="84" t="s">
        <v>1334</v>
      </c>
      <c r="R977" s="84" t="s">
        <v>1068</v>
      </c>
      <c r="S977" s="84">
        <v>0.13500000000000001</v>
      </c>
      <c r="T977" s="82" t="s">
        <v>4091</v>
      </c>
      <c r="U977" s="84" t="s">
        <v>3584</v>
      </c>
      <c r="V977" s="54"/>
    </row>
    <row r="978" spans="1:22" s="11" customFormat="1" ht="45" customHeight="1" x14ac:dyDescent="0.2">
      <c r="A978" s="66" t="s">
        <v>3577</v>
      </c>
      <c r="B978" s="66" t="s">
        <v>1707</v>
      </c>
      <c r="C978" s="66" t="s">
        <v>3578</v>
      </c>
      <c r="D978" s="66">
        <v>83802</v>
      </c>
      <c r="E978" s="68" t="s">
        <v>4677</v>
      </c>
      <c r="F978" s="66" t="s">
        <v>4678</v>
      </c>
      <c r="G978" s="71">
        <v>6500</v>
      </c>
      <c r="H978" s="73"/>
      <c r="I978" s="75">
        <v>0.1</v>
      </c>
      <c r="J978" s="77"/>
      <c r="K978" s="66"/>
      <c r="L978" s="66"/>
      <c r="M978" s="79" t="str">
        <f>HYPERLINK("http://www.pristavka.com/catalog/funko/Fun83802/")</f>
        <v>http://www.pristavka.com/catalog/funko/Fun83802/</v>
      </c>
      <c r="N978" s="71">
        <v>9999</v>
      </c>
      <c r="O978" s="66" t="s">
        <v>27</v>
      </c>
      <c r="P978" s="82" t="s">
        <v>4679</v>
      </c>
      <c r="Q978" s="84" t="s">
        <v>1334</v>
      </c>
      <c r="R978" s="84" t="s">
        <v>1068</v>
      </c>
      <c r="S978" s="84">
        <v>0.19</v>
      </c>
      <c r="T978" s="82" t="s">
        <v>4113</v>
      </c>
      <c r="U978" s="84" t="s">
        <v>3584</v>
      </c>
      <c r="V978" s="54"/>
    </row>
    <row r="979" spans="1:22" s="11" customFormat="1" ht="45" customHeight="1" x14ac:dyDescent="0.2">
      <c r="A979" s="66" t="s">
        <v>3577</v>
      </c>
      <c r="B979" s="66" t="s">
        <v>1707</v>
      </c>
      <c r="C979" s="66" t="s">
        <v>3578</v>
      </c>
      <c r="D979" s="66">
        <v>75528</v>
      </c>
      <c r="E979" s="68" t="s">
        <v>4680</v>
      </c>
      <c r="F979" s="66" t="s">
        <v>4681</v>
      </c>
      <c r="G979" s="71">
        <v>6500</v>
      </c>
      <c r="H979" s="73"/>
      <c r="I979" s="75">
        <v>0.1</v>
      </c>
      <c r="J979" s="77"/>
      <c r="K979" s="66"/>
      <c r="L979" s="66"/>
      <c r="M979" s="79" t="str">
        <f>HYPERLINK("http://www.pristavka.com/catalog/funko/Fun75528/")</f>
        <v>http://www.pristavka.com/catalog/funko/Fun75528/</v>
      </c>
      <c r="N979" s="71">
        <v>9999</v>
      </c>
      <c r="O979" s="66" t="s">
        <v>27</v>
      </c>
      <c r="P979" s="82" t="s">
        <v>4682</v>
      </c>
      <c r="Q979" s="84" t="s">
        <v>1334</v>
      </c>
      <c r="R979" s="84" t="s">
        <v>1068</v>
      </c>
      <c r="S979" s="84">
        <v>0.155</v>
      </c>
      <c r="T979" s="82" t="s">
        <v>4113</v>
      </c>
      <c r="U979" s="84" t="s">
        <v>3584</v>
      </c>
      <c r="V979" s="54"/>
    </row>
    <row r="980" spans="1:22" s="11" customFormat="1" ht="45" customHeight="1" x14ac:dyDescent="0.2">
      <c r="A980" s="66" t="s">
        <v>3577</v>
      </c>
      <c r="B980" s="66" t="s">
        <v>1707</v>
      </c>
      <c r="C980" s="66" t="s">
        <v>3578</v>
      </c>
      <c r="D980" s="66">
        <v>80250</v>
      </c>
      <c r="E980" s="68" t="s">
        <v>4683</v>
      </c>
      <c r="F980" s="66" t="s">
        <v>4684</v>
      </c>
      <c r="G980" s="71">
        <v>6500</v>
      </c>
      <c r="H980" s="73"/>
      <c r="I980" s="75">
        <v>0.1</v>
      </c>
      <c r="J980" s="77"/>
      <c r="K980" s="66"/>
      <c r="L980" s="66"/>
      <c r="M980" s="79" t="str">
        <f>HYPERLINK("http://www.pristavka.com/catalog/funko/Fun80250/")</f>
        <v>http://www.pristavka.com/catalog/funko/Fun80250/</v>
      </c>
      <c r="N980" s="71">
        <v>9999</v>
      </c>
      <c r="O980" s="66" t="s">
        <v>27</v>
      </c>
      <c r="P980" s="82" t="s">
        <v>4685</v>
      </c>
      <c r="Q980" s="84" t="s">
        <v>1334</v>
      </c>
      <c r="R980" s="84" t="s">
        <v>1068</v>
      </c>
      <c r="S980" s="84">
        <v>0.16800000000000001</v>
      </c>
      <c r="T980" s="82" t="s">
        <v>4084</v>
      </c>
      <c r="U980" s="84" t="s">
        <v>3584</v>
      </c>
      <c r="V980" s="54"/>
    </row>
    <row r="981" spans="1:22" s="11" customFormat="1" ht="45" customHeight="1" x14ac:dyDescent="0.2">
      <c r="A981" s="66" t="s">
        <v>3577</v>
      </c>
      <c r="B981" s="66" t="s">
        <v>1707</v>
      </c>
      <c r="C981" s="66" t="s">
        <v>3578</v>
      </c>
      <c r="D981" s="66">
        <v>58010</v>
      </c>
      <c r="E981" s="68" t="s">
        <v>4686</v>
      </c>
      <c r="F981" s="66" t="s">
        <v>4687</v>
      </c>
      <c r="G981" s="71">
        <v>6500</v>
      </c>
      <c r="H981" s="73"/>
      <c r="I981" s="75">
        <v>0.1</v>
      </c>
      <c r="J981" s="77"/>
      <c r="K981" s="66"/>
      <c r="L981" s="66"/>
      <c r="M981" s="79" t="str">
        <f>HYPERLINK("http://www.pristavka.com/catalog/funko/Fun58010/")</f>
        <v>http://www.pristavka.com/catalog/funko/Fun58010/</v>
      </c>
      <c r="N981" s="71">
        <v>9999</v>
      </c>
      <c r="O981" s="66" t="s">
        <v>27</v>
      </c>
      <c r="P981" s="82" t="s">
        <v>4688</v>
      </c>
      <c r="Q981" s="84" t="s">
        <v>1334</v>
      </c>
      <c r="R981" s="84" t="s">
        <v>1068</v>
      </c>
      <c r="S981" s="84">
        <v>0.14899999999999999</v>
      </c>
      <c r="T981" s="82" t="s">
        <v>4091</v>
      </c>
      <c r="U981" s="84" t="s">
        <v>3584</v>
      </c>
      <c r="V981" s="54"/>
    </row>
    <row r="982" spans="1:22" s="11" customFormat="1" ht="45" customHeight="1" x14ac:dyDescent="0.2">
      <c r="A982" s="66" t="s">
        <v>3577</v>
      </c>
      <c r="B982" s="66" t="s">
        <v>1707</v>
      </c>
      <c r="C982" s="66" t="s">
        <v>3578</v>
      </c>
      <c r="D982" s="66">
        <v>76858</v>
      </c>
      <c r="E982" s="68" t="s">
        <v>4689</v>
      </c>
      <c r="F982" s="66" t="s">
        <v>4690</v>
      </c>
      <c r="G982" s="71">
        <v>0</v>
      </c>
      <c r="H982" s="73"/>
      <c r="I982" s="75">
        <v>0.1</v>
      </c>
      <c r="J982" s="77"/>
      <c r="K982" s="66"/>
      <c r="L982" s="66"/>
      <c r="M982" s="79" t="str">
        <f>HYPERLINK("http://www.pristavka.com/catalog/funko/Fun76858/")</f>
        <v>http://www.pristavka.com/catalog/funko/Fun76858/</v>
      </c>
      <c r="N982" s="71"/>
      <c r="O982" s="66" t="s">
        <v>28</v>
      </c>
      <c r="P982" s="82" t="s">
        <v>4691</v>
      </c>
      <c r="Q982" s="84" t="s">
        <v>1334</v>
      </c>
      <c r="R982" s="84" t="s">
        <v>1068</v>
      </c>
      <c r="S982" s="84">
        <v>0.17399999999999999</v>
      </c>
      <c r="T982" s="82" t="s">
        <v>4084</v>
      </c>
      <c r="U982" s="84" t="s">
        <v>3584</v>
      </c>
      <c r="V982" s="54"/>
    </row>
    <row r="983" spans="1:22" s="11" customFormat="1" ht="45" customHeight="1" x14ac:dyDescent="0.2">
      <c r="A983" s="66" t="s">
        <v>3577</v>
      </c>
      <c r="B983" s="66" t="s">
        <v>1707</v>
      </c>
      <c r="C983" s="66" t="s">
        <v>3578</v>
      </c>
      <c r="D983" s="66">
        <v>58007</v>
      </c>
      <c r="E983" s="68" t="s">
        <v>4692</v>
      </c>
      <c r="F983" s="66" t="s">
        <v>4693</v>
      </c>
      <c r="G983" s="71">
        <v>6500</v>
      </c>
      <c r="H983" s="73"/>
      <c r="I983" s="75">
        <v>0.1</v>
      </c>
      <c r="J983" s="77"/>
      <c r="K983" s="66"/>
      <c r="L983" s="66"/>
      <c r="M983" s="79" t="str">
        <f>HYPERLINK("http://www.pristavka.com/catalog/funko/Fun58007/")</f>
        <v>http://www.pristavka.com/catalog/funko/Fun58007/</v>
      </c>
      <c r="N983" s="71">
        <v>9999</v>
      </c>
      <c r="O983" s="66" t="s">
        <v>27</v>
      </c>
      <c r="P983" s="82" t="s">
        <v>4694</v>
      </c>
      <c r="Q983" s="84" t="s">
        <v>1334</v>
      </c>
      <c r="R983" s="84" t="s">
        <v>1068</v>
      </c>
      <c r="S983" s="84">
        <v>0.14000000000000001</v>
      </c>
      <c r="T983" s="82" t="s">
        <v>4558</v>
      </c>
      <c r="U983" s="84" t="s">
        <v>3584</v>
      </c>
      <c r="V983" s="54"/>
    </row>
    <row r="984" spans="1:22" s="11" customFormat="1" ht="45" customHeight="1" x14ac:dyDescent="0.2">
      <c r="A984" s="66" t="s">
        <v>3577</v>
      </c>
      <c r="B984" s="66" t="s">
        <v>1707</v>
      </c>
      <c r="C984" s="66" t="s">
        <v>3578</v>
      </c>
      <c r="D984" s="66">
        <v>83804</v>
      </c>
      <c r="E984" s="68" t="s">
        <v>4695</v>
      </c>
      <c r="F984" s="66" t="s">
        <v>4696</v>
      </c>
      <c r="G984" s="71">
        <v>6500</v>
      </c>
      <c r="H984" s="73"/>
      <c r="I984" s="75">
        <v>0.1</v>
      </c>
      <c r="J984" s="77"/>
      <c r="K984" s="66"/>
      <c r="L984" s="66"/>
      <c r="M984" s="79" t="str">
        <f>HYPERLINK("http://www.pristavka.com/catalog/funko/Fun83804/")</f>
        <v>http://www.pristavka.com/catalog/funko/Fun83804/</v>
      </c>
      <c r="N984" s="71">
        <v>9999</v>
      </c>
      <c r="O984" s="66" t="s">
        <v>27</v>
      </c>
      <c r="P984" s="82" t="s">
        <v>4697</v>
      </c>
      <c r="Q984" s="84" t="s">
        <v>1334</v>
      </c>
      <c r="R984" s="84" t="s">
        <v>1068</v>
      </c>
      <c r="S984" s="84">
        <v>0.185</v>
      </c>
      <c r="T984" s="82" t="s">
        <v>4113</v>
      </c>
      <c r="U984" s="84" t="s">
        <v>3584</v>
      </c>
      <c r="V984" s="54"/>
    </row>
    <row r="985" spans="1:22" s="11" customFormat="1" ht="45" customHeight="1" x14ac:dyDescent="0.2">
      <c r="A985" s="66" t="s">
        <v>3577</v>
      </c>
      <c r="B985" s="66" t="s">
        <v>1707</v>
      </c>
      <c r="C985" s="66" t="s">
        <v>3578</v>
      </c>
      <c r="D985" s="66">
        <v>71633</v>
      </c>
      <c r="E985" s="68" t="s">
        <v>4698</v>
      </c>
      <c r="F985" s="66" t="s">
        <v>4699</v>
      </c>
      <c r="G985" s="71">
        <v>6890</v>
      </c>
      <c r="H985" s="73"/>
      <c r="I985" s="75">
        <v>0.1</v>
      </c>
      <c r="J985" s="77"/>
      <c r="K985" s="66"/>
      <c r="L985" s="66"/>
      <c r="M985" s="79" t="str">
        <f>HYPERLINK("http://www.pristavka.com/catalog/funko/Fun71633/")</f>
        <v>http://www.pristavka.com/catalog/funko/Fun71633/</v>
      </c>
      <c r="N985" s="71">
        <v>10599</v>
      </c>
      <c r="O985" s="66" t="s">
        <v>27</v>
      </c>
      <c r="P985" s="82" t="s">
        <v>4700</v>
      </c>
      <c r="Q985" s="84" t="s">
        <v>1334</v>
      </c>
      <c r="R985" s="84" t="s">
        <v>1068</v>
      </c>
      <c r="S985" s="84">
        <v>0.16500000000000001</v>
      </c>
      <c r="T985" s="82" t="s">
        <v>4084</v>
      </c>
      <c r="U985" s="84" t="s">
        <v>3584</v>
      </c>
      <c r="V985" s="54"/>
    </row>
    <row r="986" spans="1:22" s="11" customFormat="1" ht="45" customHeight="1" x14ac:dyDescent="0.2">
      <c r="A986" s="66" t="s">
        <v>3577</v>
      </c>
      <c r="B986" s="66" t="s">
        <v>1707</v>
      </c>
      <c r="C986" s="66" t="s">
        <v>3578</v>
      </c>
      <c r="D986" s="66">
        <v>68270</v>
      </c>
      <c r="E986" s="68" t="s">
        <v>4701</v>
      </c>
      <c r="F986" s="66" t="s">
        <v>4702</v>
      </c>
      <c r="G986" s="71">
        <v>6890</v>
      </c>
      <c r="H986" s="73"/>
      <c r="I986" s="75">
        <v>0.1</v>
      </c>
      <c r="J986" s="77"/>
      <c r="K986" s="66"/>
      <c r="L986" s="66"/>
      <c r="M986" s="79" t="str">
        <f>HYPERLINK("http://www.pristavka.com/catalog/funko/Fun68270/")</f>
        <v>http://www.pristavka.com/catalog/funko/Fun68270/</v>
      </c>
      <c r="N986" s="71">
        <v>10599</v>
      </c>
      <c r="O986" s="66" t="s">
        <v>28</v>
      </c>
      <c r="P986" s="82" t="s">
        <v>4703</v>
      </c>
      <c r="Q986" s="84" t="s">
        <v>1334</v>
      </c>
      <c r="R986" s="84" t="s">
        <v>1068</v>
      </c>
      <c r="S986" s="84">
        <v>0.16200000000000001</v>
      </c>
      <c r="T986" s="82" t="s">
        <v>4084</v>
      </c>
      <c r="U986" s="84" t="s">
        <v>3584</v>
      </c>
      <c r="V986" s="54"/>
    </row>
    <row r="987" spans="1:22" s="11" customFormat="1" ht="45" customHeight="1" x14ac:dyDescent="0.2">
      <c r="A987" s="66" t="s">
        <v>3577</v>
      </c>
      <c r="B987" s="66" t="s">
        <v>1707</v>
      </c>
      <c r="C987" s="66" t="s">
        <v>3578</v>
      </c>
      <c r="D987" s="66">
        <v>80251</v>
      </c>
      <c r="E987" s="68" t="s">
        <v>4704</v>
      </c>
      <c r="F987" s="66" t="s">
        <v>4705</v>
      </c>
      <c r="G987" s="71">
        <v>6500</v>
      </c>
      <c r="H987" s="73"/>
      <c r="I987" s="75">
        <v>0.1</v>
      </c>
      <c r="J987" s="77"/>
      <c r="K987" s="66"/>
      <c r="L987" s="66"/>
      <c r="M987" s="79" t="str">
        <f>HYPERLINK("http://www.pristavka.com/catalog/funko/Fun80251/")</f>
        <v>http://www.pristavka.com/catalog/funko/Fun80251/</v>
      </c>
      <c r="N987" s="71">
        <v>9999</v>
      </c>
      <c r="O987" s="66" t="s">
        <v>27</v>
      </c>
      <c r="P987" s="82" t="s">
        <v>4706</v>
      </c>
      <c r="Q987" s="84" t="s">
        <v>1334</v>
      </c>
      <c r="R987" s="84" t="s">
        <v>1068</v>
      </c>
      <c r="S987" s="84">
        <v>0.18</v>
      </c>
      <c r="T987" s="82" t="s">
        <v>4084</v>
      </c>
      <c r="U987" s="84" t="s">
        <v>3584</v>
      </c>
      <c r="V987" s="54"/>
    </row>
    <row r="988" spans="1:22" s="11" customFormat="1" ht="45" customHeight="1" x14ac:dyDescent="0.2">
      <c r="A988" s="66" t="s">
        <v>3577</v>
      </c>
      <c r="B988" s="66" t="s">
        <v>1707</v>
      </c>
      <c r="C988" s="66" t="s">
        <v>3578</v>
      </c>
      <c r="D988" s="66">
        <v>80252</v>
      </c>
      <c r="E988" s="68" t="s">
        <v>4707</v>
      </c>
      <c r="F988" s="66" t="s">
        <v>4708</v>
      </c>
      <c r="G988" s="71">
        <v>6500</v>
      </c>
      <c r="H988" s="73"/>
      <c r="I988" s="75">
        <v>0.1</v>
      </c>
      <c r="J988" s="77"/>
      <c r="K988" s="66"/>
      <c r="L988" s="66"/>
      <c r="M988" s="79" t="str">
        <f>HYPERLINK("http://www.pristavka.com/catalog/funko/Fun80252/")</f>
        <v>http://www.pristavka.com/catalog/funko/Fun80252/</v>
      </c>
      <c r="N988" s="71">
        <v>9999</v>
      </c>
      <c r="O988" s="66" t="s">
        <v>27</v>
      </c>
      <c r="P988" s="82" t="s">
        <v>4709</v>
      </c>
      <c r="Q988" s="84" t="s">
        <v>1334</v>
      </c>
      <c r="R988" s="84" t="s">
        <v>1068</v>
      </c>
      <c r="S988" s="84">
        <v>0.125</v>
      </c>
      <c r="T988" s="82" t="s">
        <v>4084</v>
      </c>
      <c r="U988" s="84" t="s">
        <v>3584</v>
      </c>
      <c r="V988" s="54"/>
    </row>
    <row r="989" spans="1:22" s="11" customFormat="1" ht="45" customHeight="1" x14ac:dyDescent="0.2">
      <c r="A989" s="66" t="s">
        <v>3577</v>
      </c>
      <c r="B989" s="66" t="s">
        <v>1707</v>
      </c>
      <c r="C989" s="66" t="s">
        <v>3578</v>
      </c>
      <c r="D989" s="66">
        <v>75532</v>
      </c>
      <c r="E989" s="68" t="s">
        <v>4710</v>
      </c>
      <c r="F989" s="66" t="s">
        <v>4711</v>
      </c>
      <c r="G989" s="71">
        <v>6500</v>
      </c>
      <c r="H989" s="73"/>
      <c r="I989" s="75">
        <v>0.1</v>
      </c>
      <c r="J989" s="77"/>
      <c r="K989" s="66"/>
      <c r="L989" s="66"/>
      <c r="M989" s="79" t="str">
        <f>HYPERLINK("http://www.pristavka.com/catalog/funko/Fun75532/")</f>
        <v>http://www.pristavka.com/catalog/funko/Fun75532/</v>
      </c>
      <c r="N989" s="71">
        <v>9999</v>
      </c>
      <c r="O989" s="66" t="s">
        <v>27</v>
      </c>
      <c r="P989" s="82" t="s">
        <v>4712</v>
      </c>
      <c r="Q989" s="84" t="s">
        <v>1334</v>
      </c>
      <c r="R989" s="84" t="s">
        <v>1068</v>
      </c>
      <c r="S989" s="84">
        <v>0.17</v>
      </c>
      <c r="T989" s="82" t="s">
        <v>4091</v>
      </c>
      <c r="U989" s="84" t="s">
        <v>3584</v>
      </c>
      <c r="V989" s="54"/>
    </row>
    <row r="990" spans="1:22" s="11" customFormat="1" ht="45" customHeight="1" x14ac:dyDescent="0.2">
      <c r="A990" s="66" t="s">
        <v>3577</v>
      </c>
      <c r="B990" s="66" t="s">
        <v>1707</v>
      </c>
      <c r="C990" s="66" t="s">
        <v>3578</v>
      </c>
      <c r="D990" s="66">
        <v>35525</v>
      </c>
      <c r="E990" s="68" t="s">
        <v>4713</v>
      </c>
      <c r="F990" s="66" t="s">
        <v>4714</v>
      </c>
      <c r="G990" s="71">
        <v>6890</v>
      </c>
      <c r="H990" s="73"/>
      <c r="I990" s="75">
        <v>0.1</v>
      </c>
      <c r="J990" s="77"/>
      <c r="K990" s="66"/>
      <c r="L990" s="66"/>
      <c r="M990" s="79" t="str">
        <f>HYPERLINK("http://www.pristavka.com/catalog/funko/Fun25492098/")</f>
        <v>http://www.pristavka.com/catalog/funko/Fun25492098/</v>
      </c>
      <c r="N990" s="71">
        <v>10599</v>
      </c>
      <c r="O990" s="66" t="s">
        <v>27</v>
      </c>
      <c r="P990" s="82" t="s">
        <v>4715</v>
      </c>
      <c r="Q990" s="84" t="s">
        <v>1334</v>
      </c>
      <c r="R990" s="84" t="s">
        <v>1068</v>
      </c>
      <c r="S990" s="84">
        <v>0.127</v>
      </c>
      <c r="T990" s="82" t="s">
        <v>4558</v>
      </c>
      <c r="U990" s="84" t="s">
        <v>3584</v>
      </c>
      <c r="V990" s="54"/>
    </row>
    <row r="991" spans="1:22" s="11" customFormat="1" ht="45" customHeight="1" x14ac:dyDescent="0.2">
      <c r="A991" s="66" t="s">
        <v>3577</v>
      </c>
      <c r="B991" s="66" t="s">
        <v>1707</v>
      </c>
      <c r="C991" s="66" t="s">
        <v>3578</v>
      </c>
      <c r="D991" s="66">
        <v>82166</v>
      </c>
      <c r="E991" s="68" t="s">
        <v>4716</v>
      </c>
      <c r="F991" s="66" t="s">
        <v>4717</v>
      </c>
      <c r="G991" s="71">
        <v>6890</v>
      </c>
      <c r="H991" s="73"/>
      <c r="I991" s="75">
        <v>0.1</v>
      </c>
      <c r="J991" s="77"/>
      <c r="K991" s="66"/>
      <c r="L991" s="66"/>
      <c r="M991" s="79" t="str">
        <f>HYPERLINK("http://www.pristavka.com/catalog/funko/Fun82166/")</f>
        <v>http://www.pristavka.com/catalog/funko/Fun82166/</v>
      </c>
      <c r="N991" s="71">
        <v>10599</v>
      </c>
      <c r="O991" s="66" t="s">
        <v>28</v>
      </c>
      <c r="P991" s="82" t="s">
        <v>4718</v>
      </c>
      <c r="Q991" s="84" t="s">
        <v>1334</v>
      </c>
      <c r="R991" s="84" t="s">
        <v>1068</v>
      </c>
      <c r="S991" s="84">
        <v>0.28499999999999998</v>
      </c>
      <c r="T991" s="82" t="s">
        <v>4084</v>
      </c>
      <c r="U991" s="84" t="s">
        <v>3584</v>
      </c>
      <c r="V991" s="54"/>
    </row>
    <row r="992" spans="1:22" s="11" customFormat="1" ht="45" customHeight="1" x14ac:dyDescent="0.2">
      <c r="A992" s="66" t="s">
        <v>3577</v>
      </c>
      <c r="B992" s="66" t="s">
        <v>1707</v>
      </c>
      <c r="C992" s="66" t="s">
        <v>3578</v>
      </c>
      <c r="D992" s="66">
        <v>75530</v>
      </c>
      <c r="E992" s="68" t="s">
        <v>4719</v>
      </c>
      <c r="F992" s="66" t="s">
        <v>4720</v>
      </c>
      <c r="G992" s="71">
        <v>6500</v>
      </c>
      <c r="H992" s="73"/>
      <c r="I992" s="75">
        <v>0.1</v>
      </c>
      <c r="J992" s="77"/>
      <c r="K992" s="66"/>
      <c r="L992" s="66"/>
      <c r="M992" s="79" t="str">
        <f>HYPERLINK("http://www.pristavka.com/catalog/funko/Fun75530/")</f>
        <v>http://www.pristavka.com/catalog/funko/Fun75530/</v>
      </c>
      <c r="N992" s="71">
        <v>9999</v>
      </c>
      <c r="O992" s="66" t="s">
        <v>27</v>
      </c>
      <c r="P992" s="82" t="s">
        <v>4721</v>
      </c>
      <c r="Q992" s="84" t="s">
        <v>1334</v>
      </c>
      <c r="R992" s="84" t="s">
        <v>1068</v>
      </c>
      <c r="S992" s="84">
        <v>0.17199999999999999</v>
      </c>
      <c r="T992" s="82" t="s">
        <v>4084</v>
      </c>
      <c r="U992" s="84" t="s">
        <v>3584</v>
      </c>
      <c r="V992" s="54"/>
    </row>
    <row r="993" spans="1:22" s="11" customFormat="1" ht="45" customHeight="1" x14ac:dyDescent="0.2">
      <c r="A993" s="66" t="s">
        <v>3577</v>
      </c>
      <c r="B993" s="66" t="s">
        <v>1707</v>
      </c>
      <c r="C993" s="66" t="s">
        <v>3578</v>
      </c>
      <c r="D993" s="66">
        <v>80253</v>
      </c>
      <c r="E993" s="68" t="s">
        <v>4722</v>
      </c>
      <c r="F993" s="66" t="s">
        <v>4723</v>
      </c>
      <c r="G993" s="71">
        <v>6500</v>
      </c>
      <c r="H993" s="73"/>
      <c r="I993" s="75">
        <v>0.1</v>
      </c>
      <c r="J993" s="77"/>
      <c r="K993" s="66"/>
      <c r="L993" s="66"/>
      <c r="M993" s="79" t="str">
        <f>HYPERLINK("http://www.pristavka.com/catalog/funko/Fun80253/")</f>
        <v>http://www.pristavka.com/catalog/funko/Fun80253/</v>
      </c>
      <c r="N993" s="71">
        <v>9999</v>
      </c>
      <c r="O993" s="66" t="s">
        <v>27</v>
      </c>
      <c r="P993" s="82" t="s">
        <v>4724</v>
      </c>
      <c r="Q993" s="84" t="s">
        <v>1334</v>
      </c>
      <c r="R993" s="84" t="s">
        <v>1068</v>
      </c>
      <c r="S993" s="84">
        <v>0.14399999999999999</v>
      </c>
      <c r="T993" s="82" t="s">
        <v>4091</v>
      </c>
      <c r="U993" s="84" t="s">
        <v>3584</v>
      </c>
      <c r="V993" s="54"/>
    </row>
    <row r="994" spans="1:22" s="11" customFormat="1" ht="45" customHeight="1" x14ac:dyDescent="0.2">
      <c r="A994" s="66" t="s">
        <v>3577</v>
      </c>
      <c r="B994" s="66" t="s">
        <v>1707</v>
      </c>
      <c r="C994" s="66" t="s">
        <v>3578</v>
      </c>
      <c r="D994" s="66">
        <v>76779</v>
      </c>
      <c r="E994" s="68" t="s">
        <v>4725</v>
      </c>
      <c r="F994" s="66" t="s">
        <v>4726</v>
      </c>
      <c r="G994" s="71">
        <v>22750</v>
      </c>
      <c r="H994" s="73"/>
      <c r="I994" s="75">
        <v>0.1</v>
      </c>
      <c r="J994" s="77"/>
      <c r="K994" s="66"/>
      <c r="L994" s="66"/>
      <c r="M994" s="79" t="str">
        <f>HYPERLINK("http://www.pristavka.com/catalog/funko/Fun76779/")</f>
        <v>http://www.pristavka.com/catalog/funko/Fun76779/</v>
      </c>
      <c r="N994" s="71">
        <v>34999</v>
      </c>
      <c r="O994" s="66" t="s">
        <v>27</v>
      </c>
      <c r="P994" s="82" t="s">
        <v>4727</v>
      </c>
      <c r="Q994" s="84" t="s">
        <v>1334</v>
      </c>
      <c r="R994" s="84" t="s">
        <v>1068</v>
      </c>
      <c r="S994" s="84">
        <v>1.23</v>
      </c>
      <c r="T994" s="82" t="s">
        <v>4415</v>
      </c>
      <c r="U994" s="84" t="s">
        <v>3584</v>
      </c>
      <c r="V994" s="54"/>
    </row>
    <row r="995" spans="1:22" s="11" customFormat="1" ht="45" customHeight="1" x14ac:dyDescent="0.2">
      <c r="A995" s="66" t="s">
        <v>3577</v>
      </c>
      <c r="B995" s="66" t="s">
        <v>1707</v>
      </c>
      <c r="C995" s="66" t="s">
        <v>3578</v>
      </c>
      <c r="D995" s="66">
        <v>80254</v>
      </c>
      <c r="E995" s="68" t="s">
        <v>4728</v>
      </c>
      <c r="F995" s="66" t="s">
        <v>4729</v>
      </c>
      <c r="G995" s="71">
        <v>6500</v>
      </c>
      <c r="H995" s="73"/>
      <c r="I995" s="75">
        <v>0.1</v>
      </c>
      <c r="J995" s="77"/>
      <c r="K995" s="66"/>
      <c r="L995" s="66"/>
      <c r="M995" s="79" t="str">
        <f>HYPERLINK("http://www.pristavka.com/catalog/funko/Fun80254/")</f>
        <v>http://www.pristavka.com/catalog/funko/Fun80254/</v>
      </c>
      <c r="N995" s="71">
        <v>9999</v>
      </c>
      <c r="O995" s="66" t="s">
        <v>27</v>
      </c>
      <c r="P995" s="82" t="s">
        <v>4730</v>
      </c>
      <c r="Q995" s="84" t="s">
        <v>1334</v>
      </c>
      <c r="R995" s="84" t="s">
        <v>1068</v>
      </c>
      <c r="S995" s="84">
        <v>0.17</v>
      </c>
      <c r="T995" s="82" t="s">
        <v>4084</v>
      </c>
      <c r="U995" s="84" t="s">
        <v>3584</v>
      </c>
      <c r="V995" s="54"/>
    </row>
    <row r="996" spans="1:22" s="11" customFormat="1" ht="45" customHeight="1" x14ac:dyDescent="0.2">
      <c r="A996" s="66" t="s">
        <v>3577</v>
      </c>
      <c r="B996" s="66" t="s">
        <v>1707</v>
      </c>
      <c r="C996" s="66" t="s">
        <v>3578</v>
      </c>
      <c r="D996" s="66">
        <v>80255</v>
      </c>
      <c r="E996" s="68" t="s">
        <v>4731</v>
      </c>
      <c r="F996" s="66" t="s">
        <v>4732</v>
      </c>
      <c r="G996" s="71">
        <v>6500</v>
      </c>
      <c r="H996" s="73"/>
      <c r="I996" s="75">
        <v>0.1</v>
      </c>
      <c r="J996" s="77"/>
      <c r="K996" s="66"/>
      <c r="L996" s="66"/>
      <c r="M996" s="79" t="str">
        <f>HYPERLINK("http://www.pristavka.com/catalog/funko/Fun80255/")</f>
        <v>http://www.pristavka.com/catalog/funko/Fun80255/</v>
      </c>
      <c r="N996" s="71">
        <v>9999</v>
      </c>
      <c r="O996" s="66" t="s">
        <v>27</v>
      </c>
      <c r="P996" s="82" t="s">
        <v>4733</v>
      </c>
      <c r="Q996" s="84" t="s">
        <v>1334</v>
      </c>
      <c r="R996" s="84" t="s">
        <v>1068</v>
      </c>
      <c r="S996" s="84">
        <v>0.157</v>
      </c>
      <c r="T996" s="82" t="s">
        <v>4084</v>
      </c>
      <c r="U996" s="84" t="s">
        <v>3584</v>
      </c>
      <c r="V996" s="54"/>
    </row>
    <row r="997" spans="1:22" s="11" customFormat="1" ht="45" customHeight="1" x14ac:dyDescent="0.2">
      <c r="A997" s="66" t="s">
        <v>3577</v>
      </c>
      <c r="B997" s="66" t="s">
        <v>1707</v>
      </c>
      <c r="C997" s="66" t="s">
        <v>3578</v>
      </c>
      <c r="D997" s="66">
        <v>68854</v>
      </c>
      <c r="E997" s="68" t="s">
        <v>4734</v>
      </c>
      <c r="F997" s="66" t="s">
        <v>4735</v>
      </c>
      <c r="G997" s="71">
        <v>6890</v>
      </c>
      <c r="H997" s="73"/>
      <c r="I997" s="75">
        <v>0.1</v>
      </c>
      <c r="J997" s="77"/>
      <c r="K997" s="66"/>
      <c r="L997" s="66"/>
      <c r="M997" s="79" t="str">
        <f>HYPERLINK("http://www.pristavka.com/catalog/funko/Fun68854/")</f>
        <v>http://www.pristavka.com/catalog/funko/Fun68854/</v>
      </c>
      <c r="N997" s="71">
        <v>10599</v>
      </c>
      <c r="O997" s="66" t="s">
        <v>27</v>
      </c>
      <c r="P997" s="82" t="s">
        <v>4736</v>
      </c>
      <c r="Q997" s="84" t="s">
        <v>1334</v>
      </c>
      <c r="R997" s="84" t="s">
        <v>1068</v>
      </c>
      <c r="S997" s="84">
        <v>0.16700000000000001</v>
      </c>
      <c r="T997" s="82" t="s">
        <v>4084</v>
      </c>
      <c r="U997" s="84" t="s">
        <v>3584</v>
      </c>
      <c r="V997" s="54"/>
    </row>
    <row r="998" spans="1:22" s="11" customFormat="1" ht="45" customHeight="1" x14ac:dyDescent="0.2">
      <c r="A998" s="66" t="s">
        <v>3577</v>
      </c>
      <c r="B998" s="66" t="s">
        <v>1707</v>
      </c>
      <c r="C998" s="66" t="s">
        <v>3578</v>
      </c>
      <c r="D998" s="66">
        <v>82761</v>
      </c>
      <c r="E998" s="68" t="s">
        <v>4737</v>
      </c>
      <c r="F998" s="66" t="s">
        <v>4738</v>
      </c>
      <c r="G998" s="71">
        <v>0</v>
      </c>
      <c r="H998" s="73"/>
      <c r="I998" s="75">
        <v>0.1</v>
      </c>
      <c r="J998" s="77"/>
      <c r="K998" s="66"/>
      <c r="L998" s="66"/>
      <c r="M998" s="79" t="str">
        <f>HYPERLINK("http://www.pristavka.com/catalog/funko/Fun82761/")</f>
        <v>http://www.pristavka.com/catalog/funko/Fun82761/</v>
      </c>
      <c r="N998" s="71"/>
      <c r="O998" s="66" t="s">
        <v>27</v>
      </c>
      <c r="P998" s="82" t="s">
        <v>4739</v>
      </c>
      <c r="Q998" s="84" t="s">
        <v>1148</v>
      </c>
      <c r="R998" s="84" t="s">
        <v>1068</v>
      </c>
      <c r="S998" s="84">
        <v>0.14799999999999999</v>
      </c>
      <c r="T998" s="82" t="s">
        <v>4084</v>
      </c>
      <c r="U998" s="84" t="s">
        <v>3584</v>
      </c>
      <c r="V998" s="54"/>
    </row>
    <row r="999" spans="1:22" s="11" customFormat="1" ht="45" customHeight="1" x14ac:dyDescent="0.2">
      <c r="A999" s="66" t="s">
        <v>3577</v>
      </c>
      <c r="B999" s="66" t="s">
        <v>1707</v>
      </c>
      <c r="C999" s="66" t="s">
        <v>3578</v>
      </c>
      <c r="D999" s="66">
        <v>84987</v>
      </c>
      <c r="E999" s="68" t="s">
        <v>4740</v>
      </c>
      <c r="F999" s="66" t="s">
        <v>4741</v>
      </c>
      <c r="G999" s="71">
        <v>6890</v>
      </c>
      <c r="H999" s="73"/>
      <c r="I999" s="75">
        <v>0.1</v>
      </c>
      <c r="J999" s="77"/>
      <c r="K999" s="66"/>
      <c r="L999" s="66"/>
      <c r="M999" s="79" t="str">
        <f>HYPERLINK("http://www.pristavka.com/catalog/funko/Fun84987/")</f>
        <v>http://www.pristavka.com/catalog/funko/Fun84987/</v>
      </c>
      <c r="N999" s="71">
        <v>10599</v>
      </c>
      <c r="O999" s="66" t="s">
        <v>27</v>
      </c>
      <c r="P999" s="82" t="s">
        <v>4742</v>
      </c>
      <c r="Q999" s="84" t="s">
        <v>1148</v>
      </c>
      <c r="R999" s="84" t="s">
        <v>1068</v>
      </c>
      <c r="S999" s="84">
        <v>0.14000000000000001</v>
      </c>
      <c r="T999" s="82" t="s">
        <v>4113</v>
      </c>
      <c r="U999" s="84" t="s">
        <v>3584</v>
      </c>
      <c r="V999" s="54"/>
    </row>
    <row r="1000" spans="1:22" s="11" customFormat="1" ht="45" customHeight="1" x14ac:dyDescent="0.2">
      <c r="A1000" s="66" t="s">
        <v>3577</v>
      </c>
      <c r="B1000" s="66" t="s">
        <v>1707</v>
      </c>
      <c r="C1000" s="66" t="s">
        <v>3578</v>
      </c>
      <c r="D1000" s="66">
        <v>23186</v>
      </c>
      <c r="E1000" s="68" t="s">
        <v>4743</v>
      </c>
      <c r="F1000" s="66" t="s">
        <v>4744</v>
      </c>
      <c r="G1000" s="71">
        <v>6500</v>
      </c>
      <c r="H1000" s="73"/>
      <c r="I1000" s="75">
        <v>0.1</v>
      </c>
      <c r="J1000" s="77"/>
      <c r="K1000" s="66"/>
      <c r="L1000" s="66"/>
      <c r="M1000" s="79" t="str">
        <f>HYPERLINK("http://www.pristavka.com/catalog/funko/Fun931/")</f>
        <v>http://www.pristavka.com/catalog/funko/Fun931/</v>
      </c>
      <c r="N1000" s="71">
        <v>9999</v>
      </c>
      <c r="O1000" s="66" t="s">
        <v>27</v>
      </c>
      <c r="P1000" s="82" t="s">
        <v>4745</v>
      </c>
      <c r="Q1000" s="84" t="s">
        <v>1148</v>
      </c>
      <c r="R1000" s="84" t="s">
        <v>1068</v>
      </c>
      <c r="S1000" s="84">
        <v>0.14699999999999999</v>
      </c>
      <c r="T1000" s="82" t="s">
        <v>4746</v>
      </c>
      <c r="U1000" s="84" t="s">
        <v>3584</v>
      </c>
      <c r="V1000" s="54"/>
    </row>
    <row r="1001" spans="1:22" s="11" customFormat="1" ht="45" customHeight="1" x14ac:dyDescent="0.2">
      <c r="A1001" s="66" t="s">
        <v>3577</v>
      </c>
      <c r="B1001" s="66" t="s">
        <v>1707</v>
      </c>
      <c r="C1001" s="66" t="s">
        <v>3578</v>
      </c>
      <c r="D1001" s="66">
        <v>54463</v>
      </c>
      <c r="E1001" s="68" t="s">
        <v>4747</v>
      </c>
      <c r="F1001" s="66" t="s">
        <v>4748</v>
      </c>
      <c r="G1001" s="71">
        <v>6500</v>
      </c>
      <c r="H1001" s="73"/>
      <c r="I1001" s="75">
        <v>0.1</v>
      </c>
      <c r="J1001" s="77"/>
      <c r="K1001" s="66"/>
      <c r="L1001" s="66"/>
      <c r="M1001" s="79" t="str">
        <f>HYPERLINK("http://www.pristavka.com/catalog/funko/Fun25491585/")</f>
        <v>http://www.pristavka.com/catalog/funko/Fun25491585/</v>
      </c>
      <c r="N1001" s="71">
        <v>9999</v>
      </c>
      <c r="O1001" s="66" t="s">
        <v>27</v>
      </c>
      <c r="P1001" s="82" t="s">
        <v>4749</v>
      </c>
      <c r="Q1001" s="84" t="s">
        <v>1148</v>
      </c>
      <c r="R1001" s="84" t="s">
        <v>1068</v>
      </c>
      <c r="S1001" s="84">
        <v>0.18</v>
      </c>
      <c r="T1001" s="82" t="s">
        <v>4574</v>
      </c>
      <c r="U1001" s="84" t="s">
        <v>3584</v>
      </c>
      <c r="V1001" s="54"/>
    </row>
    <row r="1002" spans="1:22" s="11" customFormat="1" ht="45" customHeight="1" x14ac:dyDescent="0.2">
      <c r="A1002" s="66" t="s">
        <v>3577</v>
      </c>
      <c r="B1002" s="66" t="s">
        <v>1707</v>
      </c>
      <c r="C1002" s="66" t="s">
        <v>3578</v>
      </c>
      <c r="D1002" s="66">
        <v>82836</v>
      </c>
      <c r="E1002" s="68" t="s">
        <v>4750</v>
      </c>
      <c r="F1002" s="66" t="s">
        <v>4751</v>
      </c>
      <c r="G1002" s="71">
        <v>6890</v>
      </c>
      <c r="H1002" s="73"/>
      <c r="I1002" s="75">
        <v>0.1</v>
      </c>
      <c r="J1002" s="77"/>
      <c r="K1002" s="66"/>
      <c r="L1002" s="66"/>
      <c r="M1002" s="79" t="str">
        <f>HYPERLINK("http://www.pristavka.com/catalog/funko/Fun82836/")</f>
        <v>http://www.pristavka.com/catalog/funko/Fun82836/</v>
      </c>
      <c r="N1002" s="71">
        <v>10599</v>
      </c>
      <c r="O1002" s="66" t="s">
        <v>27</v>
      </c>
      <c r="P1002" s="82" t="s">
        <v>4752</v>
      </c>
      <c r="Q1002" s="84" t="s">
        <v>1148</v>
      </c>
      <c r="R1002" s="84" t="s">
        <v>1068</v>
      </c>
      <c r="S1002" s="84">
        <v>0.14199999999999999</v>
      </c>
      <c r="T1002" s="82" t="s">
        <v>4091</v>
      </c>
      <c r="U1002" s="84" t="s">
        <v>3584</v>
      </c>
      <c r="V1002" s="54"/>
    </row>
    <row r="1003" spans="1:22" s="11" customFormat="1" ht="45" customHeight="1" x14ac:dyDescent="0.2">
      <c r="A1003" s="66" t="s">
        <v>3577</v>
      </c>
      <c r="B1003" s="66" t="s">
        <v>1707</v>
      </c>
      <c r="C1003" s="66" t="s">
        <v>3578</v>
      </c>
      <c r="D1003" s="66">
        <v>66428</v>
      </c>
      <c r="E1003" s="68" t="s">
        <v>4753</v>
      </c>
      <c r="F1003" s="66" t="s">
        <v>4754</v>
      </c>
      <c r="G1003" s="71">
        <v>0</v>
      </c>
      <c r="H1003" s="73"/>
      <c r="I1003" s="75">
        <v>0.1</v>
      </c>
      <c r="J1003" s="77"/>
      <c r="K1003" s="66"/>
      <c r="L1003" s="66"/>
      <c r="M1003" s="79" t="str">
        <f>HYPERLINK("http://www.pristavka.com/catalog/funko/Fun66428/")</f>
        <v>http://www.pristavka.com/catalog/funko/Fun66428/</v>
      </c>
      <c r="N1003" s="71"/>
      <c r="O1003" s="66" t="s">
        <v>27</v>
      </c>
      <c r="P1003" s="82" t="s">
        <v>4755</v>
      </c>
      <c r="Q1003" s="84" t="s">
        <v>1148</v>
      </c>
      <c r="R1003" s="84" t="s">
        <v>1068</v>
      </c>
      <c r="S1003" s="84">
        <v>0.20499999999999999</v>
      </c>
      <c r="T1003" s="82" t="s">
        <v>4084</v>
      </c>
      <c r="U1003" s="84" t="s">
        <v>3584</v>
      </c>
      <c r="V1003" s="54"/>
    </row>
    <row r="1004" spans="1:22" s="11" customFormat="1" ht="45" customHeight="1" x14ac:dyDescent="0.2">
      <c r="A1004" s="66" t="s">
        <v>3577</v>
      </c>
      <c r="B1004" s="66" t="s">
        <v>1707</v>
      </c>
      <c r="C1004" s="66" t="s">
        <v>3578</v>
      </c>
      <c r="D1004" s="66">
        <v>82834</v>
      </c>
      <c r="E1004" s="68" t="s">
        <v>4756</v>
      </c>
      <c r="F1004" s="66" t="s">
        <v>4757</v>
      </c>
      <c r="G1004" s="71">
        <v>0</v>
      </c>
      <c r="H1004" s="73"/>
      <c r="I1004" s="75">
        <v>0.1</v>
      </c>
      <c r="J1004" s="77"/>
      <c r="K1004" s="66"/>
      <c r="L1004" s="66"/>
      <c r="M1004" s="79" t="str">
        <f>HYPERLINK("http://www.pristavka.com/catalog/funko/Fun82834/")</f>
        <v>http://www.pristavka.com/catalog/funko/Fun82834/</v>
      </c>
      <c r="N1004" s="71"/>
      <c r="O1004" s="66" t="s">
        <v>27</v>
      </c>
      <c r="P1004" s="82" t="s">
        <v>4758</v>
      </c>
      <c r="Q1004" s="84" t="s">
        <v>1148</v>
      </c>
      <c r="R1004" s="84" t="s">
        <v>1068</v>
      </c>
      <c r="S1004" s="84">
        <v>0.255</v>
      </c>
      <c r="T1004" s="82" t="s">
        <v>4091</v>
      </c>
      <c r="U1004" s="84" t="s">
        <v>3584</v>
      </c>
      <c r="V1004" s="54"/>
    </row>
    <row r="1005" spans="1:22" s="11" customFormat="1" ht="45" customHeight="1" x14ac:dyDescent="0.2">
      <c r="A1005" s="66" t="s">
        <v>3577</v>
      </c>
      <c r="B1005" s="66" t="s">
        <v>1707</v>
      </c>
      <c r="C1005" s="66" t="s">
        <v>3578</v>
      </c>
      <c r="D1005" s="66">
        <v>75578</v>
      </c>
      <c r="E1005" s="68" t="s">
        <v>4759</v>
      </c>
      <c r="F1005" s="66" t="s">
        <v>4760</v>
      </c>
      <c r="G1005" s="71">
        <v>6500</v>
      </c>
      <c r="H1005" s="73"/>
      <c r="I1005" s="75">
        <v>0.1</v>
      </c>
      <c r="J1005" s="77"/>
      <c r="K1005" s="66"/>
      <c r="L1005" s="66"/>
      <c r="M1005" s="79" t="str">
        <f>HYPERLINK("http://www.pristavka.com/catalog/funko/Fun75578/")</f>
        <v>http://www.pristavka.com/catalog/funko/Fun75578/</v>
      </c>
      <c r="N1005" s="71">
        <v>9999</v>
      </c>
      <c r="O1005" s="66" t="s">
        <v>27</v>
      </c>
      <c r="P1005" s="82" t="s">
        <v>4761</v>
      </c>
      <c r="Q1005" s="84" t="s">
        <v>1148</v>
      </c>
      <c r="R1005" s="84" t="s">
        <v>1068</v>
      </c>
      <c r="S1005" s="84">
        <v>0.15</v>
      </c>
      <c r="T1005" s="82" t="s">
        <v>4084</v>
      </c>
      <c r="U1005" s="84" t="s">
        <v>3584</v>
      </c>
      <c r="V1005" s="54"/>
    </row>
    <row r="1006" spans="1:22" s="11" customFormat="1" ht="45" customHeight="1" x14ac:dyDescent="0.2">
      <c r="A1006" s="66" t="s">
        <v>3577</v>
      </c>
      <c r="B1006" s="66" t="s">
        <v>1707</v>
      </c>
      <c r="C1006" s="66" t="s">
        <v>3578</v>
      </c>
      <c r="D1006" s="66">
        <v>74712</v>
      </c>
      <c r="E1006" s="68" t="s">
        <v>4762</v>
      </c>
      <c r="F1006" s="66" t="s">
        <v>4763</v>
      </c>
      <c r="G1006" s="71">
        <v>6890</v>
      </c>
      <c r="H1006" s="73"/>
      <c r="I1006" s="75">
        <v>0.1</v>
      </c>
      <c r="J1006" s="77"/>
      <c r="K1006" s="66"/>
      <c r="L1006" s="66"/>
      <c r="M1006" s="79" t="str">
        <f>HYPERLINK("http://www.pristavka.com/catalog/funko/Fun72106/")</f>
        <v>http://www.pristavka.com/catalog/funko/Fun72106/</v>
      </c>
      <c r="N1006" s="71">
        <v>10599</v>
      </c>
      <c r="O1006" s="66" t="s">
        <v>27</v>
      </c>
      <c r="P1006" s="82" t="s">
        <v>4764</v>
      </c>
      <c r="Q1006" s="84" t="s">
        <v>1148</v>
      </c>
      <c r="R1006" s="84" t="s">
        <v>1068</v>
      </c>
      <c r="S1006" s="84">
        <v>0.183</v>
      </c>
      <c r="T1006" s="82" t="s">
        <v>4091</v>
      </c>
      <c r="U1006" s="84" t="s">
        <v>3584</v>
      </c>
      <c r="V1006" s="54"/>
    </row>
    <row r="1007" spans="1:22" s="11" customFormat="1" ht="45" customHeight="1" x14ac:dyDescent="0.2">
      <c r="A1007" s="66" t="s">
        <v>3577</v>
      </c>
      <c r="B1007" s="66" t="s">
        <v>1707</v>
      </c>
      <c r="C1007" s="66" t="s">
        <v>3578</v>
      </c>
      <c r="D1007" s="66">
        <v>54464</v>
      </c>
      <c r="E1007" s="68" t="s">
        <v>4765</v>
      </c>
      <c r="F1007" s="66" t="s">
        <v>4766</v>
      </c>
      <c r="G1007" s="71">
        <v>6500</v>
      </c>
      <c r="H1007" s="73"/>
      <c r="I1007" s="75">
        <v>0.1</v>
      </c>
      <c r="J1007" s="77"/>
      <c r="K1007" s="66"/>
      <c r="L1007" s="66"/>
      <c r="M1007" s="79" t="str">
        <f>HYPERLINK("http://www.pristavka.com/catalog/funko/Fun25491584/")</f>
        <v>http://www.pristavka.com/catalog/funko/Fun25491584/</v>
      </c>
      <c r="N1007" s="71">
        <v>9999</v>
      </c>
      <c r="O1007" s="66" t="s">
        <v>27</v>
      </c>
      <c r="P1007" s="82" t="s">
        <v>4767</v>
      </c>
      <c r="Q1007" s="84" t="s">
        <v>1148</v>
      </c>
      <c r="R1007" s="84" t="s">
        <v>1068</v>
      </c>
      <c r="S1007" s="84">
        <v>0.155</v>
      </c>
      <c r="T1007" s="82" t="s">
        <v>4574</v>
      </c>
      <c r="U1007" s="84" t="s">
        <v>3584</v>
      </c>
      <c r="V1007" s="54"/>
    </row>
    <row r="1008" spans="1:22" s="11" customFormat="1" ht="45" customHeight="1" x14ac:dyDescent="0.2">
      <c r="A1008" s="66" t="s">
        <v>3577</v>
      </c>
      <c r="B1008" s="66" t="s">
        <v>1707</v>
      </c>
      <c r="C1008" s="66" t="s">
        <v>3578</v>
      </c>
      <c r="D1008" s="66">
        <v>77108</v>
      </c>
      <c r="E1008" s="68" t="s">
        <v>4768</v>
      </c>
      <c r="F1008" s="66" t="s">
        <v>4769</v>
      </c>
      <c r="G1008" s="71">
        <v>6890</v>
      </c>
      <c r="H1008" s="73"/>
      <c r="I1008" s="75">
        <v>0.1</v>
      </c>
      <c r="J1008" s="77"/>
      <c r="K1008" s="66"/>
      <c r="L1008" s="66"/>
      <c r="M1008" s="79" t="str">
        <f>HYPERLINK("http://www.pristavka.com/catalog/funko/Fun77108/")</f>
        <v>http://www.pristavka.com/catalog/funko/Fun77108/</v>
      </c>
      <c r="N1008" s="71">
        <v>10599</v>
      </c>
      <c r="O1008" s="66" t="s">
        <v>27</v>
      </c>
      <c r="P1008" s="82" t="s">
        <v>4770</v>
      </c>
      <c r="Q1008" s="84" t="s">
        <v>1148</v>
      </c>
      <c r="R1008" s="84" t="s">
        <v>1068</v>
      </c>
      <c r="S1008" s="84">
        <v>0.185</v>
      </c>
      <c r="T1008" s="82" t="s">
        <v>4084</v>
      </c>
      <c r="U1008" s="84" t="s">
        <v>3584</v>
      </c>
      <c r="V1008" s="54"/>
    </row>
    <row r="1009" spans="1:22" s="11" customFormat="1" ht="45" customHeight="1" x14ac:dyDescent="0.2">
      <c r="A1009" s="66" t="s">
        <v>3577</v>
      </c>
      <c r="B1009" s="66" t="s">
        <v>1707</v>
      </c>
      <c r="C1009" s="66" t="s">
        <v>3578</v>
      </c>
      <c r="D1009" s="66">
        <v>83807</v>
      </c>
      <c r="E1009" s="68" t="s">
        <v>4771</v>
      </c>
      <c r="F1009" s="66" t="s">
        <v>4772</v>
      </c>
      <c r="G1009" s="71">
        <v>6500</v>
      </c>
      <c r="H1009" s="73"/>
      <c r="I1009" s="75">
        <v>0.1</v>
      </c>
      <c r="J1009" s="77"/>
      <c r="K1009" s="66"/>
      <c r="L1009" s="66"/>
      <c r="M1009" s="79" t="str">
        <f>HYPERLINK("http://www.pristavka.com/catalog/funko/Fun83807/")</f>
        <v>http://www.pristavka.com/catalog/funko/Fun83807/</v>
      </c>
      <c r="N1009" s="71">
        <v>9999</v>
      </c>
      <c r="O1009" s="66" t="s">
        <v>27</v>
      </c>
      <c r="P1009" s="82" t="s">
        <v>4773</v>
      </c>
      <c r="Q1009" s="84" t="s">
        <v>1148</v>
      </c>
      <c r="R1009" s="84" t="s">
        <v>1068</v>
      </c>
      <c r="S1009" s="84">
        <v>0.20499999999999999</v>
      </c>
      <c r="T1009" s="82" t="s">
        <v>4084</v>
      </c>
      <c r="U1009" s="84" t="s">
        <v>3584</v>
      </c>
      <c r="V1009" s="54"/>
    </row>
    <row r="1010" spans="1:22" s="11" customFormat="1" ht="45" customHeight="1" x14ac:dyDescent="0.2">
      <c r="A1010" s="66" t="s">
        <v>3577</v>
      </c>
      <c r="B1010" s="66" t="s">
        <v>1707</v>
      </c>
      <c r="C1010" s="66" t="s">
        <v>3578</v>
      </c>
      <c r="D1010" s="66">
        <v>23193</v>
      </c>
      <c r="E1010" s="68" t="s">
        <v>4774</v>
      </c>
      <c r="F1010" s="66" t="s">
        <v>4775</v>
      </c>
      <c r="G1010" s="71">
        <v>6500</v>
      </c>
      <c r="H1010" s="73"/>
      <c r="I1010" s="75">
        <v>0.1</v>
      </c>
      <c r="J1010" s="77"/>
      <c r="K1010" s="66"/>
      <c r="L1010" s="66"/>
      <c r="M1010" s="79" t="str">
        <f>HYPERLINK("http://www.pristavka.com/catalog/funko/Fun932/")</f>
        <v>http://www.pristavka.com/catalog/funko/Fun932/</v>
      </c>
      <c r="N1010" s="71">
        <v>9999</v>
      </c>
      <c r="O1010" s="66" t="s">
        <v>27</v>
      </c>
      <c r="P1010" s="82" t="s">
        <v>4776</v>
      </c>
      <c r="Q1010" s="84" t="s">
        <v>1148</v>
      </c>
      <c r="R1010" s="84" t="s">
        <v>1068</v>
      </c>
      <c r="S1010" s="84">
        <v>0.14499999999999999</v>
      </c>
      <c r="T1010" s="82" t="s">
        <v>4746</v>
      </c>
      <c r="U1010" s="84" t="s">
        <v>3584</v>
      </c>
      <c r="V1010" s="54"/>
    </row>
    <row r="1011" spans="1:22" s="11" customFormat="1" ht="45" customHeight="1" x14ac:dyDescent="0.2">
      <c r="A1011" s="66" t="s">
        <v>3577</v>
      </c>
      <c r="B1011" s="66" t="s">
        <v>1707</v>
      </c>
      <c r="C1011" s="66" t="s">
        <v>3578</v>
      </c>
      <c r="D1011" s="66">
        <v>72111</v>
      </c>
      <c r="E1011" s="68" t="s">
        <v>4777</v>
      </c>
      <c r="F1011" s="66" t="s">
        <v>4778</v>
      </c>
      <c r="G1011" s="71">
        <v>13000</v>
      </c>
      <c r="H1011" s="73"/>
      <c r="I1011" s="75">
        <v>0.1</v>
      </c>
      <c r="J1011" s="77"/>
      <c r="K1011" s="66"/>
      <c r="L1011" s="66"/>
      <c r="M1011" s="79" t="str">
        <f>HYPERLINK("http://www.pristavka.com/catalog/funko/Fun72111/")</f>
        <v>http://www.pristavka.com/catalog/funko/Fun72111/</v>
      </c>
      <c r="N1011" s="71">
        <v>19999</v>
      </c>
      <c r="O1011" s="66" t="s">
        <v>27</v>
      </c>
      <c r="P1011" s="82" t="s">
        <v>4779</v>
      </c>
      <c r="Q1011" s="84" t="s">
        <v>1148</v>
      </c>
      <c r="R1011" s="84" t="s">
        <v>1068</v>
      </c>
      <c r="S1011" s="84">
        <v>0.376</v>
      </c>
      <c r="T1011" s="82" t="s">
        <v>4780</v>
      </c>
      <c r="U1011" s="84" t="s">
        <v>3584</v>
      </c>
      <c r="V1011" s="54"/>
    </row>
    <row r="1012" spans="1:22" s="11" customFormat="1" ht="45" customHeight="1" x14ac:dyDescent="0.2">
      <c r="A1012" s="66" t="s">
        <v>3577</v>
      </c>
      <c r="B1012" s="66" t="s">
        <v>1707</v>
      </c>
      <c r="C1012" s="66" t="s">
        <v>3578</v>
      </c>
      <c r="D1012" s="66">
        <v>82823</v>
      </c>
      <c r="E1012" s="68" t="s">
        <v>4781</v>
      </c>
      <c r="F1012" s="66" t="s">
        <v>4782</v>
      </c>
      <c r="G1012" s="71">
        <v>0</v>
      </c>
      <c r="H1012" s="73"/>
      <c r="I1012" s="75">
        <v>0.1</v>
      </c>
      <c r="J1012" s="77"/>
      <c r="K1012" s="66"/>
      <c r="L1012" s="66"/>
      <c r="M1012" s="79" t="str">
        <f>HYPERLINK("http://www.pristavka.com/catalog/funko/Fun82823/")</f>
        <v>http://www.pristavka.com/catalog/funko/Fun82823/</v>
      </c>
      <c r="N1012" s="71"/>
      <c r="O1012" s="66" t="s">
        <v>27</v>
      </c>
      <c r="P1012" s="82" t="s">
        <v>4783</v>
      </c>
      <c r="Q1012" s="84" t="s">
        <v>1148</v>
      </c>
      <c r="R1012" s="84" t="s">
        <v>1068</v>
      </c>
      <c r="S1012" s="84">
        <v>0.182</v>
      </c>
      <c r="T1012" s="82" t="s">
        <v>4113</v>
      </c>
      <c r="U1012" s="84" t="s">
        <v>3584</v>
      </c>
      <c r="V1012" s="54"/>
    </row>
    <row r="1013" spans="1:22" s="11" customFormat="1" ht="45" customHeight="1" x14ac:dyDescent="0.2">
      <c r="A1013" s="66" t="s">
        <v>3577</v>
      </c>
      <c r="B1013" s="66" t="s">
        <v>1707</v>
      </c>
      <c r="C1013" s="66" t="s">
        <v>3578</v>
      </c>
      <c r="D1013" s="66">
        <v>84907</v>
      </c>
      <c r="E1013" s="68" t="s">
        <v>4784</v>
      </c>
      <c r="F1013" s="66" t="s">
        <v>4785</v>
      </c>
      <c r="G1013" s="71">
        <v>6500</v>
      </c>
      <c r="H1013" s="73"/>
      <c r="I1013" s="75">
        <v>0.1</v>
      </c>
      <c r="J1013" s="77"/>
      <c r="K1013" s="66"/>
      <c r="L1013" s="66"/>
      <c r="M1013" s="79" t="str">
        <f>HYPERLINK("http://www.pristavka.com/catalog/funko/Fun84907/")</f>
        <v>http://www.pristavka.com/catalog/funko/Fun84907/</v>
      </c>
      <c r="N1013" s="71">
        <v>9999</v>
      </c>
      <c r="O1013" s="66" t="s">
        <v>27</v>
      </c>
      <c r="P1013" s="82" t="s">
        <v>4786</v>
      </c>
      <c r="Q1013" s="84" t="s">
        <v>1148</v>
      </c>
      <c r="R1013" s="84" t="s">
        <v>1068</v>
      </c>
      <c r="S1013" s="84">
        <v>0.19400000000000001</v>
      </c>
      <c r="T1013" s="82" t="s">
        <v>4113</v>
      </c>
      <c r="U1013" s="84" t="s">
        <v>3584</v>
      </c>
      <c r="V1013" s="54"/>
    </row>
    <row r="1014" spans="1:22" s="11" customFormat="1" ht="45" customHeight="1" x14ac:dyDescent="0.2">
      <c r="A1014" s="66" t="s">
        <v>3577</v>
      </c>
      <c r="B1014" s="66" t="s">
        <v>1707</v>
      </c>
      <c r="C1014" s="66" t="s">
        <v>3578</v>
      </c>
      <c r="D1014" s="66">
        <v>82122</v>
      </c>
      <c r="E1014" s="68" t="s">
        <v>4787</v>
      </c>
      <c r="F1014" s="66" t="s">
        <v>4788</v>
      </c>
      <c r="G1014" s="71">
        <v>6890</v>
      </c>
      <c r="H1014" s="73"/>
      <c r="I1014" s="75">
        <v>0.1</v>
      </c>
      <c r="J1014" s="77"/>
      <c r="K1014" s="66"/>
      <c r="L1014" s="66"/>
      <c r="M1014" s="79" t="str">
        <f>HYPERLINK("http://www.pristavka.com/catalog/funko/Fun82122/")</f>
        <v>http://www.pristavka.com/catalog/funko/Fun82122/</v>
      </c>
      <c r="N1014" s="71">
        <v>10599</v>
      </c>
      <c r="O1014" s="66" t="s">
        <v>27</v>
      </c>
      <c r="P1014" s="82" t="s">
        <v>4789</v>
      </c>
      <c r="Q1014" s="84" t="s">
        <v>1148</v>
      </c>
      <c r="R1014" s="84" t="s">
        <v>1068</v>
      </c>
      <c r="S1014" s="84">
        <v>0.16800000000000001</v>
      </c>
      <c r="T1014" s="82" t="s">
        <v>4091</v>
      </c>
      <c r="U1014" s="84" t="s">
        <v>3584</v>
      </c>
      <c r="V1014" s="54"/>
    </row>
    <row r="1015" spans="1:22" s="11" customFormat="1" ht="45" customHeight="1" x14ac:dyDescent="0.2">
      <c r="A1015" s="66" t="s">
        <v>3577</v>
      </c>
      <c r="B1015" s="66" t="s">
        <v>1707</v>
      </c>
      <c r="C1015" s="66" t="s">
        <v>3578</v>
      </c>
      <c r="D1015" s="66">
        <v>62646</v>
      </c>
      <c r="E1015" s="68" t="s">
        <v>4790</v>
      </c>
      <c r="F1015" s="66" t="s">
        <v>4791</v>
      </c>
      <c r="G1015" s="71">
        <v>6890</v>
      </c>
      <c r="H1015" s="73"/>
      <c r="I1015" s="75">
        <v>0.1</v>
      </c>
      <c r="J1015" s="77"/>
      <c r="K1015" s="66"/>
      <c r="L1015" s="66"/>
      <c r="M1015" s="79" t="str">
        <f>HYPERLINK("http://www.pristavka.com/catalog/funko/Fun62646/")</f>
        <v>http://www.pristavka.com/catalog/funko/Fun62646/</v>
      </c>
      <c r="N1015" s="71">
        <v>10599</v>
      </c>
      <c r="O1015" s="66" t="s">
        <v>27</v>
      </c>
      <c r="P1015" s="82" t="s">
        <v>4792</v>
      </c>
      <c r="Q1015" s="84" t="s">
        <v>1148</v>
      </c>
      <c r="R1015" s="84" t="s">
        <v>1068</v>
      </c>
      <c r="S1015" s="84">
        <v>0.17499999999999999</v>
      </c>
      <c r="T1015" s="82" t="s">
        <v>4084</v>
      </c>
      <c r="U1015" s="84" t="s">
        <v>3584</v>
      </c>
      <c r="V1015" s="54"/>
    </row>
    <row r="1016" spans="1:22" s="11" customFormat="1" ht="45" customHeight="1" x14ac:dyDescent="0.2">
      <c r="A1016" s="66" t="s">
        <v>3577</v>
      </c>
      <c r="B1016" s="66" t="s">
        <v>1707</v>
      </c>
      <c r="C1016" s="66" t="s">
        <v>3578</v>
      </c>
      <c r="D1016" s="66">
        <v>54532</v>
      </c>
      <c r="E1016" s="68" t="s">
        <v>4793</v>
      </c>
      <c r="F1016" s="66" t="s">
        <v>4794</v>
      </c>
      <c r="G1016" s="71">
        <v>6890</v>
      </c>
      <c r="H1016" s="73"/>
      <c r="I1016" s="75">
        <v>0.1</v>
      </c>
      <c r="J1016" s="77"/>
      <c r="K1016" s="66"/>
      <c r="L1016" s="66"/>
      <c r="M1016" s="79" t="str">
        <f>HYPERLINK("http://www.pristavka.com/catalog/funko/Fun25491099/")</f>
        <v>http://www.pristavka.com/catalog/funko/Fun25491099/</v>
      </c>
      <c r="N1016" s="71">
        <v>10599</v>
      </c>
      <c r="O1016" s="66" t="s">
        <v>27</v>
      </c>
      <c r="P1016" s="82" t="s">
        <v>4795</v>
      </c>
      <c r="Q1016" s="84" t="s">
        <v>1148</v>
      </c>
      <c r="R1016" s="84" t="s">
        <v>1068</v>
      </c>
      <c r="S1016" s="84">
        <v>0.14000000000000001</v>
      </c>
      <c r="T1016" s="82" t="s">
        <v>4246</v>
      </c>
      <c r="U1016" s="84" t="s">
        <v>3584</v>
      </c>
      <c r="V1016" s="54"/>
    </row>
    <row r="1017" spans="1:22" s="11" customFormat="1" ht="45" customHeight="1" x14ac:dyDescent="0.2">
      <c r="A1017" s="66" t="s">
        <v>3577</v>
      </c>
      <c r="B1017" s="66" t="s">
        <v>1707</v>
      </c>
      <c r="C1017" s="66" t="s">
        <v>3578</v>
      </c>
      <c r="D1017" s="66">
        <v>80365</v>
      </c>
      <c r="E1017" s="68" t="s">
        <v>4796</v>
      </c>
      <c r="F1017" s="66" t="s">
        <v>4797</v>
      </c>
      <c r="G1017" s="71">
        <v>6500</v>
      </c>
      <c r="H1017" s="73"/>
      <c r="I1017" s="75">
        <v>0.1</v>
      </c>
      <c r="J1017" s="77"/>
      <c r="K1017" s="66"/>
      <c r="L1017" s="66"/>
      <c r="M1017" s="79" t="str">
        <f>HYPERLINK("http://www.pristavka.com/catalog/funko/Fun80365/")</f>
        <v>http://www.pristavka.com/catalog/funko/Fun80365/</v>
      </c>
      <c r="N1017" s="71">
        <v>9999</v>
      </c>
      <c r="O1017" s="66" t="s">
        <v>27</v>
      </c>
      <c r="P1017" s="82" t="s">
        <v>4798</v>
      </c>
      <c r="Q1017" s="84" t="s">
        <v>1148</v>
      </c>
      <c r="R1017" s="84" t="s">
        <v>1068</v>
      </c>
      <c r="S1017" s="84">
        <v>0.14000000000000001</v>
      </c>
      <c r="T1017" s="82" t="s">
        <v>4084</v>
      </c>
      <c r="U1017" s="84" t="s">
        <v>3584</v>
      </c>
      <c r="V1017" s="54"/>
    </row>
    <row r="1018" spans="1:22" s="11" customFormat="1" ht="45" customHeight="1" x14ac:dyDescent="0.2">
      <c r="A1018" s="66" t="s">
        <v>3577</v>
      </c>
      <c r="B1018" s="66" t="s">
        <v>1707</v>
      </c>
      <c r="C1018" s="66" t="s">
        <v>3578</v>
      </c>
      <c r="D1018" s="66">
        <v>23194</v>
      </c>
      <c r="E1018" s="68" t="s">
        <v>4799</v>
      </c>
      <c r="F1018" s="66" t="s">
        <v>4800</v>
      </c>
      <c r="G1018" s="71">
        <v>6500</v>
      </c>
      <c r="H1018" s="73"/>
      <c r="I1018" s="75">
        <v>0.1</v>
      </c>
      <c r="J1018" s="77"/>
      <c r="K1018" s="66"/>
      <c r="L1018" s="66"/>
      <c r="M1018" s="79" t="str">
        <f>HYPERLINK("http://www.pristavka.com/catalog/funko/Fun933/")</f>
        <v>http://www.pristavka.com/catalog/funko/Fun933/</v>
      </c>
      <c r="N1018" s="71">
        <v>9999</v>
      </c>
      <c r="O1018" s="66" t="s">
        <v>27</v>
      </c>
      <c r="P1018" s="82" t="s">
        <v>4801</v>
      </c>
      <c r="Q1018" s="84" t="s">
        <v>1148</v>
      </c>
      <c r="R1018" s="84" t="s">
        <v>1068</v>
      </c>
      <c r="S1018" s="84">
        <v>0.13</v>
      </c>
      <c r="T1018" s="82" t="s">
        <v>4091</v>
      </c>
      <c r="U1018" s="84" t="s">
        <v>3584</v>
      </c>
      <c r="V1018" s="54"/>
    </row>
    <row r="1019" spans="1:22" s="11" customFormat="1" ht="45" customHeight="1" x14ac:dyDescent="0.2">
      <c r="A1019" s="66" t="s">
        <v>3577</v>
      </c>
      <c r="B1019" s="66" t="s">
        <v>1707</v>
      </c>
      <c r="C1019" s="66" t="s">
        <v>3578</v>
      </c>
      <c r="D1019" s="66">
        <v>80366</v>
      </c>
      <c r="E1019" s="68" t="s">
        <v>4802</v>
      </c>
      <c r="F1019" s="66" t="s">
        <v>4803</v>
      </c>
      <c r="G1019" s="71">
        <v>0</v>
      </c>
      <c r="H1019" s="73"/>
      <c r="I1019" s="75">
        <v>0.1</v>
      </c>
      <c r="J1019" s="77"/>
      <c r="K1019" s="66"/>
      <c r="L1019" s="66"/>
      <c r="M1019" s="79" t="str">
        <f>HYPERLINK("http://www.pristavka.com/catalog/funko/Fun80366/")</f>
        <v>http://www.pristavka.com/catalog/funko/Fun80366/</v>
      </c>
      <c r="N1019" s="71"/>
      <c r="O1019" s="66" t="s">
        <v>27</v>
      </c>
      <c r="P1019" s="82" t="s">
        <v>4804</v>
      </c>
      <c r="Q1019" s="84" t="s">
        <v>1148</v>
      </c>
      <c r="R1019" s="84" t="s">
        <v>1068</v>
      </c>
      <c r="S1019" s="84">
        <v>0.124</v>
      </c>
      <c r="T1019" s="82" t="s">
        <v>4091</v>
      </c>
      <c r="U1019" s="84" t="s">
        <v>3584</v>
      </c>
      <c r="V1019" s="54"/>
    </row>
    <row r="1020" spans="1:22" s="11" customFormat="1" ht="45" customHeight="1" x14ac:dyDescent="0.2">
      <c r="A1020" s="66" t="s">
        <v>3577</v>
      </c>
      <c r="B1020" s="66" t="s">
        <v>1707</v>
      </c>
      <c r="C1020" s="66" t="s">
        <v>3578</v>
      </c>
      <c r="D1020" s="66">
        <v>63215</v>
      </c>
      <c r="E1020" s="68" t="s">
        <v>4805</v>
      </c>
      <c r="F1020" s="66" t="s">
        <v>4806</v>
      </c>
      <c r="G1020" s="71">
        <v>6890</v>
      </c>
      <c r="H1020" s="73"/>
      <c r="I1020" s="75">
        <v>0.1</v>
      </c>
      <c r="J1020" s="77"/>
      <c r="K1020" s="66"/>
      <c r="L1020" s="66"/>
      <c r="M1020" s="79" t="str">
        <f>HYPERLINK("http://www.pristavka.com/catalog/funko/Fun63215/")</f>
        <v>http://www.pristavka.com/catalog/funko/Fun63215/</v>
      </c>
      <c r="N1020" s="71">
        <v>10599</v>
      </c>
      <c r="O1020" s="66" t="s">
        <v>27</v>
      </c>
      <c r="P1020" s="82" t="s">
        <v>4807</v>
      </c>
      <c r="Q1020" s="84" t="s">
        <v>1148</v>
      </c>
      <c r="R1020" s="84" t="s">
        <v>1068</v>
      </c>
      <c r="S1020" s="84">
        <v>0.20200000000000001</v>
      </c>
      <c r="T1020" s="82" t="s">
        <v>4084</v>
      </c>
      <c r="U1020" s="84" t="s">
        <v>3584</v>
      </c>
      <c r="V1020" s="54"/>
    </row>
    <row r="1021" spans="1:22" s="11" customFormat="1" ht="45" customHeight="1" x14ac:dyDescent="0.2">
      <c r="A1021" s="66" t="s">
        <v>3577</v>
      </c>
      <c r="B1021" s="66" t="s">
        <v>1707</v>
      </c>
      <c r="C1021" s="66" t="s">
        <v>3578</v>
      </c>
      <c r="D1021" s="66">
        <v>72107</v>
      </c>
      <c r="E1021" s="68" t="s">
        <v>4808</v>
      </c>
      <c r="F1021" s="66" t="s">
        <v>4809</v>
      </c>
      <c r="G1021" s="71">
        <v>6500</v>
      </c>
      <c r="H1021" s="73"/>
      <c r="I1021" s="75">
        <v>0.1</v>
      </c>
      <c r="J1021" s="77"/>
      <c r="K1021" s="66"/>
      <c r="L1021" s="66"/>
      <c r="M1021" s="79" t="str">
        <f>HYPERLINK("http://www.pristavka.com/catalog/funko/Fun72107/")</f>
        <v>http://www.pristavka.com/catalog/funko/Fun72107/</v>
      </c>
      <c r="N1021" s="71">
        <v>9999</v>
      </c>
      <c r="O1021" s="66" t="s">
        <v>27</v>
      </c>
      <c r="P1021" s="82" t="s">
        <v>4810</v>
      </c>
      <c r="Q1021" s="84" t="s">
        <v>1148</v>
      </c>
      <c r="R1021" s="84" t="s">
        <v>1068</v>
      </c>
      <c r="S1021" s="84">
        <v>0.15</v>
      </c>
      <c r="T1021" s="82" t="s">
        <v>4102</v>
      </c>
      <c r="U1021" s="84" t="s">
        <v>3584</v>
      </c>
      <c r="V1021" s="54"/>
    </row>
    <row r="1022" spans="1:22" s="11" customFormat="1" ht="45" customHeight="1" x14ac:dyDescent="0.2">
      <c r="A1022" s="66" t="s">
        <v>3577</v>
      </c>
      <c r="B1022" s="66" t="s">
        <v>1707</v>
      </c>
      <c r="C1022" s="66" t="s">
        <v>3578</v>
      </c>
      <c r="D1022" s="66">
        <v>72110</v>
      </c>
      <c r="E1022" s="68" t="s">
        <v>4811</v>
      </c>
      <c r="F1022" s="66" t="s">
        <v>4812</v>
      </c>
      <c r="G1022" s="71">
        <v>6500</v>
      </c>
      <c r="H1022" s="73"/>
      <c r="I1022" s="75">
        <v>0.1</v>
      </c>
      <c r="J1022" s="77"/>
      <c r="K1022" s="66"/>
      <c r="L1022" s="66"/>
      <c r="M1022" s="79" t="str">
        <f>HYPERLINK("http://www.pristavka.com/catalog/funko/Fun72110/")</f>
        <v>http://www.pristavka.com/catalog/funko/Fun72110/</v>
      </c>
      <c r="N1022" s="71">
        <v>9999</v>
      </c>
      <c r="O1022" s="66" t="s">
        <v>27</v>
      </c>
      <c r="P1022" s="82" t="s">
        <v>4813</v>
      </c>
      <c r="Q1022" s="84" t="s">
        <v>1148</v>
      </c>
      <c r="R1022" s="84" t="s">
        <v>1068</v>
      </c>
      <c r="S1022" s="84">
        <v>0.2</v>
      </c>
      <c r="T1022" s="82" t="s">
        <v>4091</v>
      </c>
      <c r="U1022" s="84" t="s">
        <v>3584</v>
      </c>
      <c r="V1022" s="54"/>
    </row>
    <row r="1023" spans="1:22" s="11" customFormat="1" ht="45" customHeight="1" x14ac:dyDescent="0.2">
      <c r="A1023" s="66" t="s">
        <v>3577</v>
      </c>
      <c r="B1023" s="66" t="s">
        <v>1707</v>
      </c>
      <c r="C1023" s="66" t="s">
        <v>3578</v>
      </c>
      <c r="D1023" s="66">
        <v>6358</v>
      </c>
      <c r="E1023" s="68" t="s">
        <v>4814</v>
      </c>
      <c r="F1023" s="66" t="s">
        <v>4815</v>
      </c>
      <c r="G1023" s="71">
        <v>6500</v>
      </c>
      <c r="H1023" s="73"/>
      <c r="I1023" s="75">
        <v>0.1</v>
      </c>
      <c r="J1023" s="77"/>
      <c r="K1023" s="66"/>
      <c r="L1023" s="66"/>
      <c r="M1023" s="79" t="str">
        <f>HYPERLINK("http://www.pristavka.com/catalog/funko/Fun281/")</f>
        <v>http://www.pristavka.com/catalog/funko/Fun281/</v>
      </c>
      <c r="N1023" s="71">
        <v>9999</v>
      </c>
      <c r="O1023" s="66" t="s">
        <v>27</v>
      </c>
      <c r="P1023" s="82" t="s">
        <v>4816</v>
      </c>
      <c r="Q1023" s="84" t="s">
        <v>1148</v>
      </c>
      <c r="R1023" s="84" t="s">
        <v>1068</v>
      </c>
      <c r="S1023" s="84">
        <v>0.13</v>
      </c>
      <c r="T1023" s="82" t="s">
        <v>4102</v>
      </c>
      <c r="U1023" s="84" t="s">
        <v>3584</v>
      </c>
      <c r="V1023" s="54"/>
    </row>
    <row r="1024" spans="1:22" s="11" customFormat="1" ht="45" customHeight="1" x14ac:dyDescent="0.2">
      <c r="A1024" s="66" t="s">
        <v>3577</v>
      </c>
      <c r="B1024" s="66" t="s">
        <v>1707</v>
      </c>
      <c r="C1024" s="66" t="s">
        <v>3578</v>
      </c>
      <c r="D1024" s="66">
        <v>23191</v>
      </c>
      <c r="E1024" s="68" t="s">
        <v>4817</v>
      </c>
      <c r="F1024" s="66" t="s">
        <v>4818</v>
      </c>
      <c r="G1024" s="71">
        <v>6500</v>
      </c>
      <c r="H1024" s="73"/>
      <c r="I1024" s="75">
        <v>0.1</v>
      </c>
      <c r="J1024" s="77"/>
      <c r="K1024" s="66"/>
      <c r="L1024" s="66"/>
      <c r="M1024" s="79" t="str">
        <f>HYPERLINK("http://www.pristavka.com/catalog/funko/Fun934/")</f>
        <v>http://www.pristavka.com/catalog/funko/Fun934/</v>
      </c>
      <c r="N1024" s="71">
        <v>9999</v>
      </c>
      <c r="O1024" s="66" t="s">
        <v>27</v>
      </c>
      <c r="P1024" s="82" t="s">
        <v>4819</v>
      </c>
      <c r="Q1024" s="84" t="s">
        <v>1148</v>
      </c>
      <c r="R1024" s="84" t="s">
        <v>1068</v>
      </c>
      <c r="S1024" s="84">
        <v>0.16</v>
      </c>
      <c r="T1024" s="82" t="s">
        <v>4091</v>
      </c>
      <c r="U1024" s="84" t="s">
        <v>3584</v>
      </c>
      <c r="V1024" s="54"/>
    </row>
    <row r="1025" spans="1:22" s="11" customFormat="1" ht="45" customHeight="1" x14ac:dyDescent="0.2">
      <c r="A1025" s="66" t="s">
        <v>3577</v>
      </c>
      <c r="B1025" s="66" t="s">
        <v>1707</v>
      </c>
      <c r="C1025" s="66" t="s">
        <v>3578</v>
      </c>
      <c r="D1025" s="66">
        <v>80369</v>
      </c>
      <c r="E1025" s="68" t="s">
        <v>4820</v>
      </c>
      <c r="F1025" s="66" t="s">
        <v>4821</v>
      </c>
      <c r="G1025" s="71">
        <v>6500</v>
      </c>
      <c r="H1025" s="73"/>
      <c r="I1025" s="75">
        <v>0.1</v>
      </c>
      <c r="J1025" s="77"/>
      <c r="K1025" s="66"/>
      <c r="L1025" s="66"/>
      <c r="M1025" s="79" t="str">
        <f>HYPERLINK("http://www.pristavka.com/catalog/funko/Fun80369/")</f>
        <v>http://www.pristavka.com/catalog/funko/Fun80369/</v>
      </c>
      <c r="N1025" s="71">
        <v>9999</v>
      </c>
      <c r="O1025" s="66" t="s">
        <v>27</v>
      </c>
      <c r="P1025" s="82" t="s">
        <v>4822</v>
      </c>
      <c r="Q1025" s="84" t="s">
        <v>1148</v>
      </c>
      <c r="R1025" s="84" t="s">
        <v>1068</v>
      </c>
      <c r="S1025" s="84">
        <v>0.124</v>
      </c>
      <c r="T1025" s="82" t="s">
        <v>4084</v>
      </c>
      <c r="U1025" s="84" t="s">
        <v>3584</v>
      </c>
      <c r="V1025" s="54"/>
    </row>
    <row r="1026" spans="1:22" s="11" customFormat="1" ht="45" customHeight="1" x14ac:dyDescent="0.2">
      <c r="A1026" s="66" t="s">
        <v>3577</v>
      </c>
      <c r="B1026" s="66" t="s">
        <v>1707</v>
      </c>
      <c r="C1026" s="66" t="s">
        <v>3578</v>
      </c>
      <c r="D1026" s="66">
        <v>32716</v>
      </c>
      <c r="E1026" s="68" t="s">
        <v>4823</v>
      </c>
      <c r="F1026" s="66" t="s">
        <v>4824</v>
      </c>
      <c r="G1026" s="71">
        <v>6500</v>
      </c>
      <c r="H1026" s="73"/>
      <c r="I1026" s="75">
        <v>0.1</v>
      </c>
      <c r="J1026" s="77"/>
      <c r="K1026" s="66"/>
      <c r="L1026" s="66"/>
      <c r="M1026" s="79" t="str">
        <f>HYPERLINK("http://www.pristavka.com/catalog/funko/Fun1711/")</f>
        <v>http://www.pristavka.com/catalog/funko/Fun1711/</v>
      </c>
      <c r="N1026" s="71">
        <v>9999</v>
      </c>
      <c r="O1026" s="66" t="s">
        <v>27</v>
      </c>
      <c r="P1026" s="82" t="s">
        <v>4825</v>
      </c>
      <c r="Q1026" s="84" t="s">
        <v>1148</v>
      </c>
      <c r="R1026" s="84" t="s">
        <v>1068</v>
      </c>
      <c r="S1026" s="84">
        <v>0.14000000000000001</v>
      </c>
      <c r="T1026" s="82" t="s">
        <v>4370</v>
      </c>
      <c r="U1026" s="84" t="s">
        <v>3584</v>
      </c>
      <c r="V1026" s="54"/>
    </row>
    <row r="1027" spans="1:22" s="11" customFormat="1" ht="45" customHeight="1" x14ac:dyDescent="0.2">
      <c r="A1027" s="66" t="s">
        <v>3577</v>
      </c>
      <c r="B1027" s="66" t="s">
        <v>1707</v>
      </c>
      <c r="C1027" s="66" t="s">
        <v>3578</v>
      </c>
      <c r="D1027" s="66">
        <v>32717</v>
      </c>
      <c r="E1027" s="68" t="s">
        <v>4826</v>
      </c>
      <c r="F1027" s="66" t="s">
        <v>4827</v>
      </c>
      <c r="G1027" s="71">
        <v>6500</v>
      </c>
      <c r="H1027" s="73"/>
      <c r="I1027" s="75">
        <v>0.1</v>
      </c>
      <c r="J1027" s="77"/>
      <c r="K1027" s="66"/>
      <c r="L1027" s="66"/>
      <c r="M1027" s="79" t="str">
        <f>HYPERLINK("http://www.pristavka.com/catalog/funko/Fun1713/")</f>
        <v>http://www.pristavka.com/catalog/funko/Fun1713/</v>
      </c>
      <c r="N1027" s="71">
        <v>9999</v>
      </c>
      <c r="O1027" s="66" t="s">
        <v>27</v>
      </c>
      <c r="P1027" s="82" t="s">
        <v>4828</v>
      </c>
      <c r="Q1027" s="84" t="s">
        <v>1148</v>
      </c>
      <c r="R1027" s="84" t="s">
        <v>1068</v>
      </c>
      <c r="S1027" s="84">
        <v>0.125</v>
      </c>
      <c r="T1027" s="82" t="s">
        <v>4370</v>
      </c>
      <c r="U1027" s="84" t="s">
        <v>3584</v>
      </c>
      <c r="V1027" s="54"/>
    </row>
    <row r="1028" spans="1:22" s="11" customFormat="1" ht="45" customHeight="1" x14ac:dyDescent="0.2">
      <c r="A1028" s="66" t="s">
        <v>3577</v>
      </c>
      <c r="B1028" s="66" t="s">
        <v>1707</v>
      </c>
      <c r="C1028" s="66" t="s">
        <v>3578</v>
      </c>
      <c r="D1028" s="66">
        <v>32715</v>
      </c>
      <c r="E1028" s="68" t="s">
        <v>4829</v>
      </c>
      <c r="F1028" s="66" t="s">
        <v>4830</v>
      </c>
      <c r="G1028" s="71">
        <v>6500</v>
      </c>
      <c r="H1028" s="73"/>
      <c r="I1028" s="75">
        <v>0.1</v>
      </c>
      <c r="J1028" s="77"/>
      <c r="K1028" s="66"/>
      <c r="L1028" s="66"/>
      <c r="M1028" s="79" t="str">
        <f>HYPERLINK("http://www.pristavka.com/catalog/funko/Fun1712/")</f>
        <v>http://www.pristavka.com/catalog/funko/Fun1712/</v>
      </c>
      <c r="N1028" s="71">
        <v>9999</v>
      </c>
      <c r="O1028" s="66" t="s">
        <v>27</v>
      </c>
      <c r="P1028" s="82" t="s">
        <v>4831</v>
      </c>
      <c r="Q1028" s="84" t="s">
        <v>1148</v>
      </c>
      <c r="R1028" s="84" t="s">
        <v>1068</v>
      </c>
      <c r="S1028" s="84">
        <v>0.14000000000000001</v>
      </c>
      <c r="T1028" s="82" t="s">
        <v>4370</v>
      </c>
      <c r="U1028" s="84" t="s">
        <v>3584</v>
      </c>
      <c r="V1028" s="54"/>
    </row>
    <row r="1029" spans="1:22" s="11" customFormat="1" ht="45" customHeight="1" x14ac:dyDescent="0.2">
      <c r="A1029" s="66" t="s">
        <v>3577</v>
      </c>
      <c r="B1029" s="66" t="s">
        <v>1707</v>
      </c>
      <c r="C1029" s="66" t="s">
        <v>3578</v>
      </c>
      <c r="D1029" s="66">
        <v>84953</v>
      </c>
      <c r="E1029" s="68" t="s">
        <v>4832</v>
      </c>
      <c r="F1029" s="66" t="s">
        <v>4833</v>
      </c>
      <c r="G1029" s="71">
        <v>6890</v>
      </c>
      <c r="H1029" s="73"/>
      <c r="I1029" s="75">
        <v>0.1</v>
      </c>
      <c r="J1029" s="77"/>
      <c r="K1029" s="66"/>
      <c r="L1029" s="66"/>
      <c r="M1029" s="79" t="str">
        <f>HYPERLINK("http://www.pristavka.com/catalog/funko/Fun84953/")</f>
        <v>http://www.pristavka.com/catalog/funko/Fun84953/</v>
      </c>
      <c r="N1029" s="71">
        <v>10599</v>
      </c>
      <c r="O1029" s="66" t="s">
        <v>27</v>
      </c>
      <c r="P1029" s="82" t="s">
        <v>4834</v>
      </c>
      <c r="Q1029" s="84" t="s">
        <v>1148</v>
      </c>
      <c r="R1029" s="84" t="s">
        <v>1068</v>
      </c>
      <c r="S1029" s="84">
        <v>0.16</v>
      </c>
      <c r="T1029" s="82" t="s">
        <v>4113</v>
      </c>
      <c r="U1029" s="84" t="s">
        <v>3584</v>
      </c>
      <c r="V1029" s="54"/>
    </row>
    <row r="1030" spans="1:22" s="11" customFormat="1" ht="45" customHeight="1" x14ac:dyDescent="0.2">
      <c r="A1030" s="66" t="s">
        <v>3577</v>
      </c>
      <c r="B1030" s="66" t="s">
        <v>1707</v>
      </c>
      <c r="C1030" s="66" t="s">
        <v>3578</v>
      </c>
      <c r="D1030" s="66">
        <v>72108</v>
      </c>
      <c r="E1030" s="68" t="s">
        <v>4835</v>
      </c>
      <c r="F1030" s="66" t="s">
        <v>4836</v>
      </c>
      <c r="G1030" s="71">
        <v>6500</v>
      </c>
      <c r="H1030" s="73"/>
      <c r="I1030" s="75">
        <v>0.1</v>
      </c>
      <c r="J1030" s="77"/>
      <c r="K1030" s="66"/>
      <c r="L1030" s="66"/>
      <c r="M1030" s="79" t="str">
        <f>HYPERLINK("http://www.pristavka.com/catalog/funko/Fun72108/")</f>
        <v>http://www.pristavka.com/catalog/funko/Fun72108/</v>
      </c>
      <c r="N1030" s="71">
        <v>9999</v>
      </c>
      <c r="O1030" s="66" t="s">
        <v>27</v>
      </c>
      <c r="P1030" s="82" t="s">
        <v>4837</v>
      </c>
      <c r="Q1030" s="84" t="s">
        <v>1148</v>
      </c>
      <c r="R1030" s="84" t="s">
        <v>1068</v>
      </c>
      <c r="S1030" s="84">
        <v>0.17299999999999999</v>
      </c>
      <c r="T1030" s="82" t="s">
        <v>4091</v>
      </c>
      <c r="U1030" s="84" t="s">
        <v>3584</v>
      </c>
      <c r="V1030" s="54"/>
    </row>
    <row r="1031" spans="1:22" s="11" customFormat="1" ht="45" customHeight="1" x14ac:dyDescent="0.2">
      <c r="A1031" s="66" t="s">
        <v>3577</v>
      </c>
      <c r="B1031" s="66" t="s">
        <v>1707</v>
      </c>
      <c r="C1031" s="66" t="s">
        <v>3578</v>
      </c>
      <c r="D1031" s="66">
        <v>80367</v>
      </c>
      <c r="E1031" s="68" t="s">
        <v>4838</v>
      </c>
      <c r="F1031" s="66" t="s">
        <v>4839</v>
      </c>
      <c r="G1031" s="71">
        <v>6500</v>
      </c>
      <c r="H1031" s="73"/>
      <c r="I1031" s="75">
        <v>0.1</v>
      </c>
      <c r="J1031" s="77"/>
      <c r="K1031" s="66"/>
      <c r="L1031" s="66"/>
      <c r="M1031" s="79" t="str">
        <f>HYPERLINK("http://www.pristavka.com/catalog/funko/Fun80367/")</f>
        <v>http://www.pristavka.com/catalog/funko/Fun80367/</v>
      </c>
      <c r="N1031" s="71">
        <v>9999</v>
      </c>
      <c r="O1031" s="66" t="s">
        <v>27</v>
      </c>
      <c r="P1031" s="82" t="s">
        <v>4840</v>
      </c>
      <c r="Q1031" s="84" t="s">
        <v>1148</v>
      </c>
      <c r="R1031" s="84" t="s">
        <v>1068</v>
      </c>
      <c r="S1031" s="84">
        <v>0.14399999999999999</v>
      </c>
      <c r="T1031" s="82" t="s">
        <v>4084</v>
      </c>
      <c r="U1031" s="84" t="s">
        <v>3584</v>
      </c>
      <c r="V1031" s="54"/>
    </row>
    <row r="1032" spans="1:22" s="11" customFormat="1" ht="45" customHeight="1" x14ac:dyDescent="0.2">
      <c r="A1032" s="66" t="s">
        <v>3577</v>
      </c>
      <c r="B1032" s="66" t="s">
        <v>1707</v>
      </c>
      <c r="C1032" s="66" t="s">
        <v>3578</v>
      </c>
      <c r="D1032" s="66">
        <v>61368</v>
      </c>
      <c r="E1032" s="68" t="s">
        <v>4841</v>
      </c>
      <c r="F1032" s="66" t="s">
        <v>4842</v>
      </c>
      <c r="G1032" s="71">
        <v>6500</v>
      </c>
      <c r="H1032" s="73"/>
      <c r="I1032" s="75">
        <v>0.1</v>
      </c>
      <c r="J1032" s="77"/>
      <c r="K1032" s="66"/>
      <c r="L1032" s="66"/>
      <c r="M1032" s="79" t="str">
        <f>HYPERLINK("http://www.pristavka.com/catalog/funko/Fun61368/")</f>
        <v>http://www.pristavka.com/catalog/funko/Fun61368/</v>
      </c>
      <c r="N1032" s="71">
        <v>9999</v>
      </c>
      <c r="O1032" s="66" t="s">
        <v>27</v>
      </c>
      <c r="P1032" s="82" t="s">
        <v>4843</v>
      </c>
      <c r="Q1032" s="84" t="s">
        <v>1148</v>
      </c>
      <c r="R1032" s="84" t="s">
        <v>1068</v>
      </c>
      <c r="S1032" s="84">
        <v>0.21</v>
      </c>
      <c r="T1032" s="82" t="s">
        <v>4084</v>
      </c>
      <c r="U1032" s="84" t="s">
        <v>3584</v>
      </c>
      <c r="V1032" s="54"/>
    </row>
    <row r="1033" spans="1:22" s="11" customFormat="1" ht="45" customHeight="1" x14ac:dyDescent="0.2">
      <c r="A1033" s="66" t="s">
        <v>3577</v>
      </c>
      <c r="B1033" s="66" t="s">
        <v>1707</v>
      </c>
      <c r="C1033" s="66" t="s">
        <v>3578</v>
      </c>
      <c r="D1033" s="66">
        <v>76913</v>
      </c>
      <c r="E1033" s="68" t="s">
        <v>4844</v>
      </c>
      <c r="F1033" s="66" t="s">
        <v>4845</v>
      </c>
      <c r="G1033" s="71">
        <v>6890</v>
      </c>
      <c r="H1033" s="73"/>
      <c r="I1033" s="75">
        <v>0.1</v>
      </c>
      <c r="J1033" s="77"/>
      <c r="K1033" s="66"/>
      <c r="L1033" s="66"/>
      <c r="M1033" s="79" t="str">
        <f>HYPERLINK("http://www.pristavka.com/catalog/funko/Fun76913/")</f>
        <v>http://www.pristavka.com/catalog/funko/Fun76913/</v>
      </c>
      <c r="N1033" s="71">
        <v>10599</v>
      </c>
      <c r="O1033" s="66" t="s">
        <v>27</v>
      </c>
      <c r="P1033" s="82" t="s">
        <v>4846</v>
      </c>
      <c r="Q1033" s="84" t="s">
        <v>1148</v>
      </c>
      <c r="R1033" s="84" t="s">
        <v>1068</v>
      </c>
      <c r="S1033" s="84">
        <v>0.19700000000000001</v>
      </c>
      <c r="T1033" s="82" t="s">
        <v>4084</v>
      </c>
      <c r="U1033" s="84" t="s">
        <v>3584</v>
      </c>
      <c r="V1033" s="54"/>
    </row>
    <row r="1034" spans="1:22" s="11" customFormat="1" ht="45" customHeight="1" x14ac:dyDescent="0.2">
      <c r="A1034" s="66" t="s">
        <v>3577</v>
      </c>
      <c r="B1034" s="66" t="s">
        <v>1707</v>
      </c>
      <c r="C1034" s="66" t="s">
        <v>3578</v>
      </c>
      <c r="D1034" s="66">
        <v>5304</v>
      </c>
      <c r="E1034" s="68" t="s">
        <v>4847</v>
      </c>
      <c r="F1034" s="66" t="s">
        <v>4848</v>
      </c>
      <c r="G1034" s="71">
        <v>6500</v>
      </c>
      <c r="H1034" s="73"/>
      <c r="I1034" s="75">
        <v>0.1</v>
      </c>
      <c r="J1034" s="77"/>
      <c r="K1034" s="66"/>
      <c r="L1034" s="66"/>
      <c r="M1034" s="79" t="str">
        <f>HYPERLINK("http://www.pristavka.com/catalog/funko/Fun282/")</f>
        <v>http://www.pristavka.com/catalog/funko/Fun282/</v>
      </c>
      <c r="N1034" s="71">
        <v>9999</v>
      </c>
      <c r="O1034" s="66" t="s">
        <v>27</v>
      </c>
      <c r="P1034" s="82" t="s">
        <v>4849</v>
      </c>
      <c r="Q1034" s="84" t="s">
        <v>1148</v>
      </c>
      <c r="R1034" s="84" t="s">
        <v>1068</v>
      </c>
      <c r="S1034" s="84">
        <v>0.22800000000000001</v>
      </c>
      <c r="T1034" s="82" t="s">
        <v>4102</v>
      </c>
      <c r="U1034" s="84" t="s">
        <v>3584</v>
      </c>
      <c r="V1034" s="54"/>
    </row>
    <row r="1035" spans="1:22" s="11" customFormat="1" ht="45" customHeight="1" x14ac:dyDescent="0.2">
      <c r="A1035" s="66" t="s">
        <v>3577</v>
      </c>
      <c r="B1035" s="66" t="s">
        <v>1707</v>
      </c>
      <c r="C1035" s="66" t="s">
        <v>3578</v>
      </c>
      <c r="D1035" s="66">
        <v>10425</v>
      </c>
      <c r="E1035" s="68" t="s">
        <v>4850</v>
      </c>
      <c r="F1035" s="66" t="s">
        <v>4851</v>
      </c>
      <c r="G1035" s="71">
        <v>6890</v>
      </c>
      <c r="H1035" s="73"/>
      <c r="I1035" s="75">
        <v>0.1</v>
      </c>
      <c r="J1035" s="77"/>
      <c r="K1035" s="66"/>
      <c r="L1035" s="66"/>
      <c r="M1035" s="79" t="str">
        <f>HYPERLINK("http://www.pristavka.com/catalog/funko/Fun10425/")</f>
        <v>http://www.pristavka.com/catalog/funko/Fun10425/</v>
      </c>
      <c r="N1035" s="71">
        <v>10599</v>
      </c>
      <c r="O1035" s="66" t="s">
        <v>27</v>
      </c>
      <c r="P1035" s="82" t="s">
        <v>4852</v>
      </c>
      <c r="Q1035" s="84" t="s">
        <v>1148</v>
      </c>
      <c r="R1035" s="84" t="s">
        <v>1068</v>
      </c>
      <c r="S1035" s="84">
        <v>0.224</v>
      </c>
      <c r="T1035" s="82" t="s">
        <v>4113</v>
      </c>
      <c r="U1035" s="84" t="s">
        <v>3584</v>
      </c>
      <c r="V1035" s="54"/>
    </row>
    <row r="1036" spans="1:22" s="11" customFormat="1" ht="45" customHeight="1" x14ac:dyDescent="0.2">
      <c r="A1036" s="66" t="s">
        <v>3577</v>
      </c>
      <c r="B1036" s="66" t="s">
        <v>1707</v>
      </c>
      <c r="C1036" s="66" t="s">
        <v>3578</v>
      </c>
      <c r="D1036" s="66">
        <v>83809</v>
      </c>
      <c r="E1036" s="68" t="s">
        <v>4853</v>
      </c>
      <c r="F1036" s="66" t="s">
        <v>4854</v>
      </c>
      <c r="G1036" s="71">
        <v>6500</v>
      </c>
      <c r="H1036" s="73"/>
      <c r="I1036" s="75">
        <v>0.1</v>
      </c>
      <c r="J1036" s="77"/>
      <c r="K1036" s="66"/>
      <c r="L1036" s="66"/>
      <c r="M1036" s="79" t="str">
        <f>HYPERLINK("http://www.pristavka.com/catalog/funko/Fun83809/")</f>
        <v>http://www.pristavka.com/catalog/funko/Fun83809/</v>
      </c>
      <c r="N1036" s="71">
        <v>9999</v>
      </c>
      <c r="O1036" s="66" t="s">
        <v>27</v>
      </c>
      <c r="P1036" s="82" t="s">
        <v>4855</v>
      </c>
      <c r="Q1036" s="84" t="s">
        <v>1148</v>
      </c>
      <c r="R1036" s="84" t="s">
        <v>1068</v>
      </c>
      <c r="S1036" s="84">
        <v>0.17</v>
      </c>
      <c r="T1036" s="82" t="s">
        <v>4084</v>
      </c>
      <c r="U1036" s="84" t="s">
        <v>3584</v>
      </c>
      <c r="V1036" s="54"/>
    </row>
    <row r="1037" spans="1:22" s="11" customFormat="1" ht="45" customHeight="1" x14ac:dyDescent="0.2">
      <c r="A1037" s="66" t="s">
        <v>3577</v>
      </c>
      <c r="B1037" s="66" t="s">
        <v>1707</v>
      </c>
      <c r="C1037" s="66" t="s">
        <v>3578</v>
      </c>
      <c r="D1037" s="66">
        <v>84975</v>
      </c>
      <c r="E1037" s="68" t="s">
        <v>4856</v>
      </c>
      <c r="F1037" s="66" t="s">
        <v>4857</v>
      </c>
      <c r="G1037" s="71">
        <v>6890</v>
      </c>
      <c r="H1037" s="73"/>
      <c r="I1037" s="75">
        <v>0.1</v>
      </c>
      <c r="J1037" s="77"/>
      <c r="K1037" s="66"/>
      <c r="L1037" s="66"/>
      <c r="M1037" s="79" t="str">
        <f>HYPERLINK("http://www.pristavka.com/catalog/funko/Fun84975/")</f>
        <v>http://www.pristavka.com/catalog/funko/Fun84975/</v>
      </c>
      <c r="N1037" s="71">
        <v>10599</v>
      </c>
      <c r="O1037" s="66" t="s">
        <v>27</v>
      </c>
      <c r="P1037" s="82" t="s">
        <v>4858</v>
      </c>
      <c r="Q1037" s="84" t="s">
        <v>1148</v>
      </c>
      <c r="R1037" s="84" t="s">
        <v>1068</v>
      </c>
      <c r="S1037" s="84">
        <v>0.16500000000000001</v>
      </c>
      <c r="T1037" s="82" t="s">
        <v>4113</v>
      </c>
      <c r="U1037" s="84" t="s">
        <v>3584</v>
      </c>
      <c r="V1037" s="54"/>
    </row>
    <row r="1038" spans="1:22" s="11" customFormat="1" ht="45" customHeight="1" x14ac:dyDescent="0.2">
      <c r="A1038" s="66" t="s">
        <v>3577</v>
      </c>
      <c r="B1038" s="66" t="s">
        <v>1707</v>
      </c>
      <c r="C1038" s="66" t="s">
        <v>3578</v>
      </c>
      <c r="D1038" s="66">
        <v>72109</v>
      </c>
      <c r="E1038" s="68" t="s">
        <v>4859</v>
      </c>
      <c r="F1038" s="66" t="s">
        <v>4860</v>
      </c>
      <c r="G1038" s="71">
        <v>6500</v>
      </c>
      <c r="H1038" s="73"/>
      <c r="I1038" s="75">
        <v>0.1</v>
      </c>
      <c r="J1038" s="77"/>
      <c r="K1038" s="66"/>
      <c r="L1038" s="66"/>
      <c r="M1038" s="79" t="str">
        <f>HYPERLINK("http://www.pristavka.com/catalog/funko/Fun72109/")</f>
        <v>http://www.pristavka.com/catalog/funko/Fun72109/</v>
      </c>
      <c r="N1038" s="71">
        <v>9999</v>
      </c>
      <c r="O1038" s="66" t="s">
        <v>27</v>
      </c>
      <c r="P1038" s="82" t="s">
        <v>4861</v>
      </c>
      <c r="Q1038" s="84" t="s">
        <v>1148</v>
      </c>
      <c r="R1038" s="84" t="s">
        <v>1068</v>
      </c>
      <c r="S1038" s="84">
        <v>0.185</v>
      </c>
      <c r="T1038" s="82" t="s">
        <v>4102</v>
      </c>
      <c r="U1038" s="84" t="s">
        <v>3584</v>
      </c>
      <c r="V1038" s="54"/>
    </row>
    <row r="1039" spans="1:22" s="11" customFormat="1" ht="45" customHeight="1" x14ac:dyDescent="0.2">
      <c r="A1039" s="66" t="s">
        <v>3577</v>
      </c>
      <c r="B1039" s="66" t="s">
        <v>1707</v>
      </c>
      <c r="C1039" s="66" t="s">
        <v>3578</v>
      </c>
      <c r="D1039" s="66">
        <v>80368</v>
      </c>
      <c r="E1039" s="68" t="s">
        <v>4862</v>
      </c>
      <c r="F1039" s="66" t="s">
        <v>4863</v>
      </c>
      <c r="G1039" s="71">
        <v>6500</v>
      </c>
      <c r="H1039" s="73"/>
      <c r="I1039" s="75">
        <v>0.1</v>
      </c>
      <c r="J1039" s="77"/>
      <c r="K1039" s="66"/>
      <c r="L1039" s="66"/>
      <c r="M1039" s="79" t="str">
        <f>HYPERLINK("http://www.pristavka.com/catalog/funko/Fun80368/")</f>
        <v>http://www.pristavka.com/catalog/funko/Fun80368/</v>
      </c>
      <c r="N1039" s="71">
        <v>9999</v>
      </c>
      <c r="O1039" s="66" t="s">
        <v>27</v>
      </c>
      <c r="P1039" s="82" t="s">
        <v>4864</v>
      </c>
      <c r="Q1039" s="84" t="s">
        <v>1148</v>
      </c>
      <c r="R1039" s="84" t="s">
        <v>1068</v>
      </c>
      <c r="S1039" s="84">
        <v>0.124</v>
      </c>
      <c r="T1039" s="82" t="s">
        <v>4084</v>
      </c>
      <c r="U1039" s="84" t="s">
        <v>3584</v>
      </c>
      <c r="V1039" s="54"/>
    </row>
    <row r="1040" spans="1:22" s="11" customFormat="1" ht="45" customHeight="1" x14ac:dyDescent="0.2">
      <c r="A1040" s="66" t="s">
        <v>3577</v>
      </c>
      <c r="B1040" s="66" t="s">
        <v>1707</v>
      </c>
      <c r="C1040" s="66" t="s">
        <v>3578</v>
      </c>
      <c r="D1040" s="66">
        <v>79394</v>
      </c>
      <c r="E1040" s="68" t="s">
        <v>4865</v>
      </c>
      <c r="F1040" s="66" t="s">
        <v>4866</v>
      </c>
      <c r="G1040" s="71">
        <v>0</v>
      </c>
      <c r="H1040" s="73"/>
      <c r="I1040" s="75">
        <v>0.1</v>
      </c>
      <c r="J1040" s="77"/>
      <c r="K1040" s="66"/>
      <c r="L1040" s="66"/>
      <c r="M1040" s="79" t="str">
        <f>HYPERLINK("https://pristavka.com/catalog/funko_figures/Fun79394/")</f>
        <v>https://pristavka.com/catalog/funko_figures/Fun79394/</v>
      </c>
      <c r="N1040" s="71"/>
      <c r="O1040" s="66" t="s">
        <v>27</v>
      </c>
      <c r="P1040" s="82" t="s">
        <v>4867</v>
      </c>
      <c r="Q1040" s="84" t="s">
        <v>1148</v>
      </c>
      <c r="R1040" s="84" t="s">
        <v>1068</v>
      </c>
      <c r="S1040" s="84">
        <v>0.125</v>
      </c>
      <c r="T1040" s="82" t="s">
        <v>4113</v>
      </c>
      <c r="U1040" s="84" t="s">
        <v>3584</v>
      </c>
      <c r="V1040" s="54"/>
    </row>
    <row r="1041" spans="1:22" s="11" customFormat="1" ht="45" customHeight="1" x14ac:dyDescent="0.2">
      <c r="A1041" s="66" t="s">
        <v>3577</v>
      </c>
      <c r="B1041" s="66" t="s">
        <v>1707</v>
      </c>
      <c r="C1041" s="66" t="s">
        <v>3578</v>
      </c>
      <c r="D1041" s="66">
        <v>27862</v>
      </c>
      <c r="E1041" s="68" t="s">
        <v>4868</v>
      </c>
      <c r="F1041" s="66" t="s">
        <v>4869</v>
      </c>
      <c r="G1041" s="71">
        <v>6500</v>
      </c>
      <c r="H1041" s="73"/>
      <c r="I1041" s="75">
        <v>0.1</v>
      </c>
      <c r="J1041" s="77"/>
      <c r="K1041" s="66"/>
      <c r="L1041" s="66"/>
      <c r="M1041" s="79" t="str">
        <f>HYPERLINK("http://www.pristavka.com/catalog/funko/Fun841/")</f>
        <v>http://www.pristavka.com/catalog/funko/Fun841/</v>
      </c>
      <c r="N1041" s="71">
        <v>9999</v>
      </c>
      <c r="O1041" s="66" t="s">
        <v>27</v>
      </c>
      <c r="P1041" s="82" t="s">
        <v>4870</v>
      </c>
      <c r="Q1041" s="84" t="s">
        <v>4871</v>
      </c>
      <c r="R1041" s="84" t="s">
        <v>1303</v>
      </c>
      <c r="S1041" s="84">
        <v>0.13</v>
      </c>
      <c r="T1041" s="82" t="s">
        <v>4102</v>
      </c>
      <c r="U1041" s="84" t="s">
        <v>3584</v>
      </c>
      <c r="V1041" s="54"/>
    </row>
    <row r="1042" spans="1:22" s="11" customFormat="1" ht="45" customHeight="1" x14ac:dyDescent="0.2">
      <c r="A1042" s="66" t="s">
        <v>3577</v>
      </c>
      <c r="B1042" s="66" t="s">
        <v>1707</v>
      </c>
      <c r="C1042" s="66" t="s">
        <v>3578</v>
      </c>
      <c r="D1042" s="66">
        <v>9015</v>
      </c>
      <c r="E1042" s="68" t="s">
        <v>4872</v>
      </c>
      <c r="F1042" s="66" t="s">
        <v>4873</v>
      </c>
      <c r="G1042" s="71">
        <v>6500</v>
      </c>
      <c r="H1042" s="73"/>
      <c r="I1042" s="75">
        <v>0.1</v>
      </c>
      <c r="J1042" s="77"/>
      <c r="K1042" s="66"/>
      <c r="L1042" s="66"/>
      <c r="M1042" s="79" t="str">
        <f>HYPERLINK("http://www.pristavka.com/catalog/funko/Fun843/")</f>
        <v>http://www.pristavka.com/catalog/funko/Fun843/</v>
      </c>
      <c r="N1042" s="71">
        <v>9999</v>
      </c>
      <c r="O1042" s="66" t="s">
        <v>27</v>
      </c>
      <c r="P1042" s="82" t="s">
        <v>4874</v>
      </c>
      <c r="Q1042" s="84" t="s">
        <v>4871</v>
      </c>
      <c r="R1042" s="84" t="s">
        <v>1303</v>
      </c>
      <c r="S1042" s="84">
        <v>0.13</v>
      </c>
      <c r="T1042" s="82" t="s">
        <v>4102</v>
      </c>
      <c r="U1042" s="84" t="s">
        <v>3584</v>
      </c>
      <c r="V1042" s="54"/>
    </row>
    <row r="1043" spans="1:22" s="11" customFormat="1" ht="45" customHeight="1" x14ac:dyDescent="0.2">
      <c r="A1043" s="66" t="s">
        <v>3577</v>
      </c>
      <c r="B1043" s="66" t="s">
        <v>1707</v>
      </c>
      <c r="C1043" s="66" t="s">
        <v>3578</v>
      </c>
      <c r="D1043" s="66">
        <v>55250</v>
      </c>
      <c r="E1043" s="68" t="s">
        <v>4875</v>
      </c>
      <c r="F1043" s="66" t="s">
        <v>4876</v>
      </c>
      <c r="G1043" s="71">
        <v>6500</v>
      </c>
      <c r="H1043" s="73"/>
      <c r="I1043" s="75">
        <v>0.1</v>
      </c>
      <c r="J1043" s="77"/>
      <c r="K1043" s="66"/>
      <c r="L1043" s="66"/>
      <c r="M1043" s="79" t="str">
        <f>HYPERLINK("http://www.pristavka.com/catalog/funko/Fun25491082/")</f>
        <v>http://www.pristavka.com/catalog/funko/Fun25491082/</v>
      </c>
      <c r="N1043" s="71">
        <v>9999</v>
      </c>
      <c r="O1043" s="66" t="s">
        <v>27</v>
      </c>
      <c r="P1043" s="82" t="s">
        <v>4877</v>
      </c>
      <c r="Q1043" s="84" t="s">
        <v>4871</v>
      </c>
      <c r="R1043" s="84" t="s">
        <v>1303</v>
      </c>
      <c r="S1043" s="84">
        <v>0.14000000000000001</v>
      </c>
      <c r="T1043" s="82" t="s">
        <v>4574</v>
      </c>
      <c r="U1043" s="84" t="s">
        <v>3584</v>
      </c>
      <c r="V1043" s="54"/>
    </row>
    <row r="1044" spans="1:22" s="11" customFormat="1" ht="45" customHeight="1" x14ac:dyDescent="0.2">
      <c r="A1044" s="66" t="s">
        <v>3577</v>
      </c>
      <c r="B1044" s="66" t="s">
        <v>1707</v>
      </c>
      <c r="C1044" s="66" t="s">
        <v>3578</v>
      </c>
      <c r="D1044" s="66">
        <v>12439</v>
      </c>
      <c r="E1044" s="68" t="s">
        <v>4878</v>
      </c>
      <c r="F1044" s="66" t="s">
        <v>4879</v>
      </c>
      <c r="G1044" s="71">
        <v>6500</v>
      </c>
      <c r="H1044" s="73"/>
      <c r="I1044" s="75">
        <v>0.1</v>
      </c>
      <c r="J1044" s="77"/>
      <c r="K1044" s="66"/>
      <c r="L1044" s="66"/>
      <c r="M1044" s="79" t="str">
        <f>HYPERLINK("http://www.pristavka.com/catalog/funko/Fun290/")</f>
        <v>http://www.pristavka.com/catalog/funko/Fun290/</v>
      </c>
      <c r="N1044" s="71">
        <v>9999</v>
      </c>
      <c r="O1044" s="66" t="s">
        <v>27</v>
      </c>
      <c r="P1044" s="82" t="s">
        <v>4880</v>
      </c>
      <c r="Q1044" s="84" t="s">
        <v>4871</v>
      </c>
      <c r="R1044" s="84" t="s">
        <v>1303</v>
      </c>
      <c r="S1044" s="84">
        <v>0.13</v>
      </c>
      <c r="T1044" s="82" t="s">
        <v>4102</v>
      </c>
      <c r="U1044" s="84" t="s">
        <v>3584</v>
      </c>
      <c r="V1044" s="54"/>
    </row>
    <row r="1045" spans="1:22" s="11" customFormat="1" ht="45" customHeight="1" x14ac:dyDescent="0.2">
      <c r="A1045" s="66" t="s">
        <v>3577</v>
      </c>
      <c r="B1045" s="66" t="s">
        <v>1707</v>
      </c>
      <c r="C1045" s="66" t="s">
        <v>3578</v>
      </c>
      <c r="D1045" s="66">
        <v>72060</v>
      </c>
      <c r="E1045" s="68" t="s">
        <v>4881</v>
      </c>
      <c r="F1045" s="66" t="s">
        <v>4882</v>
      </c>
      <c r="G1045" s="71">
        <v>6500</v>
      </c>
      <c r="H1045" s="73"/>
      <c r="I1045" s="75">
        <v>0.1</v>
      </c>
      <c r="J1045" s="77"/>
      <c r="K1045" s="66"/>
      <c r="L1045" s="66"/>
      <c r="M1045" s="79" t="str">
        <f>HYPERLINK("http://www.pristavka.com/catalog/funko/Fun72060/")</f>
        <v>http://www.pristavka.com/catalog/funko/Fun72060/</v>
      </c>
      <c r="N1045" s="71">
        <v>9999</v>
      </c>
      <c r="O1045" s="66" t="s">
        <v>27</v>
      </c>
      <c r="P1045" s="82" t="s">
        <v>4883</v>
      </c>
      <c r="Q1045" s="84" t="s">
        <v>4884</v>
      </c>
      <c r="R1045" s="84" t="s">
        <v>1068</v>
      </c>
      <c r="S1045" s="84">
        <v>0.156</v>
      </c>
      <c r="T1045" s="82" t="s">
        <v>4084</v>
      </c>
      <c r="U1045" s="84" t="s">
        <v>3584</v>
      </c>
      <c r="V1045" s="54"/>
    </row>
    <row r="1046" spans="1:22" s="11" customFormat="1" ht="45" customHeight="1" x14ac:dyDescent="0.2">
      <c r="A1046" s="66" t="s">
        <v>3577</v>
      </c>
      <c r="B1046" s="66" t="s">
        <v>1707</v>
      </c>
      <c r="C1046" s="66" t="s">
        <v>3578</v>
      </c>
      <c r="D1046" s="66">
        <v>72059</v>
      </c>
      <c r="E1046" s="68" t="s">
        <v>4885</v>
      </c>
      <c r="F1046" s="66" t="s">
        <v>4886</v>
      </c>
      <c r="G1046" s="71">
        <v>6500</v>
      </c>
      <c r="H1046" s="73"/>
      <c r="I1046" s="75">
        <v>0.1</v>
      </c>
      <c r="J1046" s="77"/>
      <c r="K1046" s="66"/>
      <c r="L1046" s="66"/>
      <c r="M1046" s="79" t="str">
        <f>HYPERLINK("http://www.pristavka.com/catalog/funko/Fun72059/")</f>
        <v>http://www.pristavka.com/catalog/funko/Fun72059/</v>
      </c>
      <c r="N1046" s="71">
        <v>9999</v>
      </c>
      <c r="O1046" s="66" t="s">
        <v>27</v>
      </c>
      <c r="P1046" s="82" t="s">
        <v>4887</v>
      </c>
      <c r="Q1046" s="84" t="s">
        <v>4884</v>
      </c>
      <c r="R1046" s="84" t="s">
        <v>1068</v>
      </c>
      <c r="S1046" s="84">
        <v>0.16</v>
      </c>
      <c r="T1046" s="82" t="s">
        <v>1355</v>
      </c>
      <c r="U1046" s="84" t="s">
        <v>3584</v>
      </c>
      <c r="V1046" s="54"/>
    </row>
    <row r="1047" spans="1:22" s="11" customFormat="1" ht="45" customHeight="1" x14ac:dyDescent="0.2">
      <c r="A1047" s="66" t="s">
        <v>3577</v>
      </c>
      <c r="B1047" s="66" t="s">
        <v>1707</v>
      </c>
      <c r="C1047" s="66" t="s">
        <v>3578</v>
      </c>
      <c r="D1047" s="66">
        <v>49277</v>
      </c>
      <c r="E1047" s="68" t="s">
        <v>4888</v>
      </c>
      <c r="F1047" s="66" t="s">
        <v>4889</v>
      </c>
      <c r="G1047" s="71">
        <v>6500</v>
      </c>
      <c r="H1047" s="73"/>
      <c r="I1047" s="75">
        <v>0.1</v>
      </c>
      <c r="J1047" s="77"/>
      <c r="K1047" s="66"/>
      <c r="L1047" s="66"/>
      <c r="M1047" s="79" t="str">
        <f>HYPERLINK("http://www.pristavka.com/catalog/funko/Fun25493076/")</f>
        <v>http://www.pristavka.com/catalog/funko/Fun25493076/</v>
      </c>
      <c r="N1047" s="71">
        <v>9999</v>
      </c>
      <c r="O1047" s="66" t="s">
        <v>27</v>
      </c>
      <c r="P1047" s="82" t="s">
        <v>4890</v>
      </c>
      <c r="Q1047" s="84" t="s">
        <v>4891</v>
      </c>
      <c r="R1047" s="84" t="s">
        <v>1303</v>
      </c>
      <c r="S1047" s="84">
        <v>0.121</v>
      </c>
      <c r="T1047" s="82" t="s">
        <v>4892</v>
      </c>
      <c r="U1047" s="84" t="s">
        <v>3584</v>
      </c>
      <c r="V1047" s="54"/>
    </row>
    <row r="1048" spans="1:22" s="11" customFormat="1" ht="45" customHeight="1" x14ac:dyDescent="0.2">
      <c r="A1048" s="66" t="s">
        <v>3577</v>
      </c>
      <c r="B1048" s="66" t="s">
        <v>1707</v>
      </c>
      <c r="C1048" s="66" t="s">
        <v>3578</v>
      </c>
      <c r="D1048" s="66">
        <v>57372</v>
      </c>
      <c r="E1048" s="68" t="s">
        <v>4893</v>
      </c>
      <c r="F1048" s="66" t="s">
        <v>4894</v>
      </c>
      <c r="G1048" s="71">
        <v>6500</v>
      </c>
      <c r="H1048" s="73"/>
      <c r="I1048" s="75">
        <v>0.1</v>
      </c>
      <c r="J1048" s="77"/>
      <c r="K1048" s="66"/>
      <c r="L1048" s="66"/>
      <c r="M1048" s="79" t="str">
        <f>HYPERLINK("http://www.pristavka.com/catalog/funko/Fun25493078/")</f>
        <v>http://www.pristavka.com/catalog/funko/Fun25493078/</v>
      </c>
      <c r="N1048" s="71">
        <v>9999</v>
      </c>
      <c r="O1048" s="66" t="s">
        <v>27</v>
      </c>
      <c r="P1048" s="82" t="s">
        <v>4895</v>
      </c>
      <c r="Q1048" s="84" t="s">
        <v>4891</v>
      </c>
      <c r="R1048" s="84" t="s">
        <v>1303</v>
      </c>
      <c r="S1048" s="84">
        <v>0.155</v>
      </c>
      <c r="T1048" s="82" t="s">
        <v>4892</v>
      </c>
      <c r="U1048" s="84" t="s">
        <v>3584</v>
      </c>
      <c r="V1048" s="54"/>
    </row>
    <row r="1049" spans="1:22" s="11" customFormat="1" ht="45" customHeight="1" x14ac:dyDescent="0.2">
      <c r="A1049" s="66" t="s">
        <v>3577</v>
      </c>
      <c r="B1049" s="66" t="s">
        <v>1707</v>
      </c>
      <c r="C1049" s="66" t="s">
        <v>3578</v>
      </c>
      <c r="D1049" s="66">
        <v>83466</v>
      </c>
      <c r="E1049" s="68" t="s">
        <v>4896</v>
      </c>
      <c r="F1049" s="66" t="s">
        <v>4897</v>
      </c>
      <c r="G1049" s="71">
        <v>6500</v>
      </c>
      <c r="H1049" s="73"/>
      <c r="I1049" s="75">
        <v>0.1</v>
      </c>
      <c r="J1049" s="77"/>
      <c r="K1049" s="66"/>
      <c r="L1049" s="66"/>
      <c r="M1049" s="79" t="str">
        <f>HYPERLINK("http://www.pristavka.com/catalog/funko/Fun83466/")</f>
        <v>http://www.pristavka.com/catalog/funko/Fun83466/</v>
      </c>
      <c r="N1049" s="71">
        <v>9999</v>
      </c>
      <c r="O1049" s="66" t="s">
        <v>27</v>
      </c>
      <c r="P1049" s="82" t="s">
        <v>4898</v>
      </c>
      <c r="Q1049" s="84" t="s">
        <v>4891</v>
      </c>
      <c r="R1049" s="84" t="s">
        <v>1303</v>
      </c>
      <c r="S1049" s="84">
        <v>0.17499999999999999</v>
      </c>
      <c r="T1049" s="82" t="s">
        <v>4113</v>
      </c>
      <c r="U1049" s="84" t="s">
        <v>3584</v>
      </c>
      <c r="V1049" s="54"/>
    </row>
    <row r="1050" spans="1:22" s="11" customFormat="1" ht="45" customHeight="1" x14ac:dyDescent="0.2">
      <c r="A1050" s="66" t="s">
        <v>3577</v>
      </c>
      <c r="B1050" s="66" t="s">
        <v>1707</v>
      </c>
      <c r="C1050" s="66" t="s">
        <v>3578</v>
      </c>
      <c r="D1050" s="66">
        <v>39947</v>
      </c>
      <c r="E1050" s="68" t="s">
        <v>4899</v>
      </c>
      <c r="F1050" s="66" t="s">
        <v>4900</v>
      </c>
      <c r="G1050" s="71">
        <v>6500</v>
      </c>
      <c r="H1050" s="73"/>
      <c r="I1050" s="75">
        <v>0.1</v>
      </c>
      <c r="J1050" s="77"/>
      <c r="K1050" s="66"/>
      <c r="L1050" s="66"/>
      <c r="M1050" s="79" t="str">
        <f>HYPERLINK("http://www.pristavka.com/catalog/funko/Fun2397/")</f>
        <v>http://www.pristavka.com/catalog/funko/Fun2397/</v>
      </c>
      <c r="N1050" s="71">
        <v>9999</v>
      </c>
      <c r="O1050" s="66" t="s">
        <v>27</v>
      </c>
      <c r="P1050" s="82" t="s">
        <v>4901</v>
      </c>
      <c r="Q1050" s="84" t="s">
        <v>4902</v>
      </c>
      <c r="R1050" s="84" t="s">
        <v>1303</v>
      </c>
      <c r="S1050" s="84">
        <v>0.14000000000000001</v>
      </c>
      <c r="T1050" s="82" t="s">
        <v>4903</v>
      </c>
      <c r="U1050" s="84" t="s">
        <v>3584</v>
      </c>
      <c r="V1050" s="54"/>
    </row>
    <row r="1051" spans="1:22" s="11" customFormat="1" ht="45" customHeight="1" x14ac:dyDescent="0.2">
      <c r="A1051" s="66" t="s">
        <v>3577</v>
      </c>
      <c r="B1051" s="66" t="s">
        <v>1707</v>
      </c>
      <c r="C1051" s="66" t="s">
        <v>3578</v>
      </c>
      <c r="D1051" s="66">
        <v>75536</v>
      </c>
      <c r="E1051" s="68" t="s">
        <v>4904</v>
      </c>
      <c r="F1051" s="66" t="s">
        <v>4905</v>
      </c>
      <c r="G1051" s="71">
        <v>6500</v>
      </c>
      <c r="H1051" s="73"/>
      <c r="I1051" s="75">
        <v>0.1</v>
      </c>
      <c r="J1051" s="77"/>
      <c r="K1051" s="66"/>
      <c r="L1051" s="66"/>
      <c r="M1051" s="79" t="str">
        <f>HYPERLINK("http://www.pristavka.com/catalog/funko/Fun75536/")</f>
        <v>http://www.pristavka.com/catalog/funko/Fun75536/</v>
      </c>
      <c r="N1051" s="71">
        <v>9999</v>
      </c>
      <c r="O1051" s="66" t="s">
        <v>27</v>
      </c>
      <c r="P1051" s="82" t="s">
        <v>4906</v>
      </c>
      <c r="Q1051" s="84" t="s">
        <v>1201</v>
      </c>
      <c r="R1051" s="84" t="s">
        <v>1068</v>
      </c>
      <c r="S1051" s="84">
        <v>0.14099999999999999</v>
      </c>
      <c r="T1051" s="82" t="s">
        <v>4084</v>
      </c>
      <c r="U1051" s="84" t="s">
        <v>3584</v>
      </c>
      <c r="V1051" s="54"/>
    </row>
    <row r="1052" spans="1:22" s="11" customFormat="1" ht="45" customHeight="1" x14ac:dyDescent="0.2">
      <c r="A1052" s="66" t="s">
        <v>3577</v>
      </c>
      <c r="B1052" s="66" t="s">
        <v>1707</v>
      </c>
      <c r="C1052" s="66" t="s">
        <v>3578</v>
      </c>
      <c r="D1052" s="66">
        <v>75537</v>
      </c>
      <c r="E1052" s="68" t="s">
        <v>4907</v>
      </c>
      <c r="F1052" s="66" t="s">
        <v>4908</v>
      </c>
      <c r="G1052" s="71">
        <v>6500</v>
      </c>
      <c r="H1052" s="73"/>
      <c r="I1052" s="75">
        <v>0.1</v>
      </c>
      <c r="J1052" s="77"/>
      <c r="K1052" s="66"/>
      <c r="L1052" s="66"/>
      <c r="M1052" s="79" t="str">
        <f>HYPERLINK("http://www.pristavka.com/catalog/funko/Fun75537/")</f>
        <v>http://www.pristavka.com/catalog/funko/Fun75537/</v>
      </c>
      <c r="N1052" s="71">
        <v>9999</v>
      </c>
      <c r="O1052" s="66" t="s">
        <v>27</v>
      </c>
      <c r="P1052" s="82" t="s">
        <v>4909</v>
      </c>
      <c r="Q1052" s="84" t="s">
        <v>1201</v>
      </c>
      <c r="R1052" s="84" t="s">
        <v>1068</v>
      </c>
      <c r="S1052" s="84">
        <v>0.16400000000000001</v>
      </c>
      <c r="T1052" s="82" t="s">
        <v>4113</v>
      </c>
      <c r="U1052" s="84" t="s">
        <v>3584</v>
      </c>
      <c r="V1052" s="54"/>
    </row>
    <row r="1053" spans="1:22" s="11" customFormat="1" ht="45" customHeight="1" x14ac:dyDescent="0.2">
      <c r="A1053" s="66" t="s">
        <v>3577</v>
      </c>
      <c r="B1053" s="66" t="s">
        <v>1707</v>
      </c>
      <c r="C1053" s="66" t="s">
        <v>3578</v>
      </c>
      <c r="D1053" s="66">
        <v>61384</v>
      </c>
      <c r="E1053" s="68" t="s">
        <v>4910</v>
      </c>
      <c r="F1053" s="66" t="s">
        <v>4911</v>
      </c>
      <c r="G1053" s="71">
        <v>6500</v>
      </c>
      <c r="H1053" s="73"/>
      <c r="I1053" s="75">
        <v>0.1</v>
      </c>
      <c r="J1053" s="77"/>
      <c r="K1053" s="66"/>
      <c r="L1053" s="66"/>
      <c r="M1053" s="79" t="str">
        <f>HYPERLINK("http://www.pristavka.com/catalog/funko/Fun61384/")</f>
        <v>http://www.pristavka.com/catalog/funko/Fun61384/</v>
      </c>
      <c r="N1053" s="71">
        <v>9999</v>
      </c>
      <c r="O1053" s="66" t="s">
        <v>27</v>
      </c>
      <c r="P1053" s="82" t="s">
        <v>4912</v>
      </c>
      <c r="Q1053" s="84" t="s">
        <v>1201</v>
      </c>
      <c r="R1053" s="84" t="s">
        <v>1068</v>
      </c>
      <c r="S1053" s="84">
        <v>0.14499999999999999</v>
      </c>
      <c r="T1053" s="82" t="s">
        <v>4091</v>
      </c>
      <c r="U1053" s="84" t="s">
        <v>3584</v>
      </c>
      <c r="V1053" s="54"/>
    </row>
    <row r="1054" spans="1:22" s="11" customFormat="1" ht="45" customHeight="1" x14ac:dyDescent="0.2">
      <c r="A1054" s="66" t="s">
        <v>3577</v>
      </c>
      <c r="B1054" s="66" t="s">
        <v>1707</v>
      </c>
      <c r="C1054" s="66" t="s">
        <v>3578</v>
      </c>
      <c r="D1054" s="66">
        <v>75538</v>
      </c>
      <c r="E1054" s="68" t="s">
        <v>4913</v>
      </c>
      <c r="F1054" s="66" t="s">
        <v>4914</v>
      </c>
      <c r="G1054" s="71">
        <v>6500</v>
      </c>
      <c r="H1054" s="73"/>
      <c r="I1054" s="75">
        <v>0.1</v>
      </c>
      <c r="J1054" s="77"/>
      <c r="K1054" s="66"/>
      <c r="L1054" s="66"/>
      <c r="M1054" s="79" t="str">
        <f>HYPERLINK("http://www.pristavka.com/catalog/funko/Fun75538/")</f>
        <v>http://www.pristavka.com/catalog/funko/Fun75538/</v>
      </c>
      <c r="N1054" s="71">
        <v>9999</v>
      </c>
      <c r="O1054" s="66" t="s">
        <v>27</v>
      </c>
      <c r="P1054" s="82" t="s">
        <v>4915</v>
      </c>
      <c r="Q1054" s="84" t="s">
        <v>1201</v>
      </c>
      <c r="R1054" s="84" t="s">
        <v>1068</v>
      </c>
      <c r="S1054" s="84">
        <v>0.157</v>
      </c>
      <c r="T1054" s="82" t="s">
        <v>4084</v>
      </c>
      <c r="U1054" s="84" t="s">
        <v>3584</v>
      </c>
      <c r="V1054" s="54"/>
    </row>
    <row r="1055" spans="1:22" s="11" customFormat="1" ht="45" customHeight="1" x14ac:dyDescent="0.2">
      <c r="A1055" s="66" t="s">
        <v>3577</v>
      </c>
      <c r="B1055" s="66" t="s">
        <v>1707</v>
      </c>
      <c r="C1055" s="66" t="s">
        <v>3578</v>
      </c>
      <c r="D1055" s="66">
        <v>75539</v>
      </c>
      <c r="E1055" s="68" t="s">
        <v>4916</v>
      </c>
      <c r="F1055" s="66" t="s">
        <v>4917</v>
      </c>
      <c r="G1055" s="71">
        <v>6500</v>
      </c>
      <c r="H1055" s="73"/>
      <c r="I1055" s="75">
        <v>0.1</v>
      </c>
      <c r="J1055" s="77"/>
      <c r="K1055" s="66"/>
      <c r="L1055" s="66"/>
      <c r="M1055" s="79" t="str">
        <f>HYPERLINK("http://www.pristavka.com/catalog/funko/Fun75539/")</f>
        <v>http://www.pristavka.com/catalog/funko/Fun75539/</v>
      </c>
      <c r="N1055" s="71">
        <v>9999</v>
      </c>
      <c r="O1055" s="66" t="s">
        <v>27</v>
      </c>
      <c r="P1055" s="82" t="s">
        <v>4918</v>
      </c>
      <c r="Q1055" s="84" t="s">
        <v>1201</v>
      </c>
      <c r="R1055" s="84" t="s">
        <v>1068</v>
      </c>
      <c r="S1055" s="84">
        <v>0.159</v>
      </c>
      <c r="T1055" s="82" t="s">
        <v>4084</v>
      </c>
      <c r="U1055" s="84" t="s">
        <v>3584</v>
      </c>
      <c r="V1055" s="54"/>
    </row>
    <row r="1056" spans="1:22" s="11" customFormat="1" ht="45" customHeight="1" x14ac:dyDescent="0.2">
      <c r="A1056" s="66" t="s">
        <v>3577</v>
      </c>
      <c r="B1056" s="66" t="s">
        <v>1707</v>
      </c>
      <c r="C1056" s="66" t="s">
        <v>3578</v>
      </c>
      <c r="D1056" s="66">
        <v>83499</v>
      </c>
      <c r="E1056" s="68" t="s">
        <v>4919</v>
      </c>
      <c r="F1056" s="66" t="s">
        <v>4920</v>
      </c>
      <c r="G1056" s="71">
        <v>6500</v>
      </c>
      <c r="H1056" s="73"/>
      <c r="I1056" s="75">
        <v>0.1</v>
      </c>
      <c r="J1056" s="77"/>
      <c r="K1056" s="66"/>
      <c r="L1056" s="66"/>
      <c r="M1056" s="79" t="str">
        <f>HYPERLINK("http://www.pristavka.com/catalog/funko/Fun83499/")</f>
        <v>http://www.pristavka.com/catalog/funko/Fun83499/</v>
      </c>
      <c r="N1056" s="71">
        <v>9999</v>
      </c>
      <c r="O1056" s="66" t="s">
        <v>27</v>
      </c>
      <c r="P1056" s="82" t="s">
        <v>4921</v>
      </c>
      <c r="Q1056" s="84" t="s">
        <v>4922</v>
      </c>
      <c r="R1056" s="84" t="s">
        <v>1765</v>
      </c>
      <c r="S1056" s="84">
        <v>0.182</v>
      </c>
      <c r="T1056" s="82" t="s">
        <v>4091</v>
      </c>
      <c r="U1056" s="84" t="s">
        <v>3584</v>
      </c>
      <c r="V1056" s="54"/>
    </row>
    <row r="1057" spans="1:22" s="11" customFormat="1" ht="45" customHeight="1" x14ac:dyDescent="0.2">
      <c r="A1057" s="66" t="s">
        <v>3577</v>
      </c>
      <c r="B1057" s="66" t="s">
        <v>1707</v>
      </c>
      <c r="C1057" s="66" t="s">
        <v>3578</v>
      </c>
      <c r="D1057" s="66">
        <v>39724</v>
      </c>
      <c r="E1057" s="68" t="s">
        <v>4923</v>
      </c>
      <c r="F1057" s="66" t="s">
        <v>4924</v>
      </c>
      <c r="G1057" s="71">
        <v>6500</v>
      </c>
      <c r="H1057" s="73"/>
      <c r="I1057" s="75">
        <v>0.1</v>
      </c>
      <c r="J1057" s="77"/>
      <c r="K1057" s="66"/>
      <c r="L1057" s="66"/>
      <c r="M1057" s="79" t="str">
        <f>HYPERLINK("http://www.pristavka.com/catalog/funko/Fun2495/")</f>
        <v>http://www.pristavka.com/catalog/funko/Fun2495/</v>
      </c>
      <c r="N1057" s="71">
        <v>9999</v>
      </c>
      <c r="O1057" s="66" t="s">
        <v>27</v>
      </c>
      <c r="P1057" s="82" t="s">
        <v>4925</v>
      </c>
      <c r="Q1057" s="84" t="s">
        <v>3991</v>
      </c>
      <c r="R1057" s="84" t="s">
        <v>3992</v>
      </c>
      <c r="S1057" s="84">
        <v>0.17</v>
      </c>
      <c r="T1057" s="82" t="s">
        <v>4102</v>
      </c>
      <c r="U1057" s="84" t="s">
        <v>3584</v>
      </c>
      <c r="V1057" s="54"/>
    </row>
    <row r="1058" spans="1:22" s="11" customFormat="1" ht="45" customHeight="1" x14ac:dyDescent="0.2">
      <c r="A1058" s="66" t="s">
        <v>3577</v>
      </c>
      <c r="B1058" s="66" t="s">
        <v>1707</v>
      </c>
      <c r="C1058" s="66" t="s">
        <v>3578</v>
      </c>
      <c r="D1058" s="66">
        <v>88836</v>
      </c>
      <c r="E1058" s="68" t="s">
        <v>4926</v>
      </c>
      <c r="F1058" s="66" t="s">
        <v>4927</v>
      </c>
      <c r="G1058" s="71">
        <v>6500</v>
      </c>
      <c r="H1058" s="73"/>
      <c r="I1058" s="75">
        <v>0.1</v>
      </c>
      <c r="J1058" s="77"/>
      <c r="K1058" s="66"/>
      <c r="L1058" s="66"/>
      <c r="M1058" s="79" t="str">
        <f>HYPERLINK("http://www.pristavka.com/catalog/funko/Fun88836/")</f>
        <v>http://www.pristavka.com/catalog/funko/Fun88836/</v>
      </c>
      <c r="N1058" s="71">
        <v>9999</v>
      </c>
      <c r="O1058" s="66" t="s">
        <v>27</v>
      </c>
      <c r="P1058" s="82" t="s">
        <v>4928</v>
      </c>
      <c r="Q1058" s="84" t="s">
        <v>4929</v>
      </c>
      <c r="R1058" s="84" t="s">
        <v>1765</v>
      </c>
      <c r="S1058" s="84">
        <v>0.16400000000000001</v>
      </c>
      <c r="T1058" s="82" t="s">
        <v>4113</v>
      </c>
      <c r="U1058" s="84" t="s">
        <v>3584</v>
      </c>
      <c r="V1058" s="54"/>
    </row>
    <row r="1059" spans="1:22" s="11" customFormat="1" ht="45" customHeight="1" x14ac:dyDescent="0.2">
      <c r="A1059" s="66" t="s">
        <v>3577</v>
      </c>
      <c r="B1059" s="66" t="s">
        <v>1707</v>
      </c>
      <c r="C1059" s="66" t="s">
        <v>3578</v>
      </c>
      <c r="D1059" s="66">
        <v>75733</v>
      </c>
      <c r="E1059" s="68" t="s">
        <v>4930</v>
      </c>
      <c r="F1059" s="66" t="s">
        <v>4931</v>
      </c>
      <c r="G1059" s="71">
        <v>6500</v>
      </c>
      <c r="H1059" s="73"/>
      <c r="I1059" s="75">
        <v>0.1</v>
      </c>
      <c r="J1059" s="77"/>
      <c r="K1059" s="66"/>
      <c r="L1059" s="66"/>
      <c r="M1059" s="79" t="str">
        <f>HYPERLINK("http://www.pristavka.com/catalog/funko/Fun75733/")</f>
        <v>http://www.pristavka.com/catalog/funko/Fun75733/</v>
      </c>
      <c r="N1059" s="71">
        <v>9999</v>
      </c>
      <c r="O1059" s="66" t="s">
        <v>27</v>
      </c>
      <c r="P1059" s="82" t="s">
        <v>4932</v>
      </c>
      <c r="Q1059" s="84" t="s">
        <v>4933</v>
      </c>
      <c r="R1059" s="84" t="s">
        <v>1298</v>
      </c>
      <c r="S1059" s="84">
        <v>0.11</v>
      </c>
      <c r="T1059" s="82" t="s">
        <v>4084</v>
      </c>
      <c r="U1059" s="84" t="s">
        <v>3584</v>
      </c>
      <c r="V1059" s="54"/>
    </row>
    <row r="1060" spans="1:22" s="11" customFormat="1" ht="45" customHeight="1" x14ac:dyDescent="0.2">
      <c r="A1060" s="66" t="s">
        <v>3577</v>
      </c>
      <c r="B1060" s="66" t="s">
        <v>1707</v>
      </c>
      <c r="C1060" s="66" t="s">
        <v>3578</v>
      </c>
      <c r="D1060" s="66">
        <v>75738</v>
      </c>
      <c r="E1060" s="68" t="s">
        <v>4934</v>
      </c>
      <c r="F1060" s="66" t="s">
        <v>4935</v>
      </c>
      <c r="G1060" s="71">
        <v>6500</v>
      </c>
      <c r="H1060" s="73"/>
      <c r="I1060" s="75">
        <v>0.1</v>
      </c>
      <c r="J1060" s="77"/>
      <c r="K1060" s="66"/>
      <c r="L1060" s="66"/>
      <c r="M1060" s="79" t="str">
        <f>HYPERLINK("http://www.pristavka.com/catalog/funko/Fun75738/")</f>
        <v>http://www.pristavka.com/catalog/funko/Fun75738/</v>
      </c>
      <c r="N1060" s="71">
        <v>9999</v>
      </c>
      <c r="O1060" s="66" t="s">
        <v>27</v>
      </c>
      <c r="P1060" s="82" t="s">
        <v>4936</v>
      </c>
      <c r="Q1060" s="84" t="s">
        <v>4933</v>
      </c>
      <c r="R1060" s="84" t="s">
        <v>1298</v>
      </c>
      <c r="S1060" s="84">
        <v>0.16</v>
      </c>
      <c r="T1060" s="82" t="s">
        <v>4113</v>
      </c>
      <c r="U1060" s="84" t="s">
        <v>3584</v>
      </c>
      <c r="V1060" s="54"/>
    </row>
    <row r="1061" spans="1:22" s="11" customFormat="1" ht="45" customHeight="1" x14ac:dyDescent="0.2">
      <c r="A1061" s="66" t="s">
        <v>3577</v>
      </c>
      <c r="B1061" s="66" t="s">
        <v>1707</v>
      </c>
      <c r="C1061" s="66" t="s">
        <v>3578</v>
      </c>
      <c r="D1061" s="66">
        <v>86528</v>
      </c>
      <c r="E1061" s="68" t="s">
        <v>4937</v>
      </c>
      <c r="F1061" s="66" t="s">
        <v>4938</v>
      </c>
      <c r="G1061" s="71">
        <v>6500</v>
      </c>
      <c r="H1061" s="73"/>
      <c r="I1061" s="75">
        <v>0.1</v>
      </c>
      <c r="J1061" s="77"/>
      <c r="K1061" s="66"/>
      <c r="L1061" s="66"/>
      <c r="M1061" s="79" t="str">
        <f>HYPERLINK("http://www.pristavka.com/catalog/funko/Fun86528/")</f>
        <v>http://www.pristavka.com/catalog/funko/Fun86528/</v>
      </c>
      <c r="N1061" s="71">
        <v>9999</v>
      </c>
      <c r="O1061" s="66" t="s">
        <v>27</v>
      </c>
      <c r="P1061" s="82" t="s">
        <v>4939</v>
      </c>
      <c r="Q1061" s="84" t="s">
        <v>1067</v>
      </c>
      <c r="R1061" s="84" t="s">
        <v>1068</v>
      </c>
      <c r="S1061" s="84">
        <v>0.15</v>
      </c>
      <c r="T1061" s="82" t="s">
        <v>4084</v>
      </c>
      <c r="U1061" s="84" t="s">
        <v>3584</v>
      </c>
      <c r="V1061" s="54"/>
    </row>
    <row r="1062" spans="1:22" s="11" customFormat="1" ht="45" customHeight="1" x14ac:dyDescent="0.2">
      <c r="A1062" s="66" t="s">
        <v>3577</v>
      </c>
      <c r="B1062" s="66" t="s">
        <v>1707</v>
      </c>
      <c r="C1062" s="66" t="s">
        <v>3578</v>
      </c>
      <c r="D1062" s="66">
        <v>86529</v>
      </c>
      <c r="E1062" s="68" t="s">
        <v>4940</v>
      </c>
      <c r="F1062" s="66" t="s">
        <v>4941</v>
      </c>
      <c r="G1062" s="71">
        <v>6500</v>
      </c>
      <c r="H1062" s="73"/>
      <c r="I1062" s="75">
        <v>0.1</v>
      </c>
      <c r="J1062" s="77"/>
      <c r="K1062" s="66"/>
      <c r="L1062" s="66"/>
      <c r="M1062" s="79" t="str">
        <f>HYPERLINK("http://www.pristavka.com/catalog/funko/Fun86529/")</f>
        <v>http://www.pristavka.com/catalog/funko/Fun86529/</v>
      </c>
      <c r="N1062" s="71">
        <v>9999</v>
      </c>
      <c r="O1062" s="66" t="s">
        <v>27</v>
      </c>
      <c r="P1062" s="82" t="s">
        <v>4942</v>
      </c>
      <c r="Q1062" s="84" t="s">
        <v>1067</v>
      </c>
      <c r="R1062" s="84" t="s">
        <v>1068</v>
      </c>
      <c r="S1062" s="84">
        <v>0.13600000000000001</v>
      </c>
      <c r="T1062" s="82" t="s">
        <v>4084</v>
      </c>
      <c r="U1062" s="84" t="s">
        <v>3584</v>
      </c>
      <c r="V1062" s="54"/>
    </row>
    <row r="1063" spans="1:22" s="11" customFormat="1" ht="45" customHeight="1" x14ac:dyDescent="0.2">
      <c r="A1063" s="66" t="s">
        <v>3577</v>
      </c>
      <c r="B1063" s="66" t="s">
        <v>1707</v>
      </c>
      <c r="C1063" s="66" t="s">
        <v>3578</v>
      </c>
      <c r="D1063" s="66">
        <v>86530</v>
      </c>
      <c r="E1063" s="68" t="s">
        <v>4943</v>
      </c>
      <c r="F1063" s="66" t="s">
        <v>4944</v>
      </c>
      <c r="G1063" s="71">
        <v>6500</v>
      </c>
      <c r="H1063" s="73"/>
      <c r="I1063" s="75">
        <v>0.1</v>
      </c>
      <c r="J1063" s="77"/>
      <c r="K1063" s="66"/>
      <c r="L1063" s="66"/>
      <c r="M1063" s="79" t="str">
        <f>HYPERLINK("http://www.pristavka.com/catalog/funko/Fun86530/")</f>
        <v>http://www.pristavka.com/catalog/funko/Fun86530/</v>
      </c>
      <c r="N1063" s="71">
        <v>9999</v>
      </c>
      <c r="O1063" s="66" t="s">
        <v>27</v>
      </c>
      <c r="P1063" s="82" t="s">
        <v>4945</v>
      </c>
      <c r="Q1063" s="84" t="s">
        <v>1067</v>
      </c>
      <c r="R1063" s="84" t="s">
        <v>1068</v>
      </c>
      <c r="S1063" s="84">
        <v>0.13800000000000001</v>
      </c>
      <c r="T1063" s="82" t="s">
        <v>4946</v>
      </c>
      <c r="U1063" s="84" t="s">
        <v>3584</v>
      </c>
      <c r="V1063" s="54"/>
    </row>
    <row r="1064" spans="1:22" s="11" customFormat="1" ht="45" customHeight="1" x14ac:dyDescent="0.2">
      <c r="A1064" s="66" t="s">
        <v>3577</v>
      </c>
      <c r="B1064" s="66" t="s">
        <v>1707</v>
      </c>
      <c r="C1064" s="66" t="s">
        <v>3578</v>
      </c>
      <c r="D1064" s="66">
        <v>83532</v>
      </c>
      <c r="E1064" s="68" t="s">
        <v>4947</v>
      </c>
      <c r="F1064" s="66" t="s">
        <v>4948</v>
      </c>
      <c r="G1064" s="71">
        <v>0</v>
      </c>
      <c r="H1064" s="73"/>
      <c r="I1064" s="75">
        <v>0.1</v>
      </c>
      <c r="J1064" s="77"/>
      <c r="K1064" s="66"/>
      <c r="L1064" s="66"/>
      <c r="M1064" s="79" t="str">
        <f>HYPERLINK("http://www.pristavka.com/catalog/funko/Fun83532/")</f>
        <v>http://www.pristavka.com/catalog/funko/Fun83532/</v>
      </c>
      <c r="N1064" s="71"/>
      <c r="O1064" s="66" t="s">
        <v>27</v>
      </c>
      <c r="P1064" s="82" t="s">
        <v>4949</v>
      </c>
      <c r="Q1064" s="84" t="s">
        <v>1765</v>
      </c>
      <c r="R1064" s="84" t="s">
        <v>1765</v>
      </c>
      <c r="S1064" s="84">
        <v>0.13400000000000001</v>
      </c>
      <c r="T1064" s="82" t="s">
        <v>4091</v>
      </c>
      <c r="U1064" s="84" t="s">
        <v>3584</v>
      </c>
      <c r="V1064" s="54"/>
    </row>
    <row r="1065" spans="1:22" s="11" customFormat="1" ht="45" customHeight="1" x14ac:dyDescent="0.2">
      <c r="A1065" s="66" t="s">
        <v>3577</v>
      </c>
      <c r="B1065" s="66" t="s">
        <v>1707</v>
      </c>
      <c r="C1065" s="66" t="s">
        <v>3578</v>
      </c>
      <c r="D1065" s="66">
        <v>83533</v>
      </c>
      <c r="E1065" s="68" t="s">
        <v>4950</v>
      </c>
      <c r="F1065" s="66" t="s">
        <v>4951</v>
      </c>
      <c r="G1065" s="71">
        <v>0</v>
      </c>
      <c r="H1065" s="73"/>
      <c r="I1065" s="75">
        <v>0.1</v>
      </c>
      <c r="J1065" s="77"/>
      <c r="K1065" s="66"/>
      <c r="L1065" s="66"/>
      <c r="M1065" s="79" t="str">
        <f>HYPERLINK("http://www.pristavka.com/catalog/funko/Fun83533/")</f>
        <v>http://www.pristavka.com/catalog/funko/Fun83533/</v>
      </c>
      <c r="N1065" s="71"/>
      <c r="O1065" s="66" t="s">
        <v>27</v>
      </c>
      <c r="P1065" s="82" t="s">
        <v>4952</v>
      </c>
      <c r="Q1065" s="84" t="s">
        <v>1765</v>
      </c>
      <c r="R1065" s="84" t="s">
        <v>1765</v>
      </c>
      <c r="S1065" s="84">
        <v>0.13</v>
      </c>
      <c r="T1065" s="82" t="s">
        <v>4113</v>
      </c>
      <c r="U1065" s="84" t="s">
        <v>3584</v>
      </c>
      <c r="V1065" s="54"/>
    </row>
    <row r="1066" spans="1:22" s="11" customFormat="1" ht="45" customHeight="1" x14ac:dyDescent="0.2">
      <c r="A1066" s="66" t="s">
        <v>3577</v>
      </c>
      <c r="B1066" s="66" t="s">
        <v>1707</v>
      </c>
      <c r="C1066" s="66" t="s">
        <v>3578</v>
      </c>
      <c r="D1066" s="66">
        <v>83534</v>
      </c>
      <c r="E1066" s="68" t="s">
        <v>4953</v>
      </c>
      <c r="F1066" s="66" t="s">
        <v>4954</v>
      </c>
      <c r="G1066" s="71">
        <v>6500</v>
      </c>
      <c r="H1066" s="73"/>
      <c r="I1066" s="75">
        <v>0.1</v>
      </c>
      <c r="J1066" s="77"/>
      <c r="K1066" s="66"/>
      <c r="L1066" s="66"/>
      <c r="M1066" s="79" t="str">
        <f>HYPERLINK("http://www.pristavka.com/catalog/funko/Fun83534/")</f>
        <v>http://www.pristavka.com/catalog/funko/Fun83534/</v>
      </c>
      <c r="N1066" s="71">
        <v>9999</v>
      </c>
      <c r="O1066" s="66" t="s">
        <v>27</v>
      </c>
      <c r="P1066" s="82" t="s">
        <v>4955</v>
      </c>
      <c r="Q1066" s="84" t="s">
        <v>1765</v>
      </c>
      <c r="R1066" s="84" t="s">
        <v>1765</v>
      </c>
      <c r="S1066" s="84">
        <v>0.12</v>
      </c>
      <c r="T1066" s="82" t="s">
        <v>4113</v>
      </c>
      <c r="U1066" s="84" t="s">
        <v>3584</v>
      </c>
      <c r="V1066" s="54"/>
    </row>
    <row r="1067" spans="1:22" s="11" customFormat="1" ht="45" customHeight="1" x14ac:dyDescent="0.2">
      <c r="A1067" s="66" t="s">
        <v>3577</v>
      </c>
      <c r="B1067" s="66" t="s">
        <v>1707</v>
      </c>
      <c r="C1067" s="66" t="s">
        <v>3578</v>
      </c>
      <c r="D1067" s="66">
        <v>83474</v>
      </c>
      <c r="E1067" s="68" t="s">
        <v>4956</v>
      </c>
      <c r="F1067" s="66" t="s">
        <v>4957</v>
      </c>
      <c r="G1067" s="71">
        <v>6500</v>
      </c>
      <c r="H1067" s="73"/>
      <c r="I1067" s="75">
        <v>0.1</v>
      </c>
      <c r="J1067" s="77"/>
      <c r="K1067" s="66"/>
      <c r="L1067" s="66"/>
      <c r="M1067" s="79" t="str">
        <f>HYPERLINK("http://www.pristavka.com/catalog/funko/Fun83474/")</f>
        <v>http://www.pristavka.com/catalog/funko/Fun83474/</v>
      </c>
      <c r="N1067" s="71">
        <v>9999</v>
      </c>
      <c r="O1067" s="66" t="s">
        <v>27</v>
      </c>
      <c r="P1067" s="82" t="s">
        <v>4958</v>
      </c>
      <c r="Q1067" s="84" t="s">
        <v>3541</v>
      </c>
      <c r="R1067" s="84" t="s">
        <v>58</v>
      </c>
      <c r="S1067" s="84">
        <v>0.159</v>
      </c>
      <c r="T1067" s="82" t="s">
        <v>4084</v>
      </c>
      <c r="U1067" s="84" t="s">
        <v>3584</v>
      </c>
      <c r="V1067" s="54"/>
    </row>
    <row r="1068" spans="1:22" s="11" customFormat="1" ht="45" customHeight="1" x14ac:dyDescent="0.2">
      <c r="A1068" s="66" t="s">
        <v>3577</v>
      </c>
      <c r="B1068" s="66" t="s">
        <v>1707</v>
      </c>
      <c r="C1068" s="66" t="s">
        <v>3578</v>
      </c>
      <c r="D1068" s="66">
        <v>83475</v>
      </c>
      <c r="E1068" s="68" t="s">
        <v>4959</v>
      </c>
      <c r="F1068" s="66" t="s">
        <v>4960</v>
      </c>
      <c r="G1068" s="71">
        <v>6500</v>
      </c>
      <c r="H1068" s="73"/>
      <c r="I1068" s="75">
        <v>0.1</v>
      </c>
      <c r="J1068" s="77"/>
      <c r="K1068" s="66"/>
      <c r="L1068" s="66"/>
      <c r="M1068" s="79" t="str">
        <f>HYPERLINK("http://www.pristavka.com/catalog/funko/Fun83475/")</f>
        <v>http://www.pristavka.com/catalog/funko/Fun83475/</v>
      </c>
      <c r="N1068" s="71">
        <v>9999</v>
      </c>
      <c r="O1068" s="66" t="s">
        <v>27</v>
      </c>
      <c r="P1068" s="82" t="s">
        <v>4961</v>
      </c>
      <c r="Q1068" s="84" t="s">
        <v>3541</v>
      </c>
      <c r="R1068" s="84" t="s">
        <v>58</v>
      </c>
      <c r="S1068" s="84">
        <v>0.14199999999999999</v>
      </c>
      <c r="T1068" s="82" t="s">
        <v>4084</v>
      </c>
      <c r="U1068" s="84" t="s">
        <v>3584</v>
      </c>
      <c r="V1068" s="54"/>
    </row>
    <row r="1069" spans="1:22" s="11" customFormat="1" ht="45" customHeight="1" x14ac:dyDescent="0.2">
      <c r="A1069" s="66" t="s">
        <v>3577</v>
      </c>
      <c r="B1069" s="66" t="s">
        <v>1707</v>
      </c>
      <c r="C1069" s="66" t="s">
        <v>3578</v>
      </c>
      <c r="D1069" s="66">
        <v>83476</v>
      </c>
      <c r="E1069" s="68" t="s">
        <v>4962</v>
      </c>
      <c r="F1069" s="66" t="s">
        <v>4963</v>
      </c>
      <c r="G1069" s="71">
        <v>6500</v>
      </c>
      <c r="H1069" s="73"/>
      <c r="I1069" s="75">
        <v>0.1</v>
      </c>
      <c r="J1069" s="77"/>
      <c r="K1069" s="66"/>
      <c r="L1069" s="66"/>
      <c r="M1069" s="79" t="str">
        <f>HYPERLINK("http://www.pristavka.com/catalog/funko/Fun83476/")</f>
        <v>http://www.pristavka.com/catalog/funko/Fun83476/</v>
      </c>
      <c r="N1069" s="71">
        <v>9999</v>
      </c>
      <c r="O1069" s="66" t="s">
        <v>27</v>
      </c>
      <c r="P1069" s="82" t="s">
        <v>4964</v>
      </c>
      <c r="Q1069" s="84" t="s">
        <v>3541</v>
      </c>
      <c r="R1069" s="84" t="s">
        <v>58</v>
      </c>
      <c r="S1069" s="84">
        <v>0.161</v>
      </c>
      <c r="T1069" s="82" t="s">
        <v>4084</v>
      </c>
      <c r="U1069" s="84" t="s">
        <v>3584</v>
      </c>
      <c r="V1069" s="54"/>
    </row>
    <row r="1070" spans="1:22" s="11" customFormat="1" ht="45" customHeight="1" x14ac:dyDescent="0.2">
      <c r="A1070" s="66" t="s">
        <v>3577</v>
      </c>
      <c r="B1070" s="66" t="s">
        <v>1707</v>
      </c>
      <c r="C1070" s="66" t="s">
        <v>3578</v>
      </c>
      <c r="D1070" s="66">
        <v>83473</v>
      </c>
      <c r="E1070" s="68" t="s">
        <v>4965</v>
      </c>
      <c r="F1070" s="66" t="s">
        <v>4966</v>
      </c>
      <c r="G1070" s="71">
        <v>6500</v>
      </c>
      <c r="H1070" s="73"/>
      <c r="I1070" s="75">
        <v>0.1</v>
      </c>
      <c r="J1070" s="77"/>
      <c r="K1070" s="66"/>
      <c r="L1070" s="66"/>
      <c r="M1070" s="79" t="str">
        <f>HYPERLINK("http://www.pristavka.com/catalog/funko/Fun83473/")</f>
        <v>http://www.pristavka.com/catalog/funko/Fun83473/</v>
      </c>
      <c r="N1070" s="71">
        <v>9999</v>
      </c>
      <c r="O1070" s="66" t="s">
        <v>27</v>
      </c>
      <c r="P1070" s="82" t="s">
        <v>4967</v>
      </c>
      <c r="Q1070" s="84" t="s">
        <v>3541</v>
      </c>
      <c r="R1070" s="84" t="s">
        <v>58</v>
      </c>
      <c r="S1070" s="84">
        <v>0.14000000000000001</v>
      </c>
      <c r="T1070" s="82" t="s">
        <v>4084</v>
      </c>
      <c r="U1070" s="84" t="s">
        <v>3584</v>
      </c>
      <c r="V1070" s="54"/>
    </row>
    <row r="1071" spans="1:22" s="11" customFormat="1" ht="45" customHeight="1" x14ac:dyDescent="0.2">
      <c r="A1071" s="66" t="s">
        <v>3577</v>
      </c>
      <c r="B1071" s="66" t="s">
        <v>1707</v>
      </c>
      <c r="C1071" s="66" t="s">
        <v>3578</v>
      </c>
      <c r="D1071" s="66">
        <v>71864</v>
      </c>
      <c r="E1071" s="68" t="s">
        <v>4968</v>
      </c>
      <c r="F1071" s="66" t="s">
        <v>4969</v>
      </c>
      <c r="G1071" s="71">
        <v>14300</v>
      </c>
      <c r="H1071" s="73"/>
      <c r="I1071" s="75">
        <v>0.1</v>
      </c>
      <c r="J1071" s="77"/>
      <c r="K1071" s="66"/>
      <c r="L1071" s="66"/>
      <c r="M1071" s="79" t="str">
        <f>HYPERLINK("http://www.pristavka.com/catalog/funko/Fun71864/")</f>
        <v>http://www.pristavka.com/catalog/funko/Fun71864/</v>
      </c>
      <c r="N1071" s="71">
        <v>21999</v>
      </c>
      <c r="O1071" s="66" t="s">
        <v>27</v>
      </c>
      <c r="P1071" s="82" t="s">
        <v>4970</v>
      </c>
      <c r="Q1071" s="84" t="s">
        <v>1068</v>
      </c>
      <c r="R1071" s="84" t="s">
        <v>1068</v>
      </c>
      <c r="S1071" s="84">
        <v>0.32200000000000001</v>
      </c>
      <c r="T1071" s="82" t="s">
        <v>4971</v>
      </c>
      <c r="U1071" s="84" t="s">
        <v>3584</v>
      </c>
      <c r="V1071" s="54"/>
    </row>
    <row r="1072" spans="1:22" s="11" customFormat="1" ht="45" customHeight="1" x14ac:dyDescent="0.2">
      <c r="A1072" s="66" t="s">
        <v>3577</v>
      </c>
      <c r="B1072" s="66" t="s">
        <v>1707</v>
      </c>
      <c r="C1072" s="66" t="s">
        <v>3578</v>
      </c>
      <c r="D1072" s="66">
        <v>75549</v>
      </c>
      <c r="E1072" s="68" t="s">
        <v>4972</v>
      </c>
      <c r="F1072" s="66" t="s">
        <v>4973</v>
      </c>
      <c r="G1072" s="71">
        <v>6500</v>
      </c>
      <c r="H1072" s="73"/>
      <c r="I1072" s="75">
        <v>0.1</v>
      </c>
      <c r="J1072" s="77"/>
      <c r="K1072" s="66"/>
      <c r="L1072" s="66"/>
      <c r="M1072" s="79" t="str">
        <f>HYPERLINK("http://www.pristavka.com/catalog/funko/Fun75549/")</f>
        <v>http://www.pristavka.com/catalog/funko/Fun75549/</v>
      </c>
      <c r="N1072" s="71">
        <v>9999</v>
      </c>
      <c r="O1072" s="66" t="s">
        <v>27</v>
      </c>
      <c r="P1072" s="82" t="s">
        <v>4974</v>
      </c>
      <c r="Q1072" s="84" t="s">
        <v>1068</v>
      </c>
      <c r="R1072" s="84" t="s">
        <v>1068</v>
      </c>
      <c r="S1072" s="84">
        <v>0.125</v>
      </c>
      <c r="T1072" s="82" t="s">
        <v>4084</v>
      </c>
      <c r="U1072" s="84" t="s">
        <v>3584</v>
      </c>
      <c r="V1072" s="54"/>
    </row>
    <row r="1073" spans="1:22" s="11" customFormat="1" ht="45" customHeight="1" x14ac:dyDescent="0.2">
      <c r="A1073" s="66" t="s">
        <v>3577</v>
      </c>
      <c r="B1073" s="66" t="s">
        <v>1707</v>
      </c>
      <c r="C1073" s="66" t="s">
        <v>3578</v>
      </c>
      <c r="D1073" s="66">
        <v>77620</v>
      </c>
      <c r="E1073" s="68" t="s">
        <v>4975</v>
      </c>
      <c r="F1073" s="66" t="s">
        <v>4976</v>
      </c>
      <c r="G1073" s="71">
        <v>6890</v>
      </c>
      <c r="H1073" s="73"/>
      <c r="I1073" s="75">
        <v>0.1</v>
      </c>
      <c r="J1073" s="77"/>
      <c r="K1073" s="66"/>
      <c r="L1073" s="66"/>
      <c r="M1073" s="79" t="str">
        <f>HYPERLINK("http://www.pristavka.com/catalog/funko/Fun77620/")</f>
        <v>http://www.pristavka.com/catalog/funko/Fun77620/</v>
      </c>
      <c r="N1073" s="71">
        <v>10599</v>
      </c>
      <c r="O1073" s="66" t="s">
        <v>27</v>
      </c>
      <c r="P1073" s="82" t="s">
        <v>4977</v>
      </c>
      <c r="Q1073" s="84" t="s">
        <v>1068</v>
      </c>
      <c r="R1073" s="84" t="s">
        <v>1068</v>
      </c>
      <c r="S1073" s="84">
        <v>0.16</v>
      </c>
      <c r="T1073" s="82" t="s">
        <v>4084</v>
      </c>
      <c r="U1073" s="84" t="s">
        <v>3584</v>
      </c>
      <c r="V1073" s="54"/>
    </row>
    <row r="1074" spans="1:22" s="11" customFormat="1" ht="45" customHeight="1" x14ac:dyDescent="0.2">
      <c r="A1074" s="66" t="s">
        <v>3577</v>
      </c>
      <c r="B1074" s="66" t="s">
        <v>1707</v>
      </c>
      <c r="C1074" s="66" t="s">
        <v>3578</v>
      </c>
      <c r="D1074" s="66">
        <v>74713</v>
      </c>
      <c r="E1074" s="68" t="s">
        <v>4978</v>
      </c>
      <c r="F1074" s="66" t="s">
        <v>4979</v>
      </c>
      <c r="G1074" s="71">
        <v>14300</v>
      </c>
      <c r="H1074" s="73"/>
      <c r="I1074" s="75">
        <v>0.1</v>
      </c>
      <c r="J1074" s="77"/>
      <c r="K1074" s="66"/>
      <c r="L1074" s="66"/>
      <c r="M1074" s="79" t="str">
        <f>HYPERLINK("http://www.pristavka.com/catalog/funko/Fun74713/")</f>
        <v>http://www.pristavka.com/catalog/funko/Fun74713/</v>
      </c>
      <c r="N1074" s="71">
        <v>21999</v>
      </c>
      <c r="O1074" s="66" t="s">
        <v>28</v>
      </c>
      <c r="P1074" s="82" t="s">
        <v>4980</v>
      </c>
      <c r="Q1074" s="84" t="s">
        <v>1068</v>
      </c>
      <c r="R1074" s="84" t="s">
        <v>1068</v>
      </c>
      <c r="S1074" s="84">
        <v>0.48499999999999999</v>
      </c>
      <c r="T1074" s="82" t="s">
        <v>4981</v>
      </c>
      <c r="U1074" s="84" t="s">
        <v>3584</v>
      </c>
      <c r="V1074" s="54"/>
    </row>
    <row r="1075" spans="1:22" s="11" customFormat="1" ht="45" customHeight="1" x14ac:dyDescent="0.2">
      <c r="A1075" s="66" t="s">
        <v>3577</v>
      </c>
      <c r="B1075" s="66" t="s">
        <v>1707</v>
      </c>
      <c r="C1075" s="66" t="s">
        <v>3578</v>
      </c>
      <c r="D1075" s="66">
        <v>75602</v>
      </c>
      <c r="E1075" s="68" t="s">
        <v>4982</v>
      </c>
      <c r="F1075" s="66" t="s">
        <v>4983</v>
      </c>
      <c r="G1075" s="71">
        <v>6500</v>
      </c>
      <c r="H1075" s="73"/>
      <c r="I1075" s="75">
        <v>0.1</v>
      </c>
      <c r="J1075" s="77"/>
      <c r="K1075" s="66"/>
      <c r="L1075" s="66"/>
      <c r="M1075" s="79" t="str">
        <f>HYPERLINK("http://www.pristavka.com/catalog/funko/Fun75602/")</f>
        <v>http://www.pristavka.com/catalog/funko/Fun75602/</v>
      </c>
      <c r="N1075" s="71">
        <v>9999</v>
      </c>
      <c r="O1075" s="66" t="s">
        <v>27</v>
      </c>
      <c r="P1075" s="82" t="s">
        <v>4984</v>
      </c>
      <c r="Q1075" s="84" t="s">
        <v>4985</v>
      </c>
      <c r="R1075" s="84" t="s">
        <v>1068</v>
      </c>
      <c r="S1075" s="84">
        <v>0.155</v>
      </c>
      <c r="T1075" s="82" t="s">
        <v>4084</v>
      </c>
      <c r="U1075" s="84" t="s">
        <v>3584</v>
      </c>
      <c r="V1075" s="54"/>
    </row>
    <row r="1076" spans="1:22" s="11" customFormat="1" ht="45" customHeight="1" x14ac:dyDescent="0.2">
      <c r="A1076" s="66" t="s">
        <v>3577</v>
      </c>
      <c r="B1076" s="66" t="s">
        <v>1707</v>
      </c>
      <c r="C1076" s="66" t="s">
        <v>3578</v>
      </c>
      <c r="D1076" s="66">
        <v>74605</v>
      </c>
      <c r="E1076" s="68" t="s">
        <v>4986</v>
      </c>
      <c r="F1076" s="66" t="s">
        <v>4987</v>
      </c>
      <c r="G1076" s="71">
        <v>14300</v>
      </c>
      <c r="H1076" s="73"/>
      <c r="I1076" s="75">
        <v>0.1</v>
      </c>
      <c r="J1076" s="77"/>
      <c r="K1076" s="66"/>
      <c r="L1076" s="66"/>
      <c r="M1076" s="79" t="str">
        <f>HYPERLINK("http://www.pristavka.com/catalog/funko/Fun74605/")</f>
        <v>http://www.pristavka.com/catalog/funko/Fun74605/</v>
      </c>
      <c r="N1076" s="71">
        <v>21999</v>
      </c>
      <c r="O1076" s="66" t="s">
        <v>27</v>
      </c>
      <c r="P1076" s="82" t="s">
        <v>4988</v>
      </c>
      <c r="Q1076" s="84" t="s">
        <v>1068</v>
      </c>
      <c r="R1076" s="84" t="s">
        <v>1068</v>
      </c>
      <c r="S1076" s="84">
        <v>0.55500000000000005</v>
      </c>
      <c r="T1076" s="82" t="s">
        <v>4989</v>
      </c>
      <c r="U1076" s="84" t="s">
        <v>3584</v>
      </c>
      <c r="V1076" s="54"/>
    </row>
    <row r="1077" spans="1:22" s="11" customFormat="1" ht="45" customHeight="1" x14ac:dyDescent="0.2">
      <c r="A1077" s="66" t="s">
        <v>3577</v>
      </c>
      <c r="B1077" s="66" t="s">
        <v>1707</v>
      </c>
      <c r="C1077" s="66" t="s">
        <v>3578</v>
      </c>
      <c r="D1077" s="66">
        <v>73629</v>
      </c>
      <c r="E1077" s="68" t="s">
        <v>4990</v>
      </c>
      <c r="F1077" s="66" t="s">
        <v>4991</v>
      </c>
      <c r="G1077" s="71">
        <v>22750</v>
      </c>
      <c r="H1077" s="73"/>
      <c r="I1077" s="75">
        <v>0.1</v>
      </c>
      <c r="J1077" s="77"/>
      <c r="K1077" s="66"/>
      <c r="L1077" s="66"/>
      <c r="M1077" s="79" t="str">
        <f>HYPERLINK("http://www.pristavka.com/catalog/funko/Fun73629/")</f>
        <v>http://www.pristavka.com/catalog/funko/Fun73629/</v>
      </c>
      <c r="N1077" s="71">
        <v>34999</v>
      </c>
      <c r="O1077" s="66" t="s">
        <v>27</v>
      </c>
      <c r="P1077" s="82" t="s">
        <v>4992</v>
      </c>
      <c r="Q1077" s="84" t="s">
        <v>4985</v>
      </c>
      <c r="R1077" s="84" t="s">
        <v>1068</v>
      </c>
      <c r="S1077" s="84">
        <v>1.5740000000000001</v>
      </c>
      <c r="T1077" s="82" t="s">
        <v>4993</v>
      </c>
      <c r="U1077" s="84" t="s">
        <v>3584</v>
      </c>
      <c r="V1077" s="54"/>
    </row>
    <row r="1078" spans="1:22" s="11" customFormat="1" ht="45" customHeight="1" x14ac:dyDescent="0.2">
      <c r="A1078" s="66" t="s">
        <v>3577</v>
      </c>
      <c r="B1078" s="66" t="s">
        <v>1707</v>
      </c>
      <c r="C1078" s="66" t="s">
        <v>3578</v>
      </c>
      <c r="D1078" s="66">
        <v>76528</v>
      </c>
      <c r="E1078" s="68" t="s">
        <v>4994</v>
      </c>
      <c r="F1078" s="66" t="s">
        <v>4995</v>
      </c>
      <c r="G1078" s="71">
        <v>6500</v>
      </c>
      <c r="H1078" s="73"/>
      <c r="I1078" s="75">
        <v>0.1</v>
      </c>
      <c r="J1078" s="77"/>
      <c r="K1078" s="66"/>
      <c r="L1078" s="66"/>
      <c r="M1078" s="79" t="str">
        <f>HYPERLINK("http://www.pristavka.com/catalog/funko/Fun76528/")</f>
        <v>http://www.pristavka.com/catalog/funko/Fun76528/</v>
      </c>
      <c r="N1078" s="71">
        <v>9999</v>
      </c>
      <c r="O1078" s="66" t="s">
        <v>27</v>
      </c>
      <c r="P1078" s="82" t="s">
        <v>4996</v>
      </c>
      <c r="Q1078" s="84" t="s">
        <v>4985</v>
      </c>
      <c r="R1078" s="84" t="s">
        <v>1068</v>
      </c>
      <c r="S1078" s="84">
        <v>0.14599999999999999</v>
      </c>
      <c r="T1078" s="82" t="s">
        <v>4997</v>
      </c>
      <c r="U1078" s="84" t="s">
        <v>3584</v>
      </c>
      <c r="V1078" s="54"/>
    </row>
    <row r="1079" spans="1:22" s="11" customFormat="1" ht="45" customHeight="1" x14ac:dyDescent="0.2">
      <c r="A1079" s="66" t="s">
        <v>3577</v>
      </c>
      <c r="B1079" s="66" t="s">
        <v>1707</v>
      </c>
      <c r="C1079" s="66" t="s">
        <v>3578</v>
      </c>
      <c r="D1079" s="66">
        <v>76529</v>
      </c>
      <c r="E1079" s="68" t="s">
        <v>4998</v>
      </c>
      <c r="F1079" s="66" t="s">
        <v>4999</v>
      </c>
      <c r="G1079" s="71">
        <v>6500</v>
      </c>
      <c r="H1079" s="73"/>
      <c r="I1079" s="75">
        <v>0.1</v>
      </c>
      <c r="J1079" s="77"/>
      <c r="K1079" s="66"/>
      <c r="L1079" s="66"/>
      <c r="M1079" s="79" t="str">
        <f>HYPERLINK("http://www.pristavka.com/catalog/funko/Fun76529/")</f>
        <v>http://www.pristavka.com/catalog/funko/Fun76529/</v>
      </c>
      <c r="N1079" s="71">
        <v>9999</v>
      </c>
      <c r="O1079" s="66" t="s">
        <v>27</v>
      </c>
      <c r="P1079" s="82" t="s">
        <v>5000</v>
      </c>
      <c r="Q1079" s="84" t="s">
        <v>4985</v>
      </c>
      <c r="R1079" s="84" t="s">
        <v>1068</v>
      </c>
      <c r="S1079" s="84">
        <v>0.122</v>
      </c>
      <c r="T1079" s="82" t="s">
        <v>4997</v>
      </c>
      <c r="U1079" s="84" t="s">
        <v>3584</v>
      </c>
      <c r="V1079" s="54"/>
    </row>
    <row r="1080" spans="1:22" s="11" customFormat="1" ht="45" customHeight="1" x14ac:dyDescent="0.2">
      <c r="A1080" s="66" t="s">
        <v>3577</v>
      </c>
      <c r="B1080" s="66" t="s">
        <v>1707</v>
      </c>
      <c r="C1080" s="66" t="s">
        <v>3578</v>
      </c>
      <c r="D1080" s="66">
        <v>72064</v>
      </c>
      <c r="E1080" s="68" t="s">
        <v>5001</v>
      </c>
      <c r="F1080" s="66" t="s">
        <v>5002</v>
      </c>
      <c r="G1080" s="71">
        <v>6500</v>
      </c>
      <c r="H1080" s="73"/>
      <c r="I1080" s="75">
        <v>0.1</v>
      </c>
      <c r="J1080" s="77"/>
      <c r="K1080" s="66"/>
      <c r="L1080" s="66"/>
      <c r="M1080" s="79" t="str">
        <f>HYPERLINK("http://www.pristavka.com/catalog/funko/Fun72064/")</f>
        <v>http://www.pristavka.com/catalog/funko/Fun72064/</v>
      </c>
      <c r="N1080" s="71">
        <v>9999</v>
      </c>
      <c r="O1080" s="66" t="s">
        <v>28</v>
      </c>
      <c r="P1080" s="82" t="s">
        <v>5003</v>
      </c>
      <c r="Q1080" s="84" t="s">
        <v>4985</v>
      </c>
      <c r="R1080" s="84" t="s">
        <v>1068</v>
      </c>
      <c r="S1080" s="84">
        <v>0.16600000000000001</v>
      </c>
      <c r="T1080" s="82" t="s">
        <v>4246</v>
      </c>
      <c r="U1080" s="84" t="s">
        <v>3584</v>
      </c>
      <c r="V1080" s="54"/>
    </row>
    <row r="1081" spans="1:22" s="11" customFormat="1" ht="45" customHeight="1" x14ac:dyDescent="0.2">
      <c r="A1081" s="66" t="s">
        <v>3577</v>
      </c>
      <c r="B1081" s="66" t="s">
        <v>1707</v>
      </c>
      <c r="C1081" s="66" t="s">
        <v>3578</v>
      </c>
      <c r="D1081" s="66">
        <v>76530</v>
      </c>
      <c r="E1081" s="68" t="s">
        <v>5004</v>
      </c>
      <c r="F1081" s="66" t="s">
        <v>5005</v>
      </c>
      <c r="G1081" s="71">
        <v>6500</v>
      </c>
      <c r="H1081" s="73"/>
      <c r="I1081" s="75">
        <v>0.1</v>
      </c>
      <c r="J1081" s="77"/>
      <c r="K1081" s="66"/>
      <c r="L1081" s="66"/>
      <c r="M1081" s="79" t="str">
        <f>HYPERLINK("http://www.pristavka.com/catalog/funko/Fun76530/")</f>
        <v>http://www.pristavka.com/catalog/funko/Fun76530/</v>
      </c>
      <c r="N1081" s="71">
        <v>9999</v>
      </c>
      <c r="O1081" s="66" t="s">
        <v>27</v>
      </c>
      <c r="P1081" s="82" t="s">
        <v>5006</v>
      </c>
      <c r="Q1081" s="84" t="s">
        <v>4985</v>
      </c>
      <c r="R1081" s="84" t="s">
        <v>1068</v>
      </c>
      <c r="S1081" s="84">
        <v>0.17499999999999999</v>
      </c>
      <c r="T1081" s="82" t="s">
        <v>4084</v>
      </c>
      <c r="U1081" s="84" t="s">
        <v>3584</v>
      </c>
      <c r="V1081" s="54"/>
    </row>
    <row r="1082" spans="1:22" s="11" customFormat="1" ht="45" customHeight="1" x14ac:dyDescent="0.2">
      <c r="A1082" s="66" t="s">
        <v>3577</v>
      </c>
      <c r="B1082" s="66" t="s">
        <v>1707</v>
      </c>
      <c r="C1082" s="66" t="s">
        <v>3578</v>
      </c>
      <c r="D1082" s="66">
        <v>75708</v>
      </c>
      <c r="E1082" s="68" t="s">
        <v>5007</v>
      </c>
      <c r="F1082" s="66" t="s">
        <v>5008</v>
      </c>
      <c r="G1082" s="71">
        <v>6500</v>
      </c>
      <c r="H1082" s="73"/>
      <c r="I1082" s="75">
        <v>0.1</v>
      </c>
      <c r="J1082" s="77"/>
      <c r="K1082" s="66"/>
      <c r="L1082" s="66"/>
      <c r="M1082" s="79" t="str">
        <f>HYPERLINK("http://www.pristavka.com/catalog/funko/Fun75708/")</f>
        <v>http://www.pristavka.com/catalog/funko/Fun75708/</v>
      </c>
      <c r="N1082" s="71">
        <v>9999</v>
      </c>
      <c r="O1082" s="66" t="s">
        <v>27</v>
      </c>
      <c r="P1082" s="82" t="s">
        <v>5009</v>
      </c>
      <c r="Q1082" s="84" t="s">
        <v>5010</v>
      </c>
      <c r="R1082" s="84" t="s">
        <v>3512</v>
      </c>
      <c r="S1082" s="84">
        <v>0.16</v>
      </c>
      <c r="T1082" s="82" t="s">
        <v>4113</v>
      </c>
      <c r="U1082" s="84" t="s">
        <v>3584</v>
      </c>
      <c r="V1082" s="54"/>
    </row>
    <row r="1083" spans="1:22" s="11" customFormat="1" ht="45" customHeight="1" x14ac:dyDescent="0.2">
      <c r="A1083" s="66" t="s">
        <v>3577</v>
      </c>
      <c r="B1083" s="66" t="s">
        <v>1707</v>
      </c>
      <c r="C1083" s="66" t="s">
        <v>3578</v>
      </c>
      <c r="D1083" s="66">
        <v>75709</v>
      </c>
      <c r="E1083" s="68" t="s">
        <v>5011</v>
      </c>
      <c r="F1083" s="66" t="s">
        <v>5012</v>
      </c>
      <c r="G1083" s="71">
        <v>0</v>
      </c>
      <c r="H1083" s="73"/>
      <c r="I1083" s="75">
        <v>0.1</v>
      </c>
      <c r="J1083" s="77"/>
      <c r="K1083" s="66"/>
      <c r="L1083" s="66"/>
      <c r="M1083" s="79" t="str">
        <f>HYPERLINK("http://www.pristavka.com/catalog/funko/Fun75709/")</f>
        <v>http://www.pristavka.com/catalog/funko/Fun75709/</v>
      </c>
      <c r="N1083" s="71"/>
      <c r="O1083" s="66" t="s">
        <v>27</v>
      </c>
      <c r="P1083" s="82" t="s">
        <v>5013</v>
      </c>
      <c r="Q1083" s="84" t="s">
        <v>5010</v>
      </c>
      <c r="R1083" s="84" t="s">
        <v>3512</v>
      </c>
      <c r="S1083" s="84">
        <v>0.13800000000000001</v>
      </c>
      <c r="T1083" s="82" t="s">
        <v>4084</v>
      </c>
      <c r="U1083" s="84" t="s">
        <v>3584</v>
      </c>
      <c r="V1083" s="54"/>
    </row>
    <row r="1084" spans="1:22" s="11" customFormat="1" ht="45" customHeight="1" x14ac:dyDescent="0.2">
      <c r="A1084" s="66" t="s">
        <v>3577</v>
      </c>
      <c r="B1084" s="66" t="s">
        <v>1707</v>
      </c>
      <c r="C1084" s="66" t="s">
        <v>3578</v>
      </c>
      <c r="D1084" s="66">
        <v>75710</v>
      </c>
      <c r="E1084" s="68" t="s">
        <v>5014</v>
      </c>
      <c r="F1084" s="66" t="s">
        <v>5015</v>
      </c>
      <c r="G1084" s="71">
        <v>0</v>
      </c>
      <c r="H1084" s="73"/>
      <c r="I1084" s="75">
        <v>0.1</v>
      </c>
      <c r="J1084" s="77"/>
      <c r="K1084" s="66"/>
      <c r="L1084" s="66"/>
      <c r="M1084" s="79" t="str">
        <f>HYPERLINK("http://www.pristavka.com/catalog/funko/Fun75710/")</f>
        <v>http://www.pristavka.com/catalog/funko/Fun75710/</v>
      </c>
      <c r="N1084" s="71"/>
      <c r="O1084" s="66" t="s">
        <v>27</v>
      </c>
      <c r="P1084" s="82" t="s">
        <v>5016</v>
      </c>
      <c r="Q1084" s="84" t="s">
        <v>5010</v>
      </c>
      <c r="R1084" s="84" t="s">
        <v>3512</v>
      </c>
      <c r="S1084" s="84">
        <v>0.13600000000000001</v>
      </c>
      <c r="T1084" s="82" t="s">
        <v>4113</v>
      </c>
      <c r="U1084" s="84" t="s">
        <v>3584</v>
      </c>
      <c r="V1084" s="54"/>
    </row>
    <row r="1085" spans="1:22" s="11" customFormat="1" ht="45" customHeight="1" x14ac:dyDescent="0.2">
      <c r="A1085" s="66" t="s">
        <v>3577</v>
      </c>
      <c r="B1085" s="66" t="s">
        <v>1707</v>
      </c>
      <c r="C1085" s="66" t="s">
        <v>3578</v>
      </c>
      <c r="D1085" s="66">
        <v>84526</v>
      </c>
      <c r="E1085" s="68" t="s">
        <v>5017</v>
      </c>
      <c r="F1085" s="66" t="s">
        <v>5018</v>
      </c>
      <c r="G1085" s="71">
        <v>6890</v>
      </c>
      <c r="H1085" s="73"/>
      <c r="I1085" s="75">
        <v>0.1</v>
      </c>
      <c r="J1085" s="77"/>
      <c r="K1085" s="66"/>
      <c r="L1085" s="66"/>
      <c r="M1085" s="79" t="str">
        <f>HYPERLINK("http://www.pristavka.com/catalog/funko/Fun84526/")</f>
        <v>http://www.pristavka.com/catalog/funko/Fun84526/</v>
      </c>
      <c r="N1085" s="71">
        <v>10599</v>
      </c>
      <c r="O1085" s="66" t="s">
        <v>27</v>
      </c>
      <c r="P1085" s="82" t="s">
        <v>5019</v>
      </c>
      <c r="Q1085" s="84" t="s">
        <v>3527</v>
      </c>
      <c r="R1085" s="84" t="s">
        <v>3512</v>
      </c>
      <c r="S1085" s="84">
        <v>0.13200000000000001</v>
      </c>
      <c r="T1085" s="82" t="s">
        <v>4091</v>
      </c>
      <c r="U1085" s="84" t="s">
        <v>3584</v>
      </c>
      <c r="V1085" s="54"/>
    </row>
    <row r="1086" spans="1:22" s="11" customFormat="1" ht="45" customHeight="1" x14ac:dyDescent="0.2">
      <c r="A1086" s="66" t="s">
        <v>3577</v>
      </c>
      <c r="B1086" s="66" t="s">
        <v>1707</v>
      </c>
      <c r="C1086" s="66" t="s">
        <v>3578</v>
      </c>
      <c r="D1086" s="66">
        <v>58871</v>
      </c>
      <c r="E1086" s="68" t="s">
        <v>5020</v>
      </c>
      <c r="F1086" s="66" t="s">
        <v>5021</v>
      </c>
      <c r="G1086" s="71">
        <v>6890</v>
      </c>
      <c r="H1086" s="73"/>
      <c r="I1086" s="75">
        <v>0.1</v>
      </c>
      <c r="J1086" s="77"/>
      <c r="K1086" s="66"/>
      <c r="L1086" s="66"/>
      <c r="M1086" s="79" t="str">
        <f>HYPERLINK("http://www.pristavka.com/catalog/funko/Fun25491941/")</f>
        <v>http://www.pristavka.com/catalog/funko/Fun25491941/</v>
      </c>
      <c r="N1086" s="71">
        <v>10599</v>
      </c>
      <c r="O1086" s="66" t="s">
        <v>27</v>
      </c>
      <c r="P1086" s="82" t="s">
        <v>5022</v>
      </c>
      <c r="Q1086" s="84" t="s">
        <v>3527</v>
      </c>
      <c r="R1086" s="84" t="s">
        <v>3512</v>
      </c>
      <c r="S1086" s="84">
        <v>0.17899999999999999</v>
      </c>
      <c r="T1086" s="82" t="s">
        <v>4091</v>
      </c>
      <c r="U1086" s="84" t="s">
        <v>3584</v>
      </c>
      <c r="V1086" s="54"/>
    </row>
    <row r="1087" spans="1:22" s="11" customFormat="1" ht="45" customHeight="1" x14ac:dyDescent="0.2">
      <c r="A1087" s="66" t="s">
        <v>3577</v>
      </c>
      <c r="B1087" s="66" t="s">
        <v>1707</v>
      </c>
      <c r="C1087" s="66" t="s">
        <v>3578</v>
      </c>
      <c r="D1087" s="66">
        <v>45137</v>
      </c>
      <c r="E1087" s="68" t="s">
        <v>5023</v>
      </c>
      <c r="F1087" s="66" t="s">
        <v>5024</v>
      </c>
      <c r="G1087" s="71">
        <v>6500</v>
      </c>
      <c r="H1087" s="73"/>
      <c r="I1087" s="75">
        <v>0.1</v>
      </c>
      <c r="J1087" s="77"/>
      <c r="K1087" s="66"/>
      <c r="L1087" s="66"/>
      <c r="M1087" s="79" t="str">
        <f>HYPERLINK("http://www.pristavka.com/catalog/funko/Fun2549140/")</f>
        <v>http://www.pristavka.com/catalog/funko/Fun2549140/</v>
      </c>
      <c r="N1087" s="71">
        <v>9999</v>
      </c>
      <c r="O1087" s="66" t="s">
        <v>27</v>
      </c>
      <c r="P1087" s="82" t="s">
        <v>5025</v>
      </c>
      <c r="Q1087" s="84" t="s">
        <v>3511</v>
      </c>
      <c r="R1087" s="84" t="s">
        <v>3512</v>
      </c>
      <c r="S1087" s="84">
        <v>0.14000000000000001</v>
      </c>
      <c r="T1087" s="82" t="s">
        <v>4091</v>
      </c>
      <c r="U1087" s="84" t="s">
        <v>3584</v>
      </c>
      <c r="V1087" s="54"/>
    </row>
    <row r="1088" spans="1:22" s="62" customFormat="1" ht="45" customHeight="1" x14ac:dyDescent="0.2">
      <c r="A1088" s="101" t="s">
        <v>3577</v>
      </c>
      <c r="B1088" s="101" t="s">
        <v>1707</v>
      </c>
      <c r="C1088" s="101" t="s">
        <v>3578</v>
      </c>
      <c r="D1088" s="101">
        <v>36659</v>
      </c>
      <c r="E1088" s="102" t="s">
        <v>5026</v>
      </c>
      <c r="F1088" s="101" t="s">
        <v>5027</v>
      </c>
      <c r="G1088" s="103">
        <v>6500</v>
      </c>
      <c r="H1088" s="104"/>
      <c r="I1088" s="105">
        <v>0.1</v>
      </c>
      <c r="J1088" s="77"/>
      <c r="K1088" s="101" t="s">
        <v>5028</v>
      </c>
      <c r="L1088" s="101"/>
      <c r="M1088" s="79" t="str">
        <f>HYPERLINK("http://www.pristavka.com/catalog/funko/Fun1976/")</f>
        <v>http://www.pristavka.com/catalog/funko/Fun1976/</v>
      </c>
      <c r="N1088" s="103">
        <v>9999</v>
      </c>
      <c r="O1088" s="101" t="s">
        <v>27</v>
      </c>
      <c r="P1088" s="106" t="s">
        <v>5029</v>
      </c>
      <c r="Q1088" s="107" t="s">
        <v>3511</v>
      </c>
      <c r="R1088" s="107" t="s">
        <v>3512</v>
      </c>
      <c r="S1088" s="107">
        <v>0.14000000000000001</v>
      </c>
      <c r="T1088" s="106" t="s">
        <v>4574</v>
      </c>
      <c r="U1088" s="107" t="s">
        <v>3584</v>
      </c>
      <c r="V1088" s="63"/>
    </row>
    <row r="1089" spans="1:22" s="11" customFormat="1" ht="45" customHeight="1" x14ac:dyDescent="0.2">
      <c r="A1089" s="66" t="s">
        <v>3577</v>
      </c>
      <c r="B1089" s="66" t="s">
        <v>1707</v>
      </c>
      <c r="C1089" s="66" t="s">
        <v>3578</v>
      </c>
      <c r="D1089" s="66">
        <v>26466</v>
      </c>
      <c r="E1089" s="68" t="s">
        <v>5030</v>
      </c>
      <c r="F1089" s="66" t="s">
        <v>5031</v>
      </c>
      <c r="G1089" s="71">
        <v>6500</v>
      </c>
      <c r="H1089" s="73"/>
      <c r="I1089" s="75">
        <v>0.1</v>
      </c>
      <c r="J1089" s="77"/>
      <c r="K1089" s="66"/>
      <c r="L1089" s="66"/>
      <c r="M1089" s="79" t="str">
        <f>HYPERLINK("http://www.pristavka.com/catalog/funko/Fun794/")</f>
        <v>http://www.pristavka.com/catalog/funko/Fun794/</v>
      </c>
      <c r="N1089" s="71">
        <v>9999</v>
      </c>
      <c r="O1089" s="66" t="s">
        <v>27</v>
      </c>
      <c r="P1089" s="82" t="s">
        <v>5032</v>
      </c>
      <c r="Q1089" s="84" t="s">
        <v>3511</v>
      </c>
      <c r="R1089" s="84" t="s">
        <v>3512</v>
      </c>
      <c r="S1089" s="84">
        <v>0.16</v>
      </c>
      <c r="T1089" s="82" t="s">
        <v>4091</v>
      </c>
      <c r="U1089" s="84" t="s">
        <v>3584</v>
      </c>
      <c r="V1089" s="54"/>
    </row>
    <row r="1090" spans="1:22" s="11" customFormat="1" ht="45" customHeight="1" x14ac:dyDescent="0.2">
      <c r="A1090" s="66" t="s">
        <v>3577</v>
      </c>
      <c r="B1090" s="66" t="s">
        <v>1707</v>
      </c>
      <c r="C1090" s="66" t="s">
        <v>3578</v>
      </c>
      <c r="D1090" s="66">
        <v>26463</v>
      </c>
      <c r="E1090" s="68" t="s">
        <v>5033</v>
      </c>
      <c r="F1090" s="66" t="s">
        <v>5034</v>
      </c>
      <c r="G1090" s="71">
        <v>6500</v>
      </c>
      <c r="H1090" s="73"/>
      <c r="I1090" s="75">
        <v>0.1</v>
      </c>
      <c r="J1090" s="77"/>
      <c r="K1090" s="66"/>
      <c r="L1090" s="66"/>
      <c r="M1090" s="79" t="str">
        <f>HYPERLINK("http://www.pristavka.com/catalog/funko/Fun787/")</f>
        <v>http://www.pristavka.com/catalog/funko/Fun787/</v>
      </c>
      <c r="N1090" s="71">
        <v>9999</v>
      </c>
      <c r="O1090" s="66" t="s">
        <v>27</v>
      </c>
      <c r="P1090" s="82" t="s">
        <v>5035</v>
      </c>
      <c r="Q1090" s="84" t="s">
        <v>3511</v>
      </c>
      <c r="R1090" s="84" t="s">
        <v>3512</v>
      </c>
      <c r="S1090" s="84">
        <v>0.152</v>
      </c>
      <c r="T1090" s="82" t="s">
        <v>4946</v>
      </c>
      <c r="U1090" s="84" t="s">
        <v>3584</v>
      </c>
      <c r="V1090" s="54"/>
    </row>
    <row r="1091" spans="1:22" s="11" customFormat="1" ht="45" customHeight="1" x14ac:dyDescent="0.2">
      <c r="A1091" s="66" t="s">
        <v>3577</v>
      </c>
      <c r="B1091" s="66" t="s">
        <v>1707</v>
      </c>
      <c r="C1091" s="66" t="s">
        <v>3578</v>
      </c>
      <c r="D1091" s="66">
        <v>26465</v>
      </c>
      <c r="E1091" s="68" t="s">
        <v>5036</v>
      </c>
      <c r="F1091" s="66" t="s">
        <v>5037</v>
      </c>
      <c r="G1091" s="71">
        <v>6500</v>
      </c>
      <c r="H1091" s="73"/>
      <c r="I1091" s="75">
        <v>0.1</v>
      </c>
      <c r="J1091" s="77"/>
      <c r="K1091" s="66"/>
      <c r="L1091" s="66"/>
      <c r="M1091" s="79" t="str">
        <f>HYPERLINK("http://www.pristavka.com/catalog/funko/Fun793/")</f>
        <v>http://www.pristavka.com/catalog/funko/Fun793/</v>
      </c>
      <c r="N1091" s="71">
        <v>9999</v>
      </c>
      <c r="O1091" s="66" t="s">
        <v>27</v>
      </c>
      <c r="P1091" s="82" t="s">
        <v>5038</v>
      </c>
      <c r="Q1091" s="84" t="s">
        <v>3511</v>
      </c>
      <c r="R1091" s="84" t="s">
        <v>3512</v>
      </c>
      <c r="S1091" s="84">
        <v>0.125</v>
      </c>
      <c r="T1091" s="82" t="s">
        <v>4946</v>
      </c>
      <c r="U1091" s="84" t="s">
        <v>3584</v>
      </c>
      <c r="V1091" s="54"/>
    </row>
    <row r="1092" spans="1:22" s="11" customFormat="1" ht="45" customHeight="1" x14ac:dyDescent="0.2">
      <c r="A1092" s="66" t="s">
        <v>3577</v>
      </c>
      <c r="B1092" s="66" t="s">
        <v>1707</v>
      </c>
      <c r="C1092" s="66" t="s">
        <v>3578</v>
      </c>
      <c r="D1092" s="66">
        <v>75990</v>
      </c>
      <c r="E1092" s="68" t="s">
        <v>5039</v>
      </c>
      <c r="F1092" s="66" t="s">
        <v>5040</v>
      </c>
      <c r="G1092" s="71">
        <v>6500</v>
      </c>
      <c r="H1092" s="73"/>
      <c r="I1092" s="75">
        <v>0.1</v>
      </c>
      <c r="J1092" s="77"/>
      <c r="K1092" s="66"/>
      <c r="L1092" s="66"/>
      <c r="M1092" s="79" t="str">
        <f>HYPERLINK("http://www.pristavka.com/catalog/funko/Fun75990/")</f>
        <v>http://www.pristavka.com/catalog/funko/Fun75990/</v>
      </c>
      <c r="N1092" s="71">
        <v>9999</v>
      </c>
      <c r="O1092" s="66" t="s">
        <v>27</v>
      </c>
      <c r="P1092" s="82" t="s">
        <v>5041</v>
      </c>
      <c r="Q1092" s="84" t="s">
        <v>3517</v>
      </c>
      <c r="R1092" s="84" t="s">
        <v>3512</v>
      </c>
      <c r="S1092" s="84">
        <v>0.13400000000000001</v>
      </c>
      <c r="T1092" s="82" t="s">
        <v>4084</v>
      </c>
      <c r="U1092" s="84" t="s">
        <v>3584</v>
      </c>
      <c r="V1092" s="54"/>
    </row>
    <row r="1093" spans="1:22" s="11" customFormat="1" ht="45" customHeight="1" x14ac:dyDescent="0.2">
      <c r="A1093" s="66" t="s">
        <v>3577</v>
      </c>
      <c r="B1093" s="66" t="s">
        <v>1707</v>
      </c>
      <c r="C1093" s="66" t="s">
        <v>3578</v>
      </c>
      <c r="D1093" s="66">
        <v>77597</v>
      </c>
      <c r="E1093" s="68" t="s">
        <v>5042</v>
      </c>
      <c r="F1093" s="66" t="s">
        <v>5043</v>
      </c>
      <c r="G1093" s="71">
        <v>6890</v>
      </c>
      <c r="H1093" s="73"/>
      <c r="I1093" s="75">
        <v>0.1</v>
      </c>
      <c r="J1093" s="77"/>
      <c r="K1093" s="66"/>
      <c r="L1093" s="66"/>
      <c r="M1093" s="79" t="str">
        <f>HYPERLINK("http://www.pristavka.com/catalog/funko/Fun77597/")</f>
        <v>http://www.pristavka.com/catalog/funko/Fun77597/</v>
      </c>
      <c r="N1093" s="71">
        <v>10599</v>
      </c>
      <c r="O1093" s="66" t="s">
        <v>27</v>
      </c>
      <c r="P1093" s="82" t="s">
        <v>5044</v>
      </c>
      <c r="Q1093" s="84" t="s">
        <v>3517</v>
      </c>
      <c r="R1093" s="84" t="s">
        <v>3512</v>
      </c>
      <c r="S1093" s="84">
        <v>0.13600000000000001</v>
      </c>
      <c r="T1093" s="82" t="s">
        <v>4091</v>
      </c>
      <c r="U1093" s="84" t="s">
        <v>3584</v>
      </c>
      <c r="V1093" s="54"/>
    </row>
    <row r="1094" spans="1:22" s="11" customFormat="1" ht="45" customHeight="1" x14ac:dyDescent="0.2">
      <c r="A1094" s="66" t="s">
        <v>3577</v>
      </c>
      <c r="B1094" s="66" t="s">
        <v>1707</v>
      </c>
      <c r="C1094" s="66" t="s">
        <v>3578</v>
      </c>
      <c r="D1094" s="66">
        <v>77488</v>
      </c>
      <c r="E1094" s="68" t="s">
        <v>5045</v>
      </c>
      <c r="F1094" s="66" t="s">
        <v>5046</v>
      </c>
      <c r="G1094" s="71">
        <v>6890</v>
      </c>
      <c r="H1094" s="73"/>
      <c r="I1094" s="75">
        <v>0.1</v>
      </c>
      <c r="J1094" s="77"/>
      <c r="K1094" s="66"/>
      <c r="L1094" s="66"/>
      <c r="M1094" s="79" t="str">
        <f>HYPERLINK("http://www.pristavka.com/catalog/funko/Fun77488/")</f>
        <v>http://www.pristavka.com/catalog/funko/Fun77488/</v>
      </c>
      <c r="N1094" s="71">
        <v>10599</v>
      </c>
      <c r="O1094" s="66" t="s">
        <v>27</v>
      </c>
      <c r="P1094" s="82" t="s">
        <v>5047</v>
      </c>
      <c r="Q1094" s="84" t="s">
        <v>3517</v>
      </c>
      <c r="R1094" s="84" t="s">
        <v>3512</v>
      </c>
      <c r="S1094" s="84">
        <v>0.13</v>
      </c>
      <c r="T1094" s="82" t="s">
        <v>4113</v>
      </c>
      <c r="U1094" s="84" t="s">
        <v>3584</v>
      </c>
      <c r="V1094" s="54"/>
    </row>
    <row r="1095" spans="1:22" s="11" customFormat="1" ht="45" customHeight="1" x14ac:dyDescent="0.2">
      <c r="A1095" s="66" t="s">
        <v>3577</v>
      </c>
      <c r="B1095" s="66" t="s">
        <v>1707</v>
      </c>
      <c r="C1095" s="66" t="s">
        <v>3578</v>
      </c>
      <c r="D1095" s="66">
        <v>75991</v>
      </c>
      <c r="E1095" s="68" t="s">
        <v>5048</v>
      </c>
      <c r="F1095" s="66" t="s">
        <v>5049</v>
      </c>
      <c r="G1095" s="71">
        <v>6500</v>
      </c>
      <c r="H1095" s="73"/>
      <c r="I1095" s="75">
        <v>0.1</v>
      </c>
      <c r="J1095" s="77"/>
      <c r="K1095" s="66"/>
      <c r="L1095" s="66"/>
      <c r="M1095" s="79" t="str">
        <f>HYPERLINK("http://www.pristavka.com/catalog/funko/Fun75991/")</f>
        <v>http://www.pristavka.com/catalog/funko/Fun75991/</v>
      </c>
      <c r="N1095" s="71">
        <v>9999</v>
      </c>
      <c r="O1095" s="66" t="s">
        <v>27</v>
      </c>
      <c r="P1095" s="82" t="s">
        <v>5050</v>
      </c>
      <c r="Q1095" s="84" t="s">
        <v>3517</v>
      </c>
      <c r="R1095" s="84" t="s">
        <v>3512</v>
      </c>
      <c r="S1095" s="84">
        <v>0.13200000000000001</v>
      </c>
      <c r="T1095" s="82" t="s">
        <v>4084</v>
      </c>
      <c r="U1095" s="84" t="s">
        <v>3584</v>
      </c>
      <c r="V1095" s="54"/>
    </row>
    <row r="1096" spans="1:22" s="11" customFormat="1" ht="45" customHeight="1" x14ac:dyDescent="0.2">
      <c r="A1096" s="66" t="s">
        <v>3577</v>
      </c>
      <c r="B1096" s="66" t="s">
        <v>1707</v>
      </c>
      <c r="C1096" s="66" t="s">
        <v>3578</v>
      </c>
      <c r="D1096" s="66">
        <v>77490</v>
      </c>
      <c r="E1096" s="68" t="s">
        <v>5051</v>
      </c>
      <c r="F1096" s="66" t="s">
        <v>5052</v>
      </c>
      <c r="G1096" s="71">
        <v>6890</v>
      </c>
      <c r="H1096" s="73"/>
      <c r="I1096" s="75">
        <v>0.1</v>
      </c>
      <c r="J1096" s="77"/>
      <c r="K1096" s="66"/>
      <c r="L1096" s="66"/>
      <c r="M1096" s="79" t="str">
        <f>HYPERLINK("http://www.pristavka.com/catalog/funko/Fun77490/")</f>
        <v>http://www.pristavka.com/catalog/funko/Fun77490/</v>
      </c>
      <c r="N1096" s="71">
        <v>10599</v>
      </c>
      <c r="O1096" s="66" t="s">
        <v>27</v>
      </c>
      <c r="P1096" s="82" t="s">
        <v>5053</v>
      </c>
      <c r="Q1096" s="84" t="s">
        <v>3517</v>
      </c>
      <c r="R1096" s="84" t="s">
        <v>3512</v>
      </c>
      <c r="S1096" s="84">
        <v>0.128</v>
      </c>
      <c r="T1096" s="82" t="s">
        <v>4091</v>
      </c>
      <c r="U1096" s="84" t="s">
        <v>3584</v>
      </c>
      <c r="V1096" s="54"/>
    </row>
    <row r="1097" spans="1:22" s="11" customFormat="1" ht="45" customHeight="1" x14ac:dyDescent="0.2">
      <c r="A1097" s="66" t="s">
        <v>3577</v>
      </c>
      <c r="B1097" s="66" t="s">
        <v>1707</v>
      </c>
      <c r="C1097" s="66" t="s">
        <v>3578</v>
      </c>
      <c r="D1097" s="66">
        <v>77489</v>
      </c>
      <c r="E1097" s="68" t="s">
        <v>5054</v>
      </c>
      <c r="F1097" s="66" t="s">
        <v>5055</v>
      </c>
      <c r="G1097" s="71">
        <v>6890</v>
      </c>
      <c r="H1097" s="73"/>
      <c r="I1097" s="75">
        <v>0.1</v>
      </c>
      <c r="J1097" s="77"/>
      <c r="K1097" s="66"/>
      <c r="L1097" s="66"/>
      <c r="M1097" s="79" t="str">
        <f>HYPERLINK("http://www.pristavka.com/catalog/funko/Fun77489/")</f>
        <v>http://www.pristavka.com/catalog/funko/Fun77489/</v>
      </c>
      <c r="N1097" s="71">
        <v>10599</v>
      </c>
      <c r="O1097" s="66" t="s">
        <v>27</v>
      </c>
      <c r="P1097" s="82" t="s">
        <v>5056</v>
      </c>
      <c r="Q1097" s="84" t="s">
        <v>3517</v>
      </c>
      <c r="R1097" s="84" t="s">
        <v>3512</v>
      </c>
      <c r="S1097" s="84">
        <v>0.32800000000000001</v>
      </c>
      <c r="T1097" s="82" t="s">
        <v>4989</v>
      </c>
      <c r="U1097" s="84" t="s">
        <v>3584</v>
      </c>
      <c r="V1097" s="54"/>
    </row>
    <row r="1098" spans="1:22" s="11" customFormat="1" ht="45" customHeight="1" x14ac:dyDescent="0.2">
      <c r="A1098" s="66" t="s">
        <v>3577</v>
      </c>
      <c r="B1098" s="66" t="s">
        <v>1707</v>
      </c>
      <c r="C1098" s="66" t="s">
        <v>3578</v>
      </c>
      <c r="D1098" s="66">
        <v>75994</v>
      </c>
      <c r="E1098" s="68" t="s">
        <v>5057</v>
      </c>
      <c r="F1098" s="66" t="s">
        <v>5058</v>
      </c>
      <c r="G1098" s="71">
        <v>11700</v>
      </c>
      <c r="H1098" s="73"/>
      <c r="I1098" s="75">
        <v>0.1</v>
      </c>
      <c r="J1098" s="77"/>
      <c r="K1098" s="66"/>
      <c r="L1098" s="66"/>
      <c r="M1098" s="79" t="str">
        <f>HYPERLINK("http://www.pristavka.com/catalog/funko/Fun75994/")</f>
        <v>http://www.pristavka.com/catalog/funko/Fun75994/</v>
      </c>
      <c r="N1098" s="71">
        <v>17999</v>
      </c>
      <c r="O1098" s="66" t="s">
        <v>27</v>
      </c>
      <c r="P1098" s="82" t="s">
        <v>5059</v>
      </c>
      <c r="Q1098" s="84" t="s">
        <v>3517</v>
      </c>
      <c r="R1098" s="84" t="s">
        <v>3512</v>
      </c>
      <c r="S1098" s="84">
        <v>0.33500000000000002</v>
      </c>
      <c r="T1098" s="82" t="s">
        <v>5060</v>
      </c>
      <c r="U1098" s="84" t="s">
        <v>3584</v>
      </c>
      <c r="V1098" s="54"/>
    </row>
    <row r="1099" spans="1:22" s="11" customFormat="1" ht="45" customHeight="1" x14ac:dyDescent="0.2">
      <c r="A1099" s="66" t="s">
        <v>3577</v>
      </c>
      <c r="B1099" s="66" t="s">
        <v>1707</v>
      </c>
      <c r="C1099" s="66" t="s">
        <v>3578</v>
      </c>
      <c r="D1099" s="66">
        <v>75992</v>
      </c>
      <c r="E1099" s="68" t="s">
        <v>5061</v>
      </c>
      <c r="F1099" s="66" t="s">
        <v>5062</v>
      </c>
      <c r="G1099" s="71">
        <v>6500</v>
      </c>
      <c r="H1099" s="73"/>
      <c r="I1099" s="75">
        <v>0.1</v>
      </c>
      <c r="J1099" s="77"/>
      <c r="K1099" s="66"/>
      <c r="L1099" s="66"/>
      <c r="M1099" s="79" t="str">
        <f>HYPERLINK("http://www.pristavka.com/catalog/funko/Fun75992/")</f>
        <v>http://www.pristavka.com/catalog/funko/Fun75992/</v>
      </c>
      <c r="N1099" s="71">
        <v>9999</v>
      </c>
      <c r="O1099" s="66" t="s">
        <v>27</v>
      </c>
      <c r="P1099" s="82" t="s">
        <v>5063</v>
      </c>
      <c r="Q1099" s="84" t="s">
        <v>3517</v>
      </c>
      <c r="R1099" s="84" t="s">
        <v>3512</v>
      </c>
      <c r="S1099" s="84">
        <v>0.125</v>
      </c>
      <c r="T1099" s="82" t="s">
        <v>4113</v>
      </c>
      <c r="U1099" s="84" t="s">
        <v>3584</v>
      </c>
      <c r="V1099" s="54"/>
    </row>
    <row r="1100" spans="1:22" s="11" customFormat="1" ht="45" customHeight="1" x14ac:dyDescent="0.2">
      <c r="A1100" s="66" t="s">
        <v>3577</v>
      </c>
      <c r="B1100" s="66" t="s">
        <v>1707</v>
      </c>
      <c r="C1100" s="66" t="s">
        <v>3578</v>
      </c>
      <c r="D1100" s="66">
        <v>78569</v>
      </c>
      <c r="E1100" s="68" t="s">
        <v>5064</v>
      </c>
      <c r="F1100" s="66" t="s">
        <v>5065</v>
      </c>
      <c r="G1100" s="71">
        <v>6890</v>
      </c>
      <c r="H1100" s="73"/>
      <c r="I1100" s="75">
        <v>0.1</v>
      </c>
      <c r="J1100" s="77"/>
      <c r="K1100" s="66"/>
      <c r="L1100" s="66"/>
      <c r="M1100" s="79" t="str">
        <f>HYPERLINK("http://www.pristavka.com/catalog/funko/Fun78569/")</f>
        <v>http://www.pristavka.com/catalog/funko/Fun78569/</v>
      </c>
      <c r="N1100" s="71">
        <v>10599</v>
      </c>
      <c r="O1100" s="66" t="s">
        <v>27</v>
      </c>
      <c r="P1100" s="82" t="s">
        <v>5066</v>
      </c>
      <c r="Q1100" s="84" t="s">
        <v>3517</v>
      </c>
      <c r="R1100" s="84" t="s">
        <v>3512</v>
      </c>
      <c r="S1100" s="84">
        <v>0.12</v>
      </c>
      <c r="T1100" s="82" t="s">
        <v>4084</v>
      </c>
      <c r="U1100" s="84" t="s">
        <v>3584</v>
      </c>
      <c r="V1100" s="54"/>
    </row>
    <row r="1101" spans="1:22" s="11" customFormat="1" ht="45" customHeight="1" x14ac:dyDescent="0.2">
      <c r="A1101" s="66" t="s">
        <v>3577</v>
      </c>
      <c r="B1101" s="66" t="s">
        <v>1707</v>
      </c>
      <c r="C1101" s="66" t="s">
        <v>3578</v>
      </c>
      <c r="D1101" s="66">
        <v>75993</v>
      </c>
      <c r="E1101" s="68" t="s">
        <v>5067</v>
      </c>
      <c r="F1101" s="66" t="s">
        <v>5068</v>
      </c>
      <c r="G1101" s="71">
        <v>6500</v>
      </c>
      <c r="H1101" s="73"/>
      <c r="I1101" s="75">
        <v>0.1</v>
      </c>
      <c r="J1101" s="77"/>
      <c r="K1101" s="66"/>
      <c r="L1101" s="66"/>
      <c r="M1101" s="79" t="str">
        <f>HYPERLINK("http://www.pristavka.com/catalog/funko/Fun75993/")</f>
        <v>http://www.pristavka.com/catalog/funko/Fun75993/</v>
      </c>
      <c r="N1101" s="71">
        <v>9999</v>
      </c>
      <c r="O1101" s="66" t="s">
        <v>27</v>
      </c>
      <c r="P1101" s="82" t="s">
        <v>5069</v>
      </c>
      <c r="Q1101" s="84" t="s">
        <v>3517</v>
      </c>
      <c r="R1101" s="84" t="s">
        <v>3512</v>
      </c>
      <c r="S1101" s="84">
        <v>0.125</v>
      </c>
      <c r="T1101" s="82" t="s">
        <v>4113</v>
      </c>
      <c r="U1101" s="84" t="s">
        <v>3584</v>
      </c>
      <c r="V1101" s="54"/>
    </row>
    <row r="1102" spans="1:22" s="11" customFormat="1" ht="45" customHeight="1" x14ac:dyDescent="0.2">
      <c r="A1102" s="66" t="s">
        <v>3577</v>
      </c>
      <c r="B1102" s="66" t="s">
        <v>1707</v>
      </c>
      <c r="C1102" s="66" t="s">
        <v>3578</v>
      </c>
      <c r="D1102" s="66">
        <v>7223</v>
      </c>
      <c r="E1102" s="68" t="s">
        <v>5070</v>
      </c>
      <c r="F1102" s="66" t="s">
        <v>5071</v>
      </c>
      <c r="G1102" s="71">
        <v>6500</v>
      </c>
      <c r="H1102" s="73"/>
      <c r="I1102" s="75">
        <v>0.1</v>
      </c>
      <c r="J1102" s="77"/>
      <c r="K1102" s="66"/>
      <c r="L1102" s="66"/>
      <c r="M1102" s="79" t="str">
        <f>HYPERLINK("http://www.pristavka.com/catalog/funko/Fun2549730/")</f>
        <v>http://www.pristavka.com/catalog/funko/Fun2549730/</v>
      </c>
      <c r="N1102" s="71">
        <v>9999</v>
      </c>
      <c r="O1102" s="66" t="s">
        <v>27</v>
      </c>
      <c r="P1102" s="82" t="s">
        <v>5072</v>
      </c>
      <c r="Q1102" s="84" t="s">
        <v>3517</v>
      </c>
      <c r="R1102" s="84" t="s">
        <v>3512</v>
      </c>
      <c r="S1102" s="84">
        <v>0.13</v>
      </c>
      <c r="T1102" s="82" t="s">
        <v>4102</v>
      </c>
      <c r="U1102" s="84" t="s">
        <v>3584</v>
      </c>
      <c r="V1102" s="54"/>
    </row>
    <row r="1103" spans="1:22" s="11" customFormat="1" ht="45" customHeight="1" x14ac:dyDescent="0.2">
      <c r="A1103" s="66" t="s">
        <v>3577</v>
      </c>
      <c r="B1103" s="66" t="s">
        <v>1707</v>
      </c>
      <c r="C1103" s="66" t="s">
        <v>3578</v>
      </c>
      <c r="D1103" s="66">
        <v>82643</v>
      </c>
      <c r="E1103" s="68" t="s">
        <v>5073</v>
      </c>
      <c r="F1103" s="66" t="s">
        <v>5074</v>
      </c>
      <c r="G1103" s="71">
        <v>6500</v>
      </c>
      <c r="H1103" s="73"/>
      <c r="I1103" s="75">
        <v>0.1</v>
      </c>
      <c r="J1103" s="77"/>
      <c r="K1103" s="66"/>
      <c r="L1103" s="66"/>
      <c r="M1103" s="79" t="str">
        <f>HYPERLINK("http://www.pristavka.com/catalog/funko/Fun82643/")</f>
        <v>http://www.pristavka.com/catalog/funko/Fun82643/</v>
      </c>
      <c r="N1103" s="71">
        <v>9999</v>
      </c>
      <c r="O1103" s="66" t="s">
        <v>27</v>
      </c>
      <c r="P1103" s="82" t="s">
        <v>5075</v>
      </c>
      <c r="Q1103" s="84" t="s">
        <v>5076</v>
      </c>
      <c r="R1103" s="84" t="s">
        <v>3512</v>
      </c>
      <c r="S1103" s="84">
        <v>0.14000000000000001</v>
      </c>
      <c r="T1103" s="82" t="s">
        <v>4091</v>
      </c>
      <c r="U1103" s="84" t="s">
        <v>3584</v>
      </c>
      <c r="V1103" s="54"/>
    </row>
    <row r="1104" spans="1:22" s="11" customFormat="1" ht="45" customHeight="1" x14ac:dyDescent="0.2">
      <c r="A1104" s="66" t="s">
        <v>3577</v>
      </c>
      <c r="B1104" s="66" t="s">
        <v>1707</v>
      </c>
      <c r="C1104" s="66" t="s">
        <v>3578</v>
      </c>
      <c r="D1104" s="66">
        <v>82644</v>
      </c>
      <c r="E1104" s="68" t="s">
        <v>5077</v>
      </c>
      <c r="F1104" s="66" t="s">
        <v>5078</v>
      </c>
      <c r="G1104" s="71">
        <v>6500</v>
      </c>
      <c r="H1104" s="73"/>
      <c r="I1104" s="75">
        <v>0.1</v>
      </c>
      <c r="J1104" s="77"/>
      <c r="K1104" s="66"/>
      <c r="L1104" s="66"/>
      <c r="M1104" s="79" t="str">
        <f>HYPERLINK("http://www.pristavka.com/catalog/funko/Fun82644/")</f>
        <v>http://www.pristavka.com/catalog/funko/Fun82644/</v>
      </c>
      <c r="N1104" s="71">
        <v>9999</v>
      </c>
      <c r="O1104" s="66" t="s">
        <v>27</v>
      </c>
      <c r="P1104" s="82" t="s">
        <v>5079</v>
      </c>
      <c r="Q1104" s="84" t="s">
        <v>3517</v>
      </c>
      <c r="R1104" s="84" t="s">
        <v>3512</v>
      </c>
      <c r="S1104" s="84">
        <v>0.13800000000000001</v>
      </c>
      <c r="T1104" s="82" t="s">
        <v>4084</v>
      </c>
      <c r="U1104" s="84" t="s">
        <v>3584</v>
      </c>
      <c r="V1104" s="54"/>
    </row>
    <row r="1105" spans="1:22" s="11" customFormat="1" ht="45" customHeight="1" x14ac:dyDescent="0.2">
      <c r="A1105" s="66" t="s">
        <v>3577</v>
      </c>
      <c r="B1105" s="66" t="s">
        <v>1707</v>
      </c>
      <c r="C1105" s="66" t="s">
        <v>3578</v>
      </c>
      <c r="D1105" s="66">
        <v>82645</v>
      </c>
      <c r="E1105" s="68" t="s">
        <v>5080</v>
      </c>
      <c r="F1105" s="66" t="s">
        <v>5081</v>
      </c>
      <c r="G1105" s="71">
        <v>6500</v>
      </c>
      <c r="H1105" s="73"/>
      <c r="I1105" s="75">
        <v>0.1</v>
      </c>
      <c r="J1105" s="77"/>
      <c r="K1105" s="66"/>
      <c r="L1105" s="66"/>
      <c r="M1105" s="79" t="str">
        <f>HYPERLINK("http://www.pristavka.com/catalog/funko/Fun82645/")</f>
        <v>http://www.pristavka.com/catalog/funko/Fun82645/</v>
      </c>
      <c r="N1105" s="71">
        <v>9999</v>
      </c>
      <c r="O1105" s="66" t="s">
        <v>27</v>
      </c>
      <c r="P1105" s="82" t="s">
        <v>5082</v>
      </c>
      <c r="Q1105" s="84" t="s">
        <v>3512</v>
      </c>
      <c r="R1105" s="84" t="s">
        <v>3512</v>
      </c>
      <c r="S1105" s="84">
        <v>0.13600000000000001</v>
      </c>
      <c r="T1105" s="82" t="s">
        <v>4084</v>
      </c>
      <c r="U1105" s="84" t="s">
        <v>3584</v>
      </c>
      <c r="V1105" s="54"/>
    </row>
    <row r="1106" spans="1:22" s="11" customFormat="1" ht="45" customHeight="1" x14ac:dyDescent="0.2">
      <c r="A1106" s="66" t="s">
        <v>3577</v>
      </c>
      <c r="B1106" s="66" t="s">
        <v>1707</v>
      </c>
      <c r="C1106" s="66" t="s">
        <v>3578</v>
      </c>
      <c r="D1106" s="66">
        <v>82646</v>
      </c>
      <c r="E1106" s="68" t="s">
        <v>5083</v>
      </c>
      <c r="F1106" s="66" t="s">
        <v>5084</v>
      </c>
      <c r="G1106" s="71">
        <v>6500</v>
      </c>
      <c r="H1106" s="73"/>
      <c r="I1106" s="75">
        <v>0.1</v>
      </c>
      <c r="J1106" s="77"/>
      <c r="K1106" s="66"/>
      <c r="L1106" s="66"/>
      <c r="M1106" s="79" t="str">
        <f>HYPERLINK("http://www.pristavka.com/catalog/funko/Fun82646/")</f>
        <v>http://www.pristavka.com/catalog/funko/Fun82646/</v>
      </c>
      <c r="N1106" s="71">
        <v>9999</v>
      </c>
      <c r="O1106" s="66" t="s">
        <v>27</v>
      </c>
      <c r="P1106" s="82" t="s">
        <v>5085</v>
      </c>
      <c r="Q1106" s="84" t="s">
        <v>3833</v>
      </c>
      <c r="R1106" s="84" t="s">
        <v>3512</v>
      </c>
      <c r="S1106" s="84">
        <v>0.14799999999999999</v>
      </c>
      <c r="T1106" s="82" t="s">
        <v>4091</v>
      </c>
      <c r="U1106" s="84" t="s">
        <v>3584</v>
      </c>
      <c r="V1106" s="54"/>
    </row>
    <row r="1107" spans="1:22" s="11" customFormat="1" ht="45" customHeight="1" x14ac:dyDescent="0.2">
      <c r="A1107" s="66" t="s">
        <v>3577</v>
      </c>
      <c r="B1107" s="66" t="s">
        <v>1707</v>
      </c>
      <c r="C1107" s="66" t="s">
        <v>3578</v>
      </c>
      <c r="D1107" s="66">
        <v>82766</v>
      </c>
      <c r="E1107" s="68" t="s">
        <v>5086</v>
      </c>
      <c r="F1107" s="66" t="s">
        <v>5087</v>
      </c>
      <c r="G1107" s="71">
        <v>6500</v>
      </c>
      <c r="H1107" s="73"/>
      <c r="I1107" s="75">
        <v>0.1</v>
      </c>
      <c r="J1107" s="77"/>
      <c r="K1107" s="66"/>
      <c r="L1107" s="66"/>
      <c r="M1107" s="79" t="str">
        <f>HYPERLINK("https://pristavka.com/catalog/funko_figures/Fun82766/")</f>
        <v>https://pristavka.com/catalog/funko_figures/Fun82766/</v>
      </c>
      <c r="N1107" s="71">
        <v>9999</v>
      </c>
      <c r="O1107" s="66" t="s">
        <v>27</v>
      </c>
      <c r="P1107" s="82" t="s">
        <v>5088</v>
      </c>
      <c r="Q1107" s="84" t="s">
        <v>5089</v>
      </c>
      <c r="R1107" s="84" t="s">
        <v>3512</v>
      </c>
      <c r="S1107" s="84">
        <v>0.14499999999999999</v>
      </c>
      <c r="T1107" s="82" t="s">
        <v>4113</v>
      </c>
      <c r="U1107" s="84" t="s">
        <v>3584</v>
      </c>
      <c r="V1107" s="54"/>
    </row>
    <row r="1108" spans="1:22" s="11" customFormat="1" ht="45" customHeight="1" x14ac:dyDescent="0.2">
      <c r="A1108" s="66" t="s">
        <v>3577</v>
      </c>
      <c r="B1108" s="66" t="s">
        <v>1707</v>
      </c>
      <c r="C1108" s="66" t="s">
        <v>3578</v>
      </c>
      <c r="D1108" s="66">
        <v>83751</v>
      </c>
      <c r="E1108" s="68" t="s">
        <v>5090</v>
      </c>
      <c r="F1108" s="66" t="s">
        <v>5091</v>
      </c>
      <c r="G1108" s="71">
        <v>6500</v>
      </c>
      <c r="H1108" s="73"/>
      <c r="I1108" s="75">
        <v>0.1</v>
      </c>
      <c r="J1108" s="77"/>
      <c r="K1108" s="66"/>
      <c r="L1108" s="66"/>
      <c r="M1108" s="79" t="str">
        <f>HYPERLINK("http://www.pristavka.com/catalog/funko/Fun83751/")</f>
        <v>http://www.pristavka.com/catalog/funko/Fun83751/</v>
      </c>
      <c r="N1108" s="71">
        <v>9999</v>
      </c>
      <c r="O1108" s="66" t="s">
        <v>27</v>
      </c>
      <c r="P1108" s="82" t="s">
        <v>5092</v>
      </c>
      <c r="Q1108" s="84" t="s">
        <v>3527</v>
      </c>
      <c r="R1108" s="84" t="s">
        <v>3512</v>
      </c>
      <c r="S1108" s="84">
        <v>0.13</v>
      </c>
      <c r="T1108" s="82" t="s">
        <v>4091</v>
      </c>
      <c r="U1108" s="84" t="s">
        <v>3584</v>
      </c>
      <c r="V1108" s="54"/>
    </row>
    <row r="1109" spans="1:22" s="11" customFormat="1" ht="45" customHeight="1" x14ac:dyDescent="0.2">
      <c r="A1109" s="66" t="s">
        <v>3577</v>
      </c>
      <c r="B1109" s="66" t="s">
        <v>1707</v>
      </c>
      <c r="C1109" s="66" t="s">
        <v>3578</v>
      </c>
      <c r="D1109" s="66">
        <v>83753</v>
      </c>
      <c r="E1109" s="68" t="s">
        <v>5093</v>
      </c>
      <c r="F1109" s="66" t="s">
        <v>5094</v>
      </c>
      <c r="G1109" s="71">
        <v>6500</v>
      </c>
      <c r="H1109" s="73"/>
      <c r="I1109" s="75">
        <v>0.1</v>
      </c>
      <c r="J1109" s="77"/>
      <c r="K1109" s="66"/>
      <c r="L1109" s="66"/>
      <c r="M1109" s="79" t="str">
        <f>HYPERLINK("http://www.pristavka.com/catalog/funko/Fun83753/")</f>
        <v>http://www.pristavka.com/catalog/funko/Fun83753/</v>
      </c>
      <c r="N1109" s="71">
        <v>9999</v>
      </c>
      <c r="O1109" s="66" t="s">
        <v>27</v>
      </c>
      <c r="P1109" s="82" t="s">
        <v>5095</v>
      </c>
      <c r="Q1109" s="84" t="s">
        <v>3527</v>
      </c>
      <c r="R1109" s="84" t="s">
        <v>3512</v>
      </c>
      <c r="S1109" s="84">
        <v>0.15</v>
      </c>
      <c r="T1109" s="82" t="s">
        <v>4113</v>
      </c>
      <c r="U1109" s="84" t="s">
        <v>3584</v>
      </c>
      <c r="V1109" s="54"/>
    </row>
    <row r="1110" spans="1:22" s="11" customFormat="1" ht="45" customHeight="1" x14ac:dyDescent="0.2">
      <c r="A1110" s="66" t="s">
        <v>3577</v>
      </c>
      <c r="B1110" s="66" t="s">
        <v>1707</v>
      </c>
      <c r="C1110" s="66" t="s">
        <v>3578</v>
      </c>
      <c r="D1110" s="66">
        <v>83752</v>
      </c>
      <c r="E1110" s="68" t="s">
        <v>5096</v>
      </c>
      <c r="F1110" s="66" t="s">
        <v>5097</v>
      </c>
      <c r="G1110" s="71">
        <v>6500</v>
      </c>
      <c r="H1110" s="73"/>
      <c r="I1110" s="75">
        <v>0.1</v>
      </c>
      <c r="J1110" s="77"/>
      <c r="K1110" s="66"/>
      <c r="L1110" s="66"/>
      <c r="M1110" s="79" t="str">
        <f>HYPERLINK("http://www.pristavka.com/catalog/funko/Fun83752/")</f>
        <v>http://www.pristavka.com/catalog/funko/Fun83752/</v>
      </c>
      <c r="N1110" s="71">
        <v>9999</v>
      </c>
      <c r="O1110" s="66" t="s">
        <v>27</v>
      </c>
      <c r="P1110" s="82" t="s">
        <v>5098</v>
      </c>
      <c r="Q1110" s="84" t="s">
        <v>3527</v>
      </c>
      <c r="R1110" s="84" t="s">
        <v>3512</v>
      </c>
      <c r="S1110" s="84">
        <v>0.13200000000000001</v>
      </c>
      <c r="T1110" s="82" t="s">
        <v>4091</v>
      </c>
      <c r="U1110" s="84" t="s">
        <v>3584</v>
      </c>
      <c r="V1110" s="54"/>
    </row>
    <row r="1111" spans="1:22" s="11" customFormat="1" ht="45" customHeight="1" x14ac:dyDescent="0.2">
      <c r="A1111" s="66" t="s">
        <v>3577</v>
      </c>
      <c r="B1111" s="66" t="s">
        <v>1707</v>
      </c>
      <c r="C1111" s="66" t="s">
        <v>3578</v>
      </c>
      <c r="D1111" s="66">
        <v>83750</v>
      </c>
      <c r="E1111" s="68" t="s">
        <v>5099</v>
      </c>
      <c r="F1111" s="66" t="s">
        <v>5100</v>
      </c>
      <c r="G1111" s="71">
        <v>6500</v>
      </c>
      <c r="H1111" s="73"/>
      <c r="I1111" s="75">
        <v>0.1</v>
      </c>
      <c r="J1111" s="77"/>
      <c r="K1111" s="66"/>
      <c r="L1111" s="66"/>
      <c r="M1111" s="79" t="str">
        <f>HYPERLINK("http://www.pristavka.com/catalog/funko/Fun83750/")</f>
        <v>http://www.pristavka.com/catalog/funko/Fun83750/</v>
      </c>
      <c r="N1111" s="71">
        <v>9999</v>
      </c>
      <c r="O1111" s="66" t="s">
        <v>27</v>
      </c>
      <c r="P1111" s="82" t="s">
        <v>5101</v>
      </c>
      <c r="Q1111" s="84" t="s">
        <v>3527</v>
      </c>
      <c r="R1111" s="84" t="s">
        <v>3512</v>
      </c>
      <c r="S1111" s="84">
        <v>0.13500000000000001</v>
      </c>
      <c r="T1111" s="82" t="s">
        <v>4113</v>
      </c>
      <c r="U1111" s="84" t="s">
        <v>3584</v>
      </c>
      <c r="V1111" s="54"/>
    </row>
    <row r="1112" spans="1:22" s="11" customFormat="1" ht="45" customHeight="1" x14ac:dyDescent="0.2">
      <c r="A1112" s="66" t="s">
        <v>3577</v>
      </c>
      <c r="B1112" s="66" t="s">
        <v>1707</v>
      </c>
      <c r="C1112" s="66" t="s">
        <v>3578</v>
      </c>
      <c r="D1112" s="66">
        <v>83749</v>
      </c>
      <c r="E1112" s="68" t="s">
        <v>5102</v>
      </c>
      <c r="F1112" s="66" t="s">
        <v>5103</v>
      </c>
      <c r="G1112" s="71">
        <v>6500</v>
      </c>
      <c r="H1112" s="73"/>
      <c r="I1112" s="75">
        <v>0.1</v>
      </c>
      <c r="J1112" s="77"/>
      <c r="K1112" s="66"/>
      <c r="L1112" s="66"/>
      <c r="M1112" s="79" t="str">
        <f>HYPERLINK("http://www.pristavka.com/catalog/funko/Fun83749/")</f>
        <v>http://www.pristavka.com/catalog/funko/Fun83749/</v>
      </c>
      <c r="N1112" s="71">
        <v>9999</v>
      </c>
      <c r="O1112" s="66" t="s">
        <v>27</v>
      </c>
      <c r="P1112" s="82" t="s">
        <v>5104</v>
      </c>
      <c r="Q1112" s="84" t="s">
        <v>3527</v>
      </c>
      <c r="R1112" s="84" t="s">
        <v>3512</v>
      </c>
      <c r="S1112" s="84">
        <v>0.14199999999999999</v>
      </c>
      <c r="T1112" s="82" t="s">
        <v>4084</v>
      </c>
      <c r="U1112" s="84" t="s">
        <v>3584</v>
      </c>
      <c r="V1112" s="54"/>
    </row>
    <row r="1113" spans="1:22" s="11" customFormat="1" ht="45" customHeight="1" x14ac:dyDescent="0.2">
      <c r="A1113" s="66" t="s">
        <v>3577</v>
      </c>
      <c r="B1113" s="66" t="s">
        <v>1707</v>
      </c>
      <c r="C1113" s="66" t="s">
        <v>3578</v>
      </c>
      <c r="D1113" s="66">
        <v>81049</v>
      </c>
      <c r="E1113" s="68" t="s">
        <v>5105</v>
      </c>
      <c r="F1113" s="66" t="s">
        <v>5106</v>
      </c>
      <c r="G1113" s="71">
        <v>6500</v>
      </c>
      <c r="H1113" s="73"/>
      <c r="I1113" s="75">
        <v>0.1</v>
      </c>
      <c r="J1113" s="77"/>
      <c r="K1113" s="66"/>
      <c r="L1113" s="66"/>
      <c r="M1113" s="79" t="str">
        <f>HYPERLINK("http://www.pristavka.com/catalog/funko/Fun81049/")</f>
        <v>http://www.pristavka.com/catalog/funko/Fun81049/</v>
      </c>
      <c r="N1113" s="71">
        <v>9999</v>
      </c>
      <c r="O1113" s="66" t="s">
        <v>27</v>
      </c>
      <c r="P1113" s="82" t="s">
        <v>5107</v>
      </c>
      <c r="Q1113" s="84" t="s">
        <v>5108</v>
      </c>
      <c r="R1113" s="84" t="s">
        <v>3512</v>
      </c>
      <c r="S1113" s="84">
        <v>0.11600000000000001</v>
      </c>
      <c r="T1113" s="82" t="s">
        <v>4084</v>
      </c>
      <c r="U1113" s="84" t="s">
        <v>3584</v>
      </c>
      <c r="V1113" s="54"/>
    </row>
    <row r="1114" spans="1:22" s="11" customFormat="1" ht="45" customHeight="1" x14ac:dyDescent="0.2">
      <c r="A1114" s="66" t="s">
        <v>3577</v>
      </c>
      <c r="B1114" s="66" t="s">
        <v>1707</v>
      </c>
      <c r="C1114" s="66" t="s">
        <v>3578</v>
      </c>
      <c r="D1114" s="66">
        <v>77545</v>
      </c>
      <c r="E1114" s="68" t="s">
        <v>5109</v>
      </c>
      <c r="F1114" s="66" t="s">
        <v>5110</v>
      </c>
      <c r="G1114" s="71">
        <v>6890</v>
      </c>
      <c r="H1114" s="73"/>
      <c r="I1114" s="75">
        <v>0.1</v>
      </c>
      <c r="J1114" s="77"/>
      <c r="K1114" s="66"/>
      <c r="L1114" s="66"/>
      <c r="M1114" s="79" t="str">
        <f>HYPERLINK("http://www.pristavka.com/catalog/funko/Fun77545/")</f>
        <v>http://www.pristavka.com/catalog/funko/Fun77545/</v>
      </c>
      <c r="N1114" s="71">
        <v>10599</v>
      </c>
      <c r="O1114" s="66" t="s">
        <v>28</v>
      </c>
      <c r="P1114" s="82" t="s">
        <v>5111</v>
      </c>
      <c r="Q1114" s="84" t="s">
        <v>5108</v>
      </c>
      <c r="R1114" s="84" t="s">
        <v>3512</v>
      </c>
      <c r="S1114" s="84">
        <v>0.152</v>
      </c>
      <c r="T1114" s="82" t="s">
        <v>4084</v>
      </c>
      <c r="U1114" s="84" t="s">
        <v>3584</v>
      </c>
      <c r="V1114" s="54"/>
    </row>
    <row r="1115" spans="1:22" s="11" customFormat="1" ht="45" customHeight="1" x14ac:dyDescent="0.2">
      <c r="A1115" s="66" t="s">
        <v>3577</v>
      </c>
      <c r="B1115" s="66" t="s">
        <v>1707</v>
      </c>
      <c r="C1115" s="66" t="s">
        <v>3578</v>
      </c>
      <c r="D1115" s="66">
        <v>77543</v>
      </c>
      <c r="E1115" s="68" t="s">
        <v>5112</v>
      </c>
      <c r="F1115" s="66" t="s">
        <v>5113</v>
      </c>
      <c r="G1115" s="71">
        <v>22750</v>
      </c>
      <c r="H1115" s="73"/>
      <c r="I1115" s="75">
        <v>0.1</v>
      </c>
      <c r="J1115" s="77"/>
      <c r="K1115" s="66"/>
      <c r="L1115" s="66"/>
      <c r="M1115" s="79" t="str">
        <f>HYPERLINK("http://www.pristavka.com/catalog/funko/Fun77543/")</f>
        <v>http://www.pristavka.com/catalog/funko/Fun77543/</v>
      </c>
      <c r="N1115" s="71">
        <v>34999</v>
      </c>
      <c r="O1115" s="66" t="s">
        <v>28</v>
      </c>
      <c r="P1115" s="82" t="s">
        <v>5114</v>
      </c>
      <c r="Q1115" s="84" t="s">
        <v>5108</v>
      </c>
      <c r="R1115" s="84" t="s">
        <v>3512</v>
      </c>
      <c r="S1115" s="84">
        <v>1.085</v>
      </c>
      <c r="T1115" s="82" t="s">
        <v>4415</v>
      </c>
      <c r="U1115" s="84" t="s">
        <v>3584</v>
      </c>
      <c r="V1115" s="54"/>
    </row>
    <row r="1116" spans="1:22" s="11" customFormat="1" ht="45" customHeight="1" x14ac:dyDescent="0.2">
      <c r="A1116" s="66" t="s">
        <v>3577</v>
      </c>
      <c r="B1116" s="66" t="s">
        <v>1707</v>
      </c>
      <c r="C1116" s="66" t="s">
        <v>3578</v>
      </c>
      <c r="D1116" s="66">
        <v>84847</v>
      </c>
      <c r="E1116" s="68" t="s">
        <v>5115</v>
      </c>
      <c r="F1116" s="66" t="s">
        <v>5116</v>
      </c>
      <c r="G1116" s="71">
        <v>6500</v>
      </c>
      <c r="H1116" s="73"/>
      <c r="I1116" s="75">
        <v>0.1</v>
      </c>
      <c r="J1116" s="77"/>
      <c r="K1116" s="66"/>
      <c r="L1116" s="66"/>
      <c r="M1116" s="79" t="str">
        <f>HYPERLINK("http://www.pristavka.com/catalog/funko/Fun84847/")</f>
        <v>http://www.pristavka.com/catalog/funko/Fun84847/</v>
      </c>
      <c r="N1116" s="71">
        <v>9999</v>
      </c>
      <c r="O1116" s="66" t="s">
        <v>27</v>
      </c>
      <c r="P1116" s="82" t="s">
        <v>5117</v>
      </c>
      <c r="Q1116" s="84" t="s">
        <v>3798</v>
      </c>
      <c r="R1116" s="84" t="s">
        <v>3512</v>
      </c>
      <c r="S1116" s="84">
        <v>0.125</v>
      </c>
      <c r="T1116" s="82" t="s">
        <v>4113</v>
      </c>
      <c r="U1116" s="84" t="s">
        <v>3584</v>
      </c>
      <c r="V1116" s="54"/>
    </row>
    <row r="1117" spans="1:22" s="11" customFormat="1" ht="45" customHeight="1" x14ac:dyDescent="0.2">
      <c r="A1117" s="66" t="s">
        <v>3577</v>
      </c>
      <c r="B1117" s="66" t="s">
        <v>1707</v>
      </c>
      <c r="C1117" s="66" t="s">
        <v>3578</v>
      </c>
      <c r="D1117" s="66">
        <v>79766</v>
      </c>
      <c r="E1117" s="68" t="s">
        <v>5118</v>
      </c>
      <c r="F1117" s="66" t="s">
        <v>5119</v>
      </c>
      <c r="G1117" s="71">
        <v>6500</v>
      </c>
      <c r="H1117" s="73"/>
      <c r="I1117" s="75">
        <v>0.2</v>
      </c>
      <c r="J1117" s="77"/>
      <c r="K1117" s="66"/>
      <c r="L1117" s="66"/>
      <c r="M1117" s="79" t="str">
        <f>HYPERLINK("http://www.pristavka.com/catalog/funko/Fun79766/")</f>
        <v>http://www.pristavka.com/catalog/funko/Fun79766/</v>
      </c>
      <c r="N1117" s="71">
        <v>9999</v>
      </c>
      <c r="O1117" s="66" t="s">
        <v>27</v>
      </c>
      <c r="P1117" s="82" t="s">
        <v>5120</v>
      </c>
      <c r="Q1117" s="84" t="s">
        <v>3798</v>
      </c>
      <c r="R1117" s="84" t="s">
        <v>3512</v>
      </c>
      <c r="S1117" s="84">
        <v>0.125</v>
      </c>
      <c r="T1117" s="82" t="s">
        <v>4084</v>
      </c>
      <c r="U1117" s="84" t="s">
        <v>3708</v>
      </c>
      <c r="V1117" s="54"/>
    </row>
    <row r="1118" spans="1:22" s="11" customFormat="1" ht="45" customHeight="1" x14ac:dyDescent="0.2">
      <c r="A1118" s="66" t="s">
        <v>3577</v>
      </c>
      <c r="B1118" s="66" t="s">
        <v>1707</v>
      </c>
      <c r="C1118" s="66" t="s">
        <v>3578</v>
      </c>
      <c r="D1118" s="66">
        <v>79768</v>
      </c>
      <c r="E1118" s="68" t="s">
        <v>5121</v>
      </c>
      <c r="F1118" s="66" t="s">
        <v>5122</v>
      </c>
      <c r="G1118" s="71">
        <v>6500</v>
      </c>
      <c r="H1118" s="73"/>
      <c r="I1118" s="75">
        <v>0.2</v>
      </c>
      <c r="J1118" s="77"/>
      <c r="K1118" s="66"/>
      <c r="L1118" s="66"/>
      <c r="M1118" s="79" t="str">
        <f>HYPERLINK("http://www.pristavka.com/catalog/funko/Fun79768/")</f>
        <v>http://www.pristavka.com/catalog/funko/Fun79768/</v>
      </c>
      <c r="N1118" s="71">
        <v>9999</v>
      </c>
      <c r="O1118" s="66" t="s">
        <v>27</v>
      </c>
      <c r="P1118" s="82" t="s">
        <v>5123</v>
      </c>
      <c r="Q1118" s="84" t="s">
        <v>3798</v>
      </c>
      <c r="R1118" s="84" t="s">
        <v>3512</v>
      </c>
      <c r="S1118" s="84">
        <v>0.14199999999999999</v>
      </c>
      <c r="T1118" s="82" t="s">
        <v>4084</v>
      </c>
      <c r="U1118" s="84" t="s">
        <v>3708</v>
      </c>
      <c r="V1118" s="54"/>
    </row>
    <row r="1119" spans="1:22" s="11" customFormat="1" ht="45" customHeight="1" x14ac:dyDescent="0.2">
      <c r="A1119" s="66" t="s">
        <v>3577</v>
      </c>
      <c r="B1119" s="66" t="s">
        <v>1707</v>
      </c>
      <c r="C1119" s="66" t="s">
        <v>3578</v>
      </c>
      <c r="D1119" s="66">
        <v>79769</v>
      </c>
      <c r="E1119" s="68" t="s">
        <v>5124</v>
      </c>
      <c r="F1119" s="66" t="s">
        <v>5125</v>
      </c>
      <c r="G1119" s="71">
        <v>6500</v>
      </c>
      <c r="H1119" s="73"/>
      <c r="I1119" s="75">
        <v>0.2</v>
      </c>
      <c r="J1119" s="77"/>
      <c r="K1119" s="66"/>
      <c r="L1119" s="66"/>
      <c r="M1119" s="79" t="str">
        <f>HYPERLINK("http://www.pristavka.com/catalog/funko/Fun79769/")</f>
        <v>http://www.pristavka.com/catalog/funko/Fun79769/</v>
      </c>
      <c r="N1119" s="71">
        <v>9999</v>
      </c>
      <c r="O1119" s="66" t="s">
        <v>27</v>
      </c>
      <c r="P1119" s="82" t="s">
        <v>5126</v>
      </c>
      <c r="Q1119" s="84" t="s">
        <v>3798</v>
      </c>
      <c r="R1119" s="84" t="s">
        <v>3512</v>
      </c>
      <c r="S1119" s="84">
        <v>0.16800000000000001</v>
      </c>
      <c r="T1119" s="82" t="s">
        <v>4084</v>
      </c>
      <c r="U1119" s="84" t="s">
        <v>3708</v>
      </c>
      <c r="V1119" s="54"/>
    </row>
    <row r="1120" spans="1:22" s="11" customFormat="1" ht="45" customHeight="1" x14ac:dyDescent="0.2">
      <c r="A1120" s="66" t="s">
        <v>3577</v>
      </c>
      <c r="B1120" s="66" t="s">
        <v>1707</v>
      </c>
      <c r="C1120" s="66" t="s">
        <v>3578</v>
      </c>
      <c r="D1120" s="66">
        <v>84848</v>
      </c>
      <c r="E1120" s="68" t="s">
        <v>5127</v>
      </c>
      <c r="F1120" s="66" t="s">
        <v>5128</v>
      </c>
      <c r="G1120" s="71">
        <v>6500</v>
      </c>
      <c r="H1120" s="73"/>
      <c r="I1120" s="75">
        <v>0.1</v>
      </c>
      <c r="J1120" s="77"/>
      <c r="K1120" s="66"/>
      <c r="L1120" s="66"/>
      <c r="M1120" s="79" t="str">
        <f>HYPERLINK("http://www.pristavka.com/catalog/funko/Fun84848/")</f>
        <v>http://www.pristavka.com/catalog/funko/Fun84848/</v>
      </c>
      <c r="N1120" s="71">
        <v>9999</v>
      </c>
      <c r="O1120" s="66" t="s">
        <v>27</v>
      </c>
      <c r="P1120" s="82" t="s">
        <v>5129</v>
      </c>
      <c r="Q1120" s="84" t="s">
        <v>3798</v>
      </c>
      <c r="R1120" s="84" t="s">
        <v>3512</v>
      </c>
      <c r="S1120" s="84">
        <v>0.13800000000000001</v>
      </c>
      <c r="T1120" s="82" t="s">
        <v>4084</v>
      </c>
      <c r="U1120" s="84" t="s">
        <v>3584</v>
      </c>
      <c r="V1120" s="54"/>
    </row>
    <row r="1121" spans="1:22" s="11" customFormat="1" ht="45" customHeight="1" x14ac:dyDescent="0.2">
      <c r="A1121" s="66" t="s">
        <v>3577</v>
      </c>
      <c r="B1121" s="66" t="s">
        <v>1707</v>
      </c>
      <c r="C1121" s="66" t="s">
        <v>3578</v>
      </c>
      <c r="D1121" s="66">
        <v>82381</v>
      </c>
      <c r="E1121" s="68" t="s">
        <v>5130</v>
      </c>
      <c r="F1121" s="66" t="s">
        <v>5131</v>
      </c>
      <c r="G1121" s="71">
        <v>6500</v>
      </c>
      <c r="H1121" s="73"/>
      <c r="I1121" s="75">
        <v>0.2</v>
      </c>
      <c r="J1121" s="77"/>
      <c r="K1121" s="66"/>
      <c r="L1121" s="66"/>
      <c r="M1121" s="79" t="str">
        <f>HYPERLINK("http://www.pristavka.com/catalog/funko/Fun82381/")</f>
        <v>http://www.pristavka.com/catalog/funko/Fun82381/</v>
      </c>
      <c r="N1121" s="71">
        <v>9999</v>
      </c>
      <c r="O1121" s="66" t="s">
        <v>27</v>
      </c>
      <c r="P1121" s="82" t="s">
        <v>5132</v>
      </c>
      <c r="Q1121" s="84" t="s">
        <v>3798</v>
      </c>
      <c r="R1121" s="84" t="s">
        <v>3512</v>
      </c>
      <c r="S1121" s="84">
        <v>0.11799999999999999</v>
      </c>
      <c r="T1121" s="82" t="s">
        <v>4084</v>
      </c>
      <c r="U1121" s="84" t="s">
        <v>3708</v>
      </c>
      <c r="V1121" s="54"/>
    </row>
    <row r="1122" spans="1:22" s="11" customFormat="1" ht="45" customHeight="1" x14ac:dyDescent="0.2">
      <c r="A1122" s="66" t="s">
        <v>3577</v>
      </c>
      <c r="B1122" s="66" t="s">
        <v>1707</v>
      </c>
      <c r="C1122" s="66" t="s">
        <v>3578</v>
      </c>
      <c r="D1122" s="66">
        <v>85074</v>
      </c>
      <c r="E1122" s="68" t="s">
        <v>5133</v>
      </c>
      <c r="F1122" s="66" t="s">
        <v>5134</v>
      </c>
      <c r="G1122" s="71">
        <v>0</v>
      </c>
      <c r="H1122" s="73"/>
      <c r="I1122" s="75">
        <v>0.2</v>
      </c>
      <c r="J1122" s="77"/>
      <c r="K1122" s="66"/>
      <c r="L1122" s="66"/>
      <c r="M1122" s="79" t="str">
        <f>HYPERLINK("http://www.pristavka.com/catalog/funko/Fun85074/")</f>
        <v>http://www.pristavka.com/catalog/funko/Fun85074/</v>
      </c>
      <c r="N1122" s="71"/>
      <c r="O1122" s="66" t="s">
        <v>27</v>
      </c>
      <c r="P1122" s="82" t="s">
        <v>5135</v>
      </c>
      <c r="Q1122" s="84" t="s">
        <v>3798</v>
      </c>
      <c r="R1122" s="84" t="s">
        <v>3512</v>
      </c>
      <c r="S1122" s="84">
        <v>0.125</v>
      </c>
      <c r="T1122" s="82" t="s">
        <v>4113</v>
      </c>
      <c r="U1122" s="84" t="s">
        <v>3708</v>
      </c>
      <c r="V1122" s="54"/>
    </row>
    <row r="1123" spans="1:22" s="11" customFormat="1" ht="45" customHeight="1" x14ac:dyDescent="0.2">
      <c r="A1123" s="66" t="s">
        <v>3577</v>
      </c>
      <c r="B1123" s="66" t="s">
        <v>1707</v>
      </c>
      <c r="C1123" s="66" t="s">
        <v>3578</v>
      </c>
      <c r="D1123" s="66">
        <v>84906</v>
      </c>
      <c r="E1123" s="68" t="s">
        <v>5136</v>
      </c>
      <c r="F1123" s="66" t="s">
        <v>5137</v>
      </c>
      <c r="G1123" s="71">
        <v>6890</v>
      </c>
      <c r="H1123" s="73"/>
      <c r="I1123" s="75">
        <v>0.1</v>
      </c>
      <c r="J1123" s="77"/>
      <c r="K1123" s="66"/>
      <c r="L1123" s="66"/>
      <c r="M1123" s="79" t="str">
        <f>HYPERLINK("http://www.pristavka.com/catalog/funko/Fun84906/")</f>
        <v>http://www.pristavka.com/catalog/funko/Fun84906/</v>
      </c>
      <c r="N1123" s="71">
        <v>10599</v>
      </c>
      <c r="O1123" s="66" t="s">
        <v>27</v>
      </c>
      <c r="P1123" s="82" t="s">
        <v>5138</v>
      </c>
      <c r="Q1123" s="84" t="s">
        <v>3798</v>
      </c>
      <c r="R1123" s="84" t="s">
        <v>3512</v>
      </c>
      <c r="S1123" s="84">
        <v>0.13</v>
      </c>
      <c r="T1123" s="82" t="s">
        <v>4113</v>
      </c>
      <c r="U1123" s="84" t="s">
        <v>3584</v>
      </c>
      <c r="V1123" s="54"/>
    </row>
    <row r="1124" spans="1:22" s="11" customFormat="1" ht="45" customHeight="1" x14ac:dyDescent="0.2">
      <c r="A1124" s="66" t="s">
        <v>3577</v>
      </c>
      <c r="B1124" s="66" t="s">
        <v>1707</v>
      </c>
      <c r="C1124" s="66" t="s">
        <v>3578</v>
      </c>
      <c r="D1124" s="66">
        <v>79767</v>
      </c>
      <c r="E1124" s="68" t="s">
        <v>5139</v>
      </c>
      <c r="F1124" s="66" t="s">
        <v>5140</v>
      </c>
      <c r="G1124" s="71">
        <v>6500</v>
      </c>
      <c r="H1124" s="73"/>
      <c r="I1124" s="75">
        <v>0.2</v>
      </c>
      <c r="J1124" s="77"/>
      <c r="K1124" s="66"/>
      <c r="L1124" s="66"/>
      <c r="M1124" s="79" t="str">
        <f>HYPERLINK("http://www.pristavka.com/catalog/funko/Fun79767/")</f>
        <v>http://www.pristavka.com/catalog/funko/Fun79767/</v>
      </c>
      <c r="N1124" s="71">
        <v>9999</v>
      </c>
      <c r="O1124" s="66" t="s">
        <v>27</v>
      </c>
      <c r="P1124" s="82" t="s">
        <v>5141</v>
      </c>
      <c r="Q1124" s="84" t="s">
        <v>3798</v>
      </c>
      <c r="R1124" s="84" t="s">
        <v>3512</v>
      </c>
      <c r="S1124" s="84">
        <v>0.13800000000000001</v>
      </c>
      <c r="T1124" s="82" t="s">
        <v>4102</v>
      </c>
      <c r="U1124" s="84" t="s">
        <v>3708</v>
      </c>
      <c r="V1124" s="54"/>
    </row>
    <row r="1125" spans="1:22" s="11" customFormat="1" ht="45" customHeight="1" x14ac:dyDescent="0.2">
      <c r="A1125" s="66" t="s">
        <v>3577</v>
      </c>
      <c r="B1125" s="66" t="s">
        <v>1707</v>
      </c>
      <c r="C1125" s="66" t="s">
        <v>3578</v>
      </c>
      <c r="D1125" s="66">
        <v>82382</v>
      </c>
      <c r="E1125" s="68" t="s">
        <v>5142</v>
      </c>
      <c r="F1125" s="66" t="s">
        <v>5143</v>
      </c>
      <c r="G1125" s="71">
        <v>6500</v>
      </c>
      <c r="H1125" s="73"/>
      <c r="I1125" s="75">
        <v>0.2</v>
      </c>
      <c r="J1125" s="77"/>
      <c r="K1125" s="66"/>
      <c r="L1125" s="66"/>
      <c r="M1125" s="79" t="str">
        <f>HYPERLINK("http://www.pristavka.com/catalog/funko/Fun82382/")</f>
        <v>http://www.pristavka.com/catalog/funko/Fun82382/</v>
      </c>
      <c r="N1125" s="71">
        <v>9999</v>
      </c>
      <c r="O1125" s="66" t="s">
        <v>27</v>
      </c>
      <c r="P1125" s="82" t="s">
        <v>5144</v>
      </c>
      <c r="Q1125" s="84" t="s">
        <v>3798</v>
      </c>
      <c r="R1125" s="84" t="s">
        <v>3512</v>
      </c>
      <c r="S1125" s="84">
        <v>0.152</v>
      </c>
      <c r="T1125" s="82" t="s">
        <v>4102</v>
      </c>
      <c r="U1125" s="84" t="s">
        <v>3708</v>
      </c>
      <c r="V1125" s="54"/>
    </row>
    <row r="1126" spans="1:22" s="11" customFormat="1" ht="45" customHeight="1" x14ac:dyDescent="0.2">
      <c r="A1126" s="66" t="s">
        <v>3577</v>
      </c>
      <c r="B1126" s="66" t="s">
        <v>1707</v>
      </c>
      <c r="C1126" s="66" t="s">
        <v>3578</v>
      </c>
      <c r="D1126" s="66">
        <v>84849</v>
      </c>
      <c r="E1126" s="68" t="s">
        <v>5145</v>
      </c>
      <c r="F1126" s="66" t="s">
        <v>5146</v>
      </c>
      <c r="G1126" s="71">
        <v>6500</v>
      </c>
      <c r="H1126" s="73"/>
      <c r="I1126" s="75">
        <v>0.1</v>
      </c>
      <c r="J1126" s="77"/>
      <c r="K1126" s="66"/>
      <c r="L1126" s="66"/>
      <c r="M1126" s="79" t="str">
        <f>HYPERLINK("http://www.pristavka.com/catalog/funko/Fun84849/")</f>
        <v>http://www.pristavka.com/catalog/funko/Fun84849/</v>
      </c>
      <c r="N1126" s="71">
        <v>9999</v>
      </c>
      <c r="O1126" s="66" t="s">
        <v>27</v>
      </c>
      <c r="P1126" s="82" t="s">
        <v>5147</v>
      </c>
      <c r="Q1126" s="84" t="s">
        <v>3798</v>
      </c>
      <c r="R1126" s="84" t="s">
        <v>3512</v>
      </c>
      <c r="S1126" s="84">
        <v>0.13</v>
      </c>
      <c r="T1126" s="82" t="s">
        <v>4113</v>
      </c>
      <c r="U1126" s="84" t="s">
        <v>3584</v>
      </c>
      <c r="V1126" s="54"/>
    </row>
    <row r="1127" spans="1:22" s="11" customFormat="1" ht="45" customHeight="1" x14ac:dyDescent="0.2">
      <c r="A1127" s="66" t="s">
        <v>3577</v>
      </c>
      <c r="B1127" s="66" t="s">
        <v>1707</v>
      </c>
      <c r="C1127" s="66" t="s">
        <v>3578</v>
      </c>
      <c r="D1127" s="66">
        <v>76075</v>
      </c>
      <c r="E1127" s="68" t="s">
        <v>5148</v>
      </c>
      <c r="F1127" s="66" t="s">
        <v>5149</v>
      </c>
      <c r="G1127" s="71">
        <v>6500</v>
      </c>
      <c r="H1127" s="73"/>
      <c r="I1127" s="75">
        <v>0.2</v>
      </c>
      <c r="J1127" s="77"/>
      <c r="K1127" s="66"/>
      <c r="L1127" s="66"/>
      <c r="M1127" s="79" t="str">
        <f>HYPERLINK("http://www.pristavka.com/catalog/funko/Fun76075/")</f>
        <v>http://www.pristavka.com/catalog/funko/Fun76075/</v>
      </c>
      <c r="N1127" s="71">
        <v>9999</v>
      </c>
      <c r="O1127" s="66" t="s">
        <v>27</v>
      </c>
      <c r="P1127" s="82" t="s">
        <v>5150</v>
      </c>
      <c r="Q1127" s="84" t="s">
        <v>3798</v>
      </c>
      <c r="R1127" s="84" t="s">
        <v>3512</v>
      </c>
      <c r="S1127" s="84">
        <v>0.15</v>
      </c>
      <c r="T1127" s="82" t="s">
        <v>4091</v>
      </c>
      <c r="U1127" s="84" t="s">
        <v>3708</v>
      </c>
      <c r="V1127" s="54"/>
    </row>
    <row r="1128" spans="1:22" s="11" customFormat="1" ht="45" customHeight="1" x14ac:dyDescent="0.2">
      <c r="A1128" s="66" t="s">
        <v>3577</v>
      </c>
      <c r="B1128" s="66" t="s">
        <v>1707</v>
      </c>
      <c r="C1128" s="66" t="s">
        <v>3578</v>
      </c>
      <c r="D1128" s="66">
        <v>76077</v>
      </c>
      <c r="E1128" s="68" t="s">
        <v>5151</v>
      </c>
      <c r="F1128" s="66" t="s">
        <v>5152</v>
      </c>
      <c r="G1128" s="71">
        <v>6500</v>
      </c>
      <c r="H1128" s="73"/>
      <c r="I1128" s="75">
        <v>0.2</v>
      </c>
      <c r="J1128" s="77"/>
      <c r="K1128" s="66"/>
      <c r="L1128" s="66"/>
      <c r="M1128" s="79" t="str">
        <f>HYPERLINK("http://www.pristavka.com/catalog/funko/Fun76077/")</f>
        <v>http://www.pristavka.com/catalog/funko/Fun76077/</v>
      </c>
      <c r="N1128" s="71">
        <v>9999</v>
      </c>
      <c r="O1128" s="66" t="s">
        <v>27</v>
      </c>
      <c r="P1128" s="82" t="s">
        <v>5153</v>
      </c>
      <c r="Q1128" s="84" t="s">
        <v>3798</v>
      </c>
      <c r="R1128" s="84" t="s">
        <v>3512</v>
      </c>
      <c r="S1128" s="84">
        <v>0.11899999999999999</v>
      </c>
      <c r="T1128" s="82" t="s">
        <v>4091</v>
      </c>
      <c r="U1128" s="84" t="s">
        <v>3708</v>
      </c>
      <c r="V1128" s="54"/>
    </row>
    <row r="1129" spans="1:22" s="11" customFormat="1" ht="45" customHeight="1" x14ac:dyDescent="0.2">
      <c r="A1129" s="66" t="s">
        <v>3577</v>
      </c>
      <c r="B1129" s="66" t="s">
        <v>1707</v>
      </c>
      <c r="C1129" s="66" t="s">
        <v>3578</v>
      </c>
      <c r="D1129" s="66">
        <v>76076</v>
      </c>
      <c r="E1129" s="68" t="s">
        <v>5154</v>
      </c>
      <c r="F1129" s="66" t="s">
        <v>5155</v>
      </c>
      <c r="G1129" s="71">
        <v>6500</v>
      </c>
      <c r="H1129" s="73"/>
      <c r="I1129" s="75">
        <v>0.2</v>
      </c>
      <c r="J1129" s="77"/>
      <c r="K1129" s="66"/>
      <c r="L1129" s="66"/>
      <c r="M1129" s="79" t="str">
        <f>HYPERLINK("http://www.pristavka.com/catalog/funko/Fun76076/")</f>
        <v>http://www.pristavka.com/catalog/funko/Fun76076/</v>
      </c>
      <c r="N1129" s="71">
        <v>9999</v>
      </c>
      <c r="O1129" s="66" t="s">
        <v>27</v>
      </c>
      <c r="P1129" s="82" t="s">
        <v>5156</v>
      </c>
      <c r="Q1129" s="84" t="s">
        <v>3798</v>
      </c>
      <c r="R1129" s="84" t="s">
        <v>3512</v>
      </c>
      <c r="S1129" s="84">
        <v>0.161</v>
      </c>
      <c r="T1129" s="82" t="s">
        <v>4084</v>
      </c>
      <c r="U1129" s="84" t="s">
        <v>3708</v>
      </c>
      <c r="V1129" s="54"/>
    </row>
    <row r="1130" spans="1:22" s="11" customFormat="1" ht="45" customHeight="1" x14ac:dyDescent="0.2">
      <c r="A1130" s="66" t="s">
        <v>3577</v>
      </c>
      <c r="B1130" s="66" t="s">
        <v>1707</v>
      </c>
      <c r="C1130" s="66" t="s">
        <v>3578</v>
      </c>
      <c r="D1130" s="66">
        <v>77630</v>
      </c>
      <c r="E1130" s="68" t="s">
        <v>5157</v>
      </c>
      <c r="F1130" s="66" t="s">
        <v>5158</v>
      </c>
      <c r="G1130" s="71">
        <v>9100</v>
      </c>
      <c r="H1130" s="73"/>
      <c r="I1130" s="75">
        <v>0.2</v>
      </c>
      <c r="J1130" s="77"/>
      <c r="K1130" s="66"/>
      <c r="L1130" s="66"/>
      <c r="M1130" s="79" t="str">
        <f>HYPERLINK("http://www.pristavka.com/catalog/funko/Fun77630/")</f>
        <v>http://www.pristavka.com/catalog/funko/Fun77630/</v>
      </c>
      <c r="N1130" s="71">
        <v>13999</v>
      </c>
      <c r="O1130" s="66" t="s">
        <v>27</v>
      </c>
      <c r="P1130" s="82" t="s">
        <v>5159</v>
      </c>
      <c r="Q1130" s="84" t="s">
        <v>3798</v>
      </c>
      <c r="R1130" s="84" t="s">
        <v>3512</v>
      </c>
      <c r="S1130" s="84">
        <v>0.16500000000000001</v>
      </c>
      <c r="T1130" s="82" t="s">
        <v>4113</v>
      </c>
      <c r="U1130" s="84" t="s">
        <v>3708</v>
      </c>
      <c r="V1130" s="54"/>
    </row>
    <row r="1131" spans="1:22" s="11" customFormat="1" ht="45" customHeight="1" x14ac:dyDescent="0.2">
      <c r="A1131" s="66" t="s">
        <v>3577</v>
      </c>
      <c r="B1131" s="66" t="s">
        <v>1707</v>
      </c>
      <c r="C1131" s="66" t="s">
        <v>3578</v>
      </c>
      <c r="D1131" s="66">
        <v>76079</v>
      </c>
      <c r="E1131" s="68" t="s">
        <v>5160</v>
      </c>
      <c r="F1131" s="66" t="s">
        <v>5161</v>
      </c>
      <c r="G1131" s="71">
        <v>6500</v>
      </c>
      <c r="H1131" s="73"/>
      <c r="I1131" s="75">
        <v>0.2</v>
      </c>
      <c r="J1131" s="77"/>
      <c r="K1131" s="66"/>
      <c r="L1131" s="66"/>
      <c r="M1131" s="79" t="str">
        <f>HYPERLINK("http://www.pristavka.com/catalog/funko/Fun76079/")</f>
        <v>http://www.pristavka.com/catalog/funko/Fun76079/</v>
      </c>
      <c r="N1131" s="71">
        <v>9999</v>
      </c>
      <c r="O1131" s="66" t="s">
        <v>27</v>
      </c>
      <c r="P1131" s="82" t="s">
        <v>5162</v>
      </c>
      <c r="Q1131" s="84" t="s">
        <v>3798</v>
      </c>
      <c r="R1131" s="84" t="s">
        <v>3512</v>
      </c>
      <c r="S1131" s="84">
        <v>0.12</v>
      </c>
      <c r="T1131" s="82" t="s">
        <v>4084</v>
      </c>
      <c r="U1131" s="84" t="s">
        <v>3708</v>
      </c>
      <c r="V1131" s="54"/>
    </row>
    <row r="1132" spans="1:22" s="11" customFormat="1" ht="45" customHeight="1" x14ac:dyDescent="0.2">
      <c r="A1132" s="66" t="s">
        <v>3577</v>
      </c>
      <c r="B1132" s="66" t="s">
        <v>1707</v>
      </c>
      <c r="C1132" s="66" t="s">
        <v>3578</v>
      </c>
      <c r="D1132" s="66">
        <v>76080</v>
      </c>
      <c r="E1132" s="68" t="s">
        <v>5163</v>
      </c>
      <c r="F1132" s="66" t="s">
        <v>5164</v>
      </c>
      <c r="G1132" s="71">
        <v>6500</v>
      </c>
      <c r="H1132" s="73"/>
      <c r="I1132" s="75">
        <v>0.2</v>
      </c>
      <c r="J1132" s="77"/>
      <c r="K1132" s="66"/>
      <c r="L1132" s="66"/>
      <c r="M1132" s="79" t="str">
        <f>HYPERLINK("http://www.pristavka.com/catalog/funko/Fun76080/")</f>
        <v>http://www.pristavka.com/catalog/funko/Fun76080/</v>
      </c>
      <c r="N1132" s="71">
        <v>9999</v>
      </c>
      <c r="O1132" s="66" t="s">
        <v>27</v>
      </c>
      <c r="P1132" s="82" t="s">
        <v>5165</v>
      </c>
      <c r="Q1132" s="84" t="s">
        <v>3798</v>
      </c>
      <c r="R1132" s="84" t="s">
        <v>3512</v>
      </c>
      <c r="S1132" s="84">
        <v>0.15</v>
      </c>
      <c r="T1132" s="82" t="s">
        <v>4091</v>
      </c>
      <c r="U1132" s="84" t="s">
        <v>3708</v>
      </c>
      <c r="V1132" s="54"/>
    </row>
    <row r="1133" spans="1:22" s="11" customFormat="1" ht="45" customHeight="1" x14ac:dyDescent="0.2">
      <c r="A1133" s="66" t="s">
        <v>3577</v>
      </c>
      <c r="B1133" s="66" t="s">
        <v>1707</v>
      </c>
      <c r="C1133" s="66" t="s">
        <v>3578</v>
      </c>
      <c r="D1133" s="66">
        <v>7486</v>
      </c>
      <c r="E1133" s="68" t="s">
        <v>5166</v>
      </c>
      <c r="F1133" s="66" t="s">
        <v>5167</v>
      </c>
      <c r="G1133" s="71">
        <v>6500</v>
      </c>
      <c r="H1133" s="73"/>
      <c r="I1133" s="75">
        <v>0.2</v>
      </c>
      <c r="J1133" s="77"/>
      <c r="K1133" s="66"/>
      <c r="L1133" s="66"/>
      <c r="M1133" s="79" t="str">
        <f>HYPERLINK("http://www.pristavka.com/catalog/funko/Fun1139/")</f>
        <v>http://www.pristavka.com/catalog/funko/Fun1139/</v>
      </c>
      <c r="N1133" s="71">
        <v>9999</v>
      </c>
      <c r="O1133" s="66" t="s">
        <v>27</v>
      </c>
      <c r="P1133" s="82" t="s">
        <v>5168</v>
      </c>
      <c r="Q1133" s="84" t="s">
        <v>3798</v>
      </c>
      <c r="R1133" s="84" t="s">
        <v>3512</v>
      </c>
      <c r="S1133" s="84">
        <v>0.18</v>
      </c>
      <c r="T1133" s="82" t="s">
        <v>4113</v>
      </c>
      <c r="U1133" s="84" t="s">
        <v>3708</v>
      </c>
      <c r="V1133" s="54"/>
    </row>
    <row r="1134" spans="1:22" s="11" customFormat="1" ht="45" customHeight="1" x14ac:dyDescent="0.2">
      <c r="A1134" s="66" t="s">
        <v>3577</v>
      </c>
      <c r="B1134" s="66" t="s">
        <v>1707</v>
      </c>
      <c r="C1134" s="66" t="s">
        <v>3578</v>
      </c>
      <c r="D1134" s="66">
        <v>60920</v>
      </c>
      <c r="E1134" s="68" t="s">
        <v>5169</v>
      </c>
      <c r="F1134" s="66" t="s">
        <v>5170</v>
      </c>
      <c r="G1134" s="71">
        <v>6500</v>
      </c>
      <c r="H1134" s="73"/>
      <c r="I1134" s="75">
        <v>0.1</v>
      </c>
      <c r="J1134" s="77"/>
      <c r="K1134" s="66"/>
      <c r="L1134" s="66"/>
      <c r="M1134" s="79" t="str">
        <f>HYPERLINK("http://www.pristavka.com/catalog/funko/Fun60920/")</f>
        <v>http://www.pristavka.com/catalog/funko/Fun60920/</v>
      </c>
      <c r="N1134" s="71">
        <v>9999</v>
      </c>
      <c r="O1134" s="66" t="s">
        <v>28</v>
      </c>
      <c r="P1134" s="82" t="s">
        <v>5171</v>
      </c>
      <c r="Q1134" s="84" t="s">
        <v>5172</v>
      </c>
      <c r="R1134" s="84" t="s">
        <v>3512</v>
      </c>
      <c r="S1134" s="84">
        <v>0.13100000000000001</v>
      </c>
      <c r="T1134" s="82" t="s">
        <v>4091</v>
      </c>
      <c r="U1134" s="84" t="s">
        <v>3584</v>
      </c>
      <c r="V1134" s="54"/>
    </row>
    <row r="1135" spans="1:22" s="11" customFormat="1" ht="45" customHeight="1" x14ac:dyDescent="0.2">
      <c r="A1135" s="66" t="s">
        <v>3577</v>
      </c>
      <c r="B1135" s="66" t="s">
        <v>1707</v>
      </c>
      <c r="C1135" s="66" t="s">
        <v>3578</v>
      </c>
      <c r="D1135" s="66">
        <v>71062</v>
      </c>
      <c r="E1135" s="68" t="s">
        <v>5173</v>
      </c>
      <c r="F1135" s="66" t="s">
        <v>5174</v>
      </c>
      <c r="G1135" s="71">
        <v>6890</v>
      </c>
      <c r="H1135" s="73"/>
      <c r="I1135" s="75">
        <v>0.1</v>
      </c>
      <c r="J1135" s="77"/>
      <c r="K1135" s="66"/>
      <c r="L1135" s="66"/>
      <c r="M1135" s="79" t="str">
        <f>HYPERLINK("http://www.pristavka.com/catalog/funko/Fun71062/")</f>
        <v>http://www.pristavka.com/catalog/funko/Fun71062/</v>
      </c>
      <c r="N1135" s="71">
        <v>10599</v>
      </c>
      <c r="O1135" s="66" t="s">
        <v>27</v>
      </c>
      <c r="P1135" s="82" t="s">
        <v>5175</v>
      </c>
      <c r="Q1135" s="84" t="s">
        <v>5172</v>
      </c>
      <c r="R1135" s="84" t="s">
        <v>3512</v>
      </c>
      <c r="S1135" s="84">
        <v>0.155</v>
      </c>
      <c r="T1135" s="82" t="s">
        <v>4091</v>
      </c>
      <c r="U1135" s="84" t="s">
        <v>3584</v>
      </c>
      <c r="V1135" s="54"/>
    </row>
    <row r="1136" spans="1:22" s="11" customFormat="1" ht="45" customHeight="1" x14ac:dyDescent="0.2">
      <c r="A1136" s="66" t="s">
        <v>3577</v>
      </c>
      <c r="B1136" s="66" t="s">
        <v>1707</v>
      </c>
      <c r="C1136" s="66" t="s">
        <v>3578</v>
      </c>
      <c r="D1136" s="66">
        <v>70666</v>
      </c>
      <c r="E1136" s="68" t="s">
        <v>5176</v>
      </c>
      <c r="F1136" s="66" t="s">
        <v>5177</v>
      </c>
      <c r="G1136" s="71">
        <v>6500</v>
      </c>
      <c r="H1136" s="73"/>
      <c r="I1136" s="75">
        <v>0.1</v>
      </c>
      <c r="J1136" s="77"/>
      <c r="K1136" s="66"/>
      <c r="L1136" s="66"/>
      <c r="M1136" s="79" t="str">
        <f>HYPERLINK("http://www.pristavka.com/catalog/funko/Fun70666/")</f>
        <v>http://www.pristavka.com/catalog/funko/Fun70666/</v>
      </c>
      <c r="N1136" s="71">
        <v>9999</v>
      </c>
      <c r="O1136" s="66" t="s">
        <v>27</v>
      </c>
      <c r="P1136" s="82" t="s">
        <v>5178</v>
      </c>
      <c r="Q1136" s="84" t="s">
        <v>5179</v>
      </c>
      <c r="R1136" s="84" t="s">
        <v>3512</v>
      </c>
      <c r="S1136" s="84">
        <v>0.14399999999999999</v>
      </c>
      <c r="T1136" s="82" t="s">
        <v>4091</v>
      </c>
      <c r="U1136" s="84" t="s">
        <v>3584</v>
      </c>
      <c r="V1136" s="54"/>
    </row>
    <row r="1137" spans="1:22" s="11" customFormat="1" ht="45" customHeight="1" x14ac:dyDescent="0.2">
      <c r="A1137" s="66" t="s">
        <v>3577</v>
      </c>
      <c r="B1137" s="66" t="s">
        <v>1707</v>
      </c>
      <c r="C1137" s="66" t="s">
        <v>3578</v>
      </c>
      <c r="D1137" s="66">
        <v>70668</v>
      </c>
      <c r="E1137" s="68" t="s">
        <v>5180</v>
      </c>
      <c r="F1137" s="66" t="s">
        <v>5181</v>
      </c>
      <c r="G1137" s="71">
        <v>6500</v>
      </c>
      <c r="H1137" s="73"/>
      <c r="I1137" s="75">
        <v>0.1</v>
      </c>
      <c r="J1137" s="77"/>
      <c r="K1137" s="66"/>
      <c r="L1137" s="66"/>
      <c r="M1137" s="79" t="str">
        <f>HYPERLINK("http://www.pristavka.com/catalog/funko/Fun70668/")</f>
        <v>http://www.pristavka.com/catalog/funko/Fun70668/</v>
      </c>
      <c r="N1137" s="71">
        <v>9999</v>
      </c>
      <c r="O1137" s="66" t="s">
        <v>27</v>
      </c>
      <c r="P1137" s="82" t="s">
        <v>5182</v>
      </c>
      <c r="Q1137" s="84" t="s">
        <v>5179</v>
      </c>
      <c r="R1137" s="84" t="s">
        <v>3512</v>
      </c>
      <c r="S1137" s="84">
        <v>0.13400000000000001</v>
      </c>
      <c r="T1137" s="82" t="s">
        <v>4091</v>
      </c>
      <c r="U1137" s="84" t="s">
        <v>3584</v>
      </c>
      <c r="V1137" s="54"/>
    </row>
    <row r="1138" spans="1:22" s="11" customFormat="1" ht="45" customHeight="1" x14ac:dyDescent="0.2">
      <c r="A1138" s="66" t="s">
        <v>3577</v>
      </c>
      <c r="B1138" s="66" t="s">
        <v>1707</v>
      </c>
      <c r="C1138" s="66" t="s">
        <v>3578</v>
      </c>
      <c r="D1138" s="66">
        <v>49712</v>
      </c>
      <c r="E1138" s="68" t="s">
        <v>5183</v>
      </c>
      <c r="F1138" s="66" t="s">
        <v>5184</v>
      </c>
      <c r="G1138" s="71">
        <v>6500</v>
      </c>
      <c r="H1138" s="73"/>
      <c r="I1138" s="75">
        <v>0.1</v>
      </c>
      <c r="J1138" s="77"/>
      <c r="K1138" s="66"/>
      <c r="L1138" s="66"/>
      <c r="M1138" s="79" t="str">
        <f>HYPERLINK("http://www.pristavka.com/catalog/funko/Fun25491960/")</f>
        <v>http://www.pristavka.com/catalog/funko/Fun25491960/</v>
      </c>
      <c r="N1138" s="71">
        <v>9999</v>
      </c>
      <c r="O1138" s="66" t="s">
        <v>28</v>
      </c>
      <c r="P1138" s="82" t="s">
        <v>5185</v>
      </c>
      <c r="Q1138" s="84" t="s">
        <v>5186</v>
      </c>
      <c r="R1138" s="84" t="s">
        <v>3512</v>
      </c>
      <c r="S1138" s="84">
        <v>0.13700000000000001</v>
      </c>
      <c r="T1138" s="82" t="s">
        <v>4102</v>
      </c>
      <c r="U1138" s="84" t="s">
        <v>3584</v>
      </c>
      <c r="V1138" s="54"/>
    </row>
    <row r="1139" spans="1:22" s="11" customFormat="1" ht="45" customHeight="1" x14ac:dyDescent="0.2">
      <c r="A1139" s="66" t="s">
        <v>3577</v>
      </c>
      <c r="B1139" s="66" t="s">
        <v>1707</v>
      </c>
      <c r="C1139" s="66" t="s">
        <v>3578</v>
      </c>
      <c r="D1139" s="66">
        <v>44991</v>
      </c>
      <c r="E1139" s="68" t="s">
        <v>5187</v>
      </c>
      <c r="F1139" s="66" t="s">
        <v>5188</v>
      </c>
      <c r="G1139" s="71">
        <v>6500</v>
      </c>
      <c r="H1139" s="73"/>
      <c r="I1139" s="75">
        <v>0.1</v>
      </c>
      <c r="J1139" s="77"/>
      <c r="K1139" s="66"/>
      <c r="L1139" s="66"/>
      <c r="M1139" s="79" t="str">
        <f>HYPERLINK("http://www.pristavka.com/catalog/funko/Fun2549205/")</f>
        <v>http://www.pristavka.com/catalog/funko/Fun2549205/</v>
      </c>
      <c r="N1139" s="71">
        <v>9999</v>
      </c>
      <c r="O1139" s="66" t="s">
        <v>27</v>
      </c>
      <c r="P1139" s="82" t="s">
        <v>5189</v>
      </c>
      <c r="Q1139" s="84" t="s">
        <v>5190</v>
      </c>
      <c r="R1139" s="84" t="s">
        <v>3512</v>
      </c>
      <c r="S1139" s="84">
        <v>0.11</v>
      </c>
      <c r="T1139" s="82" t="s">
        <v>5191</v>
      </c>
      <c r="U1139" s="84" t="s">
        <v>3584</v>
      </c>
      <c r="V1139" s="54"/>
    </row>
    <row r="1140" spans="1:22" s="11" customFormat="1" ht="45" customHeight="1" x14ac:dyDescent="0.2">
      <c r="A1140" s="66" t="s">
        <v>3577</v>
      </c>
      <c r="B1140" s="66" t="s">
        <v>1707</v>
      </c>
      <c r="C1140" s="66" t="s">
        <v>3578</v>
      </c>
      <c r="D1140" s="66">
        <v>83586</v>
      </c>
      <c r="E1140" s="68" t="s">
        <v>5192</v>
      </c>
      <c r="F1140" s="66" t="s">
        <v>5193</v>
      </c>
      <c r="G1140" s="71">
        <v>6500</v>
      </c>
      <c r="H1140" s="73"/>
      <c r="I1140" s="75">
        <v>0.1</v>
      </c>
      <c r="J1140" s="77"/>
      <c r="K1140" s="66"/>
      <c r="L1140" s="66"/>
      <c r="M1140" s="79" t="str">
        <f>HYPERLINK("http://www.pristavka.com/catalog/funko/Fun83586/")</f>
        <v>http://www.pristavka.com/catalog/funko/Fun83586/</v>
      </c>
      <c r="N1140" s="71">
        <v>9999</v>
      </c>
      <c r="O1140" s="66" t="s">
        <v>27</v>
      </c>
      <c r="P1140" s="82" t="s">
        <v>5194</v>
      </c>
      <c r="Q1140" s="84" t="s">
        <v>5190</v>
      </c>
      <c r="R1140" s="84" t="s">
        <v>3512</v>
      </c>
      <c r="S1140" s="84">
        <v>0.21</v>
      </c>
      <c r="T1140" s="82" t="s">
        <v>4084</v>
      </c>
      <c r="U1140" s="84" t="s">
        <v>3584</v>
      </c>
      <c r="V1140" s="54"/>
    </row>
    <row r="1141" spans="1:22" s="11" customFormat="1" ht="45" customHeight="1" x14ac:dyDescent="0.2">
      <c r="A1141" s="66" t="s">
        <v>3577</v>
      </c>
      <c r="B1141" s="66" t="s">
        <v>1707</v>
      </c>
      <c r="C1141" s="66" t="s">
        <v>3578</v>
      </c>
      <c r="D1141" s="66">
        <v>85358</v>
      </c>
      <c r="E1141" s="68" t="s">
        <v>5195</v>
      </c>
      <c r="F1141" s="66" t="s">
        <v>5196</v>
      </c>
      <c r="G1141" s="71">
        <v>6890</v>
      </c>
      <c r="H1141" s="73"/>
      <c r="I1141" s="75">
        <v>0.1</v>
      </c>
      <c r="J1141" s="77"/>
      <c r="K1141" s="66"/>
      <c r="L1141" s="66"/>
      <c r="M1141" s="79" t="str">
        <f>HYPERLINK("http://www.pristavka.com/catalog/funko/Fun85358/")</f>
        <v>http://www.pristavka.com/catalog/funko/Fun85358/</v>
      </c>
      <c r="N1141" s="71">
        <v>10599</v>
      </c>
      <c r="O1141" s="66" t="s">
        <v>27</v>
      </c>
      <c r="P1141" s="82" t="s">
        <v>5197</v>
      </c>
      <c r="Q1141" s="84" t="s">
        <v>5190</v>
      </c>
      <c r="R1141" s="84" t="s">
        <v>3512</v>
      </c>
      <c r="S1141" s="84">
        <v>0.16</v>
      </c>
      <c r="T1141" s="82" t="s">
        <v>4113</v>
      </c>
      <c r="U1141" s="84" t="s">
        <v>3584</v>
      </c>
      <c r="V1141" s="54"/>
    </row>
    <row r="1142" spans="1:22" s="11" customFormat="1" ht="45" customHeight="1" x14ac:dyDescent="0.2">
      <c r="A1142" s="66" t="s">
        <v>3577</v>
      </c>
      <c r="B1142" s="66" t="s">
        <v>1707</v>
      </c>
      <c r="C1142" s="66" t="s">
        <v>3578</v>
      </c>
      <c r="D1142" s="66">
        <v>83583</v>
      </c>
      <c r="E1142" s="68" t="s">
        <v>5198</v>
      </c>
      <c r="F1142" s="66" t="s">
        <v>5199</v>
      </c>
      <c r="G1142" s="71">
        <v>6500</v>
      </c>
      <c r="H1142" s="73"/>
      <c r="I1142" s="75">
        <v>0.1</v>
      </c>
      <c r="J1142" s="77"/>
      <c r="K1142" s="66"/>
      <c r="L1142" s="66"/>
      <c r="M1142" s="79" t="str">
        <f>HYPERLINK("http://www.pristavka.com/catalog/funko/Fun83583/")</f>
        <v>http://www.pristavka.com/catalog/funko/Fun83583/</v>
      </c>
      <c r="N1142" s="71">
        <v>9999</v>
      </c>
      <c r="O1142" s="66" t="s">
        <v>27</v>
      </c>
      <c r="P1142" s="82" t="s">
        <v>5200</v>
      </c>
      <c r="Q1142" s="84" t="s">
        <v>5190</v>
      </c>
      <c r="R1142" s="84" t="s">
        <v>3512</v>
      </c>
      <c r="S1142" s="84">
        <v>0.14499999999999999</v>
      </c>
      <c r="T1142" s="82" t="s">
        <v>4084</v>
      </c>
      <c r="U1142" s="84" t="s">
        <v>3584</v>
      </c>
      <c r="V1142" s="54"/>
    </row>
    <row r="1143" spans="1:22" s="11" customFormat="1" ht="45" customHeight="1" x14ac:dyDescent="0.2">
      <c r="A1143" s="66" t="s">
        <v>3577</v>
      </c>
      <c r="B1143" s="66" t="s">
        <v>1707</v>
      </c>
      <c r="C1143" s="66" t="s">
        <v>3578</v>
      </c>
      <c r="D1143" s="66">
        <v>85359</v>
      </c>
      <c r="E1143" s="68" t="s">
        <v>5201</v>
      </c>
      <c r="F1143" s="66" t="s">
        <v>5202</v>
      </c>
      <c r="G1143" s="71">
        <v>6890</v>
      </c>
      <c r="H1143" s="73"/>
      <c r="I1143" s="75">
        <v>0.1</v>
      </c>
      <c r="J1143" s="77"/>
      <c r="K1143" s="66"/>
      <c r="L1143" s="66"/>
      <c r="M1143" s="79" t="str">
        <f>HYPERLINK("http://www.pristavka.com/catalog/funko/Fun85359/")</f>
        <v>http://www.pristavka.com/catalog/funko/Fun85359/</v>
      </c>
      <c r="N1143" s="71">
        <v>10599</v>
      </c>
      <c r="O1143" s="66" t="s">
        <v>27</v>
      </c>
      <c r="P1143" s="82" t="s">
        <v>5203</v>
      </c>
      <c r="Q1143" s="84" t="s">
        <v>5190</v>
      </c>
      <c r="R1143" s="84" t="s">
        <v>3512</v>
      </c>
      <c r="S1143" s="84">
        <v>0.152</v>
      </c>
      <c r="T1143" s="82" t="s">
        <v>4113</v>
      </c>
      <c r="U1143" s="84" t="s">
        <v>3584</v>
      </c>
      <c r="V1143" s="54"/>
    </row>
    <row r="1144" spans="1:22" s="11" customFormat="1" ht="45" customHeight="1" x14ac:dyDescent="0.2">
      <c r="A1144" s="66" t="s">
        <v>3577</v>
      </c>
      <c r="B1144" s="66" t="s">
        <v>1707</v>
      </c>
      <c r="C1144" s="66" t="s">
        <v>3578</v>
      </c>
      <c r="D1144" s="66">
        <v>83584</v>
      </c>
      <c r="E1144" s="68" t="s">
        <v>5204</v>
      </c>
      <c r="F1144" s="66" t="s">
        <v>5205</v>
      </c>
      <c r="G1144" s="71">
        <v>6500</v>
      </c>
      <c r="H1144" s="73"/>
      <c r="I1144" s="75">
        <v>0.1</v>
      </c>
      <c r="J1144" s="77"/>
      <c r="K1144" s="66"/>
      <c r="L1144" s="66"/>
      <c r="M1144" s="79" t="str">
        <f>HYPERLINK("http://www.pristavka.com/catalog/funko/Fun83584/")</f>
        <v>http://www.pristavka.com/catalog/funko/Fun83584/</v>
      </c>
      <c r="N1144" s="71">
        <v>9999</v>
      </c>
      <c r="O1144" s="66" t="s">
        <v>27</v>
      </c>
      <c r="P1144" s="82" t="s">
        <v>5206</v>
      </c>
      <c r="Q1144" s="84" t="s">
        <v>5190</v>
      </c>
      <c r="R1144" s="84" t="s">
        <v>3512</v>
      </c>
      <c r="S1144" s="84">
        <v>0.125</v>
      </c>
      <c r="T1144" s="82" t="s">
        <v>4113</v>
      </c>
      <c r="U1144" s="84" t="s">
        <v>3584</v>
      </c>
      <c r="V1144" s="54"/>
    </row>
    <row r="1145" spans="1:22" s="11" customFormat="1" ht="45" customHeight="1" x14ac:dyDescent="0.2">
      <c r="A1145" s="66" t="s">
        <v>3577</v>
      </c>
      <c r="B1145" s="66" t="s">
        <v>1707</v>
      </c>
      <c r="C1145" s="66" t="s">
        <v>3578</v>
      </c>
      <c r="D1145" s="66">
        <v>85357</v>
      </c>
      <c r="E1145" s="68" t="s">
        <v>5207</v>
      </c>
      <c r="F1145" s="66" t="s">
        <v>5208</v>
      </c>
      <c r="G1145" s="71">
        <v>6890</v>
      </c>
      <c r="H1145" s="73"/>
      <c r="I1145" s="75">
        <v>0.1</v>
      </c>
      <c r="J1145" s="77"/>
      <c r="K1145" s="66"/>
      <c r="L1145" s="66"/>
      <c r="M1145" s="79" t="str">
        <f>HYPERLINK("http://www.pristavka.com/catalog/funko/Fun85357/")</f>
        <v>http://www.pristavka.com/catalog/funko/Fun85357/</v>
      </c>
      <c r="N1145" s="71">
        <v>10599</v>
      </c>
      <c r="O1145" s="66" t="s">
        <v>27</v>
      </c>
      <c r="P1145" s="82" t="s">
        <v>5209</v>
      </c>
      <c r="Q1145" s="84" t="s">
        <v>5190</v>
      </c>
      <c r="R1145" s="84" t="s">
        <v>3512</v>
      </c>
      <c r="S1145" s="84">
        <v>0.16</v>
      </c>
      <c r="T1145" s="82" t="s">
        <v>4113</v>
      </c>
      <c r="U1145" s="84" t="s">
        <v>3584</v>
      </c>
      <c r="V1145" s="54"/>
    </row>
    <row r="1146" spans="1:22" s="11" customFormat="1" ht="45" customHeight="1" x14ac:dyDescent="0.2">
      <c r="A1146" s="66" t="s">
        <v>3577</v>
      </c>
      <c r="B1146" s="66" t="s">
        <v>1707</v>
      </c>
      <c r="C1146" s="66" t="s">
        <v>3578</v>
      </c>
      <c r="D1146" s="66">
        <v>83587</v>
      </c>
      <c r="E1146" s="68" t="s">
        <v>5210</v>
      </c>
      <c r="F1146" s="66" t="s">
        <v>5211</v>
      </c>
      <c r="G1146" s="71">
        <v>6500</v>
      </c>
      <c r="H1146" s="73"/>
      <c r="I1146" s="75">
        <v>0.1</v>
      </c>
      <c r="J1146" s="77"/>
      <c r="K1146" s="66"/>
      <c r="L1146" s="66"/>
      <c r="M1146" s="79" t="str">
        <f>HYPERLINK("http://www.pristavka.com/catalog/funko/Fun83587/")</f>
        <v>http://www.pristavka.com/catalog/funko/Fun83587/</v>
      </c>
      <c r="N1146" s="71">
        <v>9999</v>
      </c>
      <c r="O1146" s="66" t="s">
        <v>27</v>
      </c>
      <c r="P1146" s="82" t="s">
        <v>5212</v>
      </c>
      <c r="Q1146" s="84" t="s">
        <v>5190</v>
      </c>
      <c r="R1146" s="84" t="s">
        <v>3512</v>
      </c>
      <c r="S1146" s="84">
        <v>0.13</v>
      </c>
      <c r="T1146" s="82" t="s">
        <v>4084</v>
      </c>
      <c r="U1146" s="84" t="s">
        <v>3584</v>
      </c>
      <c r="V1146" s="54"/>
    </row>
    <row r="1147" spans="1:22" s="11" customFormat="1" ht="45" customHeight="1" x14ac:dyDescent="0.2">
      <c r="A1147" s="66" t="s">
        <v>3577</v>
      </c>
      <c r="B1147" s="66" t="s">
        <v>1707</v>
      </c>
      <c r="C1147" s="66" t="s">
        <v>3578</v>
      </c>
      <c r="D1147" s="66">
        <v>83585</v>
      </c>
      <c r="E1147" s="68" t="s">
        <v>5213</v>
      </c>
      <c r="F1147" s="66" t="s">
        <v>5214</v>
      </c>
      <c r="G1147" s="71">
        <v>6500</v>
      </c>
      <c r="H1147" s="73"/>
      <c r="I1147" s="75">
        <v>0.1</v>
      </c>
      <c r="J1147" s="77"/>
      <c r="K1147" s="66"/>
      <c r="L1147" s="66"/>
      <c r="M1147" s="79" t="str">
        <f>HYPERLINK("http://www.pristavka.com/catalog/funko/Fun83585/")</f>
        <v>http://www.pristavka.com/catalog/funko/Fun83585/</v>
      </c>
      <c r="N1147" s="71">
        <v>9999</v>
      </c>
      <c r="O1147" s="66" t="s">
        <v>27</v>
      </c>
      <c r="P1147" s="82" t="s">
        <v>5215</v>
      </c>
      <c r="Q1147" s="84" t="s">
        <v>5190</v>
      </c>
      <c r="R1147" s="84" t="s">
        <v>3512</v>
      </c>
      <c r="S1147" s="84">
        <v>0.16800000000000001</v>
      </c>
      <c r="T1147" s="82" t="s">
        <v>4091</v>
      </c>
      <c r="U1147" s="84" t="s">
        <v>3584</v>
      </c>
      <c r="V1147" s="54"/>
    </row>
    <row r="1148" spans="1:22" s="11" customFormat="1" ht="45" customHeight="1" x14ac:dyDescent="0.2">
      <c r="A1148" s="66" t="s">
        <v>3577</v>
      </c>
      <c r="B1148" s="66" t="s">
        <v>1707</v>
      </c>
      <c r="C1148" s="66" t="s">
        <v>3578</v>
      </c>
      <c r="D1148" s="66">
        <v>85360</v>
      </c>
      <c r="E1148" s="68" t="s">
        <v>5216</v>
      </c>
      <c r="F1148" s="66" t="s">
        <v>5217</v>
      </c>
      <c r="G1148" s="71">
        <v>6890</v>
      </c>
      <c r="H1148" s="73"/>
      <c r="I1148" s="75">
        <v>0.1</v>
      </c>
      <c r="J1148" s="77"/>
      <c r="K1148" s="66"/>
      <c r="L1148" s="66"/>
      <c r="M1148" s="79" t="str">
        <f>HYPERLINK("http://www.pristavka.com/catalog/funko/Fun85360/")</f>
        <v>http://www.pristavka.com/catalog/funko/Fun85360/</v>
      </c>
      <c r="N1148" s="71">
        <v>10599</v>
      </c>
      <c r="O1148" s="66" t="s">
        <v>27</v>
      </c>
      <c r="P1148" s="82" t="s">
        <v>5218</v>
      </c>
      <c r="Q1148" s="84" t="s">
        <v>5190</v>
      </c>
      <c r="R1148" s="84" t="s">
        <v>3512</v>
      </c>
      <c r="S1148" s="84">
        <v>0.22800000000000001</v>
      </c>
      <c r="T1148" s="82" t="s">
        <v>4113</v>
      </c>
      <c r="U1148" s="84" t="s">
        <v>3584</v>
      </c>
      <c r="V1148" s="54"/>
    </row>
    <row r="1149" spans="1:22" s="11" customFormat="1" ht="45" customHeight="1" x14ac:dyDescent="0.2">
      <c r="A1149" s="66" t="s">
        <v>3577</v>
      </c>
      <c r="B1149" s="66" t="s">
        <v>1707</v>
      </c>
      <c r="C1149" s="66" t="s">
        <v>3578</v>
      </c>
      <c r="D1149" s="66">
        <v>84911</v>
      </c>
      <c r="E1149" s="68" t="s">
        <v>5219</v>
      </c>
      <c r="F1149" s="66" t="s">
        <v>5220</v>
      </c>
      <c r="G1149" s="71">
        <v>6890</v>
      </c>
      <c r="H1149" s="73"/>
      <c r="I1149" s="75">
        <v>0.1</v>
      </c>
      <c r="J1149" s="77"/>
      <c r="K1149" s="66"/>
      <c r="L1149" s="66"/>
      <c r="M1149" s="79" t="str">
        <f>HYPERLINK("http://www.pristavka.com/catalog/funko/Fun84911/")</f>
        <v>http://www.pristavka.com/catalog/funko/Fun84911/</v>
      </c>
      <c r="N1149" s="71">
        <v>10599</v>
      </c>
      <c r="O1149" s="66" t="s">
        <v>27</v>
      </c>
      <c r="P1149" s="82" t="s">
        <v>5221</v>
      </c>
      <c r="Q1149" s="84" t="s">
        <v>5190</v>
      </c>
      <c r="R1149" s="84" t="s">
        <v>3512</v>
      </c>
      <c r="S1149" s="84">
        <v>0.20499999999999999</v>
      </c>
      <c r="T1149" s="82" t="s">
        <v>4084</v>
      </c>
      <c r="U1149" s="84" t="s">
        <v>3584</v>
      </c>
      <c r="V1149" s="54"/>
    </row>
    <row r="1150" spans="1:22" s="11" customFormat="1" ht="45" customHeight="1" x14ac:dyDescent="0.2">
      <c r="A1150" s="66" t="s">
        <v>3577</v>
      </c>
      <c r="B1150" s="66" t="s">
        <v>1707</v>
      </c>
      <c r="C1150" s="66" t="s">
        <v>3578</v>
      </c>
      <c r="D1150" s="66">
        <v>84525</v>
      </c>
      <c r="E1150" s="68" t="s">
        <v>5222</v>
      </c>
      <c r="F1150" s="66" t="s">
        <v>5223</v>
      </c>
      <c r="G1150" s="71">
        <v>6890</v>
      </c>
      <c r="H1150" s="73"/>
      <c r="I1150" s="75">
        <v>0.1</v>
      </c>
      <c r="J1150" s="77"/>
      <c r="K1150" s="66"/>
      <c r="L1150" s="66"/>
      <c r="M1150" s="79" t="str">
        <f>HYPERLINK("http://www.pristavka.com/catalog/funko/Fun84525/")</f>
        <v>http://www.pristavka.com/catalog/funko/Fun84525/</v>
      </c>
      <c r="N1150" s="71">
        <v>10599</v>
      </c>
      <c r="O1150" s="66" t="s">
        <v>27</v>
      </c>
      <c r="P1150" s="82" t="s">
        <v>5224</v>
      </c>
      <c r="Q1150" s="84" t="s">
        <v>3527</v>
      </c>
      <c r="R1150" s="84" t="s">
        <v>3512</v>
      </c>
      <c r="S1150" s="84">
        <v>0.14499999999999999</v>
      </c>
      <c r="T1150" s="82" t="s">
        <v>4113</v>
      </c>
      <c r="U1150" s="84" t="s">
        <v>3584</v>
      </c>
      <c r="V1150" s="54"/>
    </row>
    <row r="1151" spans="1:22" s="11" customFormat="1" ht="45" customHeight="1" x14ac:dyDescent="0.2">
      <c r="A1151" s="66" t="s">
        <v>3577</v>
      </c>
      <c r="B1151" s="66" t="s">
        <v>1707</v>
      </c>
      <c r="C1151" s="66" t="s">
        <v>3578</v>
      </c>
      <c r="D1151" s="66">
        <v>87226</v>
      </c>
      <c r="E1151" s="68" t="s">
        <v>5225</v>
      </c>
      <c r="F1151" s="66" t="s">
        <v>5226</v>
      </c>
      <c r="G1151" s="71">
        <v>6500</v>
      </c>
      <c r="H1151" s="73"/>
      <c r="I1151" s="75">
        <v>0.1</v>
      </c>
      <c r="J1151" s="77"/>
      <c r="K1151" s="66"/>
      <c r="L1151" s="66"/>
      <c r="M1151" s="79" t="str">
        <f>HYPERLINK("http://www.pristavka.com/catalog/funko/Fun87226/")</f>
        <v>http://www.pristavka.com/catalog/funko/Fun87226/</v>
      </c>
      <c r="N1151" s="71">
        <v>9999</v>
      </c>
      <c r="O1151" s="66" t="s">
        <v>27</v>
      </c>
      <c r="P1151" s="82" t="s">
        <v>5227</v>
      </c>
      <c r="Q1151" s="84" t="s">
        <v>5228</v>
      </c>
      <c r="R1151" s="84" t="s">
        <v>3512</v>
      </c>
      <c r="S1151" s="84">
        <v>0.188</v>
      </c>
      <c r="T1151" s="82" t="s">
        <v>4091</v>
      </c>
      <c r="U1151" s="84" t="s">
        <v>3584</v>
      </c>
      <c r="V1151" s="54"/>
    </row>
    <row r="1152" spans="1:22" s="11" customFormat="1" ht="45" customHeight="1" x14ac:dyDescent="0.2">
      <c r="A1152" s="66" t="s">
        <v>3577</v>
      </c>
      <c r="B1152" s="66" t="s">
        <v>1707</v>
      </c>
      <c r="C1152" s="66" t="s">
        <v>3578</v>
      </c>
      <c r="D1152" s="66">
        <v>87224</v>
      </c>
      <c r="E1152" s="68" t="s">
        <v>5229</v>
      </c>
      <c r="F1152" s="66" t="s">
        <v>5230</v>
      </c>
      <c r="G1152" s="71">
        <v>6890</v>
      </c>
      <c r="H1152" s="73"/>
      <c r="I1152" s="75">
        <v>0.1</v>
      </c>
      <c r="J1152" s="77"/>
      <c r="K1152" s="66"/>
      <c r="L1152" s="66"/>
      <c r="M1152" s="79" t="str">
        <f>HYPERLINK("http://www.pristavka.com/catalog/funko/Fun87224/")</f>
        <v>http://www.pristavka.com/catalog/funko/Fun87224/</v>
      </c>
      <c r="N1152" s="71">
        <v>10599</v>
      </c>
      <c r="O1152" s="66" t="s">
        <v>27</v>
      </c>
      <c r="P1152" s="82" t="s">
        <v>5231</v>
      </c>
      <c r="Q1152" s="84" t="s">
        <v>5228</v>
      </c>
      <c r="R1152" s="84" t="s">
        <v>3512</v>
      </c>
      <c r="S1152" s="84">
        <v>0.14599999999999999</v>
      </c>
      <c r="T1152" s="82" t="s">
        <v>4113</v>
      </c>
      <c r="U1152" s="84" t="s">
        <v>3584</v>
      </c>
      <c r="V1152" s="54"/>
    </row>
    <row r="1153" spans="1:22" s="11" customFormat="1" ht="45" customHeight="1" x14ac:dyDescent="0.2">
      <c r="A1153" s="66" t="s">
        <v>3577</v>
      </c>
      <c r="B1153" s="66" t="s">
        <v>1707</v>
      </c>
      <c r="C1153" s="66" t="s">
        <v>3578</v>
      </c>
      <c r="D1153" s="66">
        <v>87225</v>
      </c>
      <c r="E1153" s="68" t="s">
        <v>5232</v>
      </c>
      <c r="F1153" s="66" t="s">
        <v>5233</v>
      </c>
      <c r="G1153" s="71">
        <v>6890</v>
      </c>
      <c r="H1153" s="73"/>
      <c r="I1153" s="75">
        <v>0.1</v>
      </c>
      <c r="J1153" s="77"/>
      <c r="K1153" s="66"/>
      <c r="L1153" s="66"/>
      <c r="M1153" s="79" t="str">
        <f>HYPERLINK("http://www.pristavka.com/catalog/funko/Fun87225/")</f>
        <v>http://www.pristavka.com/catalog/funko/Fun87225/</v>
      </c>
      <c r="N1153" s="71">
        <v>10599</v>
      </c>
      <c r="O1153" s="66" t="s">
        <v>27</v>
      </c>
      <c r="P1153" s="82" t="s">
        <v>5234</v>
      </c>
      <c r="Q1153" s="84" t="s">
        <v>5228</v>
      </c>
      <c r="R1153" s="84" t="s">
        <v>3512</v>
      </c>
      <c r="S1153" s="84">
        <v>0.14699999999999999</v>
      </c>
      <c r="T1153" s="82" t="s">
        <v>4091</v>
      </c>
      <c r="U1153" s="84" t="s">
        <v>3584</v>
      </c>
      <c r="V1153" s="54"/>
    </row>
    <row r="1154" spans="1:22" s="11" customFormat="1" ht="45" customHeight="1" x14ac:dyDescent="0.2">
      <c r="A1154" s="66" t="s">
        <v>3577</v>
      </c>
      <c r="B1154" s="66" t="s">
        <v>1707</v>
      </c>
      <c r="C1154" s="66" t="s">
        <v>3578</v>
      </c>
      <c r="D1154" s="66">
        <v>50150</v>
      </c>
      <c r="E1154" s="68" t="s">
        <v>5235</v>
      </c>
      <c r="F1154" s="66" t="s">
        <v>5236</v>
      </c>
      <c r="G1154" s="71">
        <v>6500</v>
      </c>
      <c r="H1154" s="73"/>
      <c r="I1154" s="75">
        <v>0.1</v>
      </c>
      <c r="J1154" s="77"/>
      <c r="K1154" s="66"/>
      <c r="L1154" s="66"/>
      <c r="M1154" s="79" t="str">
        <f>HYPERLINK("http://www.pristavka.com/catalog/funko/Fun2549944/")</f>
        <v>http://www.pristavka.com/catalog/funko/Fun2549944/</v>
      </c>
      <c r="N1154" s="71">
        <v>9999</v>
      </c>
      <c r="O1154" s="66" t="s">
        <v>28</v>
      </c>
      <c r="P1154" s="82" t="s">
        <v>5237</v>
      </c>
      <c r="Q1154" s="84" t="s">
        <v>5238</v>
      </c>
      <c r="R1154" s="84" t="s">
        <v>3512</v>
      </c>
      <c r="S1154" s="84">
        <v>0.14000000000000001</v>
      </c>
      <c r="T1154" s="82" t="s">
        <v>5239</v>
      </c>
      <c r="U1154" s="84" t="s">
        <v>3584</v>
      </c>
      <c r="V1154" s="54"/>
    </row>
    <row r="1155" spans="1:22" s="11" customFormat="1" ht="45" customHeight="1" x14ac:dyDescent="0.2">
      <c r="A1155" s="66" t="s">
        <v>3577</v>
      </c>
      <c r="B1155" s="66" t="s">
        <v>1707</v>
      </c>
      <c r="C1155" s="66" t="s">
        <v>3578</v>
      </c>
      <c r="D1155" s="66">
        <v>83991</v>
      </c>
      <c r="E1155" s="68" t="s">
        <v>5240</v>
      </c>
      <c r="F1155" s="66" t="s">
        <v>5241</v>
      </c>
      <c r="G1155" s="71">
        <v>6500</v>
      </c>
      <c r="H1155" s="73"/>
      <c r="I1155" s="75">
        <v>0.1</v>
      </c>
      <c r="J1155" s="77"/>
      <c r="K1155" s="66"/>
      <c r="L1155" s="66"/>
      <c r="M1155" s="79" t="str">
        <f>HYPERLINK("http://www.pristavka.com/catalog/funko/Fun83991/")</f>
        <v>http://www.pristavka.com/catalog/funko/Fun83991/</v>
      </c>
      <c r="N1155" s="71">
        <v>9999</v>
      </c>
      <c r="O1155" s="66" t="s">
        <v>27</v>
      </c>
      <c r="P1155" s="82" t="s">
        <v>5242</v>
      </c>
      <c r="Q1155" s="84" t="s">
        <v>5243</v>
      </c>
      <c r="R1155" s="84" t="s">
        <v>3512</v>
      </c>
      <c r="S1155" s="84">
        <v>0.14399999999999999</v>
      </c>
      <c r="T1155" s="82" t="s">
        <v>4574</v>
      </c>
      <c r="U1155" s="84" t="s">
        <v>3584</v>
      </c>
      <c r="V1155" s="54"/>
    </row>
    <row r="1156" spans="1:22" s="11" customFormat="1" ht="45" customHeight="1" x14ac:dyDescent="0.2">
      <c r="A1156" s="66" t="s">
        <v>3577</v>
      </c>
      <c r="B1156" s="66" t="s">
        <v>1707</v>
      </c>
      <c r="C1156" s="66" t="s">
        <v>3578</v>
      </c>
      <c r="D1156" s="66">
        <v>83994</v>
      </c>
      <c r="E1156" s="68" t="s">
        <v>5244</v>
      </c>
      <c r="F1156" s="66" t="s">
        <v>5245</v>
      </c>
      <c r="G1156" s="71">
        <v>10400</v>
      </c>
      <c r="H1156" s="73"/>
      <c r="I1156" s="75">
        <v>0.1</v>
      </c>
      <c r="J1156" s="77"/>
      <c r="K1156" s="66"/>
      <c r="L1156" s="66"/>
      <c r="M1156" s="79" t="str">
        <f>HYPERLINK("http://www.pristavka.com/catalog/funko/Fun83994/")</f>
        <v>http://www.pristavka.com/catalog/funko/Fun83994/</v>
      </c>
      <c r="N1156" s="71">
        <v>15999</v>
      </c>
      <c r="O1156" s="66" t="s">
        <v>27</v>
      </c>
      <c r="P1156" s="82" t="s">
        <v>5246</v>
      </c>
      <c r="Q1156" s="84" t="s">
        <v>5243</v>
      </c>
      <c r="R1156" s="84" t="s">
        <v>3512</v>
      </c>
      <c r="S1156" s="84">
        <v>0.43</v>
      </c>
      <c r="T1156" s="82" t="s">
        <v>4989</v>
      </c>
      <c r="U1156" s="84" t="s">
        <v>3584</v>
      </c>
      <c r="V1156" s="54"/>
    </row>
    <row r="1157" spans="1:22" s="11" customFormat="1" ht="45" customHeight="1" x14ac:dyDescent="0.2">
      <c r="A1157" s="66" t="s">
        <v>3577</v>
      </c>
      <c r="B1157" s="66" t="s">
        <v>1707</v>
      </c>
      <c r="C1157" s="66" t="s">
        <v>3578</v>
      </c>
      <c r="D1157" s="66">
        <v>83993</v>
      </c>
      <c r="E1157" s="68" t="s">
        <v>5247</v>
      </c>
      <c r="F1157" s="66" t="s">
        <v>5248</v>
      </c>
      <c r="G1157" s="71">
        <v>6500</v>
      </c>
      <c r="H1157" s="73"/>
      <c r="I1157" s="75">
        <v>0.1</v>
      </c>
      <c r="J1157" s="77"/>
      <c r="K1157" s="66"/>
      <c r="L1157" s="66"/>
      <c r="M1157" s="79" t="str">
        <f>HYPERLINK("http://www.pristavka.com/catalog/funko/Fun83993/")</f>
        <v>http://www.pristavka.com/catalog/funko/Fun83993/</v>
      </c>
      <c r="N1157" s="71">
        <v>9999</v>
      </c>
      <c r="O1157" s="66" t="s">
        <v>27</v>
      </c>
      <c r="P1157" s="82" t="s">
        <v>5249</v>
      </c>
      <c r="Q1157" s="84" t="s">
        <v>5243</v>
      </c>
      <c r="R1157" s="84" t="s">
        <v>3512</v>
      </c>
      <c r="S1157" s="84">
        <v>0.125</v>
      </c>
      <c r="T1157" s="82" t="s">
        <v>4113</v>
      </c>
      <c r="U1157" s="84" t="s">
        <v>3584</v>
      </c>
      <c r="V1157" s="54"/>
    </row>
    <row r="1158" spans="1:22" s="11" customFormat="1" ht="45" customHeight="1" x14ac:dyDescent="0.2">
      <c r="A1158" s="66" t="s">
        <v>3577</v>
      </c>
      <c r="B1158" s="66" t="s">
        <v>1707</v>
      </c>
      <c r="C1158" s="66" t="s">
        <v>3578</v>
      </c>
      <c r="D1158" s="66">
        <v>83992</v>
      </c>
      <c r="E1158" s="68" t="s">
        <v>5250</v>
      </c>
      <c r="F1158" s="66" t="s">
        <v>5251</v>
      </c>
      <c r="G1158" s="71">
        <v>6500</v>
      </c>
      <c r="H1158" s="73"/>
      <c r="I1158" s="75">
        <v>0.1</v>
      </c>
      <c r="J1158" s="77"/>
      <c r="K1158" s="66"/>
      <c r="L1158" s="66"/>
      <c r="M1158" s="79" t="str">
        <f>HYPERLINK("http://www.pristavka.com/catalog/funko/Fun83992/")</f>
        <v>http://www.pristavka.com/catalog/funko/Fun83992/</v>
      </c>
      <c r="N1158" s="71">
        <v>9999</v>
      </c>
      <c r="O1158" s="66" t="s">
        <v>27</v>
      </c>
      <c r="P1158" s="82" t="s">
        <v>5252</v>
      </c>
      <c r="Q1158" s="84" t="s">
        <v>5243</v>
      </c>
      <c r="R1158" s="84" t="s">
        <v>3512</v>
      </c>
      <c r="S1158" s="84">
        <v>0.155</v>
      </c>
      <c r="T1158" s="82" t="s">
        <v>4084</v>
      </c>
      <c r="U1158" s="84" t="s">
        <v>3584</v>
      </c>
      <c r="V1158" s="54"/>
    </row>
    <row r="1159" spans="1:22" s="11" customFormat="1" ht="45" customHeight="1" x14ac:dyDescent="0.2">
      <c r="A1159" s="66" t="s">
        <v>3577</v>
      </c>
      <c r="B1159" s="66" t="s">
        <v>1707</v>
      </c>
      <c r="C1159" s="66" t="s">
        <v>3578</v>
      </c>
      <c r="D1159" s="66">
        <v>76676</v>
      </c>
      <c r="E1159" s="68" t="s">
        <v>5253</v>
      </c>
      <c r="F1159" s="66" t="s">
        <v>5254</v>
      </c>
      <c r="G1159" s="71">
        <v>6890</v>
      </c>
      <c r="H1159" s="73"/>
      <c r="I1159" s="75">
        <v>0.1</v>
      </c>
      <c r="J1159" s="77"/>
      <c r="K1159" s="66"/>
      <c r="L1159" s="66"/>
      <c r="M1159" s="79" t="str">
        <f>HYPERLINK("http://www.pristavka.com/catalog/funko/Fun76676/")</f>
        <v>http://www.pristavka.com/catalog/funko/Fun76676/</v>
      </c>
      <c r="N1159" s="71">
        <v>10599</v>
      </c>
      <c r="O1159" s="66" t="s">
        <v>27</v>
      </c>
      <c r="P1159" s="82" t="s">
        <v>5255</v>
      </c>
      <c r="Q1159" s="84" t="s">
        <v>3527</v>
      </c>
      <c r="R1159" s="84" t="s">
        <v>3512</v>
      </c>
      <c r="S1159" s="84">
        <v>0.124</v>
      </c>
      <c r="T1159" s="82" t="s">
        <v>4084</v>
      </c>
      <c r="U1159" s="84" t="s">
        <v>3584</v>
      </c>
      <c r="V1159" s="54"/>
    </row>
    <row r="1160" spans="1:22" s="11" customFormat="1" ht="45" customHeight="1" x14ac:dyDescent="0.2">
      <c r="A1160" s="66" t="s">
        <v>3577</v>
      </c>
      <c r="B1160" s="66" t="s">
        <v>1707</v>
      </c>
      <c r="C1160" s="66" t="s">
        <v>3578</v>
      </c>
      <c r="D1160" s="66">
        <v>80327</v>
      </c>
      <c r="E1160" s="68" t="s">
        <v>5256</v>
      </c>
      <c r="F1160" s="66" t="s">
        <v>5257</v>
      </c>
      <c r="G1160" s="71">
        <v>6500</v>
      </c>
      <c r="H1160" s="73"/>
      <c r="I1160" s="75">
        <v>0.1</v>
      </c>
      <c r="J1160" s="77"/>
      <c r="K1160" s="66"/>
      <c r="L1160" s="66"/>
      <c r="M1160" s="79" t="str">
        <f>HYPERLINK("http://www.pristavka.com/catalog/funko/Fun80327/")</f>
        <v>http://www.pristavka.com/catalog/funko/Fun80327/</v>
      </c>
      <c r="N1160" s="71">
        <v>9999</v>
      </c>
      <c r="O1160" s="66" t="s">
        <v>27</v>
      </c>
      <c r="P1160" s="82" t="s">
        <v>5258</v>
      </c>
      <c r="Q1160" s="84" t="s">
        <v>3527</v>
      </c>
      <c r="R1160" s="84" t="s">
        <v>3512</v>
      </c>
      <c r="S1160" s="84">
        <v>0.11799999999999999</v>
      </c>
      <c r="T1160" s="82" t="s">
        <v>4102</v>
      </c>
      <c r="U1160" s="84" t="s">
        <v>3584</v>
      </c>
      <c r="V1160" s="54"/>
    </row>
    <row r="1161" spans="1:22" s="11" customFormat="1" ht="45" customHeight="1" x14ac:dyDescent="0.2">
      <c r="A1161" s="66" t="s">
        <v>3577</v>
      </c>
      <c r="B1161" s="66" t="s">
        <v>1707</v>
      </c>
      <c r="C1161" s="66" t="s">
        <v>3578</v>
      </c>
      <c r="D1161" s="66">
        <v>80330</v>
      </c>
      <c r="E1161" s="68" t="s">
        <v>5259</v>
      </c>
      <c r="F1161" s="66" t="s">
        <v>5260</v>
      </c>
      <c r="G1161" s="71">
        <v>0</v>
      </c>
      <c r="H1161" s="73"/>
      <c r="I1161" s="75">
        <v>0.1</v>
      </c>
      <c r="J1161" s="77"/>
      <c r="K1161" s="66"/>
      <c r="L1161" s="66"/>
      <c r="M1161" s="79" t="str">
        <f>HYPERLINK("http://www.pristavka.com/catalog/funko/Fun80330/")</f>
        <v>http://www.pristavka.com/catalog/funko/Fun80330/</v>
      </c>
      <c r="N1161" s="71"/>
      <c r="O1161" s="66" t="s">
        <v>27</v>
      </c>
      <c r="P1161" s="82" t="s">
        <v>5261</v>
      </c>
      <c r="Q1161" s="84" t="s">
        <v>3527</v>
      </c>
      <c r="R1161" s="84" t="s">
        <v>3512</v>
      </c>
      <c r="S1161" s="84">
        <v>0.154</v>
      </c>
      <c r="T1161" s="82" t="s">
        <v>4091</v>
      </c>
      <c r="U1161" s="84" t="s">
        <v>3584</v>
      </c>
      <c r="V1161" s="54"/>
    </row>
    <row r="1162" spans="1:22" s="11" customFormat="1" ht="45" customHeight="1" x14ac:dyDescent="0.2">
      <c r="A1162" s="66" t="s">
        <v>3577</v>
      </c>
      <c r="B1162" s="66" t="s">
        <v>1707</v>
      </c>
      <c r="C1162" s="66" t="s">
        <v>3578</v>
      </c>
      <c r="D1162" s="66">
        <v>80328</v>
      </c>
      <c r="E1162" s="68" t="s">
        <v>5262</v>
      </c>
      <c r="F1162" s="66" t="s">
        <v>5263</v>
      </c>
      <c r="G1162" s="71">
        <v>6500</v>
      </c>
      <c r="H1162" s="73"/>
      <c r="I1162" s="75">
        <v>0.1</v>
      </c>
      <c r="J1162" s="77"/>
      <c r="K1162" s="66"/>
      <c r="L1162" s="66"/>
      <c r="M1162" s="79" t="str">
        <f>HYPERLINK("http://www.pristavka.com/catalog/funko/Fun80328/")</f>
        <v>http://www.pristavka.com/catalog/funko/Fun80328/</v>
      </c>
      <c r="N1162" s="71">
        <v>9999</v>
      </c>
      <c r="O1162" s="66" t="s">
        <v>27</v>
      </c>
      <c r="P1162" s="82" t="s">
        <v>5264</v>
      </c>
      <c r="Q1162" s="84" t="s">
        <v>3527</v>
      </c>
      <c r="R1162" s="84" t="s">
        <v>3512</v>
      </c>
      <c r="S1162" s="84">
        <v>0.11</v>
      </c>
      <c r="T1162" s="82" t="s">
        <v>4113</v>
      </c>
      <c r="U1162" s="84" t="s">
        <v>3584</v>
      </c>
      <c r="V1162" s="54"/>
    </row>
    <row r="1163" spans="1:22" s="11" customFormat="1" ht="45" customHeight="1" x14ac:dyDescent="0.2">
      <c r="A1163" s="66" t="s">
        <v>3577</v>
      </c>
      <c r="B1163" s="66" t="s">
        <v>1707</v>
      </c>
      <c r="C1163" s="66" t="s">
        <v>3578</v>
      </c>
      <c r="D1163" s="66">
        <v>76111</v>
      </c>
      <c r="E1163" s="68" t="s">
        <v>5265</v>
      </c>
      <c r="F1163" s="66" t="s">
        <v>5266</v>
      </c>
      <c r="G1163" s="71">
        <v>6500</v>
      </c>
      <c r="H1163" s="73"/>
      <c r="I1163" s="75">
        <v>0.1</v>
      </c>
      <c r="J1163" s="77"/>
      <c r="K1163" s="66"/>
      <c r="L1163" s="66"/>
      <c r="M1163" s="79" t="str">
        <f>HYPERLINK("http://www.pristavka.com/catalog/funko/Fun76111/")</f>
        <v>http://www.pristavka.com/catalog/funko/Fun76111/</v>
      </c>
      <c r="N1163" s="71">
        <v>9999</v>
      </c>
      <c r="O1163" s="66" t="s">
        <v>27</v>
      </c>
      <c r="P1163" s="82" t="s">
        <v>5267</v>
      </c>
      <c r="Q1163" s="84" t="s">
        <v>3527</v>
      </c>
      <c r="R1163" s="84" t="s">
        <v>3512</v>
      </c>
      <c r="S1163" s="84">
        <v>0.13500000000000001</v>
      </c>
      <c r="T1163" s="82" t="s">
        <v>4084</v>
      </c>
      <c r="U1163" s="84" t="s">
        <v>3584</v>
      </c>
      <c r="V1163" s="54"/>
    </row>
    <row r="1164" spans="1:22" s="11" customFormat="1" ht="45" customHeight="1" x14ac:dyDescent="0.2">
      <c r="A1164" s="66" t="s">
        <v>3577</v>
      </c>
      <c r="B1164" s="66" t="s">
        <v>1707</v>
      </c>
      <c r="C1164" s="66" t="s">
        <v>3578</v>
      </c>
      <c r="D1164" s="66">
        <v>76109</v>
      </c>
      <c r="E1164" s="68" t="s">
        <v>5268</v>
      </c>
      <c r="F1164" s="66" t="s">
        <v>5269</v>
      </c>
      <c r="G1164" s="71">
        <v>6500</v>
      </c>
      <c r="H1164" s="73"/>
      <c r="I1164" s="75">
        <v>0.1</v>
      </c>
      <c r="J1164" s="77"/>
      <c r="K1164" s="66"/>
      <c r="L1164" s="66"/>
      <c r="M1164" s="79" t="str">
        <f>HYPERLINK("http://www.pristavka.com/catalog/funko/Fun76109/")</f>
        <v>http://www.pristavka.com/catalog/funko/Fun76109/</v>
      </c>
      <c r="N1164" s="71">
        <v>9999</v>
      </c>
      <c r="O1164" s="66" t="s">
        <v>27</v>
      </c>
      <c r="P1164" s="82" t="s">
        <v>5270</v>
      </c>
      <c r="Q1164" s="84" t="s">
        <v>3527</v>
      </c>
      <c r="R1164" s="84" t="s">
        <v>3512</v>
      </c>
      <c r="S1164" s="84">
        <v>0.14499999999999999</v>
      </c>
      <c r="T1164" s="82" t="s">
        <v>4084</v>
      </c>
      <c r="U1164" s="84" t="s">
        <v>3584</v>
      </c>
      <c r="V1164" s="54"/>
    </row>
    <row r="1165" spans="1:22" s="11" customFormat="1" ht="45" customHeight="1" x14ac:dyDescent="0.2">
      <c r="A1165" s="66" t="s">
        <v>3577</v>
      </c>
      <c r="B1165" s="66" t="s">
        <v>1707</v>
      </c>
      <c r="C1165" s="66" t="s">
        <v>3578</v>
      </c>
      <c r="D1165" s="66">
        <v>80329</v>
      </c>
      <c r="E1165" s="68" t="s">
        <v>5271</v>
      </c>
      <c r="F1165" s="66" t="s">
        <v>5272</v>
      </c>
      <c r="G1165" s="71">
        <v>6500</v>
      </c>
      <c r="H1165" s="73"/>
      <c r="I1165" s="75">
        <v>0.1</v>
      </c>
      <c r="J1165" s="77"/>
      <c r="K1165" s="66"/>
      <c r="L1165" s="66"/>
      <c r="M1165" s="79" t="str">
        <f>HYPERLINK("http://www.pristavka.com/catalog/funko/Fun80329/")</f>
        <v>http://www.pristavka.com/catalog/funko/Fun80329/</v>
      </c>
      <c r="N1165" s="71">
        <v>9999</v>
      </c>
      <c r="O1165" s="66" t="s">
        <v>27</v>
      </c>
      <c r="P1165" s="82" t="s">
        <v>5273</v>
      </c>
      <c r="Q1165" s="84" t="s">
        <v>3527</v>
      </c>
      <c r="R1165" s="84" t="s">
        <v>3512</v>
      </c>
      <c r="S1165" s="84">
        <v>0.16200000000000001</v>
      </c>
      <c r="T1165" s="82" t="s">
        <v>5274</v>
      </c>
      <c r="U1165" s="84" t="s">
        <v>3584</v>
      </c>
      <c r="V1165" s="54"/>
    </row>
    <row r="1166" spans="1:22" s="11" customFormat="1" ht="45" customHeight="1" x14ac:dyDescent="0.2">
      <c r="A1166" s="66" t="s">
        <v>3577</v>
      </c>
      <c r="B1166" s="66" t="s">
        <v>1707</v>
      </c>
      <c r="C1166" s="66" t="s">
        <v>3578</v>
      </c>
      <c r="D1166" s="66">
        <v>76110</v>
      </c>
      <c r="E1166" s="68" t="s">
        <v>5275</v>
      </c>
      <c r="F1166" s="66" t="s">
        <v>5276</v>
      </c>
      <c r="G1166" s="71">
        <v>6500</v>
      </c>
      <c r="H1166" s="73"/>
      <c r="I1166" s="75">
        <v>0.1</v>
      </c>
      <c r="J1166" s="77"/>
      <c r="K1166" s="66"/>
      <c r="L1166" s="66"/>
      <c r="M1166" s="79" t="str">
        <f>HYPERLINK("http://www.pristavka.com/catalog/funko/Fun76110/")</f>
        <v>http://www.pristavka.com/catalog/funko/Fun76110/</v>
      </c>
      <c r="N1166" s="71">
        <v>9999</v>
      </c>
      <c r="O1166" s="66" t="s">
        <v>27</v>
      </c>
      <c r="P1166" s="82" t="s">
        <v>5277</v>
      </c>
      <c r="Q1166" s="84" t="s">
        <v>3527</v>
      </c>
      <c r="R1166" s="84" t="s">
        <v>3512</v>
      </c>
      <c r="S1166" s="84">
        <v>0.161</v>
      </c>
      <c r="T1166" s="82" t="s">
        <v>4084</v>
      </c>
      <c r="U1166" s="84" t="s">
        <v>3584</v>
      </c>
      <c r="V1166" s="54"/>
    </row>
    <row r="1167" spans="1:22" s="11" customFormat="1" ht="45" customHeight="1" x14ac:dyDescent="0.2">
      <c r="A1167" s="66" t="s">
        <v>3577</v>
      </c>
      <c r="B1167" s="66" t="s">
        <v>1707</v>
      </c>
      <c r="C1167" s="66" t="s">
        <v>3578</v>
      </c>
      <c r="D1167" s="66">
        <v>68053</v>
      </c>
      <c r="E1167" s="68" t="s">
        <v>5278</v>
      </c>
      <c r="F1167" s="66" t="s">
        <v>5279</v>
      </c>
      <c r="G1167" s="71">
        <v>6500</v>
      </c>
      <c r="H1167" s="73"/>
      <c r="I1167" s="75">
        <v>0.1</v>
      </c>
      <c r="J1167" s="77"/>
      <c r="K1167" s="66"/>
      <c r="L1167" s="66"/>
      <c r="M1167" s="79" t="str">
        <f>HYPERLINK("http://www.pristavka.com/catalog/funko/Fun68053/")</f>
        <v>http://www.pristavka.com/catalog/funko/Fun68053/</v>
      </c>
      <c r="N1167" s="71">
        <v>9999</v>
      </c>
      <c r="O1167" s="66" t="s">
        <v>28</v>
      </c>
      <c r="P1167" s="82" t="s">
        <v>5280</v>
      </c>
      <c r="Q1167" s="84" t="s">
        <v>5281</v>
      </c>
      <c r="R1167" s="84" t="s">
        <v>3512</v>
      </c>
      <c r="S1167" s="84">
        <v>0.13400000000000001</v>
      </c>
      <c r="T1167" s="82" t="s">
        <v>4084</v>
      </c>
      <c r="U1167" s="84" t="s">
        <v>3584</v>
      </c>
      <c r="V1167" s="54"/>
    </row>
    <row r="1168" spans="1:22" s="11" customFormat="1" ht="45" customHeight="1" x14ac:dyDescent="0.2">
      <c r="A1168" s="66" t="s">
        <v>3577</v>
      </c>
      <c r="B1168" s="66" t="s">
        <v>1707</v>
      </c>
      <c r="C1168" s="66" t="s">
        <v>3578</v>
      </c>
      <c r="D1168" s="66">
        <v>67509</v>
      </c>
      <c r="E1168" s="68" t="s">
        <v>5282</v>
      </c>
      <c r="F1168" s="66" t="s">
        <v>5283</v>
      </c>
      <c r="G1168" s="71">
        <v>6500</v>
      </c>
      <c r="H1168" s="73"/>
      <c r="I1168" s="75">
        <v>0.1</v>
      </c>
      <c r="J1168" s="77"/>
      <c r="K1168" s="66"/>
      <c r="L1168" s="66"/>
      <c r="M1168" s="79" t="str">
        <f>HYPERLINK("http://www.pristavka.com/catalog/funko/Fun67509/")</f>
        <v>http://www.pristavka.com/catalog/funko/Fun67509/</v>
      </c>
      <c r="N1168" s="71">
        <v>9999</v>
      </c>
      <c r="O1168" s="66" t="s">
        <v>27</v>
      </c>
      <c r="P1168" s="82" t="s">
        <v>5284</v>
      </c>
      <c r="Q1168" s="84" t="s">
        <v>5281</v>
      </c>
      <c r="R1168" s="84" t="s">
        <v>3512</v>
      </c>
      <c r="S1168" s="84">
        <v>0.122</v>
      </c>
      <c r="T1168" s="82" t="s">
        <v>4084</v>
      </c>
      <c r="U1168" s="84" t="s">
        <v>3584</v>
      </c>
      <c r="V1168" s="54"/>
    </row>
    <row r="1169" spans="1:22" s="11" customFormat="1" ht="45" customHeight="1" x14ac:dyDescent="0.2">
      <c r="A1169" s="66" t="s">
        <v>3577</v>
      </c>
      <c r="B1169" s="66" t="s">
        <v>1707</v>
      </c>
      <c r="C1169" s="66" t="s">
        <v>3578</v>
      </c>
      <c r="D1169" s="66">
        <v>5104</v>
      </c>
      <c r="E1169" s="68" t="s">
        <v>5285</v>
      </c>
      <c r="F1169" s="66" t="s">
        <v>5286</v>
      </c>
      <c r="G1169" s="71">
        <v>6500</v>
      </c>
      <c r="H1169" s="73"/>
      <c r="I1169" s="75">
        <v>0.1</v>
      </c>
      <c r="J1169" s="77"/>
      <c r="K1169" s="66"/>
      <c r="L1169" s="66"/>
      <c r="M1169" s="79" t="str">
        <f>HYPERLINK("http://www.pristavka.com/catalog/funko/Fun28/")</f>
        <v>http://www.pristavka.com/catalog/funko/Fun28/</v>
      </c>
      <c r="N1169" s="71">
        <v>9999</v>
      </c>
      <c r="O1169" s="66" t="s">
        <v>27</v>
      </c>
      <c r="P1169" s="82" t="s">
        <v>5287</v>
      </c>
      <c r="Q1169" s="84" t="s">
        <v>5281</v>
      </c>
      <c r="R1169" s="84" t="s">
        <v>3512</v>
      </c>
      <c r="S1169" s="84">
        <v>0.11</v>
      </c>
      <c r="T1169" s="82" t="s">
        <v>5288</v>
      </c>
      <c r="U1169" s="84" t="s">
        <v>3584</v>
      </c>
      <c r="V1169" s="54"/>
    </row>
    <row r="1170" spans="1:22" s="11" customFormat="1" ht="45" customHeight="1" x14ac:dyDescent="0.2">
      <c r="A1170" s="66" t="s">
        <v>3577</v>
      </c>
      <c r="B1170" s="66" t="s">
        <v>1707</v>
      </c>
      <c r="C1170" s="66" t="s">
        <v>3578</v>
      </c>
      <c r="D1170" s="66">
        <v>33985</v>
      </c>
      <c r="E1170" s="68" t="s">
        <v>5289</v>
      </c>
      <c r="F1170" s="66" t="s">
        <v>5290</v>
      </c>
      <c r="G1170" s="71">
        <v>6500</v>
      </c>
      <c r="H1170" s="73"/>
      <c r="I1170" s="75">
        <v>0.1</v>
      </c>
      <c r="J1170" s="77"/>
      <c r="K1170" s="66"/>
      <c r="L1170" s="66"/>
      <c r="M1170" s="79" t="str">
        <f>HYPERLINK("http://www.pristavka.com/catalog/funko/Fun1623/")</f>
        <v>http://www.pristavka.com/catalog/funko/Fun1623/</v>
      </c>
      <c r="N1170" s="71">
        <v>9999</v>
      </c>
      <c r="O1170" s="66" t="s">
        <v>27</v>
      </c>
      <c r="P1170" s="82" t="s">
        <v>5291</v>
      </c>
      <c r="Q1170" s="84" t="s">
        <v>5292</v>
      </c>
      <c r="R1170" s="84" t="s">
        <v>3512</v>
      </c>
      <c r="S1170" s="84">
        <v>0.14000000000000001</v>
      </c>
      <c r="T1170" s="82" t="s">
        <v>4102</v>
      </c>
      <c r="U1170" s="84" t="s">
        <v>5293</v>
      </c>
      <c r="V1170" s="54"/>
    </row>
    <row r="1171" spans="1:22" s="11" customFormat="1" ht="45" customHeight="1" x14ac:dyDescent="0.2">
      <c r="A1171" s="66" t="s">
        <v>3577</v>
      </c>
      <c r="B1171" s="66" t="s">
        <v>1707</v>
      </c>
      <c r="C1171" s="66" t="s">
        <v>3578</v>
      </c>
      <c r="D1171" s="66">
        <v>33982</v>
      </c>
      <c r="E1171" s="68" t="s">
        <v>5294</v>
      </c>
      <c r="F1171" s="66" t="s">
        <v>5295</v>
      </c>
      <c r="G1171" s="71">
        <v>6500</v>
      </c>
      <c r="H1171" s="73"/>
      <c r="I1171" s="75">
        <v>0.1</v>
      </c>
      <c r="J1171" s="77"/>
      <c r="K1171" s="66"/>
      <c r="L1171" s="66"/>
      <c r="M1171" s="79" t="str">
        <f>HYPERLINK("http://www.pristavka.com/catalog/funko/Fun1624/")</f>
        <v>http://www.pristavka.com/catalog/funko/Fun1624/</v>
      </c>
      <c r="N1171" s="71">
        <v>9999</v>
      </c>
      <c r="O1171" s="66" t="s">
        <v>27</v>
      </c>
      <c r="P1171" s="82" t="s">
        <v>5296</v>
      </c>
      <c r="Q1171" s="84" t="s">
        <v>5292</v>
      </c>
      <c r="R1171" s="84" t="s">
        <v>3512</v>
      </c>
      <c r="S1171" s="84">
        <v>0.14000000000000001</v>
      </c>
      <c r="T1171" s="82" t="s">
        <v>4102</v>
      </c>
      <c r="U1171" s="84" t="s">
        <v>3584</v>
      </c>
      <c r="V1171" s="54"/>
    </row>
    <row r="1172" spans="1:22" s="11" customFormat="1" ht="45" customHeight="1" x14ac:dyDescent="0.2">
      <c r="A1172" s="66" t="s">
        <v>3577</v>
      </c>
      <c r="B1172" s="66" t="s">
        <v>1707</v>
      </c>
      <c r="C1172" s="66" t="s">
        <v>3578</v>
      </c>
      <c r="D1172" s="66">
        <v>72188</v>
      </c>
      <c r="E1172" s="68" t="s">
        <v>5297</v>
      </c>
      <c r="F1172" s="66" t="s">
        <v>5298</v>
      </c>
      <c r="G1172" s="71">
        <v>6500</v>
      </c>
      <c r="H1172" s="73"/>
      <c r="I1172" s="75">
        <v>0.1</v>
      </c>
      <c r="J1172" s="77"/>
      <c r="K1172" s="66"/>
      <c r="L1172" s="66"/>
      <c r="M1172" s="79" t="str">
        <f>HYPERLINK("http://www.pristavka.com/catalog/funko/Fun72188/")</f>
        <v>http://www.pristavka.com/catalog/funko/Fun72188/</v>
      </c>
      <c r="N1172" s="71">
        <v>9999</v>
      </c>
      <c r="O1172" s="66" t="s">
        <v>27</v>
      </c>
      <c r="P1172" s="82" t="s">
        <v>5299</v>
      </c>
      <c r="Q1172" s="84" t="s">
        <v>3512</v>
      </c>
      <c r="R1172" s="84" t="s">
        <v>3512</v>
      </c>
      <c r="S1172" s="84">
        <v>0.15</v>
      </c>
      <c r="T1172" s="82" t="s">
        <v>4084</v>
      </c>
      <c r="U1172" s="84" t="s">
        <v>3584</v>
      </c>
      <c r="V1172" s="54"/>
    </row>
    <row r="1173" spans="1:22" s="11" customFormat="1" ht="45" customHeight="1" x14ac:dyDescent="0.2">
      <c r="A1173" s="66" t="s">
        <v>3577</v>
      </c>
      <c r="B1173" s="66" t="s">
        <v>1707</v>
      </c>
      <c r="C1173" s="66" t="s">
        <v>3578</v>
      </c>
      <c r="D1173" s="66">
        <v>80032</v>
      </c>
      <c r="E1173" s="68" t="s">
        <v>5300</v>
      </c>
      <c r="F1173" s="66" t="s">
        <v>5301</v>
      </c>
      <c r="G1173" s="71">
        <v>0</v>
      </c>
      <c r="H1173" s="73"/>
      <c r="I1173" s="75">
        <v>0.1</v>
      </c>
      <c r="J1173" s="77"/>
      <c r="K1173" s="66"/>
      <c r="L1173" s="66"/>
      <c r="M1173" s="79" t="str">
        <f>HYPERLINK("http://www.pristavka.com/catalog/funko/Fun80032/")</f>
        <v>http://www.pristavka.com/catalog/funko/Fun80032/</v>
      </c>
      <c r="N1173" s="71"/>
      <c r="O1173" s="66" t="s">
        <v>27</v>
      </c>
      <c r="P1173" s="82" t="s">
        <v>5302</v>
      </c>
      <c r="Q1173" s="84" t="s">
        <v>3517</v>
      </c>
      <c r="R1173" s="84" t="s">
        <v>3512</v>
      </c>
      <c r="S1173" s="84">
        <v>0.14399999999999999</v>
      </c>
      <c r="T1173" s="82" t="s">
        <v>4102</v>
      </c>
      <c r="U1173" s="84" t="s">
        <v>3584</v>
      </c>
      <c r="V1173" s="54"/>
    </row>
    <row r="1174" spans="1:22" s="11" customFormat="1" ht="45" customHeight="1" x14ac:dyDescent="0.2">
      <c r="A1174" s="66" t="s">
        <v>3577</v>
      </c>
      <c r="B1174" s="66" t="s">
        <v>1707</v>
      </c>
      <c r="C1174" s="66" t="s">
        <v>3578</v>
      </c>
      <c r="D1174" s="66">
        <v>80035</v>
      </c>
      <c r="E1174" s="68" t="s">
        <v>5303</v>
      </c>
      <c r="F1174" s="66" t="s">
        <v>5304</v>
      </c>
      <c r="G1174" s="71">
        <v>0</v>
      </c>
      <c r="H1174" s="73"/>
      <c r="I1174" s="75">
        <v>0.2</v>
      </c>
      <c r="J1174" s="77"/>
      <c r="K1174" s="66"/>
      <c r="L1174" s="66"/>
      <c r="M1174" s="79" t="str">
        <f>HYPERLINK("http://www.pristavka.com/catalog/funko/Fun80035/")</f>
        <v>http://www.pristavka.com/catalog/funko/Fun80035/</v>
      </c>
      <c r="N1174" s="71"/>
      <c r="O1174" s="66" t="s">
        <v>27</v>
      </c>
      <c r="P1174" s="82" t="s">
        <v>5305</v>
      </c>
      <c r="Q1174" s="84" t="s">
        <v>3798</v>
      </c>
      <c r="R1174" s="84" t="s">
        <v>3512</v>
      </c>
      <c r="S1174" s="84">
        <v>0.155</v>
      </c>
      <c r="T1174" s="82" t="s">
        <v>4113</v>
      </c>
      <c r="U1174" s="84" t="s">
        <v>3708</v>
      </c>
      <c r="V1174" s="54"/>
    </row>
    <row r="1175" spans="1:22" s="11" customFormat="1" ht="45" customHeight="1" x14ac:dyDescent="0.2">
      <c r="A1175" s="66" t="s">
        <v>3577</v>
      </c>
      <c r="B1175" s="66" t="s">
        <v>1707</v>
      </c>
      <c r="C1175" s="66" t="s">
        <v>3578</v>
      </c>
      <c r="D1175" s="66">
        <v>80033</v>
      </c>
      <c r="E1175" s="68" t="s">
        <v>5306</v>
      </c>
      <c r="F1175" s="66" t="s">
        <v>5307</v>
      </c>
      <c r="G1175" s="71">
        <v>0</v>
      </c>
      <c r="H1175" s="73"/>
      <c r="I1175" s="75">
        <v>0.1</v>
      </c>
      <c r="J1175" s="77"/>
      <c r="K1175" s="66"/>
      <c r="L1175" s="66"/>
      <c r="M1175" s="79" t="str">
        <f>HYPERLINK("http://www.pristavka.com/catalog/funko/Fun80033/")</f>
        <v>http://www.pristavka.com/catalog/funko/Fun80033/</v>
      </c>
      <c r="N1175" s="71"/>
      <c r="O1175" s="66" t="s">
        <v>27</v>
      </c>
      <c r="P1175" s="82" t="s">
        <v>5308</v>
      </c>
      <c r="Q1175" s="84" t="s">
        <v>5281</v>
      </c>
      <c r="R1175" s="84" t="s">
        <v>3512</v>
      </c>
      <c r="S1175" s="84">
        <v>0.125</v>
      </c>
      <c r="T1175" s="82" t="s">
        <v>4113</v>
      </c>
      <c r="U1175" s="84" t="s">
        <v>3584</v>
      </c>
      <c r="V1175" s="54"/>
    </row>
    <row r="1176" spans="1:22" s="11" customFormat="1" ht="45" customHeight="1" x14ac:dyDescent="0.2">
      <c r="A1176" s="66" t="s">
        <v>3577</v>
      </c>
      <c r="B1176" s="66" t="s">
        <v>1707</v>
      </c>
      <c r="C1176" s="66" t="s">
        <v>3578</v>
      </c>
      <c r="D1176" s="66">
        <v>80034</v>
      </c>
      <c r="E1176" s="68" t="s">
        <v>5309</v>
      </c>
      <c r="F1176" s="66" t="s">
        <v>5310</v>
      </c>
      <c r="G1176" s="71">
        <v>6500</v>
      </c>
      <c r="H1176" s="73"/>
      <c r="I1176" s="75">
        <v>0.1</v>
      </c>
      <c r="J1176" s="77"/>
      <c r="K1176" s="66"/>
      <c r="L1176" s="66"/>
      <c r="M1176" s="79" t="str">
        <f>HYPERLINK("http://www.pristavka.com/catalog/funko/Fun80034/")</f>
        <v>http://www.pristavka.com/catalog/funko/Fun80034/</v>
      </c>
      <c r="N1176" s="71">
        <v>9999</v>
      </c>
      <c r="O1176" s="66" t="s">
        <v>27</v>
      </c>
      <c r="P1176" s="82" t="s">
        <v>5311</v>
      </c>
      <c r="Q1176" s="84" t="s">
        <v>5089</v>
      </c>
      <c r="R1176" s="84" t="s">
        <v>3512</v>
      </c>
      <c r="S1176" s="84">
        <v>0.17</v>
      </c>
      <c r="T1176" s="82" t="s">
        <v>4113</v>
      </c>
      <c r="U1176" s="84" t="s">
        <v>3584</v>
      </c>
      <c r="V1176" s="54"/>
    </row>
    <row r="1177" spans="1:22" s="11" customFormat="1" ht="45" customHeight="1" x14ac:dyDescent="0.2">
      <c r="A1177" s="66" t="s">
        <v>3577</v>
      </c>
      <c r="B1177" s="66" t="s">
        <v>1707</v>
      </c>
      <c r="C1177" s="66" t="s">
        <v>3578</v>
      </c>
      <c r="D1177" s="66">
        <v>33983</v>
      </c>
      <c r="E1177" s="68" t="s">
        <v>5312</v>
      </c>
      <c r="F1177" s="66" t="s">
        <v>5313</v>
      </c>
      <c r="G1177" s="71">
        <v>6500</v>
      </c>
      <c r="H1177" s="73"/>
      <c r="I1177" s="75">
        <v>0.1</v>
      </c>
      <c r="J1177" s="77"/>
      <c r="K1177" s="66"/>
      <c r="L1177" s="66"/>
      <c r="M1177" s="79" t="str">
        <f>HYPERLINK("http://www.pristavka.com/catalog/funko/Fun1626/")</f>
        <v>http://www.pristavka.com/catalog/funko/Fun1626/</v>
      </c>
      <c r="N1177" s="71">
        <v>9999</v>
      </c>
      <c r="O1177" s="66" t="s">
        <v>27</v>
      </c>
      <c r="P1177" s="82" t="s">
        <v>5314</v>
      </c>
      <c r="Q1177" s="84" t="s">
        <v>5292</v>
      </c>
      <c r="R1177" s="84" t="s">
        <v>3512</v>
      </c>
      <c r="S1177" s="84">
        <v>0.14000000000000001</v>
      </c>
      <c r="T1177" s="82" t="s">
        <v>4102</v>
      </c>
      <c r="U1177" s="84" t="s">
        <v>3584</v>
      </c>
      <c r="V1177" s="54"/>
    </row>
    <row r="1178" spans="1:22" s="11" customFormat="1" ht="45" customHeight="1" x14ac:dyDescent="0.2">
      <c r="A1178" s="66" t="s">
        <v>3577</v>
      </c>
      <c r="B1178" s="66" t="s">
        <v>1707</v>
      </c>
      <c r="C1178" s="66" t="s">
        <v>3578</v>
      </c>
      <c r="D1178" s="66">
        <v>72191</v>
      </c>
      <c r="E1178" s="68" t="s">
        <v>5315</v>
      </c>
      <c r="F1178" s="66" t="s">
        <v>5316</v>
      </c>
      <c r="G1178" s="71">
        <v>6500</v>
      </c>
      <c r="H1178" s="73"/>
      <c r="I1178" s="75">
        <v>0.1</v>
      </c>
      <c r="J1178" s="77"/>
      <c r="K1178" s="66"/>
      <c r="L1178" s="66"/>
      <c r="M1178" s="79" t="str">
        <f>HYPERLINK("http://www.pristavka.com/catalog/funko/Fun72191/")</f>
        <v>http://www.pristavka.com/catalog/funko/Fun72191/</v>
      </c>
      <c r="N1178" s="71">
        <v>9999</v>
      </c>
      <c r="O1178" s="66" t="s">
        <v>27</v>
      </c>
      <c r="P1178" s="82" t="s">
        <v>5317</v>
      </c>
      <c r="Q1178" s="84" t="s">
        <v>3532</v>
      </c>
      <c r="R1178" s="84" t="s">
        <v>3512</v>
      </c>
      <c r="S1178" s="84">
        <v>0.14000000000000001</v>
      </c>
      <c r="T1178" s="82" t="s">
        <v>4084</v>
      </c>
      <c r="U1178" s="84" t="s">
        <v>3584</v>
      </c>
      <c r="V1178" s="54"/>
    </row>
    <row r="1179" spans="1:22" s="11" customFormat="1" ht="45" customHeight="1" x14ac:dyDescent="0.2">
      <c r="A1179" s="66" t="s">
        <v>3577</v>
      </c>
      <c r="B1179" s="66" t="s">
        <v>1707</v>
      </c>
      <c r="C1179" s="66" t="s">
        <v>3578</v>
      </c>
      <c r="D1179" s="66">
        <v>55084</v>
      </c>
      <c r="E1179" s="68" t="s">
        <v>5318</v>
      </c>
      <c r="F1179" s="66" t="s">
        <v>5319</v>
      </c>
      <c r="G1179" s="71">
        <v>6890</v>
      </c>
      <c r="H1179" s="73"/>
      <c r="I1179" s="75">
        <v>0.1</v>
      </c>
      <c r="J1179" s="77"/>
      <c r="K1179" s="66"/>
      <c r="L1179" s="66"/>
      <c r="M1179" s="79" t="str">
        <f>HYPERLINK("http://www.pristavka.com/catalog/funko/Fun25491086/")</f>
        <v>http://www.pristavka.com/catalog/funko/Fun25491086/</v>
      </c>
      <c r="N1179" s="71">
        <v>10599</v>
      </c>
      <c r="O1179" s="66" t="s">
        <v>27</v>
      </c>
      <c r="P1179" s="82" t="s">
        <v>5320</v>
      </c>
      <c r="Q1179" s="84" t="s">
        <v>3512</v>
      </c>
      <c r="R1179" s="84" t="s">
        <v>3512</v>
      </c>
      <c r="S1179" s="84">
        <v>0.14000000000000001</v>
      </c>
      <c r="T1179" s="82" t="s">
        <v>4574</v>
      </c>
      <c r="U1179" s="84" t="s">
        <v>3584</v>
      </c>
      <c r="V1179" s="54"/>
    </row>
    <row r="1180" spans="1:22" s="11" customFormat="1" ht="45" customHeight="1" x14ac:dyDescent="0.2">
      <c r="A1180" s="66" t="s">
        <v>3577</v>
      </c>
      <c r="B1180" s="66" t="s">
        <v>1707</v>
      </c>
      <c r="C1180" s="66" t="s">
        <v>3578</v>
      </c>
      <c r="D1180" s="66">
        <v>70649</v>
      </c>
      <c r="E1180" s="68" t="s">
        <v>5321</v>
      </c>
      <c r="F1180" s="66" t="s">
        <v>5322</v>
      </c>
      <c r="G1180" s="71">
        <v>6500</v>
      </c>
      <c r="H1180" s="73"/>
      <c r="I1180" s="75">
        <v>0.1</v>
      </c>
      <c r="J1180" s="77"/>
      <c r="K1180" s="66"/>
      <c r="L1180" s="66"/>
      <c r="M1180" s="79" t="str">
        <f>HYPERLINK("http://www.pristavka.com/catalog/funko/Fun70649/")</f>
        <v>http://www.pristavka.com/catalog/funko/Fun70649/</v>
      </c>
      <c r="N1180" s="71">
        <v>9999</v>
      </c>
      <c r="O1180" s="66" t="s">
        <v>27</v>
      </c>
      <c r="P1180" s="82" t="s">
        <v>5323</v>
      </c>
      <c r="Q1180" s="84" t="s">
        <v>5324</v>
      </c>
      <c r="R1180" s="84" t="s">
        <v>3512</v>
      </c>
      <c r="S1180" s="84">
        <v>0.11899999999999999</v>
      </c>
      <c r="T1180" s="82" t="s">
        <v>4091</v>
      </c>
      <c r="U1180" s="84" t="s">
        <v>3584</v>
      </c>
      <c r="V1180" s="54"/>
    </row>
    <row r="1181" spans="1:22" s="11" customFormat="1" ht="45" customHeight="1" x14ac:dyDescent="0.2">
      <c r="A1181" s="66" t="s">
        <v>3577</v>
      </c>
      <c r="B1181" s="66" t="s">
        <v>1707</v>
      </c>
      <c r="C1181" s="66" t="s">
        <v>3578</v>
      </c>
      <c r="D1181" s="66">
        <v>85287</v>
      </c>
      <c r="E1181" s="68" t="s">
        <v>5325</v>
      </c>
      <c r="F1181" s="66" t="s">
        <v>5326</v>
      </c>
      <c r="G1181" s="71">
        <v>6890</v>
      </c>
      <c r="H1181" s="73"/>
      <c r="I1181" s="75">
        <v>0.1</v>
      </c>
      <c r="J1181" s="77"/>
      <c r="K1181" s="66"/>
      <c r="L1181" s="66"/>
      <c r="M1181" s="79" t="str">
        <f>HYPERLINK("http://www.pristavka.com/catalog/funko/Fun85287/")</f>
        <v>http://www.pristavka.com/catalog/funko/Fun85287/</v>
      </c>
      <c r="N1181" s="71">
        <v>10599</v>
      </c>
      <c r="O1181" s="66" t="s">
        <v>27</v>
      </c>
      <c r="P1181" s="82" t="s">
        <v>5327</v>
      </c>
      <c r="Q1181" s="84" t="s">
        <v>3512</v>
      </c>
      <c r="R1181" s="84" t="s">
        <v>3512</v>
      </c>
      <c r="S1181" s="84">
        <v>0.14499999999999999</v>
      </c>
      <c r="T1181" s="82" t="s">
        <v>4113</v>
      </c>
      <c r="U1181" s="84" t="s">
        <v>3584</v>
      </c>
      <c r="V1181" s="54"/>
    </row>
    <row r="1182" spans="1:22" s="11" customFormat="1" ht="45" customHeight="1" x14ac:dyDescent="0.2">
      <c r="A1182" s="66" t="s">
        <v>3577</v>
      </c>
      <c r="B1182" s="66" t="s">
        <v>1707</v>
      </c>
      <c r="C1182" s="66" t="s">
        <v>3578</v>
      </c>
      <c r="D1182" s="66">
        <v>82376</v>
      </c>
      <c r="E1182" s="68" t="s">
        <v>5328</v>
      </c>
      <c r="F1182" s="66" t="s">
        <v>5329</v>
      </c>
      <c r="G1182" s="71">
        <v>0</v>
      </c>
      <c r="H1182" s="73"/>
      <c r="I1182" s="75">
        <v>0.1</v>
      </c>
      <c r="J1182" s="77"/>
      <c r="K1182" s="66"/>
      <c r="L1182" s="66"/>
      <c r="M1182" s="79" t="str">
        <f>HYPERLINK("http://www.pristavka.com/catalog/funko/Fun82376/")</f>
        <v>http://www.pristavka.com/catalog/funko/Fun82376/</v>
      </c>
      <c r="N1182" s="71"/>
      <c r="O1182" s="66" t="s">
        <v>27</v>
      </c>
      <c r="P1182" s="82" t="s">
        <v>5330</v>
      </c>
      <c r="Q1182" s="84" t="s">
        <v>3833</v>
      </c>
      <c r="R1182" s="84" t="s">
        <v>3512</v>
      </c>
      <c r="S1182" s="84">
        <v>2.2999999999999998</v>
      </c>
      <c r="T1182" s="82" t="s">
        <v>5331</v>
      </c>
      <c r="U1182" s="84" t="s">
        <v>3584</v>
      </c>
      <c r="V1182" s="54"/>
    </row>
    <row r="1183" spans="1:22" s="11" customFormat="1" ht="45" customHeight="1" x14ac:dyDescent="0.2">
      <c r="A1183" s="66" t="s">
        <v>3577</v>
      </c>
      <c r="B1183" s="66" t="s">
        <v>1707</v>
      </c>
      <c r="C1183" s="66" t="s">
        <v>3578</v>
      </c>
      <c r="D1183" s="66">
        <v>83789</v>
      </c>
      <c r="E1183" s="68" t="s">
        <v>5332</v>
      </c>
      <c r="F1183" s="66" t="s">
        <v>5333</v>
      </c>
      <c r="G1183" s="71">
        <v>6500</v>
      </c>
      <c r="H1183" s="73"/>
      <c r="I1183" s="75">
        <v>0.1</v>
      </c>
      <c r="J1183" s="77"/>
      <c r="K1183" s="66"/>
      <c r="L1183" s="66"/>
      <c r="M1183" s="79" t="str">
        <f>HYPERLINK("http://www.pristavka.com/catalog/funko/Fun83789/")</f>
        <v>http://www.pristavka.com/catalog/funko/Fun83789/</v>
      </c>
      <c r="N1183" s="71">
        <v>9999</v>
      </c>
      <c r="O1183" s="66" t="s">
        <v>27</v>
      </c>
      <c r="P1183" s="82" t="s">
        <v>5334</v>
      </c>
      <c r="Q1183" s="84" t="s">
        <v>3833</v>
      </c>
      <c r="R1183" s="84" t="s">
        <v>3512</v>
      </c>
      <c r="S1183" s="84">
        <v>0.12</v>
      </c>
      <c r="T1183" s="82" t="s">
        <v>4113</v>
      </c>
      <c r="U1183" s="84" t="s">
        <v>3584</v>
      </c>
      <c r="V1183" s="54"/>
    </row>
    <row r="1184" spans="1:22" s="11" customFormat="1" ht="45" customHeight="1" x14ac:dyDescent="0.2">
      <c r="A1184" s="66" t="s">
        <v>3577</v>
      </c>
      <c r="B1184" s="66" t="s">
        <v>1707</v>
      </c>
      <c r="C1184" s="66" t="s">
        <v>3578</v>
      </c>
      <c r="D1184" s="66">
        <v>83792</v>
      </c>
      <c r="E1184" s="68" t="s">
        <v>5335</v>
      </c>
      <c r="F1184" s="66" t="s">
        <v>5336</v>
      </c>
      <c r="G1184" s="71">
        <v>6500</v>
      </c>
      <c r="H1184" s="73"/>
      <c r="I1184" s="75">
        <v>0.1</v>
      </c>
      <c r="J1184" s="77"/>
      <c r="K1184" s="66"/>
      <c r="L1184" s="66"/>
      <c r="M1184" s="79" t="str">
        <f>HYPERLINK("http://www.pristavka.com/catalog/funko/Fun83792/")</f>
        <v>http://www.pristavka.com/catalog/funko/Fun83792/</v>
      </c>
      <c r="N1184" s="71">
        <v>9999</v>
      </c>
      <c r="O1184" s="66" t="s">
        <v>27</v>
      </c>
      <c r="P1184" s="82" t="s">
        <v>5337</v>
      </c>
      <c r="Q1184" s="84" t="s">
        <v>3833</v>
      </c>
      <c r="R1184" s="84" t="s">
        <v>3512</v>
      </c>
      <c r="S1184" s="84">
        <v>0.155</v>
      </c>
      <c r="T1184" s="82" t="s">
        <v>4113</v>
      </c>
      <c r="U1184" s="84" t="s">
        <v>3584</v>
      </c>
      <c r="V1184" s="54"/>
    </row>
    <row r="1185" spans="1:22" s="11" customFormat="1" ht="45" customHeight="1" x14ac:dyDescent="0.2">
      <c r="A1185" s="66" t="s">
        <v>3577</v>
      </c>
      <c r="B1185" s="66" t="s">
        <v>1707</v>
      </c>
      <c r="C1185" s="66" t="s">
        <v>3578</v>
      </c>
      <c r="D1185" s="66">
        <v>83791</v>
      </c>
      <c r="E1185" s="68" t="s">
        <v>5338</v>
      </c>
      <c r="F1185" s="66" t="s">
        <v>5339</v>
      </c>
      <c r="G1185" s="71">
        <v>6500</v>
      </c>
      <c r="H1185" s="73"/>
      <c r="I1185" s="75">
        <v>0.1</v>
      </c>
      <c r="J1185" s="77"/>
      <c r="K1185" s="66"/>
      <c r="L1185" s="66"/>
      <c r="M1185" s="79" t="str">
        <f>HYPERLINK("http://www.pristavka.com/catalog/funko/Fun83791/")</f>
        <v>http://www.pristavka.com/catalog/funko/Fun83791/</v>
      </c>
      <c r="N1185" s="71">
        <v>9999</v>
      </c>
      <c r="O1185" s="66" t="s">
        <v>27</v>
      </c>
      <c r="P1185" s="82" t="s">
        <v>5340</v>
      </c>
      <c r="Q1185" s="84" t="s">
        <v>3517</v>
      </c>
      <c r="R1185" s="84" t="s">
        <v>3512</v>
      </c>
      <c r="S1185" s="84">
        <v>0.14499999999999999</v>
      </c>
      <c r="T1185" s="82" t="s">
        <v>4113</v>
      </c>
      <c r="U1185" s="84" t="s">
        <v>3584</v>
      </c>
      <c r="V1185" s="54"/>
    </row>
    <row r="1186" spans="1:22" s="11" customFormat="1" ht="45" customHeight="1" x14ac:dyDescent="0.2">
      <c r="A1186" s="66" t="s">
        <v>3577</v>
      </c>
      <c r="B1186" s="66" t="s">
        <v>1707</v>
      </c>
      <c r="C1186" s="66" t="s">
        <v>3578</v>
      </c>
      <c r="D1186" s="66">
        <v>72170</v>
      </c>
      <c r="E1186" s="68" t="s">
        <v>5341</v>
      </c>
      <c r="F1186" s="66" t="s">
        <v>5342</v>
      </c>
      <c r="G1186" s="71">
        <v>6500</v>
      </c>
      <c r="H1186" s="73"/>
      <c r="I1186" s="75">
        <v>0.1</v>
      </c>
      <c r="J1186" s="77"/>
      <c r="K1186" s="66"/>
      <c r="L1186" s="66"/>
      <c r="M1186" s="79" t="str">
        <f>HYPERLINK("http://www.pristavka.com/catalog/funko/Fun72170/")</f>
        <v>http://www.pristavka.com/catalog/funko/Fun72170/</v>
      </c>
      <c r="N1186" s="71">
        <v>9999</v>
      </c>
      <c r="O1186" s="66" t="s">
        <v>27</v>
      </c>
      <c r="P1186" s="82" t="s">
        <v>5343</v>
      </c>
      <c r="Q1186" s="84" t="s">
        <v>5344</v>
      </c>
      <c r="R1186" s="84" t="s">
        <v>3512</v>
      </c>
      <c r="S1186" s="84">
        <v>0.16500000000000001</v>
      </c>
      <c r="T1186" s="82" t="s">
        <v>4084</v>
      </c>
      <c r="U1186" s="84" t="s">
        <v>3584</v>
      </c>
      <c r="V1186" s="54"/>
    </row>
    <row r="1187" spans="1:22" s="11" customFormat="1" ht="45" customHeight="1" x14ac:dyDescent="0.2">
      <c r="A1187" s="66" t="s">
        <v>3577</v>
      </c>
      <c r="B1187" s="66" t="s">
        <v>1707</v>
      </c>
      <c r="C1187" s="66" t="s">
        <v>3578</v>
      </c>
      <c r="D1187" s="66">
        <v>72172</v>
      </c>
      <c r="E1187" s="68" t="s">
        <v>5345</v>
      </c>
      <c r="F1187" s="66" t="s">
        <v>5346</v>
      </c>
      <c r="G1187" s="71">
        <v>6500</v>
      </c>
      <c r="H1187" s="73"/>
      <c r="I1187" s="75">
        <v>0.1</v>
      </c>
      <c r="J1187" s="77"/>
      <c r="K1187" s="66"/>
      <c r="L1187" s="66"/>
      <c r="M1187" s="79" t="str">
        <f>HYPERLINK("http://www.pristavka.com/catalog/funko/Fun72172/")</f>
        <v>http://www.pristavka.com/catalog/funko/Fun72172/</v>
      </c>
      <c r="N1187" s="71">
        <v>9999</v>
      </c>
      <c r="O1187" s="66" t="s">
        <v>27</v>
      </c>
      <c r="P1187" s="82" t="s">
        <v>5347</v>
      </c>
      <c r="Q1187" s="84" t="s">
        <v>5344</v>
      </c>
      <c r="R1187" s="84" t="s">
        <v>3512</v>
      </c>
      <c r="S1187" s="84">
        <v>0.17699999999999999</v>
      </c>
      <c r="T1187" s="82" t="s">
        <v>4084</v>
      </c>
      <c r="U1187" s="84" t="s">
        <v>3584</v>
      </c>
      <c r="V1187" s="54"/>
    </row>
    <row r="1188" spans="1:22" s="11" customFormat="1" ht="45" customHeight="1" x14ac:dyDescent="0.2">
      <c r="A1188" s="66" t="s">
        <v>3577</v>
      </c>
      <c r="B1188" s="66" t="s">
        <v>1707</v>
      </c>
      <c r="C1188" s="66" t="s">
        <v>3578</v>
      </c>
      <c r="D1188" s="66">
        <v>72171</v>
      </c>
      <c r="E1188" s="68" t="s">
        <v>5348</v>
      </c>
      <c r="F1188" s="66" t="s">
        <v>5349</v>
      </c>
      <c r="G1188" s="71">
        <v>6500</v>
      </c>
      <c r="H1188" s="73"/>
      <c r="I1188" s="75">
        <v>0.1</v>
      </c>
      <c r="J1188" s="77"/>
      <c r="K1188" s="66"/>
      <c r="L1188" s="66"/>
      <c r="M1188" s="79" t="str">
        <f>HYPERLINK("http://www.pristavka.com/catalog/funko/Fun72171/")</f>
        <v>http://www.pristavka.com/catalog/funko/Fun72171/</v>
      </c>
      <c r="N1188" s="71">
        <v>9999</v>
      </c>
      <c r="O1188" s="66" t="s">
        <v>27</v>
      </c>
      <c r="P1188" s="82" t="s">
        <v>5350</v>
      </c>
      <c r="Q1188" s="84" t="s">
        <v>5344</v>
      </c>
      <c r="R1188" s="84" t="s">
        <v>3512</v>
      </c>
      <c r="S1188" s="84">
        <v>0.14099999999999999</v>
      </c>
      <c r="T1188" s="82" t="s">
        <v>4084</v>
      </c>
      <c r="U1188" s="84" t="s">
        <v>3584</v>
      </c>
      <c r="V1188" s="54"/>
    </row>
    <row r="1189" spans="1:22" s="11" customFormat="1" ht="45" customHeight="1" x14ac:dyDescent="0.2">
      <c r="A1189" s="66" t="s">
        <v>3577</v>
      </c>
      <c r="B1189" s="66" t="s">
        <v>1707</v>
      </c>
      <c r="C1189" s="66" t="s">
        <v>3578</v>
      </c>
      <c r="D1189" s="66">
        <v>77383</v>
      </c>
      <c r="E1189" s="68" t="s">
        <v>5351</v>
      </c>
      <c r="F1189" s="66" t="s">
        <v>5352</v>
      </c>
      <c r="G1189" s="71">
        <v>6500</v>
      </c>
      <c r="H1189" s="73"/>
      <c r="I1189" s="75">
        <v>0.1</v>
      </c>
      <c r="J1189" s="77"/>
      <c r="K1189" s="66"/>
      <c r="L1189" s="66"/>
      <c r="M1189" s="79" t="str">
        <f>HYPERLINK("http://www.pristavka.com/catalog/funko/Fun77383/")</f>
        <v>http://www.pristavka.com/catalog/funko/Fun77383/</v>
      </c>
      <c r="N1189" s="71">
        <v>9999</v>
      </c>
      <c r="O1189" s="66" t="s">
        <v>27</v>
      </c>
      <c r="P1189" s="82" t="s">
        <v>5353</v>
      </c>
      <c r="Q1189" s="84" t="s">
        <v>5344</v>
      </c>
      <c r="R1189" s="84" t="s">
        <v>3512</v>
      </c>
      <c r="S1189" s="84">
        <v>0.16800000000000001</v>
      </c>
      <c r="T1189" s="82" t="s">
        <v>4091</v>
      </c>
      <c r="U1189" s="84" t="s">
        <v>3584</v>
      </c>
      <c r="V1189" s="54"/>
    </row>
    <row r="1190" spans="1:22" s="11" customFormat="1" ht="45" customHeight="1" x14ac:dyDescent="0.2">
      <c r="A1190" s="66" t="s">
        <v>3577</v>
      </c>
      <c r="B1190" s="66" t="s">
        <v>1707</v>
      </c>
      <c r="C1190" s="66" t="s">
        <v>3578</v>
      </c>
      <c r="D1190" s="66">
        <v>74730</v>
      </c>
      <c r="E1190" s="68" t="s">
        <v>5354</v>
      </c>
      <c r="F1190" s="66" t="s">
        <v>5355</v>
      </c>
      <c r="G1190" s="71">
        <v>6890</v>
      </c>
      <c r="H1190" s="73"/>
      <c r="I1190" s="75">
        <v>0.1</v>
      </c>
      <c r="J1190" s="77"/>
      <c r="K1190" s="66"/>
      <c r="L1190" s="66"/>
      <c r="M1190" s="79" t="str">
        <f>HYPERLINK("http://www.pristavka.com/catalog/funko/Fun74730/")</f>
        <v>http://www.pristavka.com/catalog/funko/Fun74730/</v>
      </c>
      <c r="N1190" s="71">
        <v>10599</v>
      </c>
      <c r="O1190" s="66" t="s">
        <v>27</v>
      </c>
      <c r="P1190" s="82" t="s">
        <v>5356</v>
      </c>
      <c r="Q1190" s="84" t="s">
        <v>5108</v>
      </c>
      <c r="R1190" s="84" t="s">
        <v>3512</v>
      </c>
      <c r="S1190" s="84">
        <v>0.16600000000000001</v>
      </c>
      <c r="T1190" s="82" t="s">
        <v>4165</v>
      </c>
      <c r="U1190" s="84" t="s">
        <v>3584</v>
      </c>
      <c r="V1190" s="54"/>
    </row>
    <row r="1191" spans="1:22" s="11" customFormat="1" ht="45" customHeight="1" x14ac:dyDescent="0.2">
      <c r="A1191" s="66" t="s">
        <v>3577</v>
      </c>
      <c r="B1191" s="66" t="s">
        <v>1707</v>
      </c>
      <c r="C1191" s="66" t="s">
        <v>3578</v>
      </c>
      <c r="D1191" s="66">
        <v>65673</v>
      </c>
      <c r="E1191" s="68" t="s">
        <v>5357</v>
      </c>
      <c r="F1191" s="66" t="s">
        <v>5358</v>
      </c>
      <c r="G1191" s="71">
        <v>13000</v>
      </c>
      <c r="H1191" s="73"/>
      <c r="I1191" s="75">
        <v>0.1</v>
      </c>
      <c r="J1191" s="77"/>
      <c r="K1191" s="66"/>
      <c r="L1191" s="66"/>
      <c r="M1191" s="79" t="str">
        <f>HYPERLINK("http://www.pristavka.com/catalog/funko/Fun65673/")</f>
        <v>http://www.pristavka.com/catalog/funko/Fun65673/</v>
      </c>
      <c r="N1191" s="71">
        <v>19999</v>
      </c>
      <c r="O1191" s="66" t="s">
        <v>28</v>
      </c>
      <c r="P1191" s="82" t="s">
        <v>5359</v>
      </c>
      <c r="Q1191" s="84" t="s">
        <v>3512</v>
      </c>
      <c r="R1191" s="84" t="s">
        <v>3512</v>
      </c>
      <c r="S1191" s="84">
        <v>0.44700000000000001</v>
      </c>
      <c r="T1191" s="82" t="s">
        <v>5360</v>
      </c>
      <c r="U1191" s="84" t="s">
        <v>3584</v>
      </c>
      <c r="V1191" s="54"/>
    </row>
    <row r="1192" spans="1:22" s="11" customFormat="1" ht="45" customHeight="1" x14ac:dyDescent="0.2">
      <c r="A1192" s="66" t="s">
        <v>3577</v>
      </c>
      <c r="B1192" s="66" t="s">
        <v>1707</v>
      </c>
      <c r="C1192" s="66" t="s">
        <v>3578</v>
      </c>
      <c r="D1192" s="66">
        <v>65332</v>
      </c>
      <c r="E1192" s="68" t="s">
        <v>5361</v>
      </c>
      <c r="F1192" s="66" t="s">
        <v>5362</v>
      </c>
      <c r="G1192" s="71">
        <v>6890</v>
      </c>
      <c r="H1192" s="73"/>
      <c r="I1192" s="75">
        <v>0.1</v>
      </c>
      <c r="J1192" s="77"/>
      <c r="K1192" s="66"/>
      <c r="L1192" s="66"/>
      <c r="M1192" s="79" t="str">
        <f>HYPERLINK("http://www.pristavka.com/catalog/funko/Fun65332/")</f>
        <v>http://www.pristavka.com/catalog/funko/Fun65332/</v>
      </c>
      <c r="N1192" s="71">
        <v>10599</v>
      </c>
      <c r="O1192" s="66" t="s">
        <v>28</v>
      </c>
      <c r="P1192" s="82" t="s">
        <v>5363</v>
      </c>
      <c r="Q1192" s="84" t="s">
        <v>5364</v>
      </c>
      <c r="R1192" s="84" t="s">
        <v>3512</v>
      </c>
      <c r="S1192" s="84">
        <v>0.13800000000000001</v>
      </c>
      <c r="T1192" s="82" t="s">
        <v>4558</v>
      </c>
      <c r="U1192" s="84" t="s">
        <v>3584</v>
      </c>
      <c r="V1192" s="54"/>
    </row>
    <row r="1193" spans="1:22" s="11" customFormat="1" ht="45" customHeight="1" x14ac:dyDescent="0.2">
      <c r="A1193" s="66" t="s">
        <v>3577</v>
      </c>
      <c r="B1193" s="66" t="s">
        <v>1707</v>
      </c>
      <c r="C1193" s="66" t="s">
        <v>3578</v>
      </c>
      <c r="D1193" s="66">
        <v>70274</v>
      </c>
      <c r="E1193" s="68" t="s">
        <v>5365</v>
      </c>
      <c r="F1193" s="66" t="s">
        <v>5366</v>
      </c>
      <c r="G1193" s="71">
        <v>8450</v>
      </c>
      <c r="H1193" s="73"/>
      <c r="I1193" s="75">
        <v>0.1</v>
      </c>
      <c r="J1193" s="77"/>
      <c r="K1193" s="66"/>
      <c r="L1193" s="66"/>
      <c r="M1193" s="79" t="str">
        <f>HYPERLINK("http://www.pristavka.com/catalog/funko/Fun70274/")</f>
        <v>http://www.pristavka.com/catalog/funko/Fun70274/</v>
      </c>
      <c r="N1193" s="71">
        <v>12999</v>
      </c>
      <c r="O1193" s="66" t="s">
        <v>27</v>
      </c>
      <c r="P1193" s="82" t="s">
        <v>5367</v>
      </c>
      <c r="Q1193" s="84" t="s">
        <v>5364</v>
      </c>
      <c r="R1193" s="84" t="s">
        <v>3512</v>
      </c>
      <c r="S1193" s="84">
        <v>0.157</v>
      </c>
      <c r="T1193" s="82" t="s">
        <v>4091</v>
      </c>
      <c r="U1193" s="84" t="s">
        <v>3584</v>
      </c>
      <c r="V1193" s="54"/>
    </row>
    <row r="1194" spans="1:22" s="11" customFormat="1" ht="45" customHeight="1" x14ac:dyDescent="0.2">
      <c r="A1194" s="66" t="s">
        <v>3577</v>
      </c>
      <c r="B1194" s="66" t="s">
        <v>1707</v>
      </c>
      <c r="C1194" s="66" t="s">
        <v>3578</v>
      </c>
      <c r="D1194" s="66">
        <v>82497</v>
      </c>
      <c r="E1194" s="68" t="s">
        <v>5368</v>
      </c>
      <c r="F1194" s="66" t="s">
        <v>5369</v>
      </c>
      <c r="G1194" s="71">
        <v>6500</v>
      </c>
      <c r="H1194" s="73"/>
      <c r="I1194" s="75">
        <v>0.1</v>
      </c>
      <c r="J1194" s="77"/>
      <c r="K1194" s="66"/>
      <c r="L1194" s="66"/>
      <c r="M1194" s="79" t="str">
        <f>HYPERLINK("http://www.pristavka.com/catalog/funko/Fun82497/")</f>
        <v>http://www.pristavka.com/catalog/funko/Fun82497/</v>
      </c>
      <c r="N1194" s="71">
        <v>9999</v>
      </c>
      <c r="O1194" s="66" t="s">
        <v>27</v>
      </c>
      <c r="P1194" s="82" t="s">
        <v>5370</v>
      </c>
      <c r="Q1194" s="84" t="s">
        <v>3517</v>
      </c>
      <c r="R1194" s="84" t="s">
        <v>3512</v>
      </c>
      <c r="S1194" s="84">
        <v>0.13</v>
      </c>
      <c r="T1194" s="82" t="s">
        <v>4091</v>
      </c>
      <c r="U1194" s="84" t="s">
        <v>3584</v>
      </c>
      <c r="V1194" s="54"/>
    </row>
    <row r="1195" spans="1:22" s="11" customFormat="1" ht="45" customHeight="1" x14ac:dyDescent="0.2">
      <c r="A1195" s="66" t="s">
        <v>3577</v>
      </c>
      <c r="B1195" s="66" t="s">
        <v>1707</v>
      </c>
      <c r="C1195" s="66" t="s">
        <v>3578</v>
      </c>
      <c r="D1195" s="66">
        <v>82498</v>
      </c>
      <c r="E1195" s="68" t="s">
        <v>5371</v>
      </c>
      <c r="F1195" s="66" t="s">
        <v>5372</v>
      </c>
      <c r="G1195" s="71">
        <v>6500</v>
      </c>
      <c r="H1195" s="73"/>
      <c r="I1195" s="75">
        <v>0.1</v>
      </c>
      <c r="J1195" s="77"/>
      <c r="K1195" s="66"/>
      <c r="L1195" s="66"/>
      <c r="M1195" s="79" t="str">
        <f>HYPERLINK("http://www.pristavka.com/catalog/funko/Fun82498/")</f>
        <v>http://www.pristavka.com/catalog/funko/Fun82498/</v>
      </c>
      <c r="N1195" s="71">
        <v>9999</v>
      </c>
      <c r="O1195" s="66" t="s">
        <v>27</v>
      </c>
      <c r="P1195" s="82" t="s">
        <v>5373</v>
      </c>
      <c r="Q1195" s="84" t="s">
        <v>3512</v>
      </c>
      <c r="R1195" s="84" t="s">
        <v>3512</v>
      </c>
      <c r="S1195" s="84">
        <v>0.19</v>
      </c>
      <c r="T1195" s="82" t="s">
        <v>4091</v>
      </c>
      <c r="U1195" s="84" t="s">
        <v>3584</v>
      </c>
      <c r="V1195" s="54"/>
    </row>
    <row r="1196" spans="1:22" s="11" customFormat="1" ht="45" customHeight="1" x14ac:dyDescent="0.2">
      <c r="A1196" s="66" t="s">
        <v>3577</v>
      </c>
      <c r="B1196" s="66" t="s">
        <v>1707</v>
      </c>
      <c r="C1196" s="66" t="s">
        <v>3578</v>
      </c>
      <c r="D1196" s="66">
        <v>82499</v>
      </c>
      <c r="E1196" s="68" t="s">
        <v>5374</v>
      </c>
      <c r="F1196" s="66" t="s">
        <v>5375</v>
      </c>
      <c r="G1196" s="71">
        <v>6500</v>
      </c>
      <c r="H1196" s="73"/>
      <c r="I1196" s="75">
        <v>0.1</v>
      </c>
      <c r="J1196" s="77"/>
      <c r="K1196" s="66"/>
      <c r="L1196" s="66"/>
      <c r="M1196" s="79" t="str">
        <f>HYPERLINK("http://www.pristavka.com/catalog/funko/Fun82499/")</f>
        <v>http://www.pristavka.com/catalog/funko/Fun82499/</v>
      </c>
      <c r="N1196" s="71">
        <v>9999</v>
      </c>
      <c r="O1196" s="66" t="s">
        <v>27</v>
      </c>
      <c r="P1196" s="82" t="s">
        <v>5376</v>
      </c>
      <c r="Q1196" s="84" t="s">
        <v>3833</v>
      </c>
      <c r="R1196" s="84" t="s">
        <v>3512</v>
      </c>
      <c r="S1196" s="84">
        <v>0.126</v>
      </c>
      <c r="T1196" s="82" t="s">
        <v>4084</v>
      </c>
      <c r="U1196" s="84" t="s">
        <v>3584</v>
      </c>
      <c r="V1196" s="54"/>
    </row>
    <row r="1197" spans="1:22" s="11" customFormat="1" ht="45" customHeight="1" x14ac:dyDescent="0.2">
      <c r="A1197" s="66" t="s">
        <v>3577</v>
      </c>
      <c r="B1197" s="66" t="s">
        <v>1707</v>
      </c>
      <c r="C1197" s="66" t="s">
        <v>3578</v>
      </c>
      <c r="D1197" s="66">
        <v>82500</v>
      </c>
      <c r="E1197" s="68" t="s">
        <v>5377</v>
      </c>
      <c r="F1197" s="66" t="s">
        <v>5378</v>
      </c>
      <c r="G1197" s="71">
        <v>6500</v>
      </c>
      <c r="H1197" s="73"/>
      <c r="I1197" s="75">
        <v>0.1</v>
      </c>
      <c r="J1197" s="77"/>
      <c r="K1197" s="66"/>
      <c r="L1197" s="66"/>
      <c r="M1197" s="79" t="str">
        <f>HYPERLINK("http://www.pristavka.com/catalog/funko/Fun82500/")</f>
        <v>http://www.pristavka.com/catalog/funko/Fun82500/</v>
      </c>
      <c r="N1197" s="71">
        <v>9999</v>
      </c>
      <c r="O1197" s="66" t="s">
        <v>27</v>
      </c>
      <c r="P1197" s="82" t="s">
        <v>5379</v>
      </c>
      <c r="Q1197" s="84" t="s">
        <v>3527</v>
      </c>
      <c r="R1197" s="84" t="s">
        <v>3512</v>
      </c>
      <c r="S1197" s="84">
        <v>0.13500000000000001</v>
      </c>
      <c r="T1197" s="82" t="s">
        <v>4084</v>
      </c>
      <c r="U1197" s="84" t="s">
        <v>3584</v>
      </c>
      <c r="V1197" s="54"/>
    </row>
    <row r="1198" spans="1:22" s="11" customFormat="1" ht="45" customHeight="1" x14ac:dyDescent="0.2">
      <c r="A1198" s="66" t="s">
        <v>3577</v>
      </c>
      <c r="B1198" s="66" t="s">
        <v>1707</v>
      </c>
      <c r="C1198" s="66" t="s">
        <v>3578</v>
      </c>
      <c r="D1198" s="66">
        <v>75626</v>
      </c>
      <c r="E1198" s="68" t="s">
        <v>5380</v>
      </c>
      <c r="F1198" s="66" t="s">
        <v>5381</v>
      </c>
      <c r="G1198" s="71">
        <v>6500</v>
      </c>
      <c r="H1198" s="73"/>
      <c r="I1198" s="75">
        <v>0.1</v>
      </c>
      <c r="J1198" s="77"/>
      <c r="K1198" s="66"/>
      <c r="L1198" s="66"/>
      <c r="M1198" s="79" t="str">
        <f>HYPERLINK("http://www.pristavka.com/catalog/funko/Fun75626/")</f>
        <v>http://www.pristavka.com/catalog/funko/Fun75626/</v>
      </c>
      <c r="N1198" s="71">
        <v>9999</v>
      </c>
      <c r="O1198" s="66" t="s">
        <v>27</v>
      </c>
      <c r="P1198" s="82" t="s">
        <v>5382</v>
      </c>
      <c r="Q1198" s="84" t="s">
        <v>5383</v>
      </c>
      <c r="R1198" s="84" t="s">
        <v>3512</v>
      </c>
      <c r="S1198" s="84">
        <v>0.14199999999999999</v>
      </c>
      <c r="T1198" s="82" t="s">
        <v>4084</v>
      </c>
      <c r="U1198" s="84" t="s">
        <v>3584</v>
      </c>
      <c r="V1198" s="54"/>
    </row>
    <row r="1199" spans="1:22" s="11" customFormat="1" ht="45" customHeight="1" x14ac:dyDescent="0.2">
      <c r="A1199" s="66" t="s">
        <v>3577</v>
      </c>
      <c r="B1199" s="66" t="s">
        <v>1707</v>
      </c>
      <c r="C1199" s="66" t="s">
        <v>3578</v>
      </c>
      <c r="D1199" s="66">
        <v>84387</v>
      </c>
      <c r="E1199" s="68" t="s">
        <v>5384</v>
      </c>
      <c r="F1199" s="66" t="s">
        <v>5385</v>
      </c>
      <c r="G1199" s="71">
        <v>6890</v>
      </c>
      <c r="H1199" s="73"/>
      <c r="I1199" s="75">
        <v>0.1</v>
      </c>
      <c r="J1199" s="77"/>
      <c r="K1199" s="66"/>
      <c r="L1199" s="66"/>
      <c r="M1199" s="79" t="str">
        <f>HYPERLINK("http://www.pristavka.com/catalog/funko/Fun84387/")</f>
        <v>http://www.pristavka.com/catalog/funko/Fun84387/</v>
      </c>
      <c r="N1199" s="71">
        <v>10599</v>
      </c>
      <c r="O1199" s="66" t="s">
        <v>27</v>
      </c>
      <c r="P1199" s="82" t="s">
        <v>5386</v>
      </c>
      <c r="Q1199" s="84" t="s">
        <v>3527</v>
      </c>
      <c r="R1199" s="84" t="s">
        <v>3512</v>
      </c>
      <c r="S1199" s="84">
        <v>0.128</v>
      </c>
      <c r="T1199" s="82" t="s">
        <v>4084</v>
      </c>
      <c r="U1199" s="84" t="s">
        <v>3584</v>
      </c>
      <c r="V1199" s="54"/>
    </row>
    <row r="1200" spans="1:22" s="11" customFormat="1" ht="45" customHeight="1" x14ac:dyDescent="0.2">
      <c r="A1200" s="66" t="s">
        <v>3577</v>
      </c>
      <c r="B1200" s="66" t="s">
        <v>1707</v>
      </c>
      <c r="C1200" s="66" t="s">
        <v>3578</v>
      </c>
      <c r="D1200" s="66">
        <v>82648</v>
      </c>
      <c r="E1200" s="68" t="s">
        <v>5387</v>
      </c>
      <c r="F1200" s="66" t="s">
        <v>5388</v>
      </c>
      <c r="G1200" s="71">
        <v>6500</v>
      </c>
      <c r="H1200" s="73"/>
      <c r="I1200" s="75">
        <v>0.1</v>
      </c>
      <c r="J1200" s="77"/>
      <c r="K1200" s="66"/>
      <c r="L1200" s="66"/>
      <c r="M1200" s="79" t="str">
        <f>HYPERLINK("http://www.pristavka.com/catalog/funko/Fun82648/")</f>
        <v>http://www.pristavka.com/catalog/funko/Fun82648/</v>
      </c>
      <c r="N1200" s="71">
        <v>9999</v>
      </c>
      <c r="O1200" s="66" t="s">
        <v>27</v>
      </c>
      <c r="P1200" s="82" t="s">
        <v>5389</v>
      </c>
      <c r="Q1200" s="84" t="s">
        <v>3527</v>
      </c>
      <c r="R1200" s="84" t="s">
        <v>3512</v>
      </c>
      <c r="S1200" s="84">
        <v>0.19600000000000001</v>
      </c>
      <c r="T1200" s="82" t="s">
        <v>4084</v>
      </c>
      <c r="U1200" s="84" t="s">
        <v>3584</v>
      </c>
      <c r="V1200" s="54"/>
    </row>
    <row r="1201" spans="1:22" s="11" customFormat="1" ht="45" customHeight="1" x14ac:dyDescent="0.2">
      <c r="A1201" s="66" t="s">
        <v>3577</v>
      </c>
      <c r="B1201" s="66" t="s">
        <v>1707</v>
      </c>
      <c r="C1201" s="66" t="s">
        <v>3578</v>
      </c>
      <c r="D1201" s="66">
        <v>82650</v>
      </c>
      <c r="E1201" s="68" t="s">
        <v>5390</v>
      </c>
      <c r="F1201" s="66" t="s">
        <v>5391</v>
      </c>
      <c r="G1201" s="71">
        <v>6500</v>
      </c>
      <c r="H1201" s="73"/>
      <c r="I1201" s="75">
        <v>0.1</v>
      </c>
      <c r="J1201" s="77"/>
      <c r="K1201" s="66"/>
      <c r="L1201" s="66"/>
      <c r="M1201" s="79" t="str">
        <f>HYPERLINK("http://www.pristavka.com/catalog/funko/Fun82650/")</f>
        <v>http://www.pristavka.com/catalog/funko/Fun82650/</v>
      </c>
      <c r="N1201" s="71">
        <v>9999</v>
      </c>
      <c r="O1201" s="66" t="s">
        <v>27</v>
      </c>
      <c r="P1201" s="82" t="s">
        <v>5392</v>
      </c>
      <c r="Q1201" s="84" t="s">
        <v>3527</v>
      </c>
      <c r="R1201" s="84" t="s">
        <v>3512</v>
      </c>
      <c r="S1201" s="84">
        <v>0.14499999999999999</v>
      </c>
      <c r="T1201" s="82" t="s">
        <v>4084</v>
      </c>
      <c r="U1201" s="84" t="s">
        <v>3584</v>
      </c>
      <c r="V1201" s="54"/>
    </row>
    <row r="1202" spans="1:22" s="11" customFormat="1" ht="45" customHeight="1" x14ac:dyDescent="0.2">
      <c r="A1202" s="66" t="s">
        <v>3577</v>
      </c>
      <c r="B1202" s="66" t="s">
        <v>1707</v>
      </c>
      <c r="C1202" s="66" t="s">
        <v>3578</v>
      </c>
      <c r="D1202" s="66">
        <v>82647</v>
      </c>
      <c r="E1202" s="68" t="s">
        <v>5393</v>
      </c>
      <c r="F1202" s="66" t="s">
        <v>5394</v>
      </c>
      <c r="G1202" s="71">
        <v>6500</v>
      </c>
      <c r="H1202" s="73"/>
      <c r="I1202" s="75">
        <v>0.1</v>
      </c>
      <c r="J1202" s="77"/>
      <c r="K1202" s="66"/>
      <c r="L1202" s="66"/>
      <c r="M1202" s="79" t="str">
        <f>HYPERLINK("http://www.pristavka.com/catalog/funko/Fun82647/")</f>
        <v>http://www.pristavka.com/catalog/funko/Fun82647/</v>
      </c>
      <c r="N1202" s="71">
        <v>9999</v>
      </c>
      <c r="O1202" s="66" t="s">
        <v>27</v>
      </c>
      <c r="P1202" s="82" t="s">
        <v>5395</v>
      </c>
      <c r="Q1202" s="84" t="s">
        <v>3527</v>
      </c>
      <c r="R1202" s="84" t="s">
        <v>3512</v>
      </c>
      <c r="S1202" s="84">
        <v>0.13900000000000001</v>
      </c>
      <c r="T1202" s="82" t="s">
        <v>4091</v>
      </c>
      <c r="U1202" s="84" t="s">
        <v>3584</v>
      </c>
      <c r="V1202" s="54"/>
    </row>
    <row r="1203" spans="1:22" s="11" customFormat="1" ht="45" customHeight="1" x14ac:dyDescent="0.2">
      <c r="A1203" s="66" t="s">
        <v>3577</v>
      </c>
      <c r="B1203" s="66" t="s">
        <v>1707</v>
      </c>
      <c r="C1203" s="66" t="s">
        <v>3578</v>
      </c>
      <c r="D1203" s="66">
        <v>82649</v>
      </c>
      <c r="E1203" s="68" t="s">
        <v>5396</v>
      </c>
      <c r="F1203" s="66" t="s">
        <v>5397</v>
      </c>
      <c r="G1203" s="71">
        <v>6500</v>
      </c>
      <c r="H1203" s="73"/>
      <c r="I1203" s="75">
        <v>0.1</v>
      </c>
      <c r="J1203" s="77"/>
      <c r="K1203" s="66"/>
      <c r="L1203" s="66"/>
      <c r="M1203" s="79" t="str">
        <f>HYPERLINK("http://www.pristavka.com/catalog/funko/Fun82649/")</f>
        <v>http://www.pristavka.com/catalog/funko/Fun82649/</v>
      </c>
      <c r="N1203" s="71">
        <v>9999</v>
      </c>
      <c r="O1203" s="66" t="s">
        <v>27</v>
      </c>
      <c r="P1203" s="82" t="s">
        <v>5398</v>
      </c>
      <c r="Q1203" s="84" t="s">
        <v>3527</v>
      </c>
      <c r="R1203" s="84" t="s">
        <v>3512</v>
      </c>
      <c r="S1203" s="84">
        <v>0.185</v>
      </c>
      <c r="T1203" s="82" t="s">
        <v>4084</v>
      </c>
      <c r="U1203" s="84" t="s">
        <v>3584</v>
      </c>
      <c r="V1203" s="54"/>
    </row>
    <row r="1204" spans="1:22" s="11" customFormat="1" ht="45" customHeight="1" x14ac:dyDescent="0.2">
      <c r="A1204" s="66" t="s">
        <v>3577</v>
      </c>
      <c r="B1204" s="66" t="s">
        <v>1707</v>
      </c>
      <c r="C1204" s="66" t="s">
        <v>3578</v>
      </c>
      <c r="D1204" s="66">
        <v>65728</v>
      </c>
      <c r="E1204" s="68" t="s">
        <v>5399</v>
      </c>
      <c r="F1204" s="66" t="s">
        <v>5400</v>
      </c>
      <c r="G1204" s="71">
        <v>6500</v>
      </c>
      <c r="H1204" s="73"/>
      <c r="I1204" s="75">
        <v>0.1</v>
      </c>
      <c r="J1204" s="77"/>
      <c r="K1204" s="66"/>
      <c r="L1204" s="66"/>
      <c r="M1204" s="79" t="str">
        <f>HYPERLINK("http://www.pristavka.com/catalog/funko/Fun65728/")</f>
        <v>http://www.pristavka.com/catalog/funko/Fun65728/</v>
      </c>
      <c r="N1204" s="71">
        <v>9999</v>
      </c>
      <c r="O1204" s="66" t="s">
        <v>27</v>
      </c>
      <c r="P1204" s="82" t="s">
        <v>5401</v>
      </c>
      <c r="Q1204" s="84" t="s">
        <v>3527</v>
      </c>
      <c r="R1204" s="84" t="s">
        <v>3512</v>
      </c>
      <c r="S1204" s="84">
        <v>0.16500000000000001</v>
      </c>
      <c r="T1204" s="82" t="s">
        <v>4113</v>
      </c>
      <c r="U1204" s="84" t="s">
        <v>3584</v>
      </c>
      <c r="V1204" s="54"/>
    </row>
    <row r="1205" spans="1:22" s="11" customFormat="1" ht="45" customHeight="1" x14ac:dyDescent="0.2">
      <c r="A1205" s="66" t="s">
        <v>3577</v>
      </c>
      <c r="B1205" s="66" t="s">
        <v>1707</v>
      </c>
      <c r="C1205" s="66" t="s">
        <v>3578</v>
      </c>
      <c r="D1205" s="66">
        <v>65723</v>
      </c>
      <c r="E1205" s="68" t="s">
        <v>5402</v>
      </c>
      <c r="F1205" s="66" t="s">
        <v>5403</v>
      </c>
      <c r="G1205" s="71">
        <v>6500</v>
      </c>
      <c r="H1205" s="73"/>
      <c r="I1205" s="75">
        <v>0.1</v>
      </c>
      <c r="J1205" s="77"/>
      <c r="K1205" s="66"/>
      <c r="L1205" s="66"/>
      <c r="M1205" s="79" t="str">
        <f>HYPERLINK("http://www.pristavka.com/catalog/funko/Fun65723/")</f>
        <v>http://www.pristavka.com/catalog/funko/Fun65723/</v>
      </c>
      <c r="N1205" s="71">
        <v>9999</v>
      </c>
      <c r="O1205" s="66" t="s">
        <v>27</v>
      </c>
      <c r="P1205" s="82" t="s">
        <v>5404</v>
      </c>
      <c r="Q1205" s="84" t="s">
        <v>3527</v>
      </c>
      <c r="R1205" s="84" t="s">
        <v>3512</v>
      </c>
      <c r="S1205" s="84">
        <v>0.13800000000000001</v>
      </c>
      <c r="T1205" s="82" t="s">
        <v>4370</v>
      </c>
      <c r="U1205" s="84" t="s">
        <v>3584</v>
      </c>
      <c r="V1205" s="54"/>
    </row>
    <row r="1206" spans="1:22" s="11" customFormat="1" ht="45" customHeight="1" x14ac:dyDescent="0.2">
      <c r="A1206" s="66" t="s">
        <v>3577</v>
      </c>
      <c r="B1206" s="66" t="s">
        <v>1707</v>
      </c>
      <c r="C1206" s="66" t="s">
        <v>3578</v>
      </c>
      <c r="D1206" s="66">
        <v>84977</v>
      </c>
      <c r="E1206" s="68" t="s">
        <v>5405</v>
      </c>
      <c r="F1206" s="66" t="s">
        <v>5406</v>
      </c>
      <c r="G1206" s="71">
        <v>6890</v>
      </c>
      <c r="H1206" s="73"/>
      <c r="I1206" s="75">
        <v>0.1</v>
      </c>
      <c r="J1206" s="77"/>
      <c r="K1206" s="66"/>
      <c r="L1206" s="66"/>
      <c r="M1206" s="79" t="str">
        <f>HYPERLINK("http://www.pristavka.com/catalog/funko/Fun84977/")</f>
        <v>http://www.pristavka.com/catalog/funko/Fun84977/</v>
      </c>
      <c r="N1206" s="71">
        <v>10599</v>
      </c>
      <c r="O1206" s="66" t="s">
        <v>27</v>
      </c>
      <c r="P1206" s="82" t="s">
        <v>5407</v>
      </c>
      <c r="Q1206" s="84" t="s">
        <v>3527</v>
      </c>
      <c r="R1206" s="84" t="s">
        <v>3512</v>
      </c>
      <c r="S1206" s="84">
        <v>0.17799999999999999</v>
      </c>
      <c r="T1206" s="82" t="s">
        <v>4113</v>
      </c>
      <c r="U1206" s="84" t="s">
        <v>3584</v>
      </c>
      <c r="V1206" s="54"/>
    </row>
    <row r="1207" spans="1:22" s="11" customFormat="1" ht="45" customHeight="1" x14ac:dyDescent="0.2">
      <c r="A1207" s="66" t="s">
        <v>3577</v>
      </c>
      <c r="B1207" s="66" t="s">
        <v>1707</v>
      </c>
      <c r="C1207" s="66" t="s">
        <v>3578</v>
      </c>
      <c r="D1207" s="66">
        <v>65722</v>
      </c>
      <c r="E1207" s="68" t="s">
        <v>5408</v>
      </c>
      <c r="F1207" s="66" t="s">
        <v>5409</v>
      </c>
      <c r="G1207" s="71">
        <v>6500</v>
      </c>
      <c r="H1207" s="73"/>
      <c r="I1207" s="75">
        <v>0.1</v>
      </c>
      <c r="J1207" s="77"/>
      <c r="K1207" s="66"/>
      <c r="L1207" s="66"/>
      <c r="M1207" s="79" t="str">
        <f>HYPERLINK("http://www.pristavka.com/catalog/funko/Fun65722/")</f>
        <v>http://www.pristavka.com/catalog/funko/Fun65722/</v>
      </c>
      <c r="N1207" s="71">
        <v>9999</v>
      </c>
      <c r="O1207" s="66" t="s">
        <v>27</v>
      </c>
      <c r="P1207" s="82" t="s">
        <v>5410</v>
      </c>
      <c r="Q1207" s="84" t="s">
        <v>3527</v>
      </c>
      <c r="R1207" s="84" t="s">
        <v>3512</v>
      </c>
      <c r="S1207" s="84">
        <v>0.13</v>
      </c>
      <c r="T1207" s="82" t="s">
        <v>4113</v>
      </c>
      <c r="U1207" s="84" t="s">
        <v>3584</v>
      </c>
      <c r="V1207" s="54"/>
    </row>
    <row r="1208" spans="1:22" s="11" customFormat="1" ht="45" customHeight="1" x14ac:dyDescent="0.2">
      <c r="A1208" s="66" t="s">
        <v>3577</v>
      </c>
      <c r="B1208" s="66" t="s">
        <v>1707</v>
      </c>
      <c r="C1208" s="66" t="s">
        <v>3578</v>
      </c>
      <c r="D1208" s="66">
        <v>65724</v>
      </c>
      <c r="E1208" s="68" t="s">
        <v>5411</v>
      </c>
      <c r="F1208" s="66" t="s">
        <v>5412</v>
      </c>
      <c r="G1208" s="71">
        <v>6500</v>
      </c>
      <c r="H1208" s="73"/>
      <c r="I1208" s="75">
        <v>0.1</v>
      </c>
      <c r="J1208" s="77"/>
      <c r="K1208" s="66"/>
      <c r="L1208" s="66"/>
      <c r="M1208" s="79" t="str">
        <f>HYPERLINK("http://www.pristavka.com/catalog/funko/Fun65724/")</f>
        <v>http://www.pristavka.com/catalog/funko/Fun65724/</v>
      </c>
      <c r="N1208" s="71">
        <v>9999</v>
      </c>
      <c r="O1208" s="66" t="s">
        <v>27</v>
      </c>
      <c r="P1208" s="82" t="s">
        <v>5413</v>
      </c>
      <c r="Q1208" s="84" t="s">
        <v>3527</v>
      </c>
      <c r="R1208" s="84" t="s">
        <v>3512</v>
      </c>
      <c r="S1208" s="84">
        <v>0.13</v>
      </c>
      <c r="T1208" s="82" t="s">
        <v>4091</v>
      </c>
      <c r="U1208" s="84" t="s">
        <v>3584</v>
      </c>
      <c r="V1208" s="54"/>
    </row>
    <row r="1209" spans="1:22" s="11" customFormat="1" ht="45" customHeight="1" x14ac:dyDescent="0.2">
      <c r="A1209" s="66" t="s">
        <v>3577</v>
      </c>
      <c r="B1209" s="66" t="s">
        <v>1707</v>
      </c>
      <c r="C1209" s="66" t="s">
        <v>3578</v>
      </c>
      <c r="D1209" s="66">
        <v>68370</v>
      </c>
      <c r="E1209" s="68" t="s">
        <v>5414</v>
      </c>
      <c r="F1209" s="66" t="s">
        <v>5415</v>
      </c>
      <c r="G1209" s="71">
        <v>0</v>
      </c>
      <c r="H1209" s="73"/>
      <c r="I1209" s="75">
        <v>0.1</v>
      </c>
      <c r="J1209" s="77"/>
      <c r="K1209" s="66"/>
      <c r="L1209" s="66"/>
      <c r="M1209" s="79" t="str">
        <f>HYPERLINK("http://www.pristavka.com/catalog/funko/Fun68370/")</f>
        <v>http://www.pristavka.com/catalog/funko/Fun68370/</v>
      </c>
      <c r="N1209" s="71"/>
      <c r="O1209" s="66" t="s">
        <v>27</v>
      </c>
      <c r="P1209" s="82" t="s">
        <v>5416</v>
      </c>
      <c r="Q1209" s="84" t="s">
        <v>3527</v>
      </c>
      <c r="R1209" s="84" t="s">
        <v>3512</v>
      </c>
      <c r="S1209" s="84">
        <v>0.127</v>
      </c>
      <c r="T1209" s="82" t="s">
        <v>4113</v>
      </c>
      <c r="U1209" s="84" t="s">
        <v>3584</v>
      </c>
      <c r="V1209" s="54"/>
    </row>
    <row r="1210" spans="1:22" s="11" customFormat="1" ht="45" customHeight="1" x14ac:dyDescent="0.2">
      <c r="A1210" s="66" t="s">
        <v>3577</v>
      </c>
      <c r="B1210" s="66" t="s">
        <v>1707</v>
      </c>
      <c r="C1210" s="66" t="s">
        <v>3578</v>
      </c>
      <c r="D1210" s="66">
        <v>65726</v>
      </c>
      <c r="E1210" s="68" t="s">
        <v>5417</v>
      </c>
      <c r="F1210" s="66" t="s">
        <v>5418</v>
      </c>
      <c r="G1210" s="71">
        <v>6500</v>
      </c>
      <c r="H1210" s="73"/>
      <c r="I1210" s="75">
        <v>0.1</v>
      </c>
      <c r="J1210" s="77"/>
      <c r="K1210" s="66"/>
      <c r="L1210" s="66"/>
      <c r="M1210" s="79" t="str">
        <f>HYPERLINK("http://www.pristavka.com/catalog/funko/Fun65726/")</f>
        <v>http://www.pristavka.com/catalog/funko/Fun65726/</v>
      </c>
      <c r="N1210" s="71">
        <v>9999</v>
      </c>
      <c r="O1210" s="66" t="s">
        <v>27</v>
      </c>
      <c r="P1210" s="82" t="s">
        <v>5419</v>
      </c>
      <c r="Q1210" s="84" t="s">
        <v>3527</v>
      </c>
      <c r="R1210" s="84" t="s">
        <v>3512</v>
      </c>
      <c r="S1210" s="84">
        <v>0.16200000000000001</v>
      </c>
      <c r="T1210" s="82" t="s">
        <v>4558</v>
      </c>
      <c r="U1210" s="84" t="s">
        <v>3584</v>
      </c>
      <c r="V1210" s="54"/>
    </row>
    <row r="1211" spans="1:22" s="11" customFormat="1" ht="45" customHeight="1" x14ac:dyDescent="0.2">
      <c r="A1211" s="66" t="s">
        <v>3577</v>
      </c>
      <c r="B1211" s="66" t="s">
        <v>1707</v>
      </c>
      <c r="C1211" s="66" t="s">
        <v>3578</v>
      </c>
      <c r="D1211" s="66">
        <v>65727</v>
      </c>
      <c r="E1211" s="68" t="s">
        <v>5420</v>
      </c>
      <c r="F1211" s="66" t="s">
        <v>5421</v>
      </c>
      <c r="G1211" s="71">
        <v>6500</v>
      </c>
      <c r="H1211" s="73"/>
      <c r="I1211" s="75">
        <v>0.1</v>
      </c>
      <c r="J1211" s="77"/>
      <c r="K1211" s="66"/>
      <c r="L1211" s="66"/>
      <c r="M1211" s="79" t="str">
        <f>HYPERLINK("http://www.pristavka.com/catalog/funko/Fun65727/")</f>
        <v>http://www.pristavka.com/catalog/funko/Fun65727/</v>
      </c>
      <c r="N1211" s="71">
        <v>9999</v>
      </c>
      <c r="O1211" s="66" t="s">
        <v>28</v>
      </c>
      <c r="P1211" s="82" t="s">
        <v>5422</v>
      </c>
      <c r="Q1211" s="84" t="s">
        <v>3527</v>
      </c>
      <c r="R1211" s="84" t="s">
        <v>3512</v>
      </c>
      <c r="S1211" s="84">
        <v>0.18</v>
      </c>
      <c r="T1211" s="82" t="s">
        <v>4246</v>
      </c>
      <c r="U1211" s="84" t="s">
        <v>3584</v>
      </c>
      <c r="V1211" s="54"/>
    </row>
    <row r="1212" spans="1:22" s="11" customFormat="1" ht="45" customHeight="1" x14ac:dyDescent="0.2">
      <c r="A1212" s="66" t="s">
        <v>3577</v>
      </c>
      <c r="B1212" s="66" t="s">
        <v>1707</v>
      </c>
      <c r="C1212" s="66" t="s">
        <v>3578</v>
      </c>
      <c r="D1212" s="66">
        <v>67602</v>
      </c>
      <c r="E1212" s="68" t="s">
        <v>5423</v>
      </c>
      <c r="F1212" s="66" t="s">
        <v>5424</v>
      </c>
      <c r="G1212" s="71">
        <v>6500</v>
      </c>
      <c r="H1212" s="73"/>
      <c r="I1212" s="75">
        <v>0.1</v>
      </c>
      <c r="J1212" s="77"/>
      <c r="K1212" s="66"/>
      <c r="L1212" s="66"/>
      <c r="M1212" s="79" t="str">
        <f>HYPERLINK("http://www.pristavka.com/catalog/funko/Fun67602/")</f>
        <v>http://www.pristavka.com/catalog/funko/Fun67602/</v>
      </c>
      <c r="N1212" s="71">
        <v>9999</v>
      </c>
      <c r="O1212" s="66" t="s">
        <v>27</v>
      </c>
      <c r="P1212" s="82" t="s">
        <v>5425</v>
      </c>
      <c r="Q1212" s="84" t="s">
        <v>3527</v>
      </c>
      <c r="R1212" s="84" t="s">
        <v>3512</v>
      </c>
      <c r="S1212" s="84">
        <v>0.16600000000000001</v>
      </c>
      <c r="T1212" s="82" t="s">
        <v>5426</v>
      </c>
      <c r="U1212" s="84" t="s">
        <v>3584</v>
      </c>
      <c r="V1212" s="54"/>
    </row>
    <row r="1213" spans="1:22" s="11" customFormat="1" ht="45" customHeight="1" x14ac:dyDescent="0.2">
      <c r="A1213" s="66" t="s">
        <v>3577</v>
      </c>
      <c r="B1213" s="66" t="s">
        <v>1707</v>
      </c>
      <c r="C1213" s="66" t="s">
        <v>3578</v>
      </c>
      <c r="D1213" s="66">
        <v>67607</v>
      </c>
      <c r="E1213" s="68" t="s">
        <v>5427</v>
      </c>
      <c r="F1213" s="66" t="s">
        <v>5428</v>
      </c>
      <c r="G1213" s="71">
        <v>6500</v>
      </c>
      <c r="H1213" s="73"/>
      <c r="I1213" s="75">
        <v>0.1</v>
      </c>
      <c r="J1213" s="77"/>
      <c r="K1213" s="66"/>
      <c r="L1213" s="66"/>
      <c r="M1213" s="79" t="str">
        <f>HYPERLINK("http://www.pristavka.com/catalog/funko/Fun67607/")</f>
        <v>http://www.pristavka.com/catalog/funko/Fun67607/</v>
      </c>
      <c r="N1213" s="71">
        <v>9999</v>
      </c>
      <c r="O1213" s="66" t="s">
        <v>27</v>
      </c>
      <c r="P1213" s="82" t="s">
        <v>5429</v>
      </c>
      <c r="Q1213" s="84" t="s">
        <v>3527</v>
      </c>
      <c r="R1213" s="84" t="s">
        <v>3512</v>
      </c>
      <c r="S1213" s="84">
        <v>0.13600000000000001</v>
      </c>
      <c r="T1213" s="82" t="s">
        <v>5430</v>
      </c>
      <c r="U1213" s="84" t="s">
        <v>3584</v>
      </c>
      <c r="V1213" s="54"/>
    </row>
    <row r="1214" spans="1:22" s="11" customFormat="1" ht="45" customHeight="1" x14ac:dyDescent="0.2">
      <c r="A1214" s="66" t="s">
        <v>3577</v>
      </c>
      <c r="B1214" s="66" t="s">
        <v>1707</v>
      </c>
      <c r="C1214" s="66" t="s">
        <v>3578</v>
      </c>
      <c r="D1214" s="66">
        <v>56827</v>
      </c>
      <c r="E1214" s="68" t="s">
        <v>5431</v>
      </c>
      <c r="F1214" s="66" t="s">
        <v>5432</v>
      </c>
      <c r="G1214" s="71">
        <v>6500</v>
      </c>
      <c r="H1214" s="73"/>
      <c r="I1214" s="75">
        <v>0.1</v>
      </c>
      <c r="J1214" s="77"/>
      <c r="K1214" s="66"/>
      <c r="L1214" s="66"/>
      <c r="M1214" s="79" t="str">
        <f>HYPERLINK("http://www.pristavka.com/catalog/funko/Fun25491148/")</f>
        <v>http://www.pristavka.com/catalog/funko/Fun25491148/</v>
      </c>
      <c r="N1214" s="71">
        <v>9999</v>
      </c>
      <c r="O1214" s="66" t="s">
        <v>27</v>
      </c>
      <c r="P1214" s="82" t="s">
        <v>5433</v>
      </c>
      <c r="Q1214" s="84" t="s">
        <v>3527</v>
      </c>
      <c r="R1214" s="84" t="s">
        <v>3512</v>
      </c>
      <c r="S1214" s="84">
        <v>0.14499999999999999</v>
      </c>
      <c r="T1214" s="82" t="s">
        <v>5426</v>
      </c>
      <c r="U1214" s="84" t="s">
        <v>3584</v>
      </c>
      <c r="V1214" s="54"/>
    </row>
    <row r="1215" spans="1:22" s="11" customFormat="1" ht="45" customHeight="1" x14ac:dyDescent="0.2">
      <c r="A1215" s="66" t="s">
        <v>3577</v>
      </c>
      <c r="B1215" s="66" t="s">
        <v>1707</v>
      </c>
      <c r="C1215" s="66" t="s">
        <v>3578</v>
      </c>
      <c r="D1215" s="66">
        <v>56829</v>
      </c>
      <c r="E1215" s="68" t="s">
        <v>5434</v>
      </c>
      <c r="F1215" s="66" t="s">
        <v>5435</v>
      </c>
      <c r="G1215" s="71">
        <v>6500</v>
      </c>
      <c r="H1215" s="73"/>
      <c r="I1215" s="75">
        <v>0.1</v>
      </c>
      <c r="J1215" s="77"/>
      <c r="K1215" s="66"/>
      <c r="L1215" s="66"/>
      <c r="M1215" s="79" t="str">
        <f>HYPERLINK("http://www.pristavka.com/catalog/funko/Fun25491150/")</f>
        <v>http://www.pristavka.com/catalog/funko/Fun25491150/</v>
      </c>
      <c r="N1215" s="71">
        <v>9999</v>
      </c>
      <c r="O1215" s="66" t="s">
        <v>27</v>
      </c>
      <c r="P1215" s="82" t="s">
        <v>5436</v>
      </c>
      <c r="Q1215" s="84" t="s">
        <v>3527</v>
      </c>
      <c r="R1215" s="84" t="s">
        <v>3512</v>
      </c>
      <c r="S1215" s="84">
        <v>0.14199999999999999</v>
      </c>
      <c r="T1215" s="82" t="s">
        <v>5426</v>
      </c>
      <c r="U1215" s="84" t="s">
        <v>3584</v>
      </c>
      <c r="V1215" s="54"/>
    </row>
    <row r="1216" spans="1:22" s="11" customFormat="1" ht="45" customHeight="1" x14ac:dyDescent="0.2">
      <c r="A1216" s="66" t="s">
        <v>3577</v>
      </c>
      <c r="B1216" s="66" t="s">
        <v>1707</v>
      </c>
      <c r="C1216" s="66" t="s">
        <v>3578</v>
      </c>
      <c r="D1216" s="66">
        <v>67610</v>
      </c>
      <c r="E1216" s="68" t="s">
        <v>5437</v>
      </c>
      <c r="F1216" s="66" t="s">
        <v>5438</v>
      </c>
      <c r="G1216" s="71">
        <v>6500</v>
      </c>
      <c r="H1216" s="73"/>
      <c r="I1216" s="75">
        <v>0.1</v>
      </c>
      <c r="J1216" s="77"/>
      <c r="K1216" s="66"/>
      <c r="L1216" s="66"/>
      <c r="M1216" s="79" t="str">
        <f>HYPERLINK("http://www.pristavka.com/catalog/funko/Fun67610/")</f>
        <v>http://www.pristavka.com/catalog/funko/Fun67610/</v>
      </c>
      <c r="N1216" s="71">
        <v>9999</v>
      </c>
      <c r="O1216" s="66" t="s">
        <v>27</v>
      </c>
      <c r="P1216" s="82" t="s">
        <v>5439</v>
      </c>
      <c r="Q1216" s="84" t="s">
        <v>3527</v>
      </c>
      <c r="R1216" s="84" t="s">
        <v>3512</v>
      </c>
      <c r="S1216" s="84">
        <v>0.14000000000000001</v>
      </c>
      <c r="T1216" s="82" t="s">
        <v>5430</v>
      </c>
      <c r="U1216" s="84" t="s">
        <v>3584</v>
      </c>
      <c r="V1216" s="54"/>
    </row>
    <row r="1217" spans="1:22" s="11" customFormat="1" ht="45" customHeight="1" x14ac:dyDescent="0.2">
      <c r="A1217" s="66" t="s">
        <v>3577</v>
      </c>
      <c r="B1217" s="66" t="s">
        <v>1707</v>
      </c>
      <c r="C1217" s="66" t="s">
        <v>3578</v>
      </c>
      <c r="D1217" s="66">
        <v>65038</v>
      </c>
      <c r="E1217" s="68" t="s">
        <v>5440</v>
      </c>
      <c r="F1217" s="66" t="s">
        <v>5441</v>
      </c>
      <c r="G1217" s="71">
        <v>6890</v>
      </c>
      <c r="H1217" s="73"/>
      <c r="I1217" s="75">
        <v>0.1</v>
      </c>
      <c r="J1217" s="77"/>
      <c r="K1217" s="66"/>
      <c r="L1217" s="66"/>
      <c r="M1217" s="79" t="str">
        <f>HYPERLINK("http://www.pristavka.com/catalog/funko/Fun65038/")</f>
        <v>http://www.pristavka.com/catalog/funko/Fun65038/</v>
      </c>
      <c r="N1217" s="71">
        <v>10599</v>
      </c>
      <c r="O1217" s="66" t="s">
        <v>27</v>
      </c>
      <c r="P1217" s="82" t="s">
        <v>5442</v>
      </c>
      <c r="Q1217" s="84" t="s">
        <v>3527</v>
      </c>
      <c r="R1217" s="84" t="s">
        <v>3512</v>
      </c>
      <c r="S1217" s="84">
        <v>0.14499999999999999</v>
      </c>
      <c r="T1217" s="82" t="s">
        <v>4084</v>
      </c>
      <c r="U1217" s="84" t="s">
        <v>3584</v>
      </c>
      <c r="V1217" s="54"/>
    </row>
    <row r="1218" spans="1:22" s="11" customFormat="1" ht="45" customHeight="1" x14ac:dyDescent="0.2">
      <c r="A1218" s="66" t="s">
        <v>3577</v>
      </c>
      <c r="B1218" s="66" t="s">
        <v>1707</v>
      </c>
      <c r="C1218" s="66" t="s">
        <v>3578</v>
      </c>
      <c r="D1218" s="66">
        <v>66626</v>
      </c>
      <c r="E1218" s="68" t="s">
        <v>5443</v>
      </c>
      <c r="F1218" s="66" t="s">
        <v>5444</v>
      </c>
      <c r="G1218" s="71">
        <v>6890</v>
      </c>
      <c r="H1218" s="73"/>
      <c r="I1218" s="75">
        <v>0.1</v>
      </c>
      <c r="J1218" s="77"/>
      <c r="K1218" s="66"/>
      <c r="L1218" s="66"/>
      <c r="M1218" s="79" t="str">
        <f>HYPERLINK("http://www.pristavka.com/catalog/funko/Fun66626/")</f>
        <v>http://www.pristavka.com/catalog/funko/Fun66626/</v>
      </c>
      <c r="N1218" s="71">
        <v>10599</v>
      </c>
      <c r="O1218" s="66" t="s">
        <v>27</v>
      </c>
      <c r="P1218" s="82" t="s">
        <v>5445</v>
      </c>
      <c r="Q1218" s="84" t="s">
        <v>3511</v>
      </c>
      <c r="R1218" s="84" t="s">
        <v>3512</v>
      </c>
      <c r="S1218" s="84">
        <v>0.13800000000000001</v>
      </c>
      <c r="T1218" s="82" t="s">
        <v>4084</v>
      </c>
      <c r="U1218" s="84" t="s">
        <v>3584</v>
      </c>
      <c r="V1218" s="54"/>
    </row>
    <row r="1219" spans="1:22" s="11" customFormat="1" ht="45" customHeight="1" x14ac:dyDescent="0.2">
      <c r="A1219" s="66" t="s">
        <v>3577</v>
      </c>
      <c r="B1219" s="66" t="s">
        <v>1707</v>
      </c>
      <c r="C1219" s="66" t="s">
        <v>3578</v>
      </c>
      <c r="D1219" s="66">
        <v>85243</v>
      </c>
      <c r="E1219" s="68" t="s">
        <v>5446</v>
      </c>
      <c r="F1219" s="66" t="s">
        <v>5447</v>
      </c>
      <c r="G1219" s="71">
        <v>6890</v>
      </c>
      <c r="H1219" s="73"/>
      <c r="I1219" s="75">
        <v>0.1</v>
      </c>
      <c r="J1219" s="77"/>
      <c r="K1219" s="66"/>
      <c r="L1219" s="66"/>
      <c r="M1219" s="79" t="str">
        <f>HYPERLINK("http://www.pristavka.com/catalog/funko/Fun85243/")</f>
        <v>http://www.pristavka.com/catalog/funko/Fun85243/</v>
      </c>
      <c r="N1219" s="71">
        <v>10599</v>
      </c>
      <c r="O1219" s="66" t="s">
        <v>27</v>
      </c>
      <c r="P1219" s="82" t="s">
        <v>5448</v>
      </c>
      <c r="Q1219" s="84" t="s">
        <v>3527</v>
      </c>
      <c r="R1219" s="84" t="s">
        <v>3512</v>
      </c>
      <c r="S1219" s="84">
        <v>0.13200000000000001</v>
      </c>
      <c r="T1219" s="82" t="s">
        <v>5274</v>
      </c>
      <c r="U1219" s="84" t="s">
        <v>3584</v>
      </c>
      <c r="V1219" s="54"/>
    </row>
    <row r="1220" spans="1:22" s="11" customFormat="1" ht="45" customHeight="1" x14ac:dyDescent="0.2">
      <c r="A1220" s="66" t="s">
        <v>3577</v>
      </c>
      <c r="B1220" s="66" t="s">
        <v>1707</v>
      </c>
      <c r="C1220" s="66" t="s">
        <v>3578</v>
      </c>
      <c r="D1220" s="66">
        <v>74527</v>
      </c>
      <c r="E1220" s="68" t="s">
        <v>5449</v>
      </c>
      <c r="F1220" s="66" t="s">
        <v>5450</v>
      </c>
      <c r="G1220" s="71">
        <v>6890</v>
      </c>
      <c r="H1220" s="73"/>
      <c r="I1220" s="75">
        <v>0.1</v>
      </c>
      <c r="J1220" s="77"/>
      <c r="K1220" s="66"/>
      <c r="L1220" s="66"/>
      <c r="M1220" s="79" t="str">
        <f>HYPERLINK("http://www.pristavka.com/catalog/funko/Fun74527/")</f>
        <v>http://www.pristavka.com/catalog/funko/Fun74527/</v>
      </c>
      <c r="N1220" s="71">
        <v>10599</v>
      </c>
      <c r="O1220" s="66" t="s">
        <v>27</v>
      </c>
      <c r="P1220" s="82" t="s">
        <v>5451</v>
      </c>
      <c r="Q1220" s="84" t="s">
        <v>3527</v>
      </c>
      <c r="R1220" s="84" t="s">
        <v>3512</v>
      </c>
      <c r="S1220" s="84">
        <v>0.14399999999999999</v>
      </c>
      <c r="T1220" s="82" t="s">
        <v>4091</v>
      </c>
      <c r="U1220" s="84" t="s">
        <v>3584</v>
      </c>
      <c r="V1220" s="54"/>
    </row>
    <row r="1221" spans="1:22" s="11" customFormat="1" ht="45" customHeight="1" x14ac:dyDescent="0.2">
      <c r="A1221" s="66" t="s">
        <v>3577</v>
      </c>
      <c r="B1221" s="66" t="s">
        <v>1707</v>
      </c>
      <c r="C1221" s="66" t="s">
        <v>3578</v>
      </c>
      <c r="D1221" s="66">
        <v>84427</v>
      </c>
      <c r="E1221" s="68" t="s">
        <v>5452</v>
      </c>
      <c r="F1221" s="66" t="s">
        <v>5453</v>
      </c>
      <c r="G1221" s="71">
        <v>6890</v>
      </c>
      <c r="H1221" s="73"/>
      <c r="I1221" s="75">
        <v>0.1</v>
      </c>
      <c r="J1221" s="77"/>
      <c r="K1221" s="66"/>
      <c r="L1221" s="66"/>
      <c r="M1221" s="79" t="str">
        <f>HYPERLINK("http://www.pristavka.com/catalog/funko/Fun84427/")</f>
        <v>http://www.pristavka.com/catalog/funko/Fun84427/</v>
      </c>
      <c r="N1221" s="71">
        <v>10599</v>
      </c>
      <c r="O1221" s="66" t="s">
        <v>27</v>
      </c>
      <c r="P1221" s="82" t="s">
        <v>5454</v>
      </c>
      <c r="Q1221" s="84" t="s">
        <v>3527</v>
      </c>
      <c r="R1221" s="84" t="s">
        <v>3512</v>
      </c>
      <c r="S1221" s="84">
        <v>0.158</v>
      </c>
      <c r="T1221" s="82" t="s">
        <v>4084</v>
      </c>
      <c r="U1221" s="84" t="s">
        <v>3584</v>
      </c>
      <c r="V1221" s="54"/>
    </row>
    <row r="1222" spans="1:22" s="11" customFormat="1" ht="45" customHeight="1" x14ac:dyDescent="0.2">
      <c r="A1222" s="66" t="s">
        <v>3577</v>
      </c>
      <c r="B1222" s="66" t="s">
        <v>1707</v>
      </c>
      <c r="C1222" s="66" t="s">
        <v>3578</v>
      </c>
      <c r="D1222" s="66">
        <v>82877</v>
      </c>
      <c r="E1222" s="68" t="s">
        <v>5455</v>
      </c>
      <c r="F1222" s="66" t="s">
        <v>5456</v>
      </c>
      <c r="G1222" s="71">
        <v>6500</v>
      </c>
      <c r="H1222" s="73"/>
      <c r="I1222" s="75">
        <v>0.1</v>
      </c>
      <c r="J1222" s="77"/>
      <c r="K1222" s="66"/>
      <c r="L1222" s="66"/>
      <c r="M1222" s="79" t="str">
        <f>HYPERLINK("http://www.pristavka.com/catalog/funko/Fun82877/")</f>
        <v>http://www.pristavka.com/catalog/funko/Fun82877/</v>
      </c>
      <c r="N1222" s="71">
        <v>9999</v>
      </c>
      <c r="O1222" s="66" t="s">
        <v>27</v>
      </c>
      <c r="P1222" s="82" t="s">
        <v>5457</v>
      </c>
      <c r="Q1222" s="84" t="s">
        <v>3527</v>
      </c>
      <c r="R1222" s="84" t="s">
        <v>3512</v>
      </c>
      <c r="S1222" s="84">
        <v>0.128</v>
      </c>
      <c r="T1222" s="82" t="s">
        <v>4102</v>
      </c>
      <c r="U1222" s="84" t="s">
        <v>3584</v>
      </c>
      <c r="V1222" s="54"/>
    </row>
    <row r="1223" spans="1:22" s="11" customFormat="1" ht="45" customHeight="1" x14ac:dyDescent="0.2">
      <c r="A1223" s="66" t="s">
        <v>3577</v>
      </c>
      <c r="B1223" s="66" t="s">
        <v>1707</v>
      </c>
      <c r="C1223" s="66" t="s">
        <v>3578</v>
      </c>
      <c r="D1223" s="66">
        <v>85244</v>
      </c>
      <c r="E1223" s="68" t="s">
        <v>5458</v>
      </c>
      <c r="F1223" s="66" t="s">
        <v>5459</v>
      </c>
      <c r="G1223" s="71">
        <v>6890</v>
      </c>
      <c r="H1223" s="73"/>
      <c r="I1223" s="75">
        <v>0.1</v>
      </c>
      <c r="J1223" s="77"/>
      <c r="K1223" s="66"/>
      <c r="L1223" s="66"/>
      <c r="M1223" s="79" t="str">
        <f>HYPERLINK("http://www.pristavka.com/catalog/funko/Fun85244/")</f>
        <v>http://www.pristavka.com/catalog/funko/Fun85244/</v>
      </c>
      <c r="N1223" s="71">
        <v>10599</v>
      </c>
      <c r="O1223" s="66" t="s">
        <v>27</v>
      </c>
      <c r="P1223" s="82" t="s">
        <v>5460</v>
      </c>
      <c r="Q1223" s="84" t="s">
        <v>3527</v>
      </c>
      <c r="R1223" s="84" t="s">
        <v>3512</v>
      </c>
      <c r="S1223" s="84">
        <v>0.14499999999999999</v>
      </c>
      <c r="T1223" s="82" t="s">
        <v>4113</v>
      </c>
      <c r="U1223" s="84" t="s">
        <v>3584</v>
      </c>
      <c r="V1223" s="54"/>
    </row>
    <row r="1224" spans="1:22" s="11" customFormat="1" ht="45" customHeight="1" x14ac:dyDescent="0.2">
      <c r="A1224" s="66" t="s">
        <v>3577</v>
      </c>
      <c r="B1224" s="66" t="s">
        <v>1707</v>
      </c>
      <c r="C1224" s="66" t="s">
        <v>3578</v>
      </c>
      <c r="D1224" s="66">
        <v>80893</v>
      </c>
      <c r="E1224" s="68" t="s">
        <v>5461</v>
      </c>
      <c r="F1224" s="66" t="s">
        <v>5462</v>
      </c>
      <c r="G1224" s="71">
        <v>6500</v>
      </c>
      <c r="H1224" s="73"/>
      <c r="I1224" s="75">
        <v>0.1</v>
      </c>
      <c r="J1224" s="77"/>
      <c r="K1224" s="66"/>
      <c r="L1224" s="66"/>
      <c r="M1224" s="79" t="str">
        <f>HYPERLINK("http://www.pristavka.com/catalog/funko/Fun80893/")</f>
        <v>http://www.pristavka.com/catalog/funko/Fun80893/</v>
      </c>
      <c r="N1224" s="71">
        <v>9999</v>
      </c>
      <c r="O1224" s="66" t="s">
        <v>27</v>
      </c>
      <c r="P1224" s="82" t="s">
        <v>5463</v>
      </c>
      <c r="Q1224" s="84" t="s">
        <v>3532</v>
      </c>
      <c r="R1224" s="84" t="s">
        <v>3512</v>
      </c>
      <c r="S1224" s="84">
        <v>0.13</v>
      </c>
      <c r="T1224" s="82" t="s">
        <v>4084</v>
      </c>
      <c r="U1224" s="84" t="s">
        <v>3584</v>
      </c>
      <c r="V1224" s="54"/>
    </row>
    <row r="1225" spans="1:22" s="11" customFormat="1" ht="45" customHeight="1" x14ac:dyDescent="0.2">
      <c r="A1225" s="66" t="s">
        <v>3577</v>
      </c>
      <c r="B1225" s="66" t="s">
        <v>1707</v>
      </c>
      <c r="C1225" s="66" t="s">
        <v>3578</v>
      </c>
      <c r="D1225" s="66">
        <v>80892</v>
      </c>
      <c r="E1225" s="68" t="s">
        <v>5464</v>
      </c>
      <c r="F1225" s="66" t="s">
        <v>5465</v>
      </c>
      <c r="G1225" s="71">
        <v>6500</v>
      </c>
      <c r="H1225" s="73"/>
      <c r="I1225" s="75">
        <v>0.1</v>
      </c>
      <c r="J1225" s="77"/>
      <c r="K1225" s="66"/>
      <c r="L1225" s="66"/>
      <c r="M1225" s="79" t="str">
        <f>HYPERLINK("http://www.pristavka.com/catalog/funko/Fun80892/")</f>
        <v>http://www.pristavka.com/catalog/funko/Fun80892/</v>
      </c>
      <c r="N1225" s="71">
        <v>9999</v>
      </c>
      <c r="O1225" s="66" t="s">
        <v>27</v>
      </c>
      <c r="P1225" s="82" t="s">
        <v>5466</v>
      </c>
      <c r="Q1225" s="84" t="s">
        <v>3527</v>
      </c>
      <c r="R1225" s="84" t="s">
        <v>3512</v>
      </c>
      <c r="S1225" s="84">
        <v>0.125</v>
      </c>
      <c r="T1225" s="82" t="s">
        <v>4084</v>
      </c>
      <c r="U1225" s="84" t="s">
        <v>3584</v>
      </c>
      <c r="V1225" s="54"/>
    </row>
    <row r="1226" spans="1:22" s="11" customFormat="1" ht="45" customHeight="1" x14ac:dyDescent="0.2">
      <c r="A1226" s="66" t="s">
        <v>3577</v>
      </c>
      <c r="B1226" s="66" t="s">
        <v>1707</v>
      </c>
      <c r="C1226" s="66" t="s">
        <v>3578</v>
      </c>
      <c r="D1226" s="66">
        <v>84954</v>
      </c>
      <c r="E1226" s="68" t="s">
        <v>5467</v>
      </c>
      <c r="F1226" s="66" t="s">
        <v>5468</v>
      </c>
      <c r="G1226" s="71">
        <v>0</v>
      </c>
      <c r="H1226" s="73"/>
      <c r="I1226" s="75">
        <v>0.1</v>
      </c>
      <c r="J1226" s="77"/>
      <c r="K1226" s="66"/>
      <c r="L1226" s="66"/>
      <c r="M1226" s="79" t="str">
        <f>HYPERLINK("http://www.pristavka.com/catalog/funko/Fun84954/")</f>
        <v>http://www.pristavka.com/catalog/funko/Fun84954/</v>
      </c>
      <c r="N1226" s="71"/>
      <c r="O1226" s="66" t="s">
        <v>28</v>
      </c>
      <c r="P1226" s="82" t="s">
        <v>5469</v>
      </c>
      <c r="Q1226" s="84" t="s">
        <v>3527</v>
      </c>
      <c r="R1226" s="84" t="s">
        <v>3512</v>
      </c>
      <c r="S1226" s="84">
        <v>0.124</v>
      </c>
      <c r="T1226" s="82" t="s">
        <v>4084</v>
      </c>
      <c r="U1226" s="84" t="s">
        <v>3584</v>
      </c>
      <c r="V1226" s="54"/>
    </row>
    <row r="1227" spans="1:22" s="11" customFormat="1" ht="45" customHeight="1" x14ac:dyDescent="0.2">
      <c r="A1227" s="66" t="s">
        <v>3577</v>
      </c>
      <c r="B1227" s="66" t="s">
        <v>1707</v>
      </c>
      <c r="C1227" s="66" t="s">
        <v>3578</v>
      </c>
      <c r="D1227" s="66">
        <v>80891</v>
      </c>
      <c r="E1227" s="68" t="s">
        <v>5470</v>
      </c>
      <c r="F1227" s="66" t="s">
        <v>5471</v>
      </c>
      <c r="G1227" s="71">
        <v>6500</v>
      </c>
      <c r="H1227" s="73"/>
      <c r="I1227" s="75">
        <v>0.1</v>
      </c>
      <c r="J1227" s="77"/>
      <c r="K1227" s="66"/>
      <c r="L1227" s="66"/>
      <c r="M1227" s="79" t="str">
        <f>HYPERLINK("http://www.pristavka.com/catalog/funko/Fun80891/")</f>
        <v>http://www.pristavka.com/catalog/funko/Fun80891/</v>
      </c>
      <c r="N1227" s="71">
        <v>9999</v>
      </c>
      <c r="O1227" s="66" t="s">
        <v>27</v>
      </c>
      <c r="P1227" s="82" t="s">
        <v>5472</v>
      </c>
      <c r="Q1227" s="84" t="s">
        <v>3517</v>
      </c>
      <c r="R1227" s="84" t="s">
        <v>3512</v>
      </c>
      <c r="S1227" s="84">
        <v>0.13</v>
      </c>
      <c r="T1227" s="82" t="s">
        <v>4084</v>
      </c>
      <c r="U1227" s="84" t="s">
        <v>3584</v>
      </c>
      <c r="V1227" s="54"/>
    </row>
    <row r="1228" spans="1:22" s="11" customFormat="1" ht="45" customHeight="1" x14ac:dyDescent="0.2">
      <c r="A1228" s="66" t="s">
        <v>3577</v>
      </c>
      <c r="B1228" s="66" t="s">
        <v>1707</v>
      </c>
      <c r="C1228" s="66" t="s">
        <v>3578</v>
      </c>
      <c r="D1228" s="66">
        <v>64208</v>
      </c>
      <c r="E1228" s="68" t="s">
        <v>5473</v>
      </c>
      <c r="F1228" s="66" t="s">
        <v>5474</v>
      </c>
      <c r="G1228" s="71">
        <v>8450</v>
      </c>
      <c r="H1228" s="73"/>
      <c r="I1228" s="75">
        <v>0.1</v>
      </c>
      <c r="J1228" s="77"/>
      <c r="K1228" s="66"/>
      <c r="L1228" s="66"/>
      <c r="M1228" s="79" t="str">
        <f>HYPERLINK("http://www.pristavka.com/catalog/funko/Fun64208/")</f>
        <v>http://www.pristavka.com/catalog/funko/Fun64208/</v>
      </c>
      <c r="N1228" s="71">
        <v>12999</v>
      </c>
      <c r="O1228" s="66" t="s">
        <v>27</v>
      </c>
      <c r="P1228" s="82" t="s">
        <v>5475</v>
      </c>
      <c r="Q1228" s="84" t="s">
        <v>5476</v>
      </c>
      <c r="R1228" s="84" t="s">
        <v>3512</v>
      </c>
      <c r="S1228" s="84">
        <v>0.152</v>
      </c>
      <c r="T1228" s="82" t="s">
        <v>4084</v>
      </c>
      <c r="U1228" s="84" t="s">
        <v>3584</v>
      </c>
      <c r="V1228" s="54"/>
    </row>
    <row r="1229" spans="1:22" s="11" customFormat="1" ht="45" customHeight="1" x14ac:dyDescent="0.2">
      <c r="A1229" s="66" t="s">
        <v>3577</v>
      </c>
      <c r="B1229" s="66" t="s">
        <v>1707</v>
      </c>
      <c r="C1229" s="66" t="s">
        <v>3578</v>
      </c>
      <c r="D1229" s="66">
        <v>62426</v>
      </c>
      <c r="E1229" s="68" t="s">
        <v>5477</v>
      </c>
      <c r="F1229" s="66" t="s">
        <v>5478</v>
      </c>
      <c r="G1229" s="71">
        <v>6500</v>
      </c>
      <c r="H1229" s="73"/>
      <c r="I1229" s="75">
        <v>0.1</v>
      </c>
      <c r="J1229" s="77"/>
      <c r="K1229" s="66"/>
      <c r="L1229" s="66"/>
      <c r="M1229" s="79" t="str">
        <f>HYPERLINK("http://www.pristavka.com/catalog/funko/Fun62426/")</f>
        <v>http://www.pristavka.com/catalog/funko/Fun62426/</v>
      </c>
      <c r="N1229" s="71">
        <v>9999</v>
      </c>
      <c r="O1229" s="66" t="s">
        <v>27</v>
      </c>
      <c r="P1229" s="82" t="s">
        <v>5479</v>
      </c>
      <c r="Q1229" s="84" t="s">
        <v>5476</v>
      </c>
      <c r="R1229" s="84" t="s">
        <v>3512</v>
      </c>
      <c r="S1229" s="84">
        <v>0.124</v>
      </c>
      <c r="T1229" s="82" t="s">
        <v>4113</v>
      </c>
      <c r="U1229" s="84" t="s">
        <v>3584</v>
      </c>
      <c r="V1229" s="54"/>
    </row>
    <row r="1230" spans="1:22" s="11" customFormat="1" ht="45" customHeight="1" x14ac:dyDescent="0.2">
      <c r="A1230" s="66" t="s">
        <v>3577</v>
      </c>
      <c r="B1230" s="66" t="s">
        <v>1707</v>
      </c>
      <c r="C1230" s="66" t="s">
        <v>3578</v>
      </c>
      <c r="D1230" s="66">
        <v>62421</v>
      </c>
      <c r="E1230" s="68" t="s">
        <v>5480</v>
      </c>
      <c r="F1230" s="66" t="s">
        <v>5481</v>
      </c>
      <c r="G1230" s="71">
        <v>6500</v>
      </c>
      <c r="H1230" s="73"/>
      <c r="I1230" s="75">
        <v>0.1</v>
      </c>
      <c r="J1230" s="77"/>
      <c r="K1230" s="66"/>
      <c r="L1230" s="66"/>
      <c r="M1230" s="79" t="str">
        <f>HYPERLINK("http://www.pristavka.com/catalog/funko/Fun62421/")</f>
        <v>http://www.pristavka.com/catalog/funko/Fun62421/</v>
      </c>
      <c r="N1230" s="71">
        <v>9999</v>
      </c>
      <c r="O1230" s="66" t="s">
        <v>27</v>
      </c>
      <c r="P1230" s="82" t="s">
        <v>5482</v>
      </c>
      <c r="Q1230" s="84" t="s">
        <v>5476</v>
      </c>
      <c r="R1230" s="84" t="s">
        <v>3512</v>
      </c>
      <c r="S1230" s="84">
        <v>0.13600000000000001</v>
      </c>
      <c r="T1230" s="82" t="s">
        <v>4574</v>
      </c>
      <c r="U1230" s="84" t="s">
        <v>3584</v>
      </c>
      <c r="V1230" s="54"/>
    </row>
    <row r="1231" spans="1:22" s="11" customFormat="1" ht="45" customHeight="1" x14ac:dyDescent="0.2">
      <c r="A1231" s="66" t="s">
        <v>3577</v>
      </c>
      <c r="B1231" s="66" t="s">
        <v>1707</v>
      </c>
      <c r="C1231" s="66" t="s">
        <v>3578</v>
      </c>
      <c r="D1231" s="66">
        <v>32690</v>
      </c>
      <c r="E1231" s="68" t="s">
        <v>5483</v>
      </c>
      <c r="F1231" s="66" t="s">
        <v>5484</v>
      </c>
      <c r="G1231" s="71">
        <v>6500</v>
      </c>
      <c r="H1231" s="73"/>
      <c r="I1231" s="75">
        <v>0.1</v>
      </c>
      <c r="J1231" s="77"/>
      <c r="K1231" s="66"/>
      <c r="L1231" s="66"/>
      <c r="M1231" s="79" t="str">
        <f>HYPERLINK("http://www.pristavka.com/catalog/funko/Fun1432/")</f>
        <v>http://www.pristavka.com/catalog/funko/Fun1432/</v>
      </c>
      <c r="N1231" s="71">
        <v>9999</v>
      </c>
      <c r="O1231" s="66" t="s">
        <v>27</v>
      </c>
      <c r="P1231" s="82" t="s">
        <v>5485</v>
      </c>
      <c r="Q1231" s="84" t="s">
        <v>3522</v>
      </c>
      <c r="R1231" s="84" t="s">
        <v>3512</v>
      </c>
      <c r="S1231" s="84">
        <v>0.14000000000000001</v>
      </c>
      <c r="T1231" s="82" t="s">
        <v>4091</v>
      </c>
      <c r="U1231" s="84" t="s">
        <v>3584</v>
      </c>
      <c r="V1231" s="54"/>
    </row>
    <row r="1232" spans="1:22" s="11" customFormat="1" ht="45" customHeight="1" x14ac:dyDescent="0.2">
      <c r="A1232" s="66" t="s">
        <v>3577</v>
      </c>
      <c r="B1232" s="66" t="s">
        <v>1707</v>
      </c>
      <c r="C1232" s="66" t="s">
        <v>3578</v>
      </c>
      <c r="D1232" s="66">
        <v>84452</v>
      </c>
      <c r="E1232" s="68" t="s">
        <v>5486</v>
      </c>
      <c r="F1232" s="66" t="s">
        <v>5487</v>
      </c>
      <c r="G1232" s="71">
        <v>6890</v>
      </c>
      <c r="H1232" s="73"/>
      <c r="I1232" s="75">
        <v>0.1</v>
      </c>
      <c r="J1232" s="77"/>
      <c r="K1232" s="66"/>
      <c r="L1232" s="66"/>
      <c r="M1232" s="79" t="str">
        <f>HYPERLINK("http://www.pristavka.com/catalog/funko/Fun84452/")</f>
        <v>http://www.pristavka.com/catalog/funko/Fun84452/</v>
      </c>
      <c r="N1232" s="71">
        <v>10599</v>
      </c>
      <c r="O1232" s="66" t="s">
        <v>28</v>
      </c>
      <c r="P1232" s="82" t="s">
        <v>5488</v>
      </c>
      <c r="Q1232" s="84" t="s">
        <v>3522</v>
      </c>
      <c r="R1232" s="84" t="s">
        <v>3512</v>
      </c>
      <c r="S1232" s="84">
        <v>0.17</v>
      </c>
      <c r="T1232" s="82" t="s">
        <v>4084</v>
      </c>
      <c r="U1232" s="84" t="s">
        <v>3584</v>
      </c>
      <c r="V1232" s="54"/>
    </row>
    <row r="1233" spans="1:22" s="11" customFormat="1" ht="45" customHeight="1" x14ac:dyDescent="0.2">
      <c r="A1233" s="66" t="s">
        <v>3577</v>
      </c>
      <c r="B1233" s="66" t="s">
        <v>1707</v>
      </c>
      <c r="C1233" s="66" t="s">
        <v>3578</v>
      </c>
      <c r="D1233" s="66">
        <v>82871</v>
      </c>
      <c r="E1233" s="68" t="s">
        <v>5489</v>
      </c>
      <c r="F1233" s="66" t="s">
        <v>5490</v>
      </c>
      <c r="G1233" s="71">
        <v>6500</v>
      </c>
      <c r="H1233" s="73"/>
      <c r="I1233" s="75">
        <v>0.1</v>
      </c>
      <c r="J1233" s="77"/>
      <c r="K1233" s="66"/>
      <c r="L1233" s="66"/>
      <c r="M1233" s="79" t="str">
        <f>HYPERLINK("http://www.pristavka.com/catalog/funko/Fun82871/")</f>
        <v>http://www.pristavka.com/catalog/funko/Fun82871/</v>
      </c>
      <c r="N1233" s="71">
        <v>9999</v>
      </c>
      <c r="O1233" s="66" t="s">
        <v>27</v>
      </c>
      <c r="P1233" s="82" t="s">
        <v>5491</v>
      </c>
      <c r="Q1233" s="84" t="s">
        <v>3512</v>
      </c>
      <c r="R1233" s="84" t="s">
        <v>3512</v>
      </c>
      <c r="S1233" s="84">
        <v>0.19500000000000001</v>
      </c>
      <c r="T1233" s="82" t="s">
        <v>4113</v>
      </c>
      <c r="U1233" s="84" t="s">
        <v>3584</v>
      </c>
      <c r="V1233" s="54"/>
    </row>
    <row r="1234" spans="1:22" s="11" customFormat="1" ht="45" customHeight="1" x14ac:dyDescent="0.2">
      <c r="A1234" s="66" t="s">
        <v>3577</v>
      </c>
      <c r="B1234" s="66" t="s">
        <v>1707</v>
      </c>
      <c r="C1234" s="66" t="s">
        <v>3578</v>
      </c>
      <c r="D1234" s="66">
        <v>79515</v>
      </c>
      <c r="E1234" s="68" t="s">
        <v>5492</v>
      </c>
      <c r="F1234" s="66" t="s">
        <v>5493</v>
      </c>
      <c r="G1234" s="71">
        <v>6500</v>
      </c>
      <c r="H1234" s="73"/>
      <c r="I1234" s="75">
        <v>0.1</v>
      </c>
      <c r="J1234" s="77"/>
      <c r="K1234" s="66"/>
      <c r="L1234" s="66"/>
      <c r="M1234" s="79" t="str">
        <f>HYPERLINK("http://www.pristavka.com/catalog/funko/Fun79515/")</f>
        <v>http://www.pristavka.com/catalog/funko/Fun79515/</v>
      </c>
      <c r="N1234" s="71">
        <v>9999</v>
      </c>
      <c r="O1234" s="66" t="s">
        <v>27</v>
      </c>
      <c r="P1234" s="82" t="s">
        <v>5494</v>
      </c>
      <c r="Q1234" s="84" t="s">
        <v>5281</v>
      </c>
      <c r="R1234" s="84" t="s">
        <v>3512</v>
      </c>
      <c r="S1234" s="84">
        <v>0.105</v>
      </c>
      <c r="T1234" s="82" t="s">
        <v>4084</v>
      </c>
      <c r="U1234" s="84" t="s">
        <v>3584</v>
      </c>
      <c r="V1234" s="54"/>
    </row>
    <row r="1235" spans="1:22" s="11" customFormat="1" ht="45" customHeight="1" x14ac:dyDescent="0.2">
      <c r="A1235" s="66" t="s">
        <v>3577</v>
      </c>
      <c r="B1235" s="66" t="s">
        <v>1707</v>
      </c>
      <c r="C1235" s="66" t="s">
        <v>3578</v>
      </c>
      <c r="D1235" s="66">
        <v>81338</v>
      </c>
      <c r="E1235" s="68" t="s">
        <v>5495</v>
      </c>
      <c r="F1235" s="66" t="s">
        <v>5496</v>
      </c>
      <c r="G1235" s="71">
        <v>6500</v>
      </c>
      <c r="H1235" s="73"/>
      <c r="I1235" s="75">
        <v>0.1</v>
      </c>
      <c r="J1235" s="77"/>
      <c r="K1235" s="66"/>
      <c r="L1235" s="66"/>
      <c r="M1235" s="79" t="str">
        <f>HYPERLINK("http://www.pristavka.com/catalog/funko/Fun81338/")</f>
        <v>http://www.pristavka.com/catalog/funko/Fun81338/</v>
      </c>
      <c r="N1235" s="71">
        <v>9999</v>
      </c>
      <c r="O1235" s="66" t="s">
        <v>27</v>
      </c>
      <c r="P1235" s="82" t="s">
        <v>5497</v>
      </c>
      <c r="Q1235" s="84" t="s">
        <v>5281</v>
      </c>
      <c r="R1235" s="84" t="s">
        <v>3512</v>
      </c>
      <c r="S1235" s="84">
        <v>0.109</v>
      </c>
      <c r="T1235" s="82" t="s">
        <v>4091</v>
      </c>
      <c r="U1235" s="84" t="s">
        <v>3584</v>
      </c>
      <c r="V1235" s="54"/>
    </row>
    <row r="1236" spans="1:22" s="11" customFormat="1" ht="45" customHeight="1" x14ac:dyDescent="0.2">
      <c r="A1236" s="66" t="s">
        <v>3577</v>
      </c>
      <c r="B1236" s="66" t="s">
        <v>1707</v>
      </c>
      <c r="C1236" s="66" t="s">
        <v>3578</v>
      </c>
      <c r="D1236" s="66">
        <v>79516</v>
      </c>
      <c r="E1236" s="68" t="s">
        <v>5498</v>
      </c>
      <c r="F1236" s="66" t="s">
        <v>5499</v>
      </c>
      <c r="G1236" s="71">
        <v>6500</v>
      </c>
      <c r="H1236" s="73"/>
      <c r="I1236" s="75">
        <v>0.1</v>
      </c>
      <c r="J1236" s="77"/>
      <c r="K1236" s="66"/>
      <c r="L1236" s="66"/>
      <c r="M1236" s="79" t="str">
        <f>HYPERLINK("http://www.pristavka.com/catalog/funko/Fun79516/")</f>
        <v>http://www.pristavka.com/catalog/funko/Fun79516/</v>
      </c>
      <c r="N1236" s="71">
        <v>9999</v>
      </c>
      <c r="O1236" s="66" t="s">
        <v>27</v>
      </c>
      <c r="P1236" s="82" t="s">
        <v>5500</v>
      </c>
      <c r="Q1236" s="84" t="s">
        <v>5281</v>
      </c>
      <c r="R1236" s="84" t="s">
        <v>3512</v>
      </c>
      <c r="S1236" s="84">
        <v>0.105</v>
      </c>
      <c r="T1236" s="82" t="s">
        <v>4084</v>
      </c>
      <c r="U1236" s="84" t="s">
        <v>3584</v>
      </c>
      <c r="V1236" s="54"/>
    </row>
    <row r="1237" spans="1:22" s="11" customFormat="1" ht="45" customHeight="1" x14ac:dyDescent="0.2">
      <c r="A1237" s="66" t="s">
        <v>3577</v>
      </c>
      <c r="B1237" s="66" t="s">
        <v>1707</v>
      </c>
      <c r="C1237" s="66" t="s">
        <v>3578</v>
      </c>
      <c r="D1237" s="66">
        <v>79517</v>
      </c>
      <c r="E1237" s="68" t="s">
        <v>5501</v>
      </c>
      <c r="F1237" s="66" t="s">
        <v>5502</v>
      </c>
      <c r="G1237" s="71">
        <v>6500</v>
      </c>
      <c r="H1237" s="73"/>
      <c r="I1237" s="75">
        <v>0.1</v>
      </c>
      <c r="J1237" s="77"/>
      <c r="K1237" s="66"/>
      <c r="L1237" s="66"/>
      <c r="M1237" s="79" t="str">
        <f>HYPERLINK("http://www.pristavka.com/catalog/funko/Fun79517/")</f>
        <v>http://www.pristavka.com/catalog/funko/Fun79517/</v>
      </c>
      <c r="N1237" s="71">
        <v>9999</v>
      </c>
      <c r="O1237" s="66" t="s">
        <v>27</v>
      </c>
      <c r="P1237" s="82" t="s">
        <v>5503</v>
      </c>
      <c r="Q1237" s="84" t="s">
        <v>5281</v>
      </c>
      <c r="R1237" s="84" t="s">
        <v>3512</v>
      </c>
      <c r="S1237" s="84">
        <v>0.12</v>
      </c>
      <c r="T1237" s="82" t="s">
        <v>4084</v>
      </c>
      <c r="U1237" s="84" t="s">
        <v>3584</v>
      </c>
      <c r="V1237" s="54"/>
    </row>
    <row r="1238" spans="1:22" s="11" customFormat="1" ht="45" customHeight="1" x14ac:dyDescent="0.2">
      <c r="A1238" s="66" t="s">
        <v>3577</v>
      </c>
      <c r="B1238" s="66" t="s">
        <v>1707</v>
      </c>
      <c r="C1238" s="66" t="s">
        <v>3578</v>
      </c>
      <c r="D1238" s="66">
        <v>79518</v>
      </c>
      <c r="E1238" s="68" t="s">
        <v>5504</v>
      </c>
      <c r="F1238" s="66" t="s">
        <v>5505</v>
      </c>
      <c r="G1238" s="71">
        <v>6500</v>
      </c>
      <c r="H1238" s="73"/>
      <c r="I1238" s="75">
        <v>0.1</v>
      </c>
      <c r="J1238" s="77"/>
      <c r="K1238" s="66"/>
      <c r="L1238" s="66"/>
      <c r="M1238" s="79" t="str">
        <f>HYPERLINK("http://www.pristavka.com/catalog/funko/Fun79518/")</f>
        <v>http://www.pristavka.com/catalog/funko/Fun79518/</v>
      </c>
      <c r="N1238" s="71">
        <v>9999</v>
      </c>
      <c r="O1238" s="66" t="s">
        <v>27</v>
      </c>
      <c r="P1238" s="82" t="s">
        <v>5506</v>
      </c>
      <c r="Q1238" s="84" t="s">
        <v>5281</v>
      </c>
      <c r="R1238" s="84" t="s">
        <v>3512</v>
      </c>
      <c r="S1238" s="84">
        <v>0.105</v>
      </c>
      <c r="T1238" s="82" t="s">
        <v>4084</v>
      </c>
      <c r="U1238" s="84" t="s">
        <v>3584</v>
      </c>
      <c r="V1238" s="54"/>
    </row>
    <row r="1239" spans="1:22" s="11" customFormat="1" ht="45" customHeight="1" x14ac:dyDescent="0.2">
      <c r="A1239" s="66" t="s">
        <v>3577</v>
      </c>
      <c r="B1239" s="66" t="s">
        <v>1707</v>
      </c>
      <c r="C1239" s="66" t="s">
        <v>3578</v>
      </c>
      <c r="D1239" s="66">
        <v>79519</v>
      </c>
      <c r="E1239" s="68" t="s">
        <v>5507</v>
      </c>
      <c r="F1239" s="66" t="s">
        <v>5508</v>
      </c>
      <c r="G1239" s="71">
        <v>6500</v>
      </c>
      <c r="H1239" s="73"/>
      <c r="I1239" s="75">
        <v>0.1</v>
      </c>
      <c r="J1239" s="77"/>
      <c r="K1239" s="66"/>
      <c r="L1239" s="66"/>
      <c r="M1239" s="79" t="str">
        <f>HYPERLINK("http://www.pristavka.com/catalog/funko/Fun79519/")</f>
        <v>http://www.pristavka.com/catalog/funko/Fun79519/</v>
      </c>
      <c r="N1239" s="71">
        <v>9999</v>
      </c>
      <c r="O1239" s="66" t="s">
        <v>27</v>
      </c>
      <c r="P1239" s="82" t="s">
        <v>5509</v>
      </c>
      <c r="Q1239" s="84" t="s">
        <v>5281</v>
      </c>
      <c r="R1239" s="84" t="s">
        <v>3512</v>
      </c>
      <c r="S1239" s="84">
        <v>0.105</v>
      </c>
      <c r="T1239" s="82" t="s">
        <v>4084</v>
      </c>
      <c r="U1239" s="84" t="s">
        <v>3584</v>
      </c>
      <c r="V1239" s="54"/>
    </row>
    <row r="1240" spans="1:22" s="11" customFormat="1" ht="45" customHeight="1" x14ac:dyDescent="0.2">
      <c r="A1240" s="66" t="s">
        <v>3577</v>
      </c>
      <c r="B1240" s="66" t="s">
        <v>1707</v>
      </c>
      <c r="C1240" s="66" t="s">
        <v>3578</v>
      </c>
      <c r="D1240" s="66">
        <v>68044</v>
      </c>
      <c r="E1240" s="68" t="s">
        <v>5510</v>
      </c>
      <c r="F1240" s="66" t="s">
        <v>5511</v>
      </c>
      <c r="G1240" s="71">
        <v>6500</v>
      </c>
      <c r="H1240" s="73"/>
      <c r="I1240" s="75">
        <v>0.1</v>
      </c>
      <c r="J1240" s="77"/>
      <c r="K1240" s="66"/>
      <c r="L1240" s="66"/>
      <c r="M1240" s="79" t="str">
        <f>HYPERLINK("http://www.pristavka.com/catalog/funko/Fun68044/")</f>
        <v>http://www.pristavka.com/catalog/funko/Fun68044/</v>
      </c>
      <c r="N1240" s="71">
        <v>9999</v>
      </c>
      <c r="O1240" s="66" t="s">
        <v>27</v>
      </c>
      <c r="P1240" s="82" t="s">
        <v>5512</v>
      </c>
      <c r="Q1240" s="84" t="s">
        <v>5513</v>
      </c>
      <c r="R1240" s="84" t="s">
        <v>3512</v>
      </c>
      <c r="S1240" s="84">
        <v>0.14499999999999999</v>
      </c>
      <c r="T1240" s="82" t="s">
        <v>4113</v>
      </c>
      <c r="U1240" s="84" t="s">
        <v>3584</v>
      </c>
      <c r="V1240" s="54"/>
    </row>
    <row r="1241" spans="1:22" s="11" customFormat="1" ht="45" customHeight="1" x14ac:dyDescent="0.2">
      <c r="A1241" s="66" t="s">
        <v>3577</v>
      </c>
      <c r="B1241" s="66" t="s">
        <v>1707</v>
      </c>
      <c r="C1241" s="66" t="s">
        <v>3578</v>
      </c>
      <c r="D1241" s="66">
        <v>68045</v>
      </c>
      <c r="E1241" s="68" t="s">
        <v>5514</v>
      </c>
      <c r="F1241" s="66" t="s">
        <v>5515</v>
      </c>
      <c r="G1241" s="71">
        <v>6500</v>
      </c>
      <c r="H1241" s="73"/>
      <c r="I1241" s="75">
        <v>0.1</v>
      </c>
      <c r="J1241" s="77"/>
      <c r="K1241" s="66"/>
      <c r="L1241" s="66"/>
      <c r="M1241" s="79" t="str">
        <f>HYPERLINK("http://www.pristavka.com/catalog/funko/Fun68045/")</f>
        <v>http://www.pristavka.com/catalog/funko/Fun68045/</v>
      </c>
      <c r="N1241" s="71">
        <v>9999</v>
      </c>
      <c r="O1241" s="66" t="s">
        <v>27</v>
      </c>
      <c r="P1241" s="82" t="s">
        <v>5516</v>
      </c>
      <c r="Q1241" s="84" t="s">
        <v>5513</v>
      </c>
      <c r="R1241" s="84" t="s">
        <v>3512</v>
      </c>
      <c r="S1241" s="84">
        <v>0.19500000000000001</v>
      </c>
      <c r="T1241" s="82" t="s">
        <v>4113</v>
      </c>
      <c r="U1241" s="84" t="s">
        <v>3584</v>
      </c>
      <c r="V1241" s="54"/>
    </row>
    <row r="1242" spans="1:22" s="11" customFormat="1" ht="45" customHeight="1" x14ac:dyDescent="0.2">
      <c r="A1242" s="66" t="s">
        <v>3577</v>
      </c>
      <c r="B1242" s="66" t="s">
        <v>1707</v>
      </c>
      <c r="C1242" s="66" t="s">
        <v>3578</v>
      </c>
      <c r="D1242" s="66">
        <v>68046</v>
      </c>
      <c r="E1242" s="68" t="s">
        <v>5517</v>
      </c>
      <c r="F1242" s="66" t="s">
        <v>5518</v>
      </c>
      <c r="G1242" s="71">
        <v>6500</v>
      </c>
      <c r="H1242" s="73"/>
      <c r="I1242" s="75">
        <v>0.1</v>
      </c>
      <c r="J1242" s="77"/>
      <c r="K1242" s="66"/>
      <c r="L1242" s="66"/>
      <c r="M1242" s="79" t="str">
        <f>HYPERLINK("http://www.pristavka.com/catalog/funko/Fun68046/")</f>
        <v>http://www.pristavka.com/catalog/funko/Fun68046/</v>
      </c>
      <c r="N1242" s="71">
        <v>9999</v>
      </c>
      <c r="O1242" s="66" t="s">
        <v>27</v>
      </c>
      <c r="P1242" s="82" t="s">
        <v>5519</v>
      </c>
      <c r="Q1242" s="84" t="s">
        <v>5513</v>
      </c>
      <c r="R1242" s="84" t="s">
        <v>3512</v>
      </c>
      <c r="S1242" s="84">
        <v>0.16500000000000001</v>
      </c>
      <c r="T1242" s="82" t="s">
        <v>4113</v>
      </c>
      <c r="U1242" s="84" t="s">
        <v>3584</v>
      </c>
      <c r="V1242" s="54"/>
    </row>
    <row r="1243" spans="1:22" s="11" customFormat="1" ht="45" customHeight="1" x14ac:dyDescent="0.2">
      <c r="A1243" s="66" t="s">
        <v>3577</v>
      </c>
      <c r="B1243" s="66" t="s">
        <v>1707</v>
      </c>
      <c r="C1243" s="66" t="s">
        <v>3578</v>
      </c>
      <c r="D1243" s="66">
        <v>68042</v>
      </c>
      <c r="E1243" s="68" t="s">
        <v>5520</v>
      </c>
      <c r="F1243" s="66" t="s">
        <v>5521</v>
      </c>
      <c r="G1243" s="71">
        <v>6500</v>
      </c>
      <c r="H1243" s="73"/>
      <c r="I1243" s="75">
        <v>0.1</v>
      </c>
      <c r="J1243" s="77"/>
      <c r="K1243" s="66"/>
      <c r="L1243" s="66"/>
      <c r="M1243" s="79" t="str">
        <f>HYPERLINK("http://www.pristavka.com/catalog/funko/Fun68042/")</f>
        <v>http://www.pristavka.com/catalog/funko/Fun68042/</v>
      </c>
      <c r="N1243" s="71">
        <v>9999</v>
      </c>
      <c r="O1243" s="66" t="s">
        <v>27</v>
      </c>
      <c r="P1243" s="82" t="s">
        <v>5522</v>
      </c>
      <c r="Q1243" s="84" t="s">
        <v>5513</v>
      </c>
      <c r="R1243" s="84" t="s">
        <v>3512</v>
      </c>
      <c r="S1243" s="84">
        <v>0.158</v>
      </c>
      <c r="T1243" s="82" t="s">
        <v>4084</v>
      </c>
      <c r="U1243" s="84" t="s">
        <v>3584</v>
      </c>
      <c r="V1243" s="54"/>
    </row>
    <row r="1244" spans="1:22" s="11" customFormat="1" ht="45" customHeight="1" x14ac:dyDescent="0.2">
      <c r="A1244" s="66" t="s">
        <v>3577</v>
      </c>
      <c r="B1244" s="66" t="s">
        <v>1707</v>
      </c>
      <c r="C1244" s="66" t="s">
        <v>3578</v>
      </c>
      <c r="D1244" s="66">
        <v>58647</v>
      </c>
      <c r="E1244" s="68" t="s">
        <v>5523</v>
      </c>
      <c r="F1244" s="66" t="s">
        <v>5524</v>
      </c>
      <c r="G1244" s="71">
        <v>0</v>
      </c>
      <c r="H1244" s="73"/>
      <c r="I1244" s="75">
        <v>0.1</v>
      </c>
      <c r="J1244" s="77"/>
      <c r="K1244" s="66"/>
      <c r="L1244" s="66"/>
      <c r="M1244" s="79" t="str">
        <f>HYPERLINK("http://www.pristavka.com/catalog/funko/Fun58647/")</f>
        <v>http://www.pristavka.com/catalog/funko/Fun58647/</v>
      </c>
      <c r="N1244" s="71"/>
      <c r="O1244" s="66" t="s">
        <v>27</v>
      </c>
      <c r="P1244" s="82" t="s">
        <v>5525</v>
      </c>
      <c r="Q1244" s="84" t="s">
        <v>5513</v>
      </c>
      <c r="R1244" s="84" t="s">
        <v>3512</v>
      </c>
      <c r="S1244" s="84">
        <v>0.49</v>
      </c>
      <c r="T1244" s="82" t="s">
        <v>5526</v>
      </c>
      <c r="U1244" s="84" t="s">
        <v>3584</v>
      </c>
      <c r="V1244" s="54"/>
    </row>
    <row r="1245" spans="1:22" s="11" customFormat="1" ht="45" customHeight="1" x14ac:dyDescent="0.2">
      <c r="A1245" s="66" t="s">
        <v>3577</v>
      </c>
      <c r="B1245" s="66" t="s">
        <v>1707</v>
      </c>
      <c r="C1245" s="66" t="s">
        <v>3578</v>
      </c>
      <c r="D1245" s="66">
        <v>2277</v>
      </c>
      <c r="E1245" s="68" t="s">
        <v>5527</v>
      </c>
      <c r="F1245" s="66" t="s">
        <v>5528</v>
      </c>
      <c r="G1245" s="71">
        <v>6500</v>
      </c>
      <c r="H1245" s="73"/>
      <c r="I1245" s="75">
        <v>0.1</v>
      </c>
      <c r="J1245" s="77"/>
      <c r="K1245" s="66"/>
      <c r="L1245" s="66"/>
      <c r="M1245" s="79" t="str">
        <f>HYPERLINK("http://www.pristavka.com/catalog/funko/Fun1086/")</f>
        <v>http://www.pristavka.com/catalog/funko/Fun1086/</v>
      </c>
      <c r="N1245" s="71">
        <v>9999</v>
      </c>
      <c r="O1245" s="66" t="s">
        <v>27</v>
      </c>
      <c r="P1245" s="82" t="s">
        <v>5529</v>
      </c>
      <c r="Q1245" s="84" t="s">
        <v>3532</v>
      </c>
      <c r="R1245" s="84" t="s">
        <v>3512</v>
      </c>
      <c r="S1245" s="84">
        <v>0.14000000000000001</v>
      </c>
      <c r="T1245" s="82" t="s">
        <v>4091</v>
      </c>
      <c r="U1245" s="84" t="s">
        <v>3584</v>
      </c>
      <c r="V1245" s="54"/>
    </row>
    <row r="1246" spans="1:22" s="11" customFormat="1" ht="45" customHeight="1" x14ac:dyDescent="0.2">
      <c r="A1246" s="66" t="s">
        <v>3577</v>
      </c>
      <c r="B1246" s="66" t="s">
        <v>1707</v>
      </c>
      <c r="C1246" s="66" t="s">
        <v>3578</v>
      </c>
      <c r="D1246" s="66">
        <v>77435</v>
      </c>
      <c r="E1246" s="68" t="s">
        <v>5530</v>
      </c>
      <c r="F1246" s="66" t="s">
        <v>5531</v>
      </c>
      <c r="G1246" s="71">
        <v>6500</v>
      </c>
      <c r="H1246" s="73"/>
      <c r="I1246" s="75">
        <v>0.1</v>
      </c>
      <c r="J1246" s="77"/>
      <c r="K1246" s="66"/>
      <c r="L1246" s="66"/>
      <c r="M1246" s="79" t="str">
        <f>HYPERLINK("http://www.pristavka.com/catalog/funko/Fun77435/")</f>
        <v>http://www.pristavka.com/catalog/funko/Fun77435/</v>
      </c>
      <c r="N1246" s="71">
        <v>9999</v>
      </c>
      <c r="O1246" s="66" t="s">
        <v>27</v>
      </c>
      <c r="P1246" s="82" t="s">
        <v>5532</v>
      </c>
      <c r="Q1246" s="84" t="s">
        <v>3532</v>
      </c>
      <c r="R1246" s="84" t="s">
        <v>3512</v>
      </c>
      <c r="S1246" s="84">
        <v>0.155</v>
      </c>
      <c r="T1246" s="82" t="s">
        <v>4084</v>
      </c>
      <c r="U1246" s="84" t="s">
        <v>3584</v>
      </c>
      <c r="V1246" s="54"/>
    </row>
    <row r="1247" spans="1:22" s="11" customFormat="1" ht="45" customHeight="1" x14ac:dyDescent="0.2">
      <c r="A1247" s="66" t="s">
        <v>3577</v>
      </c>
      <c r="B1247" s="66" t="s">
        <v>1707</v>
      </c>
      <c r="C1247" s="66" t="s">
        <v>3578</v>
      </c>
      <c r="D1247" s="66">
        <v>77437</v>
      </c>
      <c r="E1247" s="68" t="s">
        <v>5533</v>
      </c>
      <c r="F1247" s="66" t="s">
        <v>5534</v>
      </c>
      <c r="G1247" s="71">
        <v>6500</v>
      </c>
      <c r="H1247" s="73"/>
      <c r="I1247" s="75">
        <v>0.1</v>
      </c>
      <c r="J1247" s="77"/>
      <c r="K1247" s="66"/>
      <c r="L1247" s="66"/>
      <c r="M1247" s="79" t="str">
        <f>HYPERLINK("http://www.pristavka.com/catalog/funko/Fun77437/")</f>
        <v>http://www.pristavka.com/catalog/funko/Fun77437/</v>
      </c>
      <c r="N1247" s="71">
        <v>9999</v>
      </c>
      <c r="O1247" s="66" t="s">
        <v>27</v>
      </c>
      <c r="P1247" s="82" t="s">
        <v>5535</v>
      </c>
      <c r="Q1247" s="84" t="s">
        <v>3532</v>
      </c>
      <c r="R1247" s="84" t="s">
        <v>3512</v>
      </c>
      <c r="S1247" s="84">
        <v>0.126</v>
      </c>
      <c r="T1247" s="82" t="s">
        <v>4102</v>
      </c>
      <c r="U1247" s="84" t="s">
        <v>3584</v>
      </c>
      <c r="V1247" s="54"/>
    </row>
    <row r="1248" spans="1:22" s="11" customFormat="1" ht="45" customHeight="1" x14ac:dyDescent="0.2">
      <c r="A1248" s="66" t="s">
        <v>3577</v>
      </c>
      <c r="B1248" s="66" t="s">
        <v>1707</v>
      </c>
      <c r="C1248" s="66" t="s">
        <v>3578</v>
      </c>
      <c r="D1248" s="66">
        <v>77438</v>
      </c>
      <c r="E1248" s="68" t="s">
        <v>5536</v>
      </c>
      <c r="F1248" s="66" t="s">
        <v>5537</v>
      </c>
      <c r="G1248" s="71">
        <v>6500</v>
      </c>
      <c r="H1248" s="73"/>
      <c r="I1248" s="75">
        <v>0.1</v>
      </c>
      <c r="J1248" s="77"/>
      <c r="K1248" s="66"/>
      <c r="L1248" s="66"/>
      <c r="M1248" s="79" t="str">
        <f>HYPERLINK("http://www.pristavka.com/catalog/funko/Fun77438/")</f>
        <v>http://www.pristavka.com/catalog/funko/Fun77438/</v>
      </c>
      <c r="N1248" s="71">
        <v>9999</v>
      </c>
      <c r="O1248" s="66" t="s">
        <v>27</v>
      </c>
      <c r="P1248" s="82" t="s">
        <v>5538</v>
      </c>
      <c r="Q1248" s="84" t="s">
        <v>3532</v>
      </c>
      <c r="R1248" s="84" t="s">
        <v>3512</v>
      </c>
      <c r="S1248" s="84">
        <v>0.115</v>
      </c>
      <c r="T1248" s="82" t="s">
        <v>4084</v>
      </c>
      <c r="U1248" s="84" t="s">
        <v>3584</v>
      </c>
      <c r="V1248" s="54"/>
    </row>
    <row r="1249" spans="1:22" s="11" customFormat="1" ht="45" customHeight="1" x14ac:dyDescent="0.2">
      <c r="A1249" s="66" t="s">
        <v>3577</v>
      </c>
      <c r="B1249" s="66" t="s">
        <v>1707</v>
      </c>
      <c r="C1249" s="66" t="s">
        <v>3578</v>
      </c>
      <c r="D1249" s="66">
        <v>77436</v>
      </c>
      <c r="E1249" s="68" t="s">
        <v>5539</v>
      </c>
      <c r="F1249" s="66" t="s">
        <v>5540</v>
      </c>
      <c r="G1249" s="71">
        <v>6500</v>
      </c>
      <c r="H1249" s="73"/>
      <c r="I1249" s="75">
        <v>0.1</v>
      </c>
      <c r="J1249" s="77"/>
      <c r="K1249" s="66"/>
      <c r="L1249" s="66"/>
      <c r="M1249" s="79" t="str">
        <f>HYPERLINK("http://www.pristavka.com/catalog/funko/Fun77436/")</f>
        <v>http://www.pristavka.com/catalog/funko/Fun77436/</v>
      </c>
      <c r="N1249" s="71">
        <v>9999</v>
      </c>
      <c r="O1249" s="66" t="s">
        <v>27</v>
      </c>
      <c r="P1249" s="82" t="s">
        <v>5541</v>
      </c>
      <c r="Q1249" s="84" t="s">
        <v>3532</v>
      </c>
      <c r="R1249" s="84" t="s">
        <v>3512</v>
      </c>
      <c r="S1249" s="84">
        <v>0.13</v>
      </c>
      <c r="T1249" s="82" t="s">
        <v>4084</v>
      </c>
      <c r="U1249" s="84" t="s">
        <v>3584</v>
      </c>
      <c r="V1249" s="54"/>
    </row>
    <row r="1250" spans="1:22" s="11" customFormat="1" ht="45" customHeight="1" x14ac:dyDescent="0.2">
      <c r="A1250" s="66" t="s">
        <v>3577</v>
      </c>
      <c r="B1250" s="66" t="s">
        <v>1707</v>
      </c>
      <c r="C1250" s="66" t="s">
        <v>3578</v>
      </c>
      <c r="D1250" s="66">
        <v>84115</v>
      </c>
      <c r="E1250" s="68" t="s">
        <v>5542</v>
      </c>
      <c r="F1250" s="66" t="s">
        <v>5543</v>
      </c>
      <c r="G1250" s="71">
        <v>6500</v>
      </c>
      <c r="H1250" s="73"/>
      <c r="I1250" s="75">
        <v>0.1</v>
      </c>
      <c r="J1250" s="77"/>
      <c r="K1250" s="66"/>
      <c r="L1250" s="66"/>
      <c r="M1250" s="79" t="str">
        <f>HYPERLINK("http://www.pristavka.com/catalog/funko/Fun84115/")</f>
        <v>http://www.pristavka.com/catalog/funko/Fun84115/</v>
      </c>
      <c r="N1250" s="71">
        <v>9999</v>
      </c>
      <c r="O1250" s="66" t="s">
        <v>27</v>
      </c>
      <c r="P1250" s="82" t="s">
        <v>5544</v>
      </c>
      <c r="Q1250" s="84" t="s">
        <v>5545</v>
      </c>
      <c r="R1250" s="84" t="s">
        <v>3512</v>
      </c>
      <c r="S1250" s="84">
        <v>0.19500000000000001</v>
      </c>
      <c r="T1250" s="82" t="s">
        <v>4084</v>
      </c>
      <c r="U1250" s="84" t="s">
        <v>3584</v>
      </c>
      <c r="V1250" s="54"/>
    </row>
    <row r="1251" spans="1:22" s="11" customFormat="1" ht="45" customHeight="1" x14ac:dyDescent="0.2">
      <c r="A1251" s="66" t="s">
        <v>3577</v>
      </c>
      <c r="B1251" s="66" t="s">
        <v>1707</v>
      </c>
      <c r="C1251" s="66" t="s">
        <v>3578</v>
      </c>
      <c r="D1251" s="66">
        <v>84116</v>
      </c>
      <c r="E1251" s="68" t="s">
        <v>5546</v>
      </c>
      <c r="F1251" s="66" t="s">
        <v>5547</v>
      </c>
      <c r="G1251" s="71">
        <v>6500</v>
      </c>
      <c r="H1251" s="73"/>
      <c r="I1251" s="75">
        <v>0.1</v>
      </c>
      <c r="J1251" s="77"/>
      <c r="K1251" s="66"/>
      <c r="L1251" s="66"/>
      <c r="M1251" s="79" t="str">
        <f>HYPERLINK("http://www.pristavka.com/catalog/funko/Fun84116/")</f>
        <v>http://www.pristavka.com/catalog/funko/Fun84116/</v>
      </c>
      <c r="N1251" s="71">
        <v>9999</v>
      </c>
      <c r="O1251" s="66" t="s">
        <v>27</v>
      </c>
      <c r="P1251" s="82" t="s">
        <v>5548</v>
      </c>
      <c r="Q1251" s="84" t="s">
        <v>5545</v>
      </c>
      <c r="R1251" s="84" t="s">
        <v>3512</v>
      </c>
      <c r="S1251" s="84">
        <v>0.21</v>
      </c>
      <c r="T1251" s="82" t="s">
        <v>4084</v>
      </c>
      <c r="U1251" s="84" t="s">
        <v>3584</v>
      </c>
      <c r="V1251" s="54"/>
    </row>
    <row r="1252" spans="1:22" s="11" customFormat="1" ht="45" customHeight="1" x14ac:dyDescent="0.2">
      <c r="A1252" s="66" t="s">
        <v>3577</v>
      </c>
      <c r="B1252" s="66" t="s">
        <v>1707</v>
      </c>
      <c r="C1252" s="66" t="s">
        <v>3578</v>
      </c>
      <c r="D1252" s="66">
        <v>84117</v>
      </c>
      <c r="E1252" s="68" t="s">
        <v>5549</v>
      </c>
      <c r="F1252" s="66" t="s">
        <v>5550</v>
      </c>
      <c r="G1252" s="71">
        <v>6500</v>
      </c>
      <c r="H1252" s="73"/>
      <c r="I1252" s="75">
        <v>0.1</v>
      </c>
      <c r="J1252" s="77"/>
      <c r="K1252" s="66"/>
      <c r="L1252" s="66"/>
      <c r="M1252" s="79" t="str">
        <f>HYPERLINK("http://www.pristavka.com/catalog/funko/Fun84117/")</f>
        <v>http://www.pristavka.com/catalog/funko/Fun84117/</v>
      </c>
      <c r="N1252" s="71">
        <v>9999</v>
      </c>
      <c r="O1252" s="66" t="s">
        <v>27</v>
      </c>
      <c r="P1252" s="82" t="s">
        <v>5551</v>
      </c>
      <c r="Q1252" s="84" t="s">
        <v>5545</v>
      </c>
      <c r="R1252" s="84" t="s">
        <v>3512</v>
      </c>
      <c r="S1252" s="84">
        <v>0.14599999999999999</v>
      </c>
      <c r="T1252" s="82" t="s">
        <v>4084</v>
      </c>
      <c r="U1252" s="84" t="s">
        <v>3584</v>
      </c>
      <c r="V1252" s="54"/>
    </row>
    <row r="1253" spans="1:22" s="11" customFormat="1" ht="45" customHeight="1" x14ac:dyDescent="0.2">
      <c r="A1253" s="66" t="s">
        <v>3577</v>
      </c>
      <c r="B1253" s="66" t="s">
        <v>1707</v>
      </c>
      <c r="C1253" s="66" t="s">
        <v>3578</v>
      </c>
      <c r="D1253" s="66">
        <v>62280</v>
      </c>
      <c r="E1253" s="68" t="s">
        <v>5552</v>
      </c>
      <c r="F1253" s="66" t="s">
        <v>5553</v>
      </c>
      <c r="G1253" s="71">
        <v>6500</v>
      </c>
      <c r="H1253" s="73"/>
      <c r="I1253" s="75">
        <v>0.1</v>
      </c>
      <c r="J1253" s="77"/>
      <c r="K1253" s="66"/>
      <c r="L1253" s="66"/>
      <c r="M1253" s="79" t="str">
        <f>HYPERLINK("http://www.pristavka.com/catalog/funko/Fun62280/")</f>
        <v>http://www.pristavka.com/catalog/funko/Fun62280/</v>
      </c>
      <c r="N1253" s="71">
        <v>9999</v>
      </c>
      <c r="O1253" s="66" t="s">
        <v>27</v>
      </c>
      <c r="P1253" s="82" t="s">
        <v>5554</v>
      </c>
      <c r="Q1253" s="84" t="s">
        <v>3527</v>
      </c>
      <c r="R1253" s="84" t="s">
        <v>3512</v>
      </c>
      <c r="S1253" s="84">
        <v>0.13100000000000001</v>
      </c>
      <c r="T1253" s="82" t="s">
        <v>4084</v>
      </c>
      <c r="U1253" s="84" t="s">
        <v>3584</v>
      </c>
      <c r="V1253" s="54"/>
    </row>
    <row r="1254" spans="1:22" s="11" customFormat="1" ht="45" customHeight="1" x14ac:dyDescent="0.2">
      <c r="A1254" s="66" t="s">
        <v>3577</v>
      </c>
      <c r="B1254" s="66" t="s">
        <v>1707</v>
      </c>
      <c r="C1254" s="66" t="s">
        <v>3578</v>
      </c>
      <c r="D1254" s="66">
        <v>76030</v>
      </c>
      <c r="E1254" s="68" t="s">
        <v>5555</v>
      </c>
      <c r="F1254" s="66" t="s">
        <v>5556</v>
      </c>
      <c r="G1254" s="71">
        <v>6500</v>
      </c>
      <c r="H1254" s="73"/>
      <c r="I1254" s="75">
        <v>0.1</v>
      </c>
      <c r="J1254" s="77"/>
      <c r="K1254" s="66"/>
      <c r="L1254" s="66"/>
      <c r="M1254" s="79" t="str">
        <f>HYPERLINK("http://www.pristavka.com/catalog/funko/Fun76030/")</f>
        <v>http://www.pristavka.com/catalog/funko/Fun76030/</v>
      </c>
      <c r="N1254" s="71">
        <v>9999</v>
      </c>
      <c r="O1254" s="66" t="s">
        <v>27</v>
      </c>
      <c r="P1254" s="82" t="s">
        <v>5557</v>
      </c>
      <c r="Q1254" s="84" t="s">
        <v>5558</v>
      </c>
      <c r="R1254" s="84" t="s">
        <v>3512</v>
      </c>
      <c r="S1254" s="84">
        <v>0.13400000000000001</v>
      </c>
      <c r="T1254" s="82" t="s">
        <v>4113</v>
      </c>
      <c r="U1254" s="84" t="s">
        <v>3584</v>
      </c>
      <c r="V1254" s="54"/>
    </row>
    <row r="1255" spans="1:22" s="11" customFormat="1" ht="45" customHeight="1" x14ac:dyDescent="0.2">
      <c r="A1255" s="66" t="s">
        <v>3577</v>
      </c>
      <c r="B1255" s="66" t="s">
        <v>1707</v>
      </c>
      <c r="C1255" s="66" t="s">
        <v>3578</v>
      </c>
      <c r="D1255" s="66">
        <v>76028</v>
      </c>
      <c r="E1255" s="68" t="s">
        <v>5559</v>
      </c>
      <c r="F1255" s="66" t="s">
        <v>5560</v>
      </c>
      <c r="G1255" s="71">
        <v>6500</v>
      </c>
      <c r="H1255" s="73"/>
      <c r="I1255" s="75">
        <v>0.1</v>
      </c>
      <c r="J1255" s="77"/>
      <c r="K1255" s="66"/>
      <c r="L1255" s="66"/>
      <c r="M1255" s="79" t="str">
        <f>HYPERLINK("http://www.pristavka.com/catalog/funko/Fun76028/")</f>
        <v>http://www.pristavka.com/catalog/funko/Fun76028/</v>
      </c>
      <c r="N1255" s="71">
        <v>9999</v>
      </c>
      <c r="O1255" s="66" t="s">
        <v>27</v>
      </c>
      <c r="P1255" s="82" t="s">
        <v>5561</v>
      </c>
      <c r="Q1255" s="84" t="s">
        <v>5558</v>
      </c>
      <c r="R1255" s="84" t="s">
        <v>3512</v>
      </c>
      <c r="S1255" s="84">
        <v>0.13500000000000001</v>
      </c>
      <c r="T1255" s="82" t="s">
        <v>4113</v>
      </c>
      <c r="U1255" s="84" t="s">
        <v>3584</v>
      </c>
      <c r="V1255" s="54"/>
    </row>
    <row r="1256" spans="1:22" s="11" customFormat="1" ht="45" customHeight="1" x14ac:dyDescent="0.2">
      <c r="A1256" s="66" t="s">
        <v>3577</v>
      </c>
      <c r="B1256" s="66" t="s">
        <v>1707</v>
      </c>
      <c r="C1256" s="66" t="s">
        <v>3578</v>
      </c>
      <c r="D1256" s="66">
        <v>76031</v>
      </c>
      <c r="E1256" s="68" t="s">
        <v>5562</v>
      </c>
      <c r="F1256" s="66" t="s">
        <v>5563</v>
      </c>
      <c r="G1256" s="71">
        <v>6500</v>
      </c>
      <c r="H1256" s="73"/>
      <c r="I1256" s="75">
        <v>0.1</v>
      </c>
      <c r="J1256" s="77"/>
      <c r="K1256" s="66"/>
      <c r="L1256" s="66"/>
      <c r="M1256" s="79" t="str">
        <f>HYPERLINK("http://www.pristavka.com/catalog/funko/Fun76031/")</f>
        <v>http://www.pristavka.com/catalog/funko/Fun76031/</v>
      </c>
      <c r="N1256" s="71">
        <v>9999</v>
      </c>
      <c r="O1256" s="66" t="s">
        <v>27</v>
      </c>
      <c r="P1256" s="82" t="s">
        <v>5564</v>
      </c>
      <c r="Q1256" s="84" t="s">
        <v>5558</v>
      </c>
      <c r="R1256" s="84" t="s">
        <v>3512</v>
      </c>
      <c r="S1256" s="84">
        <v>0.155</v>
      </c>
      <c r="T1256" s="82" t="s">
        <v>4113</v>
      </c>
      <c r="U1256" s="84" t="s">
        <v>3584</v>
      </c>
      <c r="V1256" s="54"/>
    </row>
    <row r="1257" spans="1:22" s="11" customFormat="1" ht="45" customHeight="1" x14ac:dyDescent="0.2">
      <c r="A1257" s="66" t="s">
        <v>3577</v>
      </c>
      <c r="B1257" s="66" t="s">
        <v>1707</v>
      </c>
      <c r="C1257" s="66" t="s">
        <v>3578</v>
      </c>
      <c r="D1257" s="66">
        <v>76027</v>
      </c>
      <c r="E1257" s="68" t="s">
        <v>5565</v>
      </c>
      <c r="F1257" s="66" t="s">
        <v>5566</v>
      </c>
      <c r="G1257" s="71">
        <v>6500</v>
      </c>
      <c r="H1257" s="73"/>
      <c r="I1257" s="75">
        <v>0.1</v>
      </c>
      <c r="J1257" s="77"/>
      <c r="K1257" s="66"/>
      <c r="L1257" s="66"/>
      <c r="M1257" s="79" t="str">
        <f>HYPERLINK("http://www.pristavka.com/catalog/funko/Fun76027/")</f>
        <v>http://www.pristavka.com/catalog/funko/Fun76027/</v>
      </c>
      <c r="N1257" s="71">
        <v>9999</v>
      </c>
      <c r="O1257" s="66" t="s">
        <v>27</v>
      </c>
      <c r="P1257" s="82" t="s">
        <v>5567</v>
      </c>
      <c r="Q1257" s="84" t="s">
        <v>5558</v>
      </c>
      <c r="R1257" s="84" t="s">
        <v>3512</v>
      </c>
      <c r="S1257" s="84">
        <v>0.14000000000000001</v>
      </c>
      <c r="T1257" s="82" t="s">
        <v>4113</v>
      </c>
      <c r="U1257" s="84" t="s">
        <v>3584</v>
      </c>
      <c r="V1257" s="54"/>
    </row>
    <row r="1258" spans="1:22" s="11" customFormat="1" ht="45" customHeight="1" x14ac:dyDescent="0.2">
      <c r="A1258" s="66" t="s">
        <v>3577</v>
      </c>
      <c r="B1258" s="66" t="s">
        <v>1707</v>
      </c>
      <c r="C1258" s="66" t="s">
        <v>3578</v>
      </c>
      <c r="D1258" s="66">
        <v>79759</v>
      </c>
      <c r="E1258" s="68" t="s">
        <v>5568</v>
      </c>
      <c r="F1258" s="66" t="s">
        <v>5569</v>
      </c>
      <c r="G1258" s="71">
        <v>6500</v>
      </c>
      <c r="H1258" s="73"/>
      <c r="I1258" s="75">
        <v>0.1</v>
      </c>
      <c r="J1258" s="77"/>
      <c r="K1258" s="66"/>
      <c r="L1258" s="66"/>
      <c r="M1258" s="79" t="str">
        <f>HYPERLINK("http://www.pristavka.com/catalog/funko/Fun79759/")</f>
        <v>http://www.pristavka.com/catalog/funko/Fun79759/</v>
      </c>
      <c r="N1258" s="71">
        <v>9999</v>
      </c>
      <c r="O1258" s="66" t="s">
        <v>27</v>
      </c>
      <c r="P1258" s="82" t="s">
        <v>5570</v>
      </c>
      <c r="Q1258" s="84" t="s">
        <v>5571</v>
      </c>
      <c r="R1258" s="84" t="s">
        <v>1322</v>
      </c>
      <c r="S1258" s="84">
        <v>0.16</v>
      </c>
      <c r="T1258" s="82" t="s">
        <v>4084</v>
      </c>
      <c r="U1258" s="84" t="s">
        <v>3584</v>
      </c>
      <c r="V1258" s="54"/>
    </row>
    <row r="1259" spans="1:22" s="11" customFormat="1" ht="45" customHeight="1" x14ac:dyDescent="0.2">
      <c r="A1259" s="66" t="s">
        <v>3577</v>
      </c>
      <c r="B1259" s="66" t="s">
        <v>1707</v>
      </c>
      <c r="C1259" s="66" t="s">
        <v>3578</v>
      </c>
      <c r="D1259" s="66">
        <v>79758</v>
      </c>
      <c r="E1259" s="68" t="s">
        <v>5572</v>
      </c>
      <c r="F1259" s="66" t="s">
        <v>5573</v>
      </c>
      <c r="G1259" s="71">
        <v>6500</v>
      </c>
      <c r="H1259" s="73"/>
      <c r="I1259" s="75">
        <v>0.1</v>
      </c>
      <c r="J1259" s="77"/>
      <c r="K1259" s="66"/>
      <c r="L1259" s="66"/>
      <c r="M1259" s="79" t="str">
        <f>HYPERLINK("http://www.pristavka.com/catalog/funko/Fun79758/")</f>
        <v>http://www.pristavka.com/catalog/funko/Fun79758/</v>
      </c>
      <c r="N1259" s="71">
        <v>9999</v>
      </c>
      <c r="O1259" s="66" t="s">
        <v>27</v>
      </c>
      <c r="P1259" s="82" t="s">
        <v>5574</v>
      </c>
      <c r="Q1259" s="84" t="s">
        <v>5571</v>
      </c>
      <c r="R1259" s="84" t="s">
        <v>1322</v>
      </c>
      <c r="S1259" s="84">
        <v>0.17</v>
      </c>
      <c r="T1259" s="82" t="s">
        <v>4084</v>
      </c>
      <c r="U1259" s="84" t="s">
        <v>3584</v>
      </c>
      <c r="V1259" s="54"/>
    </row>
    <row r="1260" spans="1:22" s="11" customFormat="1" ht="45" customHeight="1" x14ac:dyDescent="0.2">
      <c r="A1260" s="66" t="s">
        <v>3577</v>
      </c>
      <c r="B1260" s="66" t="s">
        <v>1707</v>
      </c>
      <c r="C1260" s="66" t="s">
        <v>3578</v>
      </c>
      <c r="D1260" s="66">
        <v>79755</v>
      </c>
      <c r="E1260" s="68" t="s">
        <v>5575</v>
      </c>
      <c r="F1260" s="66" t="s">
        <v>5576</v>
      </c>
      <c r="G1260" s="71">
        <v>6500</v>
      </c>
      <c r="H1260" s="73"/>
      <c r="I1260" s="75">
        <v>0.1</v>
      </c>
      <c r="J1260" s="77"/>
      <c r="K1260" s="66"/>
      <c r="L1260" s="66"/>
      <c r="M1260" s="79" t="str">
        <f>HYPERLINK("http://www.pristavka.com/catalog/funko/Fun79755/")</f>
        <v>http://www.pristavka.com/catalog/funko/Fun79755/</v>
      </c>
      <c r="N1260" s="71">
        <v>9999</v>
      </c>
      <c r="O1260" s="66" t="s">
        <v>27</v>
      </c>
      <c r="P1260" s="82" t="s">
        <v>5577</v>
      </c>
      <c r="Q1260" s="84" t="s">
        <v>5571</v>
      </c>
      <c r="R1260" s="84" t="s">
        <v>1322</v>
      </c>
      <c r="S1260" s="84">
        <v>0.155</v>
      </c>
      <c r="T1260" s="82" t="s">
        <v>4084</v>
      </c>
      <c r="U1260" s="84" t="s">
        <v>3584</v>
      </c>
      <c r="V1260" s="54"/>
    </row>
    <row r="1261" spans="1:22" s="11" customFormat="1" ht="45" customHeight="1" x14ac:dyDescent="0.2">
      <c r="A1261" s="66" t="s">
        <v>3577</v>
      </c>
      <c r="B1261" s="66" t="s">
        <v>1707</v>
      </c>
      <c r="C1261" s="66" t="s">
        <v>3578</v>
      </c>
      <c r="D1261" s="66">
        <v>79756</v>
      </c>
      <c r="E1261" s="68" t="s">
        <v>5578</v>
      </c>
      <c r="F1261" s="66" t="s">
        <v>5579</v>
      </c>
      <c r="G1261" s="71">
        <v>6500</v>
      </c>
      <c r="H1261" s="73"/>
      <c r="I1261" s="75">
        <v>0.1</v>
      </c>
      <c r="J1261" s="77"/>
      <c r="K1261" s="66"/>
      <c r="L1261" s="66"/>
      <c r="M1261" s="79" t="str">
        <f>HYPERLINK("http://www.pristavka.com/catalog/funko/Fun79756/")</f>
        <v>http://www.pristavka.com/catalog/funko/Fun79756/</v>
      </c>
      <c r="N1261" s="71">
        <v>9999</v>
      </c>
      <c r="O1261" s="66" t="s">
        <v>28</v>
      </c>
      <c r="P1261" s="82" t="s">
        <v>5580</v>
      </c>
      <c r="Q1261" s="84" t="s">
        <v>5571</v>
      </c>
      <c r="R1261" s="84" t="s">
        <v>1322</v>
      </c>
      <c r="S1261" s="84">
        <v>0.17</v>
      </c>
      <c r="T1261" s="82" t="s">
        <v>4084</v>
      </c>
      <c r="U1261" s="84" t="s">
        <v>3584</v>
      </c>
      <c r="V1261" s="54"/>
    </row>
    <row r="1262" spans="1:22" s="11" customFormat="1" ht="45" customHeight="1" x14ac:dyDescent="0.2">
      <c r="A1262" s="66" t="s">
        <v>3577</v>
      </c>
      <c r="B1262" s="66" t="s">
        <v>1707</v>
      </c>
      <c r="C1262" s="66" t="s">
        <v>3578</v>
      </c>
      <c r="D1262" s="66">
        <v>79757</v>
      </c>
      <c r="E1262" s="68" t="s">
        <v>5581</v>
      </c>
      <c r="F1262" s="66" t="s">
        <v>5582</v>
      </c>
      <c r="G1262" s="71">
        <v>6500</v>
      </c>
      <c r="H1262" s="73"/>
      <c r="I1262" s="75">
        <v>0.1</v>
      </c>
      <c r="J1262" s="77"/>
      <c r="K1262" s="66"/>
      <c r="L1262" s="66"/>
      <c r="M1262" s="79" t="str">
        <f>HYPERLINK("http://www.pristavka.com/catalog/funko/Fun79757/")</f>
        <v>http://www.pristavka.com/catalog/funko/Fun79757/</v>
      </c>
      <c r="N1262" s="71">
        <v>9999</v>
      </c>
      <c r="O1262" s="66" t="s">
        <v>27</v>
      </c>
      <c r="P1262" s="82" t="s">
        <v>5583</v>
      </c>
      <c r="Q1262" s="84" t="s">
        <v>5571</v>
      </c>
      <c r="R1262" s="84" t="s">
        <v>1322</v>
      </c>
      <c r="S1262" s="84">
        <v>0.18</v>
      </c>
      <c r="T1262" s="82" t="s">
        <v>4084</v>
      </c>
      <c r="U1262" s="84" t="s">
        <v>3584</v>
      </c>
      <c r="V1262" s="54"/>
    </row>
    <row r="1263" spans="1:22" s="11" customFormat="1" ht="45" customHeight="1" x14ac:dyDescent="0.2">
      <c r="A1263" s="66" t="s">
        <v>3577</v>
      </c>
      <c r="B1263" s="66" t="s">
        <v>1707</v>
      </c>
      <c r="C1263" s="66" t="s">
        <v>3578</v>
      </c>
      <c r="D1263" s="66">
        <v>85342</v>
      </c>
      <c r="E1263" s="68" t="s">
        <v>5584</v>
      </c>
      <c r="F1263" s="66" t="s">
        <v>5585</v>
      </c>
      <c r="G1263" s="71">
        <v>6890</v>
      </c>
      <c r="H1263" s="73"/>
      <c r="I1263" s="75">
        <v>0.1</v>
      </c>
      <c r="J1263" s="77"/>
      <c r="K1263" s="66"/>
      <c r="L1263" s="66"/>
      <c r="M1263" s="79" t="str">
        <f>HYPERLINK("http://www.pristavka.com/catalog/funko/Fun85342/")</f>
        <v>http://www.pristavka.com/catalog/funko/Fun85342/</v>
      </c>
      <c r="N1263" s="71">
        <v>10599</v>
      </c>
      <c r="O1263" s="66" t="s">
        <v>27</v>
      </c>
      <c r="P1263" s="82" t="s">
        <v>5586</v>
      </c>
      <c r="Q1263" s="84" t="s">
        <v>1321</v>
      </c>
      <c r="R1263" s="84" t="s">
        <v>1322</v>
      </c>
      <c r="S1263" s="84">
        <v>0.155</v>
      </c>
      <c r="T1263" s="82" t="s">
        <v>4113</v>
      </c>
      <c r="U1263" s="84" t="s">
        <v>3584</v>
      </c>
      <c r="V1263" s="54"/>
    </row>
    <row r="1264" spans="1:22" s="11" customFormat="1" ht="45" customHeight="1" x14ac:dyDescent="0.2">
      <c r="A1264" s="66" t="s">
        <v>3577</v>
      </c>
      <c r="B1264" s="66" t="s">
        <v>1707</v>
      </c>
      <c r="C1264" s="66" t="s">
        <v>3578</v>
      </c>
      <c r="D1264" s="66">
        <v>72175</v>
      </c>
      <c r="E1264" s="68" t="s">
        <v>5587</v>
      </c>
      <c r="F1264" s="66" t="s">
        <v>5588</v>
      </c>
      <c r="G1264" s="71">
        <v>6500</v>
      </c>
      <c r="H1264" s="73"/>
      <c r="I1264" s="75">
        <v>0.1</v>
      </c>
      <c r="J1264" s="77"/>
      <c r="K1264" s="66"/>
      <c r="L1264" s="66"/>
      <c r="M1264" s="79" t="str">
        <f>HYPERLINK("http://www.pristavka.com/catalog/funko/Fun72175/")</f>
        <v>http://www.pristavka.com/catalog/funko/Fun72175/</v>
      </c>
      <c r="N1264" s="71">
        <v>9999</v>
      </c>
      <c r="O1264" s="66" t="s">
        <v>27</v>
      </c>
      <c r="P1264" s="82" t="s">
        <v>5589</v>
      </c>
      <c r="Q1264" s="84" t="s">
        <v>5590</v>
      </c>
      <c r="R1264" s="84" t="s">
        <v>1322</v>
      </c>
      <c r="S1264" s="84">
        <v>0.16800000000000001</v>
      </c>
      <c r="T1264" s="82" t="s">
        <v>4370</v>
      </c>
      <c r="U1264" s="84" t="s">
        <v>3584</v>
      </c>
      <c r="V1264" s="54"/>
    </row>
    <row r="1265" spans="1:22" s="11" customFormat="1" ht="45" customHeight="1" x14ac:dyDescent="0.2">
      <c r="A1265" s="66" t="s">
        <v>3577</v>
      </c>
      <c r="B1265" s="66" t="s">
        <v>1707</v>
      </c>
      <c r="C1265" s="66" t="s">
        <v>3578</v>
      </c>
      <c r="D1265" s="66">
        <v>72179</v>
      </c>
      <c r="E1265" s="68" t="s">
        <v>5591</v>
      </c>
      <c r="F1265" s="66" t="s">
        <v>5592</v>
      </c>
      <c r="G1265" s="71">
        <v>6500</v>
      </c>
      <c r="H1265" s="73"/>
      <c r="I1265" s="75">
        <v>0.1</v>
      </c>
      <c r="J1265" s="77"/>
      <c r="K1265" s="66"/>
      <c r="L1265" s="66"/>
      <c r="M1265" s="79" t="str">
        <f>HYPERLINK("http://www.pristavka.com/catalog/funko/Fun72179/")</f>
        <v>http://www.pristavka.com/catalog/funko/Fun72179/</v>
      </c>
      <c r="N1265" s="71">
        <v>9999</v>
      </c>
      <c r="O1265" s="66" t="s">
        <v>27</v>
      </c>
      <c r="P1265" s="82" t="s">
        <v>5593</v>
      </c>
      <c r="Q1265" s="84" t="s">
        <v>1321</v>
      </c>
      <c r="R1265" s="84" t="s">
        <v>1322</v>
      </c>
      <c r="S1265" s="84">
        <v>0.19400000000000001</v>
      </c>
      <c r="T1265" s="82" t="s">
        <v>4370</v>
      </c>
      <c r="U1265" s="84" t="s">
        <v>3584</v>
      </c>
      <c r="V1265" s="54"/>
    </row>
    <row r="1266" spans="1:22" s="11" customFormat="1" ht="45" customHeight="1" x14ac:dyDescent="0.2">
      <c r="A1266" s="66" t="s">
        <v>3577</v>
      </c>
      <c r="B1266" s="66" t="s">
        <v>1707</v>
      </c>
      <c r="C1266" s="66" t="s">
        <v>3578</v>
      </c>
      <c r="D1266" s="66">
        <v>77369</v>
      </c>
      <c r="E1266" s="68" t="s">
        <v>5594</v>
      </c>
      <c r="F1266" s="66" t="s">
        <v>5595</v>
      </c>
      <c r="G1266" s="71">
        <v>0</v>
      </c>
      <c r="H1266" s="73"/>
      <c r="I1266" s="75">
        <v>0.1</v>
      </c>
      <c r="J1266" s="77"/>
      <c r="K1266" s="66"/>
      <c r="L1266" s="66"/>
      <c r="M1266" s="79" t="str">
        <f>HYPERLINK("http://www.pristavka.com/catalog/funko/Fun77369/")</f>
        <v>http://www.pristavka.com/catalog/funko/Fun77369/</v>
      </c>
      <c r="N1266" s="71"/>
      <c r="O1266" s="66" t="s">
        <v>27</v>
      </c>
      <c r="P1266" s="82" t="s">
        <v>5596</v>
      </c>
      <c r="Q1266" s="84" t="s">
        <v>5590</v>
      </c>
      <c r="R1266" s="84" t="s">
        <v>1322</v>
      </c>
      <c r="S1266" s="84">
        <v>0.16200000000000001</v>
      </c>
      <c r="T1266" s="82" t="s">
        <v>4084</v>
      </c>
      <c r="U1266" s="84" t="s">
        <v>3584</v>
      </c>
      <c r="V1266" s="54"/>
    </row>
    <row r="1267" spans="1:22" s="11" customFormat="1" ht="45" customHeight="1" x14ac:dyDescent="0.2">
      <c r="A1267" s="66" t="s">
        <v>3577</v>
      </c>
      <c r="B1267" s="66" t="s">
        <v>1707</v>
      </c>
      <c r="C1267" s="66" t="s">
        <v>3578</v>
      </c>
      <c r="D1267" s="66">
        <v>72177</v>
      </c>
      <c r="E1267" s="68" t="s">
        <v>5597</v>
      </c>
      <c r="F1267" s="66" t="s">
        <v>5598</v>
      </c>
      <c r="G1267" s="71">
        <v>6500</v>
      </c>
      <c r="H1267" s="73"/>
      <c r="I1267" s="75">
        <v>0.1</v>
      </c>
      <c r="J1267" s="77"/>
      <c r="K1267" s="66"/>
      <c r="L1267" s="66"/>
      <c r="M1267" s="79" t="str">
        <f>HYPERLINK("http://www.pristavka.com/catalog/funko/Fun72177/")</f>
        <v>http://www.pristavka.com/catalog/funko/Fun72177/</v>
      </c>
      <c r="N1267" s="71">
        <v>9999</v>
      </c>
      <c r="O1267" s="66" t="s">
        <v>28</v>
      </c>
      <c r="P1267" s="82" t="s">
        <v>5599</v>
      </c>
      <c r="Q1267" s="84" t="s">
        <v>5590</v>
      </c>
      <c r="R1267" s="84" t="s">
        <v>1322</v>
      </c>
      <c r="S1267" s="84">
        <v>0.159</v>
      </c>
      <c r="T1267" s="82" t="s">
        <v>4091</v>
      </c>
      <c r="U1267" s="84" t="s">
        <v>3584</v>
      </c>
      <c r="V1267" s="54"/>
    </row>
    <row r="1268" spans="1:22" s="11" customFormat="1" ht="45" customHeight="1" x14ac:dyDescent="0.2">
      <c r="A1268" s="66" t="s">
        <v>3577</v>
      </c>
      <c r="B1268" s="66" t="s">
        <v>1707</v>
      </c>
      <c r="C1268" s="66" t="s">
        <v>3578</v>
      </c>
      <c r="D1268" s="66">
        <v>76544</v>
      </c>
      <c r="E1268" s="68" t="s">
        <v>5600</v>
      </c>
      <c r="F1268" s="66" t="s">
        <v>5601</v>
      </c>
      <c r="G1268" s="71">
        <v>6500</v>
      </c>
      <c r="H1268" s="73"/>
      <c r="I1268" s="75">
        <v>0.1</v>
      </c>
      <c r="J1268" s="77"/>
      <c r="K1268" s="66"/>
      <c r="L1268" s="66"/>
      <c r="M1268" s="79" t="str">
        <f>HYPERLINK("http://www.pristavka.com/catalog/funko/Fun76544/")</f>
        <v>http://www.pristavka.com/catalog/funko/Fun76544/</v>
      </c>
      <c r="N1268" s="71">
        <v>9999</v>
      </c>
      <c r="O1268" s="66" t="s">
        <v>27</v>
      </c>
      <c r="P1268" s="82" t="s">
        <v>5602</v>
      </c>
      <c r="Q1268" s="84" t="s">
        <v>5590</v>
      </c>
      <c r="R1268" s="84" t="s">
        <v>1322</v>
      </c>
      <c r="S1268" s="84">
        <v>0.17499999999999999</v>
      </c>
      <c r="T1268" s="82" t="s">
        <v>4091</v>
      </c>
      <c r="U1268" s="84" t="s">
        <v>3584</v>
      </c>
      <c r="V1268" s="54"/>
    </row>
    <row r="1269" spans="1:22" s="11" customFormat="1" ht="45" customHeight="1" x14ac:dyDescent="0.2">
      <c r="A1269" s="66" t="s">
        <v>3577</v>
      </c>
      <c r="B1269" s="66" t="s">
        <v>1707</v>
      </c>
      <c r="C1269" s="66" t="s">
        <v>3578</v>
      </c>
      <c r="D1269" s="66">
        <v>76539</v>
      </c>
      <c r="E1269" s="68" t="s">
        <v>5603</v>
      </c>
      <c r="F1269" s="66" t="s">
        <v>5604</v>
      </c>
      <c r="G1269" s="71">
        <v>6500</v>
      </c>
      <c r="H1269" s="73"/>
      <c r="I1269" s="75">
        <v>0.1</v>
      </c>
      <c r="J1269" s="77"/>
      <c r="K1269" s="66"/>
      <c r="L1269" s="66"/>
      <c r="M1269" s="79" t="str">
        <f>HYPERLINK("http://www.pristavka.com/catalog/funko/Fun76539/")</f>
        <v>http://www.pristavka.com/catalog/funko/Fun76539/</v>
      </c>
      <c r="N1269" s="71">
        <v>9999</v>
      </c>
      <c r="O1269" s="66" t="s">
        <v>27</v>
      </c>
      <c r="P1269" s="82" t="s">
        <v>5605</v>
      </c>
      <c r="Q1269" s="84" t="s">
        <v>5590</v>
      </c>
      <c r="R1269" s="84" t="s">
        <v>1322</v>
      </c>
      <c r="S1269" s="84">
        <v>0.16500000000000001</v>
      </c>
      <c r="T1269" s="82" t="s">
        <v>4091</v>
      </c>
      <c r="U1269" s="84" t="s">
        <v>3584</v>
      </c>
      <c r="V1269" s="54"/>
    </row>
    <row r="1270" spans="1:22" s="11" customFormat="1" ht="45" customHeight="1" x14ac:dyDescent="0.2">
      <c r="A1270" s="66" t="s">
        <v>3577</v>
      </c>
      <c r="B1270" s="66" t="s">
        <v>1707</v>
      </c>
      <c r="C1270" s="66" t="s">
        <v>3578</v>
      </c>
      <c r="D1270" s="66">
        <v>76540</v>
      </c>
      <c r="E1270" s="68" t="s">
        <v>5606</v>
      </c>
      <c r="F1270" s="66" t="s">
        <v>5607</v>
      </c>
      <c r="G1270" s="71">
        <v>6500</v>
      </c>
      <c r="H1270" s="73"/>
      <c r="I1270" s="75">
        <v>0.1</v>
      </c>
      <c r="J1270" s="77"/>
      <c r="K1270" s="66"/>
      <c r="L1270" s="66"/>
      <c r="M1270" s="79" t="str">
        <f>HYPERLINK("http://www.pristavka.com/catalog/funko/Fun76540/")</f>
        <v>http://www.pristavka.com/catalog/funko/Fun76540/</v>
      </c>
      <c r="N1270" s="71">
        <v>9999</v>
      </c>
      <c r="O1270" s="66" t="s">
        <v>27</v>
      </c>
      <c r="P1270" s="82" t="s">
        <v>5608</v>
      </c>
      <c r="Q1270" s="84" t="s">
        <v>5590</v>
      </c>
      <c r="R1270" s="84" t="s">
        <v>1322</v>
      </c>
      <c r="S1270" s="84">
        <v>0.161</v>
      </c>
      <c r="T1270" s="82" t="s">
        <v>4091</v>
      </c>
      <c r="U1270" s="84" t="s">
        <v>3584</v>
      </c>
      <c r="V1270" s="54"/>
    </row>
    <row r="1271" spans="1:22" s="11" customFormat="1" ht="45" customHeight="1" x14ac:dyDescent="0.2">
      <c r="A1271" s="66" t="s">
        <v>3577</v>
      </c>
      <c r="B1271" s="66" t="s">
        <v>1707</v>
      </c>
      <c r="C1271" s="66" t="s">
        <v>3578</v>
      </c>
      <c r="D1271" s="66">
        <v>76543</v>
      </c>
      <c r="E1271" s="68" t="s">
        <v>5609</v>
      </c>
      <c r="F1271" s="66" t="s">
        <v>5610</v>
      </c>
      <c r="G1271" s="71">
        <v>6500</v>
      </c>
      <c r="H1271" s="73"/>
      <c r="I1271" s="75">
        <v>0.1</v>
      </c>
      <c r="J1271" s="77"/>
      <c r="K1271" s="66"/>
      <c r="L1271" s="66"/>
      <c r="M1271" s="79" t="str">
        <f>HYPERLINK("http://www.pristavka.com/catalog/funko/Fun76543/")</f>
        <v>http://www.pristavka.com/catalog/funko/Fun76543/</v>
      </c>
      <c r="N1271" s="71">
        <v>9999</v>
      </c>
      <c r="O1271" s="66" t="s">
        <v>27</v>
      </c>
      <c r="P1271" s="82" t="s">
        <v>5611</v>
      </c>
      <c r="Q1271" s="84" t="s">
        <v>5590</v>
      </c>
      <c r="R1271" s="84" t="s">
        <v>1322</v>
      </c>
      <c r="S1271" s="84">
        <v>0.16800000000000001</v>
      </c>
      <c r="T1271" s="82" t="s">
        <v>4091</v>
      </c>
      <c r="U1271" s="84" t="s">
        <v>3584</v>
      </c>
      <c r="V1271" s="54"/>
    </row>
    <row r="1272" spans="1:22" s="11" customFormat="1" ht="45" customHeight="1" x14ac:dyDescent="0.2">
      <c r="A1272" s="66" t="s">
        <v>3577</v>
      </c>
      <c r="B1272" s="66" t="s">
        <v>1707</v>
      </c>
      <c r="C1272" s="66" t="s">
        <v>3578</v>
      </c>
      <c r="D1272" s="66">
        <v>83760</v>
      </c>
      <c r="E1272" s="68" t="s">
        <v>5612</v>
      </c>
      <c r="F1272" s="66" t="s">
        <v>5613</v>
      </c>
      <c r="G1272" s="71">
        <v>6500</v>
      </c>
      <c r="H1272" s="73"/>
      <c r="I1272" s="75">
        <v>0.1</v>
      </c>
      <c r="J1272" s="77"/>
      <c r="K1272" s="66"/>
      <c r="L1272" s="66"/>
      <c r="M1272" s="79" t="str">
        <f>HYPERLINK("http://www.pristavka.com/catalog/funko/Fun83760/")</f>
        <v>http://www.pristavka.com/catalog/funko/Fun83760/</v>
      </c>
      <c r="N1272" s="71">
        <v>9999</v>
      </c>
      <c r="O1272" s="66" t="s">
        <v>27</v>
      </c>
      <c r="P1272" s="82" t="s">
        <v>5614</v>
      </c>
      <c r="Q1272" s="84" t="s">
        <v>5590</v>
      </c>
      <c r="R1272" s="84" t="s">
        <v>1322</v>
      </c>
      <c r="S1272" s="84">
        <v>0.185</v>
      </c>
      <c r="T1272" s="82" t="s">
        <v>4113</v>
      </c>
      <c r="U1272" s="84" t="s">
        <v>3584</v>
      </c>
      <c r="V1272" s="54"/>
    </row>
    <row r="1273" spans="1:22" s="11" customFormat="1" ht="45" customHeight="1" x14ac:dyDescent="0.2">
      <c r="A1273" s="66" t="s">
        <v>3577</v>
      </c>
      <c r="B1273" s="66" t="s">
        <v>1707</v>
      </c>
      <c r="C1273" s="66" t="s">
        <v>3578</v>
      </c>
      <c r="D1273" s="66">
        <v>83763</v>
      </c>
      <c r="E1273" s="68" t="s">
        <v>5615</v>
      </c>
      <c r="F1273" s="66" t="s">
        <v>5616</v>
      </c>
      <c r="G1273" s="71">
        <v>6500</v>
      </c>
      <c r="H1273" s="73"/>
      <c r="I1273" s="75">
        <v>0.1</v>
      </c>
      <c r="J1273" s="77"/>
      <c r="K1273" s="66"/>
      <c r="L1273" s="66"/>
      <c r="M1273" s="79" t="str">
        <f>HYPERLINK("http://www.pristavka.com/catalog/funko/Fun83763/")</f>
        <v>http://www.pristavka.com/catalog/funko/Fun83763/</v>
      </c>
      <c r="N1273" s="71">
        <v>9999</v>
      </c>
      <c r="O1273" s="66" t="s">
        <v>27</v>
      </c>
      <c r="P1273" s="82" t="s">
        <v>5617</v>
      </c>
      <c r="Q1273" s="84" t="s">
        <v>5590</v>
      </c>
      <c r="R1273" s="84" t="s">
        <v>1322</v>
      </c>
      <c r="S1273" s="84">
        <v>0.19</v>
      </c>
      <c r="T1273" s="82" t="s">
        <v>4084</v>
      </c>
      <c r="U1273" s="84" t="s">
        <v>3584</v>
      </c>
      <c r="V1273" s="54"/>
    </row>
    <row r="1274" spans="1:22" s="11" customFormat="1" ht="45" customHeight="1" x14ac:dyDescent="0.2">
      <c r="A1274" s="66" t="s">
        <v>3577</v>
      </c>
      <c r="B1274" s="66" t="s">
        <v>1707</v>
      </c>
      <c r="C1274" s="66" t="s">
        <v>3578</v>
      </c>
      <c r="D1274" s="66">
        <v>84602</v>
      </c>
      <c r="E1274" s="68" t="s">
        <v>5618</v>
      </c>
      <c r="F1274" s="66" t="s">
        <v>5619</v>
      </c>
      <c r="G1274" s="71">
        <v>6890</v>
      </c>
      <c r="H1274" s="73"/>
      <c r="I1274" s="75">
        <v>0.1</v>
      </c>
      <c r="J1274" s="77"/>
      <c r="K1274" s="66"/>
      <c r="L1274" s="66"/>
      <c r="M1274" s="79" t="str">
        <f>HYPERLINK("http://www.pristavka.com/catalog/funko/Fun84602/")</f>
        <v>http://www.pristavka.com/catalog/funko/Fun84602/</v>
      </c>
      <c r="N1274" s="71">
        <v>10599</v>
      </c>
      <c r="O1274" s="66" t="s">
        <v>27</v>
      </c>
      <c r="P1274" s="82" t="s">
        <v>5620</v>
      </c>
      <c r="Q1274" s="84" t="s">
        <v>5590</v>
      </c>
      <c r="R1274" s="84" t="s">
        <v>1322</v>
      </c>
      <c r="S1274" s="84">
        <v>0.17499999999999999</v>
      </c>
      <c r="T1274" s="82" t="s">
        <v>4113</v>
      </c>
      <c r="U1274" s="84" t="s">
        <v>3584</v>
      </c>
      <c r="V1274" s="54"/>
    </row>
    <row r="1275" spans="1:22" s="11" customFormat="1" ht="45" customHeight="1" x14ac:dyDescent="0.2">
      <c r="A1275" s="66" t="s">
        <v>3577</v>
      </c>
      <c r="B1275" s="66" t="s">
        <v>1707</v>
      </c>
      <c r="C1275" s="66" t="s">
        <v>3578</v>
      </c>
      <c r="D1275" s="66">
        <v>83762</v>
      </c>
      <c r="E1275" s="68" t="s">
        <v>5621</v>
      </c>
      <c r="F1275" s="66" t="s">
        <v>5622</v>
      </c>
      <c r="G1275" s="71">
        <v>6500</v>
      </c>
      <c r="H1275" s="73"/>
      <c r="I1275" s="75">
        <v>0.1</v>
      </c>
      <c r="J1275" s="77"/>
      <c r="K1275" s="66"/>
      <c r="L1275" s="66"/>
      <c r="M1275" s="79" t="str">
        <f>HYPERLINK("http://www.pristavka.com/catalog/funko/Fun83762/")</f>
        <v>http://www.pristavka.com/catalog/funko/Fun83762/</v>
      </c>
      <c r="N1275" s="71">
        <v>9999</v>
      </c>
      <c r="O1275" s="66" t="s">
        <v>27</v>
      </c>
      <c r="P1275" s="82" t="s">
        <v>5623</v>
      </c>
      <c r="Q1275" s="84" t="s">
        <v>5590</v>
      </c>
      <c r="R1275" s="84" t="s">
        <v>1322</v>
      </c>
      <c r="S1275" s="84">
        <v>0.17499999999999999</v>
      </c>
      <c r="T1275" s="82" t="s">
        <v>4113</v>
      </c>
      <c r="U1275" s="84" t="s">
        <v>3584</v>
      </c>
      <c r="V1275" s="54"/>
    </row>
    <row r="1276" spans="1:22" s="11" customFormat="1" ht="45" customHeight="1" x14ac:dyDescent="0.2">
      <c r="A1276" s="66" t="s">
        <v>3577</v>
      </c>
      <c r="B1276" s="66" t="s">
        <v>1707</v>
      </c>
      <c r="C1276" s="66" t="s">
        <v>3578</v>
      </c>
      <c r="D1276" s="66">
        <v>83761</v>
      </c>
      <c r="E1276" s="68" t="s">
        <v>5624</v>
      </c>
      <c r="F1276" s="66" t="s">
        <v>5625</v>
      </c>
      <c r="G1276" s="71">
        <v>6500</v>
      </c>
      <c r="H1276" s="73"/>
      <c r="I1276" s="75">
        <v>0.1</v>
      </c>
      <c r="J1276" s="77"/>
      <c r="K1276" s="66"/>
      <c r="L1276" s="66"/>
      <c r="M1276" s="79" t="str">
        <f>HYPERLINK("http://www.pristavka.com/catalog/funko/Fun83761/")</f>
        <v>http://www.pristavka.com/catalog/funko/Fun83761/</v>
      </c>
      <c r="N1276" s="71">
        <v>9999</v>
      </c>
      <c r="O1276" s="66" t="s">
        <v>27</v>
      </c>
      <c r="P1276" s="82" t="s">
        <v>5626</v>
      </c>
      <c r="Q1276" s="84" t="s">
        <v>5590</v>
      </c>
      <c r="R1276" s="84" t="s">
        <v>1322</v>
      </c>
      <c r="S1276" s="84">
        <v>0.16</v>
      </c>
      <c r="T1276" s="82" t="s">
        <v>4113</v>
      </c>
      <c r="U1276" s="84" t="s">
        <v>3584</v>
      </c>
      <c r="V1276" s="54"/>
    </row>
    <row r="1277" spans="1:22" s="11" customFormat="1" ht="45" customHeight="1" x14ac:dyDescent="0.2">
      <c r="A1277" s="66" t="s">
        <v>3577</v>
      </c>
      <c r="B1277" s="66" t="s">
        <v>1707</v>
      </c>
      <c r="C1277" s="66" t="s">
        <v>3578</v>
      </c>
      <c r="D1277" s="66">
        <v>31681</v>
      </c>
      <c r="E1277" s="68" t="s">
        <v>5627</v>
      </c>
      <c r="F1277" s="66" t="s">
        <v>5628</v>
      </c>
      <c r="G1277" s="71">
        <v>6890</v>
      </c>
      <c r="H1277" s="73"/>
      <c r="I1277" s="75">
        <v>0.1</v>
      </c>
      <c r="J1277" s="77"/>
      <c r="K1277" s="66"/>
      <c r="L1277" s="66"/>
      <c r="M1277" s="79" t="str">
        <f>HYPERLINK("http://www.pristavka.com/catalog/funko/Fun31681/")</f>
        <v>http://www.pristavka.com/catalog/funko/Fun31681/</v>
      </c>
      <c r="N1277" s="71">
        <v>10599</v>
      </c>
      <c r="O1277" s="66" t="s">
        <v>27</v>
      </c>
      <c r="P1277" s="82" t="s">
        <v>5629</v>
      </c>
      <c r="Q1277" s="84" t="s">
        <v>1321</v>
      </c>
      <c r="R1277" s="84" t="s">
        <v>1322</v>
      </c>
      <c r="S1277" s="84">
        <v>0.16</v>
      </c>
      <c r="T1277" s="82" t="s">
        <v>4113</v>
      </c>
      <c r="U1277" s="84" t="s">
        <v>3584</v>
      </c>
      <c r="V1277" s="54"/>
    </row>
    <row r="1278" spans="1:22" s="11" customFormat="1" ht="45" customHeight="1" x14ac:dyDescent="0.2">
      <c r="A1278" s="66" t="s">
        <v>3577</v>
      </c>
      <c r="B1278" s="66" t="s">
        <v>1707</v>
      </c>
      <c r="C1278" s="66" t="s">
        <v>3578</v>
      </c>
      <c r="D1278" s="66">
        <v>83768</v>
      </c>
      <c r="E1278" s="68" t="s">
        <v>5630</v>
      </c>
      <c r="F1278" s="66" t="s">
        <v>5631</v>
      </c>
      <c r="G1278" s="71">
        <v>6500</v>
      </c>
      <c r="H1278" s="73"/>
      <c r="I1278" s="75">
        <v>0.1</v>
      </c>
      <c r="J1278" s="77"/>
      <c r="K1278" s="66"/>
      <c r="L1278" s="66"/>
      <c r="M1278" s="79" t="str">
        <f>HYPERLINK("http://www.pristavka.com/catalog/funko/Fun83768/")</f>
        <v>http://www.pristavka.com/catalog/funko/Fun83768/</v>
      </c>
      <c r="N1278" s="71">
        <v>9999</v>
      </c>
      <c r="O1278" s="66" t="s">
        <v>27</v>
      </c>
      <c r="P1278" s="82" t="s">
        <v>5632</v>
      </c>
      <c r="Q1278" s="84" t="s">
        <v>1321</v>
      </c>
      <c r="R1278" s="84" t="s">
        <v>1322</v>
      </c>
      <c r="S1278" s="84">
        <v>0.156</v>
      </c>
      <c r="T1278" s="82" t="s">
        <v>4091</v>
      </c>
      <c r="U1278" s="84" t="s">
        <v>3584</v>
      </c>
      <c r="V1278" s="54"/>
    </row>
    <row r="1279" spans="1:22" s="11" customFormat="1" ht="45" customHeight="1" x14ac:dyDescent="0.2">
      <c r="A1279" s="66" t="s">
        <v>3577</v>
      </c>
      <c r="B1279" s="66" t="s">
        <v>1707</v>
      </c>
      <c r="C1279" s="66" t="s">
        <v>3578</v>
      </c>
      <c r="D1279" s="66">
        <v>83769</v>
      </c>
      <c r="E1279" s="68" t="s">
        <v>5633</v>
      </c>
      <c r="F1279" s="66" t="s">
        <v>5634</v>
      </c>
      <c r="G1279" s="71">
        <v>6500</v>
      </c>
      <c r="H1279" s="73"/>
      <c r="I1279" s="75">
        <v>0.1</v>
      </c>
      <c r="J1279" s="77"/>
      <c r="K1279" s="66"/>
      <c r="L1279" s="66"/>
      <c r="M1279" s="79" t="str">
        <f>HYPERLINK("http://www.pristavka.com/catalog/funko/Fun83769/")</f>
        <v>http://www.pristavka.com/catalog/funko/Fun83769/</v>
      </c>
      <c r="N1279" s="71">
        <v>9999</v>
      </c>
      <c r="O1279" s="66" t="s">
        <v>27</v>
      </c>
      <c r="P1279" s="82" t="s">
        <v>5635</v>
      </c>
      <c r="Q1279" s="84" t="s">
        <v>1321</v>
      </c>
      <c r="R1279" s="84" t="s">
        <v>1322</v>
      </c>
      <c r="S1279" s="84">
        <v>0.16600000000000001</v>
      </c>
      <c r="T1279" s="82" t="s">
        <v>4113</v>
      </c>
      <c r="U1279" s="84" t="s">
        <v>3584</v>
      </c>
      <c r="V1279" s="54"/>
    </row>
    <row r="1280" spans="1:22" s="11" customFormat="1" ht="45" customHeight="1" x14ac:dyDescent="0.2">
      <c r="A1280" s="66" t="s">
        <v>3577</v>
      </c>
      <c r="B1280" s="66" t="s">
        <v>1707</v>
      </c>
      <c r="C1280" s="66" t="s">
        <v>3578</v>
      </c>
      <c r="D1280" s="66">
        <v>83770</v>
      </c>
      <c r="E1280" s="68" t="s">
        <v>5636</v>
      </c>
      <c r="F1280" s="66" t="s">
        <v>5637</v>
      </c>
      <c r="G1280" s="71">
        <v>6500</v>
      </c>
      <c r="H1280" s="73"/>
      <c r="I1280" s="75">
        <v>0.1</v>
      </c>
      <c r="J1280" s="77"/>
      <c r="K1280" s="66"/>
      <c r="L1280" s="66"/>
      <c r="M1280" s="79" t="str">
        <f>HYPERLINK("http://www.pristavka.com/catalog/funko/Fun83770/")</f>
        <v>http://www.pristavka.com/catalog/funko/Fun83770/</v>
      </c>
      <c r="N1280" s="71">
        <v>9999</v>
      </c>
      <c r="O1280" s="66" t="s">
        <v>27</v>
      </c>
      <c r="P1280" s="82" t="s">
        <v>5638</v>
      </c>
      <c r="Q1280" s="84" t="s">
        <v>1321</v>
      </c>
      <c r="R1280" s="84" t="s">
        <v>1322</v>
      </c>
      <c r="S1280" s="84">
        <v>0.18</v>
      </c>
      <c r="T1280" s="82" t="s">
        <v>4113</v>
      </c>
      <c r="U1280" s="84" t="s">
        <v>3584</v>
      </c>
      <c r="V1280" s="54"/>
    </row>
    <row r="1281" spans="1:22" s="11" customFormat="1" ht="45" customHeight="1" x14ac:dyDescent="0.2">
      <c r="A1281" s="66" t="s">
        <v>3577</v>
      </c>
      <c r="B1281" s="66" t="s">
        <v>1707</v>
      </c>
      <c r="C1281" s="66" t="s">
        <v>3578</v>
      </c>
      <c r="D1281" s="66">
        <v>83771</v>
      </c>
      <c r="E1281" s="68" t="s">
        <v>5639</v>
      </c>
      <c r="F1281" s="66" t="s">
        <v>5640</v>
      </c>
      <c r="G1281" s="71">
        <v>6500</v>
      </c>
      <c r="H1281" s="73"/>
      <c r="I1281" s="75">
        <v>0.1</v>
      </c>
      <c r="J1281" s="77"/>
      <c r="K1281" s="66"/>
      <c r="L1281" s="66"/>
      <c r="M1281" s="79" t="str">
        <f>HYPERLINK("http://www.pristavka.com/catalog/funko/Fun83771/")</f>
        <v>http://www.pristavka.com/catalog/funko/Fun83771/</v>
      </c>
      <c r="N1281" s="71">
        <v>9999</v>
      </c>
      <c r="O1281" s="66" t="s">
        <v>27</v>
      </c>
      <c r="P1281" s="82" t="s">
        <v>5641</v>
      </c>
      <c r="Q1281" s="84" t="s">
        <v>1321</v>
      </c>
      <c r="R1281" s="84" t="s">
        <v>1322</v>
      </c>
      <c r="S1281" s="84">
        <v>0.192</v>
      </c>
      <c r="T1281" s="82" t="s">
        <v>4113</v>
      </c>
      <c r="U1281" s="84" t="s">
        <v>3584</v>
      </c>
      <c r="V1281" s="54"/>
    </row>
    <row r="1282" spans="1:22" s="11" customFormat="1" ht="45" customHeight="1" x14ac:dyDescent="0.2">
      <c r="A1282" s="66" t="s">
        <v>3577</v>
      </c>
      <c r="B1282" s="66" t="s">
        <v>1707</v>
      </c>
      <c r="C1282" s="66" t="s">
        <v>3578</v>
      </c>
      <c r="D1282" s="66">
        <v>83814</v>
      </c>
      <c r="E1282" s="68" t="s">
        <v>5642</v>
      </c>
      <c r="F1282" s="66" t="s">
        <v>5643</v>
      </c>
      <c r="G1282" s="71">
        <v>6500</v>
      </c>
      <c r="H1282" s="73"/>
      <c r="I1282" s="75">
        <v>0.1</v>
      </c>
      <c r="J1282" s="77"/>
      <c r="K1282" s="66"/>
      <c r="L1282" s="66"/>
      <c r="M1282" s="79" t="str">
        <f>HYPERLINK("http://www.pristavka.com/catalog/funko/Fun83814/")</f>
        <v>http://www.pristavka.com/catalog/funko/Fun83814/</v>
      </c>
      <c r="N1282" s="71">
        <v>9999</v>
      </c>
      <c r="O1282" s="66" t="s">
        <v>27</v>
      </c>
      <c r="P1282" s="82" t="s">
        <v>5644</v>
      </c>
      <c r="Q1282" s="84" t="s">
        <v>1321</v>
      </c>
      <c r="R1282" s="84" t="s">
        <v>1322</v>
      </c>
      <c r="S1282" s="84">
        <v>0.16500000000000001</v>
      </c>
      <c r="T1282" s="82" t="s">
        <v>4113</v>
      </c>
      <c r="U1282" s="84" t="s">
        <v>3584</v>
      </c>
      <c r="V1282" s="54"/>
    </row>
    <row r="1283" spans="1:22" s="11" customFormat="1" ht="45" customHeight="1" x14ac:dyDescent="0.2">
      <c r="A1283" s="66" t="s">
        <v>3577</v>
      </c>
      <c r="B1283" s="66" t="s">
        <v>1707</v>
      </c>
      <c r="C1283" s="66" t="s">
        <v>3578</v>
      </c>
      <c r="D1283" s="66">
        <v>83813</v>
      </c>
      <c r="E1283" s="68" t="s">
        <v>5645</v>
      </c>
      <c r="F1283" s="66" t="s">
        <v>5646</v>
      </c>
      <c r="G1283" s="71">
        <v>6500</v>
      </c>
      <c r="H1283" s="73"/>
      <c r="I1283" s="75">
        <v>0.1</v>
      </c>
      <c r="J1283" s="77"/>
      <c r="K1283" s="66"/>
      <c r="L1283" s="66"/>
      <c r="M1283" s="79" t="str">
        <f>HYPERLINK("http://www.pristavka.com/catalog/funko/Fun83813/")</f>
        <v>http://www.pristavka.com/catalog/funko/Fun83813/</v>
      </c>
      <c r="N1283" s="71">
        <v>9999</v>
      </c>
      <c r="O1283" s="66" t="s">
        <v>27</v>
      </c>
      <c r="P1283" s="82" t="s">
        <v>5647</v>
      </c>
      <c r="Q1283" s="84" t="s">
        <v>1321</v>
      </c>
      <c r="R1283" s="84" t="s">
        <v>1322</v>
      </c>
      <c r="S1283" s="84">
        <v>0.155</v>
      </c>
      <c r="T1283" s="82" t="s">
        <v>4113</v>
      </c>
      <c r="U1283" s="84" t="s">
        <v>3584</v>
      </c>
      <c r="V1283" s="54"/>
    </row>
    <row r="1284" spans="1:22" s="11" customFormat="1" ht="45" customHeight="1" x14ac:dyDescent="0.2">
      <c r="A1284" s="66" t="s">
        <v>3577</v>
      </c>
      <c r="B1284" s="66" t="s">
        <v>1707</v>
      </c>
      <c r="C1284" s="66" t="s">
        <v>3578</v>
      </c>
      <c r="D1284" s="66">
        <v>52025</v>
      </c>
      <c r="E1284" s="68" t="s">
        <v>5648</v>
      </c>
      <c r="F1284" s="66" t="s">
        <v>5649</v>
      </c>
      <c r="G1284" s="71">
        <v>6500</v>
      </c>
      <c r="H1284" s="73"/>
      <c r="I1284" s="75">
        <v>0.1</v>
      </c>
      <c r="J1284" s="77"/>
      <c r="K1284" s="66"/>
      <c r="L1284" s="66"/>
      <c r="M1284" s="79" t="str">
        <f>HYPERLINK("http://www.pristavka.com/catalog/funko/Fun2549812/")</f>
        <v>http://www.pristavka.com/catalog/funko/Fun2549812/</v>
      </c>
      <c r="N1284" s="71">
        <v>9999</v>
      </c>
      <c r="O1284" s="66" t="s">
        <v>27</v>
      </c>
      <c r="P1284" s="82" t="s">
        <v>5650</v>
      </c>
      <c r="Q1284" s="84" t="s">
        <v>1321</v>
      </c>
      <c r="R1284" s="84" t="s">
        <v>1322</v>
      </c>
      <c r="S1284" s="84">
        <v>0.17</v>
      </c>
      <c r="T1284" s="82" t="s">
        <v>4303</v>
      </c>
      <c r="U1284" s="84" t="s">
        <v>3584</v>
      </c>
      <c r="V1284" s="54"/>
    </row>
    <row r="1285" spans="1:22" s="11" customFormat="1" ht="45" customHeight="1" x14ac:dyDescent="0.2">
      <c r="A1285" s="66" t="s">
        <v>3577</v>
      </c>
      <c r="B1285" s="66" t="s">
        <v>1707</v>
      </c>
      <c r="C1285" s="66" t="s">
        <v>3578</v>
      </c>
      <c r="D1285" s="66">
        <v>80770</v>
      </c>
      <c r="E1285" s="68" t="s">
        <v>5651</v>
      </c>
      <c r="F1285" s="66" t="s">
        <v>5652</v>
      </c>
      <c r="G1285" s="71">
        <v>0</v>
      </c>
      <c r="H1285" s="73"/>
      <c r="I1285" s="75">
        <v>0.1</v>
      </c>
      <c r="J1285" s="77"/>
      <c r="K1285" s="66"/>
      <c r="L1285" s="66"/>
      <c r="M1285" s="79" t="str">
        <f>HYPERLINK("http://www.pristavka.com/catalog/funko/Fun80770/")</f>
        <v>http://www.pristavka.com/catalog/funko/Fun80770/</v>
      </c>
      <c r="N1285" s="71"/>
      <c r="O1285" s="66" t="s">
        <v>27</v>
      </c>
      <c r="P1285" s="82" t="s">
        <v>5653</v>
      </c>
      <c r="Q1285" s="84" t="s">
        <v>1321</v>
      </c>
      <c r="R1285" s="84" t="s">
        <v>1322</v>
      </c>
      <c r="S1285" s="84">
        <v>0.16200000000000001</v>
      </c>
      <c r="T1285" s="82" t="s">
        <v>4558</v>
      </c>
      <c r="U1285" s="84" t="s">
        <v>3584</v>
      </c>
      <c r="V1285" s="54"/>
    </row>
    <row r="1286" spans="1:22" s="11" customFormat="1" ht="45" customHeight="1" x14ac:dyDescent="0.2">
      <c r="A1286" s="66" t="s">
        <v>3577</v>
      </c>
      <c r="B1286" s="66" t="s">
        <v>1707</v>
      </c>
      <c r="C1286" s="66" t="s">
        <v>3578</v>
      </c>
      <c r="D1286" s="66">
        <v>82771</v>
      </c>
      <c r="E1286" s="68" t="s">
        <v>5654</v>
      </c>
      <c r="F1286" s="66" t="s">
        <v>5655</v>
      </c>
      <c r="G1286" s="71">
        <v>0</v>
      </c>
      <c r="H1286" s="73"/>
      <c r="I1286" s="75">
        <v>0.1</v>
      </c>
      <c r="J1286" s="77"/>
      <c r="K1286" s="66"/>
      <c r="L1286" s="66"/>
      <c r="M1286" s="79" t="str">
        <f>HYPERLINK("http://www.pristavka.com/catalog/funko/Fun82771/")</f>
        <v>http://www.pristavka.com/catalog/funko/Fun82771/</v>
      </c>
      <c r="N1286" s="71"/>
      <c r="O1286" s="66" t="s">
        <v>27</v>
      </c>
      <c r="P1286" s="82" t="s">
        <v>5656</v>
      </c>
      <c r="Q1286" s="84" t="s">
        <v>1321</v>
      </c>
      <c r="R1286" s="84" t="s">
        <v>1322</v>
      </c>
      <c r="S1286" s="84">
        <v>0.188</v>
      </c>
      <c r="T1286" s="82" t="s">
        <v>4113</v>
      </c>
      <c r="U1286" s="84" t="s">
        <v>3584</v>
      </c>
      <c r="V1286" s="54"/>
    </row>
    <row r="1287" spans="1:22" s="11" customFormat="1" ht="45" customHeight="1" x14ac:dyDescent="0.2">
      <c r="A1287" s="66" t="s">
        <v>3577</v>
      </c>
      <c r="B1287" s="66" t="s">
        <v>1707</v>
      </c>
      <c r="C1287" s="66" t="s">
        <v>3578</v>
      </c>
      <c r="D1287" s="66">
        <v>80771</v>
      </c>
      <c r="E1287" s="68" t="s">
        <v>5657</v>
      </c>
      <c r="F1287" s="66" t="s">
        <v>5658</v>
      </c>
      <c r="G1287" s="71">
        <v>0</v>
      </c>
      <c r="H1287" s="73"/>
      <c r="I1287" s="75">
        <v>0.1</v>
      </c>
      <c r="J1287" s="77"/>
      <c r="K1287" s="66"/>
      <c r="L1287" s="66"/>
      <c r="M1287" s="79" t="str">
        <f>HYPERLINK("http://www.pristavka.com/catalog/funko/Fun80771/")</f>
        <v>http://www.pristavka.com/catalog/funko/Fun80771/</v>
      </c>
      <c r="N1287" s="71"/>
      <c r="O1287" s="66" t="s">
        <v>27</v>
      </c>
      <c r="P1287" s="82" t="s">
        <v>5659</v>
      </c>
      <c r="Q1287" s="84" t="s">
        <v>1321</v>
      </c>
      <c r="R1287" s="84" t="s">
        <v>1322</v>
      </c>
      <c r="S1287" s="84">
        <v>0.18</v>
      </c>
      <c r="T1287" s="82" t="s">
        <v>4084</v>
      </c>
      <c r="U1287" s="84" t="s">
        <v>3584</v>
      </c>
      <c r="V1287" s="54"/>
    </row>
    <row r="1288" spans="1:22" s="11" customFormat="1" ht="45" customHeight="1" x14ac:dyDescent="0.2">
      <c r="A1288" s="66" t="s">
        <v>3577</v>
      </c>
      <c r="B1288" s="66" t="s">
        <v>1707</v>
      </c>
      <c r="C1288" s="66" t="s">
        <v>3578</v>
      </c>
      <c r="D1288" s="66">
        <v>80773</v>
      </c>
      <c r="E1288" s="68" t="s">
        <v>5660</v>
      </c>
      <c r="F1288" s="66" t="s">
        <v>5661</v>
      </c>
      <c r="G1288" s="71">
        <v>0</v>
      </c>
      <c r="H1288" s="73"/>
      <c r="I1288" s="75">
        <v>0.1</v>
      </c>
      <c r="J1288" s="77"/>
      <c r="K1288" s="66"/>
      <c r="L1288" s="66"/>
      <c r="M1288" s="79" t="str">
        <f>HYPERLINK("http://www.pristavka.com/catalog/funko/Fun80773/")</f>
        <v>http://www.pristavka.com/catalog/funko/Fun80773/</v>
      </c>
      <c r="N1288" s="71"/>
      <c r="O1288" s="66" t="s">
        <v>27</v>
      </c>
      <c r="P1288" s="82" t="s">
        <v>5662</v>
      </c>
      <c r="Q1288" s="84" t="s">
        <v>1321</v>
      </c>
      <c r="R1288" s="84" t="s">
        <v>1322</v>
      </c>
      <c r="S1288" s="84">
        <v>0.185</v>
      </c>
      <c r="T1288" s="82" t="s">
        <v>4084</v>
      </c>
      <c r="U1288" s="84" t="s">
        <v>3584</v>
      </c>
      <c r="V1288" s="54"/>
    </row>
    <row r="1289" spans="1:22" s="11" customFormat="1" ht="45" customHeight="1" x14ac:dyDescent="0.2">
      <c r="A1289" s="66" t="s">
        <v>3577</v>
      </c>
      <c r="B1289" s="66" t="s">
        <v>1707</v>
      </c>
      <c r="C1289" s="66" t="s">
        <v>3578</v>
      </c>
      <c r="D1289" s="66">
        <v>80768</v>
      </c>
      <c r="E1289" s="68" t="s">
        <v>5663</v>
      </c>
      <c r="F1289" s="66" t="s">
        <v>5664</v>
      </c>
      <c r="G1289" s="71">
        <v>0</v>
      </c>
      <c r="H1289" s="73"/>
      <c r="I1289" s="75">
        <v>0.1</v>
      </c>
      <c r="J1289" s="77"/>
      <c r="K1289" s="66"/>
      <c r="L1289" s="66"/>
      <c r="M1289" s="79" t="str">
        <f>HYPERLINK("http://www.pristavka.com/catalog/funko/Fun80768/")</f>
        <v>http://www.pristavka.com/catalog/funko/Fun80768/</v>
      </c>
      <c r="N1289" s="71"/>
      <c r="O1289" s="66" t="s">
        <v>27</v>
      </c>
      <c r="P1289" s="82" t="s">
        <v>5665</v>
      </c>
      <c r="Q1289" s="84" t="s">
        <v>1321</v>
      </c>
      <c r="R1289" s="84" t="s">
        <v>1322</v>
      </c>
      <c r="S1289" s="84">
        <v>1.395</v>
      </c>
      <c r="T1289" s="82" t="s">
        <v>4415</v>
      </c>
      <c r="U1289" s="84" t="s">
        <v>3584</v>
      </c>
      <c r="V1289" s="54"/>
    </row>
    <row r="1290" spans="1:22" s="11" customFormat="1" ht="45" customHeight="1" x14ac:dyDescent="0.2">
      <c r="A1290" s="66" t="s">
        <v>3577</v>
      </c>
      <c r="B1290" s="66" t="s">
        <v>1707</v>
      </c>
      <c r="C1290" s="66" t="s">
        <v>3578</v>
      </c>
      <c r="D1290" s="66">
        <v>81842</v>
      </c>
      <c r="E1290" s="68" t="s">
        <v>5666</v>
      </c>
      <c r="F1290" s="66" t="s">
        <v>5667</v>
      </c>
      <c r="G1290" s="71">
        <v>0</v>
      </c>
      <c r="H1290" s="73"/>
      <c r="I1290" s="75">
        <v>0.1</v>
      </c>
      <c r="J1290" s="77"/>
      <c r="K1290" s="66"/>
      <c r="L1290" s="66"/>
      <c r="M1290" s="79" t="str">
        <f>HYPERLINK("https://pristavka.com/catalog/funko_figures/Fun81842/")</f>
        <v>https://pristavka.com/catalog/funko_figures/Fun81842/</v>
      </c>
      <c r="N1290" s="71"/>
      <c r="O1290" s="66" t="s">
        <v>28</v>
      </c>
      <c r="P1290" s="82" t="s">
        <v>5668</v>
      </c>
      <c r="Q1290" s="84" t="s">
        <v>1321</v>
      </c>
      <c r="R1290" s="84" t="s">
        <v>1322</v>
      </c>
      <c r="S1290" s="84">
        <v>0.17599999999999999</v>
      </c>
      <c r="T1290" s="82" t="s">
        <v>4091</v>
      </c>
      <c r="U1290" s="84" t="s">
        <v>3584</v>
      </c>
      <c r="V1290" s="54"/>
    </row>
    <row r="1291" spans="1:22" s="11" customFormat="1" ht="45" customHeight="1" x14ac:dyDescent="0.2">
      <c r="A1291" s="66" t="s">
        <v>3577</v>
      </c>
      <c r="B1291" s="66" t="s">
        <v>1707</v>
      </c>
      <c r="C1291" s="66" t="s">
        <v>3578</v>
      </c>
      <c r="D1291" s="66">
        <v>84530</v>
      </c>
      <c r="E1291" s="68" t="s">
        <v>5669</v>
      </c>
      <c r="F1291" s="66" t="s">
        <v>5670</v>
      </c>
      <c r="G1291" s="71">
        <v>6890</v>
      </c>
      <c r="H1291" s="73"/>
      <c r="I1291" s="75">
        <v>0.1</v>
      </c>
      <c r="J1291" s="77"/>
      <c r="K1291" s="66"/>
      <c r="L1291" s="66"/>
      <c r="M1291" s="79" t="str">
        <f>HYPERLINK("http://www.pristavka.com/catalog/funko/Fun84530/")</f>
        <v>http://www.pristavka.com/catalog/funko/Fun84530/</v>
      </c>
      <c r="N1291" s="71">
        <v>10599</v>
      </c>
      <c r="O1291" s="66" t="s">
        <v>27</v>
      </c>
      <c r="P1291" s="82" t="s">
        <v>5671</v>
      </c>
      <c r="Q1291" s="84" t="s">
        <v>1321</v>
      </c>
      <c r="R1291" s="84" t="s">
        <v>1322</v>
      </c>
      <c r="S1291" s="84">
        <v>0.19600000000000001</v>
      </c>
      <c r="T1291" s="82" t="s">
        <v>4102</v>
      </c>
      <c r="U1291" s="84" t="s">
        <v>3584</v>
      </c>
      <c r="V1291" s="54"/>
    </row>
    <row r="1292" spans="1:22" s="11" customFormat="1" ht="45" customHeight="1" x14ac:dyDescent="0.2">
      <c r="A1292" s="66" t="s">
        <v>3577</v>
      </c>
      <c r="B1292" s="66" t="s">
        <v>1707</v>
      </c>
      <c r="C1292" s="66" t="s">
        <v>3578</v>
      </c>
      <c r="D1292" s="66">
        <v>84982</v>
      </c>
      <c r="E1292" s="68" t="s">
        <v>5672</v>
      </c>
      <c r="F1292" s="66" t="s">
        <v>5673</v>
      </c>
      <c r="G1292" s="71">
        <v>6890</v>
      </c>
      <c r="H1292" s="73"/>
      <c r="I1292" s="75">
        <v>0.1</v>
      </c>
      <c r="J1292" s="77"/>
      <c r="K1292" s="66"/>
      <c r="L1292" s="66"/>
      <c r="M1292" s="79" t="str">
        <f>HYPERLINK("http://www.pristavka.com/catalog/funko/Fun84982/")</f>
        <v>http://www.pristavka.com/catalog/funko/Fun84982/</v>
      </c>
      <c r="N1292" s="71">
        <v>10599</v>
      </c>
      <c r="O1292" s="66" t="s">
        <v>27</v>
      </c>
      <c r="P1292" s="82" t="s">
        <v>5674</v>
      </c>
      <c r="Q1292" s="84" t="s">
        <v>1321</v>
      </c>
      <c r="R1292" s="84" t="s">
        <v>1322</v>
      </c>
      <c r="S1292" s="84">
        <v>0.17599999999999999</v>
      </c>
      <c r="T1292" s="82" t="s">
        <v>4113</v>
      </c>
      <c r="U1292" s="84" t="s">
        <v>3584</v>
      </c>
      <c r="V1292" s="54"/>
    </row>
    <row r="1293" spans="1:22" s="11" customFormat="1" ht="45" customHeight="1" x14ac:dyDescent="0.2">
      <c r="A1293" s="66" t="s">
        <v>3577</v>
      </c>
      <c r="B1293" s="66" t="s">
        <v>1707</v>
      </c>
      <c r="C1293" s="66" t="s">
        <v>3578</v>
      </c>
      <c r="D1293" s="66">
        <v>83594</v>
      </c>
      <c r="E1293" s="68" t="s">
        <v>5675</v>
      </c>
      <c r="F1293" s="66" t="s">
        <v>5676</v>
      </c>
      <c r="G1293" s="71">
        <v>12350</v>
      </c>
      <c r="H1293" s="73"/>
      <c r="I1293" s="75">
        <v>0.1</v>
      </c>
      <c r="J1293" s="77"/>
      <c r="K1293" s="66"/>
      <c r="L1293" s="66"/>
      <c r="M1293" s="79" t="str">
        <f>HYPERLINK("http://www.pristavka.com/catalog/funko/Fun83594/")</f>
        <v>http://www.pristavka.com/catalog/funko/Fun83594/</v>
      </c>
      <c r="N1293" s="71">
        <v>18999</v>
      </c>
      <c r="O1293" s="66" t="s">
        <v>28</v>
      </c>
      <c r="P1293" s="82" t="s">
        <v>5677</v>
      </c>
      <c r="Q1293" s="84" t="s">
        <v>1321</v>
      </c>
      <c r="R1293" s="84" t="s">
        <v>1322</v>
      </c>
      <c r="S1293" s="84">
        <v>0.35</v>
      </c>
      <c r="T1293" s="82" t="s">
        <v>4363</v>
      </c>
      <c r="U1293" s="84" t="s">
        <v>3584</v>
      </c>
      <c r="V1293" s="54"/>
    </row>
    <row r="1294" spans="1:22" s="11" customFormat="1" ht="45" customHeight="1" x14ac:dyDescent="0.2">
      <c r="A1294" s="66" t="s">
        <v>3577</v>
      </c>
      <c r="B1294" s="66" t="s">
        <v>1707</v>
      </c>
      <c r="C1294" s="66" t="s">
        <v>3578</v>
      </c>
      <c r="D1294" s="66">
        <v>76015</v>
      </c>
      <c r="E1294" s="68" t="s">
        <v>5678</v>
      </c>
      <c r="F1294" s="66" t="s">
        <v>5679</v>
      </c>
      <c r="G1294" s="71">
        <v>6500</v>
      </c>
      <c r="H1294" s="73"/>
      <c r="I1294" s="75">
        <v>0.1</v>
      </c>
      <c r="J1294" s="77"/>
      <c r="K1294" s="66"/>
      <c r="L1294" s="66"/>
      <c r="M1294" s="79" t="str">
        <f>HYPERLINK("http://www.pristavka.com/catalog/funko/Fun76015/")</f>
        <v>http://www.pristavka.com/catalog/funko/Fun76015/</v>
      </c>
      <c r="N1294" s="71">
        <v>9999</v>
      </c>
      <c r="O1294" s="66" t="s">
        <v>27</v>
      </c>
      <c r="P1294" s="82" t="s">
        <v>5680</v>
      </c>
      <c r="Q1294" s="84" t="s">
        <v>1321</v>
      </c>
      <c r="R1294" s="84" t="s">
        <v>1322</v>
      </c>
      <c r="S1294" s="84">
        <v>0.153</v>
      </c>
      <c r="T1294" s="82" t="s">
        <v>4084</v>
      </c>
      <c r="U1294" s="84" t="s">
        <v>3584</v>
      </c>
      <c r="V1294" s="54"/>
    </row>
    <row r="1295" spans="1:22" s="11" customFormat="1" ht="45" customHeight="1" x14ac:dyDescent="0.2">
      <c r="A1295" s="66" t="s">
        <v>3577</v>
      </c>
      <c r="B1295" s="66" t="s">
        <v>1707</v>
      </c>
      <c r="C1295" s="66" t="s">
        <v>3578</v>
      </c>
      <c r="D1295" s="66">
        <v>76016</v>
      </c>
      <c r="E1295" s="68" t="s">
        <v>5681</v>
      </c>
      <c r="F1295" s="66" t="s">
        <v>5682</v>
      </c>
      <c r="G1295" s="71">
        <v>6500</v>
      </c>
      <c r="H1295" s="73"/>
      <c r="I1295" s="75">
        <v>0.1</v>
      </c>
      <c r="J1295" s="77"/>
      <c r="K1295" s="66"/>
      <c r="L1295" s="66"/>
      <c r="M1295" s="79" t="str">
        <f>HYPERLINK("http://www.pristavka.com/catalog/funko/Fun76016/")</f>
        <v>http://www.pristavka.com/catalog/funko/Fun76016/</v>
      </c>
      <c r="N1295" s="71">
        <v>9999</v>
      </c>
      <c r="O1295" s="66" t="s">
        <v>27</v>
      </c>
      <c r="P1295" s="82" t="s">
        <v>5683</v>
      </c>
      <c r="Q1295" s="84" t="s">
        <v>1321</v>
      </c>
      <c r="R1295" s="84" t="s">
        <v>1322</v>
      </c>
      <c r="S1295" s="84">
        <v>0.124</v>
      </c>
      <c r="T1295" s="82" t="s">
        <v>4353</v>
      </c>
      <c r="U1295" s="84" t="s">
        <v>3584</v>
      </c>
      <c r="V1295" s="54"/>
    </row>
    <row r="1296" spans="1:22" s="11" customFormat="1" ht="45" customHeight="1" x14ac:dyDescent="0.2">
      <c r="A1296" s="66" t="s">
        <v>3577</v>
      </c>
      <c r="B1296" s="66" t="s">
        <v>1707</v>
      </c>
      <c r="C1296" s="66" t="s">
        <v>3578</v>
      </c>
      <c r="D1296" s="66">
        <v>76017</v>
      </c>
      <c r="E1296" s="68" t="s">
        <v>5684</v>
      </c>
      <c r="F1296" s="66" t="s">
        <v>5685</v>
      </c>
      <c r="G1296" s="71">
        <v>6500</v>
      </c>
      <c r="H1296" s="73"/>
      <c r="I1296" s="75">
        <v>0.1</v>
      </c>
      <c r="J1296" s="77"/>
      <c r="K1296" s="66"/>
      <c r="L1296" s="66"/>
      <c r="M1296" s="79" t="str">
        <f>HYPERLINK("http://www.pristavka.com/catalog/funko/Fun76017/")</f>
        <v>http://www.pristavka.com/catalog/funko/Fun76017/</v>
      </c>
      <c r="N1296" s="71">
        <v>9999</v>
      </c>
      <c r="O1296" s="66" t="s">
        <v>27</v>
      </c>
      <c r="P1296" s="82" t="s">
        <v>5686</v>
      </c>
      <c r="Q1296" s="84" t="s">
        <v>1321</v>
      </c>
      <c r="R1296" s="84" t="s">
        <v>1322</v>
      </c>
      <c r="S1296" s="84">
        <v>0.155</v>
      </c>
      <c r="T1296" s="82" t="s">
        <v>4084</v>
      </c>
      <c r="U1296" s="84" t="s">
        <v>3584</v>
      </c>
      <c r="V1296" s="54"/>
    </row>
    <row r="1297" spans="1:22" s="11" customFormat="1" ht="45" customHeight="1" x14ac:dyDescent="0.2">
      <c r="A1297" s="66" t="s">
        <v>3577</v>
      </c>
      <c r="B1297" s="66" t="s">
        <v>1707</v>
      </c>
      <c r="C1297" s="66" t="s">
        <v>3578</v>
      </c>
      <c r="D1297" s="66">
        <v>76018</v>
      </c>
      <c r="E1297" s="68" t="s">
        <v>5687</v>
      </c>
      <c r="F1297" s="66" t="s">
        <v>5688</v>
      </c>
      <c r="G1297" s="71">
        <v>6500</v>
      </c>
      <c r="H1297" s="73"/>
      <c r="I1297" s="75">
        <v>0.1</v>
      </c>
      <c r="J1297" s="77"/>
      <c r="K1297" s="66"/>
      <c r="L1297" s="66"/>
      <c r="M1297" s="79" t="str">
        <f>HYPERLINK("http://www.pristavka.com/catalog/funko/Fun76018/")</f>
        <v>http://www.pristavka.com/catalog/funko/Fun76018/</v>
      </c>
      <c r="N1297" s="71">
        <v>9999</v>
      </c>
      <c r="O1297" s="66" t="s">
        <v>27</v>
      </c>
      <c r="P1297" s="82" t="s">
        <v>5689</v>
      </c>
      <c r="Q1297" s="84" t="s">
        <v>1321</v>
      </c>
      <c r="R1297" s="84" t="s">
        <v>1322</v>
      </c>
      <c r="S1297" s="84">
        <v>0.14599999999999999</v>
      </c>
      <c r="T1297" s="82" t="s">
        <v>4084</v>
      </c>
      <c r="U1297" s="84" t="s">
        <v>3584</v>
      </c>
      <c r="V1297" s="54"/>
    </row>
    <row r="1298" spans="1:22" s="11" customFormat="1" ht="45" customHeight="1" x14ac:dyDescent="0.2">
      <c r="A1298" s="66" t="s">
        <v>3577</v>
      </c>
      <c r="B1298" s="66" t="s">
        <v>1707</v>
      </c>
      <c r="C1298" s="66" t="s">
        <v>3578</v>
      </c>
      <c r="D1298" s="66">
        <v>76019</v>
      </c>
      <c r="E1298" s="68" t="s">
        <v>5690</v>
      </c>
      <c r="F1298" s="66" t="s">
        <v>5691</v>
      </c>
      <c r="G1298" s="71">
        <v>6500</v>
      </c>
      <c r="H1298" s="73"/>
      <c r="I1298" s="75">
        <v>0.1</v>
      </c>
      <c r="J1298" s="77"/>
      <c r="K1298" s="66"/>
      <c r="L1298" s="66"/>
      <c r="M1298" s="79" t="str">
        <f>HYPERLINK("http://www.pristavka.com/catalog/funko/Fun76019/")</f>
        <v>http://www.pristavka.com/catalog/funko/Fun76019/</v>
      </c>
      <c r="N1298" s="71">
        <v>9999</v>
      </c>
      <c r="O1298" s="66" t="s">
        <v>27</v>
      </c>
      <c r="P1298" s="82" t="s">
        <v>5692</v>
      </c>
      <c r="Q1298" s="84" t="s">
        <v>1321</v>
      </c>
      <c r="R1298" s="84" t="s">
        <v>1322</v>
      </c>
      <c r="S1298" s="84">
        <v>0.14000000000000001</v>
      </c>
      <c r="T1298" s="82" t="s">
        <v>4084</v>
      </c>
      <c r="U1298" s="84" t="s">
        <v>3584</v>
      </c>
      <c r="V1298" s="54"/>
    </row>
    <row r="1299" spans="1:22" s="11" customFormat="1" ht="45" customHeight="1" x14ac:dyDescent="0.2">
      <c r="A1299" s="66" t="s">
        <v>3577</v>
      </c>
      <c r="B1299" s="66" t="s">
        <v>1707</v>
      </c>
      <c r="C1299" s="66" t="s">
        <v>3578</v>
      </c>
      <c r="D1299" s="66">
        <v>76021</v>
      </c>
      <c r="E1299" s="68" t="s">
        <v>5693</v>
      </c>
      <c r="F1299" s="66" t="s">
        <v>5694</v>
      </c>
      <c r="G1299" s="71">
        <v>6500</v>
      </c>
      <c r="H1299" s="73"/>
      <c r="I1299" s="75">
        <v>0.1</v>
      </c>
      <c r="J1299" s="77"/>
      <c r="K1299" s="66"/>
      <c r="L1299" s="66"/>
      <c r="M1299" s="79" t="str">
        <f>HYPERLINK("http://www.pristavka.com/catalog/funko/Fun76021/")</f>
        <v>http://www.pristavka.com/catalog/funko/Fun76021/</v>
      </c>
      <c r="N1299" s="71">
        <v>9999</v>
      </c>
      <c r="O1299" s="66" t="s">
        <v>27</v>
      </c>
      <c r="P1299" s="82" t="s">
        <v>5695</v>
      </c>
      <c r="Q1299" s="84" t="s">
        <v>1321</v>
      </c>
      <c r="R1299" s="84" t="s">
        <v>1322</v>
      </c>
      <c r="S1299" s="84">
        <v>0.125</v>
      </c>
      <c r="T1299" s="82" t="s">
        <v>4084</v>
      </c>
      <c r="U1299" s="84" t="s">
        <v>3584</v>
      </c>
      <c r="V1299" s="54"/>
    </row>
    <row r="1300" spans="1:22" s="11" customFormat="1" ht="45" customHeight="1" x14ac:dyDescent="0.2">
      <c r="A1300" s="66" t="s">
        <v>3577</v>
      </c>
      <c r="B1300" s="66" t="s">
        <v>1707</v>
      </c>
      <c r="C1300" s="66" t="s">
        <v>3578</v>
      </c>
      <c r="D1300" s="66">
        <v>67533</v>
      </c>
      <c r="E1300" s="68" t="s">
        <v>5696</v>
      </c>
      <c r="F1300" s="66" t="s">
        <v>5697</v>
      </c>
      <c r="G1300" s="71">
        <v>6500</v>
      </c>
      <c r="H1300" s="73"/>
      <c r="I1300" s="75">
        <v>0.1</v>
      </c>
      <c r="J1300" s="77"/>
      <c r="K1300" s="66"/>
      <c r="L1300" s="66"/>
      <c r="M1300" s="79" t="str">
        <f>HYPERLINK("http://www.pristavka.com/catalog/funko/Fun67533/")</f>
        <v>http://www.pristavka.com/catalog/funko/Fun67533/</v>
      </c>
      <c r="N1300" s="71">
        <v>9999</v>
      </c>
      <c r="O1300" s="66" t="s">
        <v>27</v>
      </c>
      <c r="P1300" s="82" t="s">
        <v>5698</v>
      </c>
      <c r="Q1300" s="84" t="s">
        <v>1321</v>
      </c>
      <c r="R1300" s="84" t="s">
        <v>1322</v>
      </c>
      <c r="S1300" s="84">
        <v>0.187</v>
      </c>
      <c r="T1300" s="82" t="s">
        <v>4091</v>
      </c>
      <c r="U1300" s="84" t="s">
        <v>3584</v>
      </c>
      <c r="V1300" s="54"/>
    </row>
    <row r="1301" spans="1:22" s="11" customFormat="1" ht="45" customHeight="1" x14ac:dyDescent="0.2">
      <c r="A1301" s="66" t="s">
        <v>3577</v>
      </c>
      <c r="B1301" s="66" t="s">
        <v>1707</v>
      </c>
      <c r="C1301" s="66" t="s">
        <v>3578</v>
      </c>
      <c r="D1301" s="66">
        <v>67534</v>
      </c>
      <c r="E1301" s="68" t="s">
        <v>5699</v>
      </c>
      <c r="F1301" s="66" t="s">
        <v>5700</v>
      </c>
      <c r="G1301" s="71">
        <v>6500</v>
      </c>
      <c r="H1301" s="73"/>
      <c r="I1301" s="75">
        <v>0.1</v>
      </c>
      <c r="J1301" s="77"/>
      <c r="K1301" s="66"/>
      <c r="L1301" s="66"/>
      <c r="M1301" s="79" t="str">
        <f>HYPERLINK("http://www.pristavka.com/catalog/funko/Fun67534/")</f>
        <v>http://www.pristavka.com/catalog/funko/Fun67534/</v>
      </c>
      <c r="N1301" s="71">
        <v>9999</v>
      </c>
      <c r="O1301" s="66" t="s">
        <v>27</v>
      </c>
      <c r="P1301" s="82" t="s">
        <v>5701</v>
      </c>
      <c r="Q1301" s="84" t="s">
        <v>1321</v>
      </c>
      <c r="R1301" s="84" t="s">
        <v>1322</v>
      </c>
      <c r="S1301" s="84">
        <v>0.17599999999999999</v>
      </c>
      <c r="T1301" s="82" t="s">
        <v>4558</v>
      </c>
      <c r="U1301" s="84" t="s">
        <v>3584</v>
      </c>
      <c r="V1301" s="54"/>
    </row>
    <row r="1302" spans="1:22" s="11" customFormat="1" ht="45" customHeight="1" x14ac:dyDescent="0.2">
      <c r="A1302" s="66" t="s">
        <v>3577</v>
      </c>
      <c r="B1302" s="66" t="s">
        <v>1707</v>
      </c>
      <c r="C1302" s="66" t="s">
        <v>3578</v>
      </c>
      <c r="D1302" s="66">
        <v>83797</v>
      </c>
      <c r="E1302" s="68" t="s">
        <v>5702</v>
      </c>
      <c r="F1302" s="66" t="s">
        <v>5703</v>
      </c>
      <c r="G1302" s="71">
        <v>6500</v>
      </c>
      <c r="H1302" s="73"/>
      <c r="I1302" s="75">
        <v>0.1</v>
      </c>
      <c r="J1302" s="77"/>
      <c r="K1302" s="66"/>
      <c r="L1302" s="66"/>
      <c r="M1302" s="79" t="str">
        <f>HYPERLINK("http://www.pristavka.com/catalog/funko/Fun83797/")</f>
        <v>http://www.pristavka.com/catalog/funko/Fun83797/</v>
      </c>
      <c r="N1302" s="71">
        <v>9999</v>
      </c>
      <c r="O1302" s="66" t="s">
        <v>27</v>
      </c>
      <c r="P1302" s="82" t="s">
        <v>5704</v>
      </c>
      <c r="Q1302" s="84" t="s">
        <v>1321</v>
      </c>
      <c r="R1302" s="84" t="s">
        <v>1322</v>
      </c>
      <c r="S1302" s="84">
        <v>0.16400000000000001</v>
      </c>
      <c r="T1302" s="82" t="s">
        <v>4113</v>
      </c>
      <c r="U1302" s="84" t="s">
        <v>3584</v>
      </c>
      <c r="V1302" s="54"/>
    </row>
    <row r="1303" spans="1:22" s="11" customFormat="1" ht="45" customHeight="1" x14ac:dyDescent="0.2">
      <c r="A1303" s="66" t="s">
        <v>3577</v>
      </c>
      <c r="B1303" s="66" t="s">
        <v>1707</v>
      </c>
      <c r="C1303" s="66" t="s">
        <v>3578</v>
      </c>
      <c r="D1303" s="66">
        <v>83796</v>
      </c>
      <c r="E1303" s="68" t="s">
        <v>5705</v>
      </c>
      <c r="F1303" s="66" t="s">
        <v>5706</v>
      </c>
      <c r="G1303" s="71">
        <v>6500</v>
      </c>
      <c r="H1303" s="73"/>
      <c r="I1303" s="75">
        <v>0.1</v>
      </c>
      <c r="J1303" s="77"/>
      <c r="K1303" s="66"/>
      <c r="L1303" s="66"/>
      <c r="M1303" s="79" t="str">
        <f>HYPERLINK("http://www.pristavka.com/catalog/funko/Fun83796/")</f>
        <v>http://www.pristavka.com/catalog/funko/Fun83796/</v>
      </c>
      <c r="N1303" s="71">
        <v>9999</v>
      </c>
      <c r="O1303" s="66" t="s">
        <v>27</v>
      </c>
      <c r="P1303" s="82" t="s">
        <v>5707</v>
      </c>
      <c r="Q1303" s="84" t="s">
        <v>1321</v>
      </c>
      <c r="R1303" s="84" t="s">
        <v>1322</v>
      </c>
      <c r="S1303" s="84">
        <v>0.17399999999999999</v>
      </c>
      <c r="T1303" s="82" t="s">
        <v>4113</v>
      </c>
      <c r="U1303" s="84" t="s">
        <v>3584</v>
      </c>
      <c r="V1303" s="54"/>
    </row>
    <row r="1304" spans="1:22" s="11" customFormat="1" ht="45" customHeight="1" x14ac:dyDescent="0.2">
      <c r="A1304" s="66" t="s">
        <v>3577</v>
      </c>
      <c r="B1304" s="66" t="s">
        <v>1707</v>
      </c>
      <c r="C1304" s="66" t="s">
        <v>3578</v>
      </c>
      <c r="D1304" s="66">
        <v>83798</v>
      </c>
      <c r="E1304" s="68" t="s">
        <v>5708</v>
      </c>
      <c r="F1304" s="66" t="s">
        <v>5709</v>
      </c>
      <c r="G1304" s="71">
        <v>6500</v>
      </c>
      <c r="H1304" s="73"/>
      <c r="I1304" s="75">
        <v>0.1</v>
      </c>
      <c r="J1304" s="77"/>
      <c r="K1304" s="66"/>
      <c r="L1304" s="66"/>
      <c r="M1304" s="79" t="str">
        <f>HYPERLINK("http://www.pristavka.com/catalog/funko/Fun83798/")</f>
        <v>http://www.pristavka.com/catalog/funko/Fun83798/</v>
      </c>
      <c r="N1304" s="71">
        <v>9999</v>
      </c>
      <c r="O1304" s="66" t="s">
        <v>27</v>
      </c>
      <c r="P1304" s="82" t="s">
        <v>5710</v>
      </c>
      <c r="Q1304" s="84" t="s">
        <v>1321</v>
      </c>
      <c r="R1304" s="84" t="s">
        <v>1322</v>
      </c>
      <c r="S1304" s="84">
        <v>0.2</v>
      </c>
      <c r="T1304" s="82" t="s">
        <v>4113</v>
      </c>
      <c r="U1304" s="84" t="s">
        <v>3584</v>
      </c>
      <c r="V1304" s="54"/>
    </row>
    <row r="1305" spans="1:22" s="11" customFormat="1" ht="45" customHeight="1" x14ac:dyDescent="0.2">
      <c r="A1305" s="66" t="s">
        <v>3577</v>
      </c>
      <c r="B1305" s="66" t="s">
        <v>1707</v>
      </c>
      <c r="C1305" s="66" t="s">
        <v>3578</v>
      </c>
      <c r="D1305" s="66">
        <v>48328</v>
      </c>
      <c r="E1305" s="68" t="s">
        <v>5711</v>
      </c>
      <c r="F1305" s="66" t="s">
        <v>5712</v>
      </c>
      <c r="G1305" s="71">
        <v>6500</v>
      </c>
      <c r="H1305" s="73"/>
      <c r="I1305" s="75">
        <v>0.1</v>
      </c>
      <c r="J1305" s="77"/>
      <c r="K1305" s="66"/>
      <c r="L1305" s="66"/>
      <c r="M1305" s="79" t="str">
        <f>HYPERLINK("http://www.pristavka.com/catalog/funko/Fun2549484/")</f>
        <v>http://www.pristavka.com/catalog/funko/Fun2549484/</v>
      </c>
      <c r="N1305" s="71">
        <v>9999</v>
      </c>
      <c r="O1305" s="66" t="s">
        <v>27</v>
      </c>
      <c r="P1305" s="82" t="s">
        <v>5713</v>
      </c>
      <c r="Q1305" s="84" t="s">
        <v>1321</v>
      </c>
      <c r="R1305" s="84" t="s">
        <v>1322</v>
      </c>
      <c r="S1305" s="84">
        <v>0.14000000000000001</v>
      </c>
      <c r="T1305" s="82" t="s">
        <v>4102</v>
      </c>
      <c r="U1305" s="84" t="s">
        <v>3584</v>
      </c>
      <c r="V1305" s="54"/>
    </row>
    <row r="1306" spans="1:22" s="11" customFormat="1" ht="45" customHeight="1" x14ac:dyDescent="0.2">
      <c r="A1306" s="66" t="s">
        <v>3577</v>
      </c>
      <c r="B1306" s="66" t="s">
        <v>1707</v>
      </c>
      <c r="C1306" s="66" t="s">
        <v>3578</v>
      </c>
      <c r="D1306" s="66">
        <v>70750</v>
      </c>
      <c r="E1306" s="68" t="s">
        <v>5714</v>
      </c>
      <c r="F1306" s="66" t="s">
        <v>5715</v>
      </c>
      <c r="G1306" s="71">
        <v>6500</v>
      </c>
      <c r="H1306" s="73"/>
      <c r="I1306" s="75">
        <v>0.1</v>
      </c>
      <c r="J1306" s="77"/>
      <c r="K1306" s="66"/>
      <c r="L1306" s="66"/>
      <c r="M1306" s="79" t="str">
        <f>HYPERLINK("http://www.pristavka.com/catalog/funko/Fun70750/")</f>
        <v>http://www.pristavka.com/catalog/funko/Fun70750/</v>
      </c>
      <c r="N1306" s="71">
        <v>9999</v>
      </c>
      <c r="O1306" s="66" t="s">
        <v>27</v>
      </c>
      <c r="P1306" s="82" t="s">
        <v>5716</v>
      </c>
      <c r="Q1306" s="84" t="s">
        <v>1321</v>
      </c>
      <c r="R1306" s="84" t="s">
        <v>1322</v>
      </c>
      <c r="S1306" s="84">
        <v>0.18</v>
      </c>
      <c r="T1306" s="82" t="s">
        <v>4091</v>
      </c>
      <c r="U1306" s="84" t="s">
        <v>3584</v>
      </c>
      <c r="V1306" s="54"/>
    </row>
    <row r="1307" spans="1:22" s="11" customFormat="1" ht="45" customHeight="1" x14ac:dyDescent="0.2">
      <c r="A1307" s="66" t="s">
        <v>3577</v>
      </c>
      <c r="B1307" s="66" t="s">
        <v>1707</v>
      </c>
      <c r="C1307" s="66" t="s">
        <v>3578</v>
      </c>
      <c r="D1307" s="66">
        <v>70748</v>
      </c>
      <c r="E1307" s="68" t="s">
        <v>5717</v>
      </c>
      <c r="F1307" s="66" t="s">
        <v>5718</v>
      </c>
      <c r="G1307" s="71">
        <v>6500</v>
      </c>
      <c r="H1307" s="73"/>
      <c r="I1307" s="75">
        <v>0.1</v>
      </c>
      <c r="J1307" s="77"/>
      <c r="K1307" s="66"/>
      <c r="L1307" s="66"/>
      <c r="M1307" s="79" t="str">
        <f>HYPERLINK("http://www.pristavka.com/catalog/funko/Fun70748/")</f>
        <v>http://www.pristavka.com/catalog/funko/Fun70748/</v>
      </c>
      <c r="N1307" s="71">
        <v>9999</v>
      </c>
      <c r="O1307" s="66" t="s">
        <v>27</v>
      </c>
      <c r="P1307" s="82" t="s">
        <v>5719</v>
      </c>
      <c r="Q1307" s="84" t="s">
        <v>1321</v>
      </c>
      <c r="R1307" s="84" t="s">
        <v>1322</v>
      </c>
      <c r="S1307" s="84">
        <v>0.159</v>
      </c>
      <c r="T1307" s="82" t="s">
        <v>4084</v>
      </c>
      <c r="U1307" s="84" t="s">
        <v>3584</v>
      </c>
      <c r="V1307" s="54"/>
    </row>
    <row r="1308" spans="1:22" s="11" customFormat="1" ht="45" customHeight="1" x14ac:dyDescent="0.2">
      <c r="A1308" s="66" t="s">
        <v>3577</v>
      </c>
      <c r="B1308" s="66" t="s">
        <v>1707</v>
      </c>
      <c r="C1308" s="66" t="s">
        <v>3578</v>
      </c>
      <c r="D1308" s="66">
        <v>83815</v>
      </c>
      <c r="E1308" s="68" t="s">
        <v>5720</v>
      </c>
      <c r="F1308" s="66" t="s">
        <v>5721</v>
      </c>
      <c r="G1308" s="71">
        <v>6500</v>
      </c>
      <c r="H1308" s="73"/>
      <c r="I1308" s="75">
        <v>0.1</v>
      </c>
      <c r="J1308" s="77"/>
      <c r="K1308" s="66"/>
      <c r="L1308" s="66"/>
      <c r="M1308" s="79" t="str">
        <f>HYPERLINK("http://www.pristavka.com/catalog/funko/Fun83815/")</f>
        <v>http://www.pristavka.com/catalog/funko/Fun83815/</v>
      </c>
      <c r="N1308" s="71">
        <v>9999</v>
      </c>
      <c r="O1308" s="66" t="s">
        <v>27</v>
      </c>
      <c r="P1308" s="82" t="s">
        <v>5722</v>
      </c>
      <c r="Q1308" s="84" t="s">
        <v>1321</v>
      </c>
      <c r="R1308" s="84" t="s">
        <v>1322</v>
      </c>
      <c r="S1308" s="84">
        <v>0.16200000000000001</v>
      </c>
      <c r="T1308" s="82" t="s">
        <v>4102</v>
      </c>
      <c r="U1308" s="84" t="s">
        <v>3584</v>
      </c>
      <c r="V1308" s="54"/>
    </row>
    <row r="1309" spans="1:22" s="11" customFormat="1" ht="45" customHeight="1" x14ac:dyDescent="0.2">
      <c r="A1309" s="66" t="s">
        <v>3577</v>
      </c>
      <c r="B1309" s="66" t="s">
        <v>1707</v>
      </c>
      <c r="C1309" s="66" t="s">
        <v>3578</v>
      </c>
      <c r="D1309" s="66">
        <v>77601</v>
      </c>
      <c r="E1309" s="68" t="s">
        <v>5723</v>
      </c>
      <c r="F1309" s="66" t="s">
        <v>5724</v>
      </c>
      <c r="G1309" s="71">
        <v>0</v>
      </c>
      <c r="H1309" s="73"/>
      <c r="I1309" s="75">
        <v>0.1</v>
      </c>
      <c r="J1309" s="77"/>
      <c r="K1309" s="66"/>
      <c r="L1309" s="66"/>
      <c r="M1309" s="79" t="str">
        <f>HYPERLINK("http://www.pristavka.com/catalog/funko/Fun77601/")</f>
        <v>http://www.pristavka.com/catalog/funko/Fun77601/</v>
      </c>
      <c r="N1309" s="71"/>
      <c r="O1309" s="66" t="s">
        <v>28</v>
      </c>
      <c r="P1309" s="82" t="s">
        <v>5725</v>
      </c>
      <c r="Q1309" s="84" t="s">
        <v>1321</v>
      </c>
      <c r="R1309" s="84" t="s">
        <v>1322</v>
      </c>
      <c r="S1309" s="84">
        <v>0.27500000000000002</v>
      </c>
      <c r="T1309" s="82" t="s">
        <v>5726</v>
      </c>
      <c r="U1309" s="84" t="s">
        <v>3584</v>
      </c>
      <c r="V1309" s="54"/>
    </row>
    <row r="1310" spans="1:22" s="11" customFormat="1" ht="45" customHeight="1" x14ac:dyDescent="0.2">
      <c r="A1310" s="66" t="s">
        <v>3577</v>
      </c>
      <c r="B1310" s="66" t="s">
        <v>1707</v>
      </c>
      <c r="C1310" s="66" t="s">
        <v>3578</v>
      </c>
      <c r="D1310" s="66">
        <v>82723</v>
      </c>
      <c r="E1310" s="68" t="s">
        <v>5727</v>
      </c>
      <c r="F1310" s="66" t="s">
        <v>5728</v>
      </c>
      <c r="G1310" s="71">
        <v>6500</v>
      </c>
      <c r="H1310" s="73"/>
      <c r="I1310" s="75">
        <v>0.1</v>
      </c>
      <c r="J1310" s="77"/>
      <c r="K1310" s="66"/>
      <c r="L1310" s="66"/>
      <c r="M1310" s="79" t="str">
        <f>HYPERLINK("http://www.pristavka.com/catalog/funko/Fun82723/")</f>
        <v>http://www.pristavka.com/catalog/funko/Fun82723/</v>
      </c>
      <c r="N1310" s="71">
        <v>9999</v>
      </c>
      <c r="O1310" s="66" t="s">
        <v>27</v>
      </c>
      <c r="P1310" s="82" t="s">
        <v>5729</v>
      </c>
      <c r="Q1310" s="84" t="s">
        <v>1321</v>
      </c>
      <c r="R1310" s="84" t="s">
        <v>1322</v>
      </c>
      <c r="S1310" s="84">
        <v>0.16500000000000001</v>
      </c>
      <c r="T1310" s="82" t="s">
        <v>4113</v>
      </c>
      <c r="U1310" s="84" t="s">
        <v>3584</v>
      </c>
      <c r="V1310" s="54"/>
    </row>
    <row r="1311" spans="1:22" s="11" customFormat="1" ht="45" customHeight="1" x14ac:dyDescent="0.2">
      <c r="A1311" s="66" t="s">
        <v>3577</v>
      </c>
      <c r="B1311" s="66" t="s">
        <v>1707</v>
      </c>
      <c r="C1311" s="66" t="s">
        <v>3578</v>
      </c>
      <c r="D1311" s="66">
        <v>82722</v>
      </c>
      <c r="E1311" s="68" t="s">
        <v>5730</v>
      </c>
      <c r="F1311" s="66" t="s">
        <v>5731</v>
      </c>
      <c r="G1311" s="71">
        <v>6500</v>
      </c>
      <c r="H1311" s="73"/>
      <c r="I1311" s="75">
        <v>0.1</v>
      </c>
      <c r="J1311" s="77"/>
      <c r="K1311" s="66"/>
      <c r="L1311" s="66"/>
      <c r="M1311" s="79" t="str">
        <f>HYPERLINK("http://www.pristavka.com/catalog/funko/Fun82722/")</f>
        <v>http://www.pristavka.com/catalog/funko/Fun82722/</v>
      </c>
      <c r="N1311" s="71">
        <v>9999</v>
      </c>
      <c r="O1311" s="66" t="s">
        <v>27</v>
      </c>
      <c r="P1311" s="82" t="s">
        <v>5732</v>
      </c>
      <c r="Q1311" s="84" t="s">
        <v>1321</v>
      </c>
      <c r="R1311" s="84" t="s">
        <v>1322</v>
      </c>
      <c r="S1311" s="84">
        <v>0.18</v>
      </c>
      <c r="T1311" s="82" t="s">
        <v>4113</v>
      </c>
      <c r="U1311" s="84" t="s">
        <v>3584</v>
      </c>
      <c r="V1311" s="54"/>
    </row>
    <row r="1312" spans="1:22" s="11" customFormat="1" ht="45" customHeight="1" x14ac:dyDescent="0.2">
      <c r="A1312" s="66" t="s">
        <v>3577</v>
      </c>
      <c r="B1312" s="66" t="s">
        <v>1707</v>
      </c>
      <c r="C1312" s="66" t="s">
        <v>3578</v>
      </c>
      <c r="D1312" s="66">
        <v>82725</v>
      </c>
      <c r="E1312" s="68" t="s">
        <v>5733</v>
      </c>
      <c r="F1312" s="66" t="s">
        <v>5734</v>
      </c>
      <c r="G1312" s="71">
        <v>6500</v>
      </c>
      <c r="H1312" s="73"/>
      <c r="I1312" s="75">
        <v>0.1</v>
      </c>
      <c r="J1312" s="77"/>
      <c r="K1312" s="66"/>
      <c r="L1312" s="66"/>
      <c r="M1312" s="79" t="str">
        <f>HYPERLINK("http://www.pristavka.com/catalog/funko/Fun82725/")</f>
        <v>http://www.pristavka.com/catalog/funko/Fun82725/</v>
      </c>
      <c r="N1312" s="71">
        <v>9999</v>
      </c>
      <c r="O1312" s="66" t="s">
        <v>27</v>
      </c>
      <c r="P1312" s="82" t="s">
        <v>5735</v>
      </c>
      <c r="Q1312" s="84" t="s">
        <v>1321</v>
      </c>
      <c r="R1312" s="84" t="s">
        <v>1322</v>
      </c>
      <c r="S1312" s="84">
        <v>0.16600000000000001</v>
      </c>
      <c r="T1312" s="82" t="s">
        <v>4084</v>
      </c>
      <c r="U1312" s="84" t="s">
        <v>3584</v>
      </c>
      <c r="V1312" s="54"/>
    </row>
    <row r="1313" spans="1:22" s="11" customFormat="1" ht="45" customHeight="1" x14ac:dyDescent="0.2">
      <c r="A1313" s="66" t="s">
        <v>3577</v>
      </c>
      <c r="B1313" s="66" t="s">
        <v>1707</v>
      </c>
      <c r="C1313" s="66" t="s">
        <v>3578</v>
      </c>
      <c r="D1313" s="66">
        <v>82724</v>
      </c>
      <c r="E1313" s="68" t="s">
        <v>5736</v>
      </c>
      <c r="F1313" s="66" t="s">
        <v>5737</v>
      </c>
      <c r="G1313" s="71">
        <v>6500</v>
      </c>
      <c r="H1313" s="73"/>
      <c r="I1313" s="75">
        <v>0.1</v>
      </c>
      <c r="J1313" s="77"/>
      <c r="K1313" s="66"/>
      <c r="L1313" s="66"/>
      <c r="M1313" s="79" t="str">
        <f>HYPERLINK("http://www.pristavka.com/catalog/funko/Fun82724/")</f>
        <v>http://www.pristavka.com/catalog/funko/Fun82724/</v>
      </c>
      <c r="N1313" s="71">
        <v>9999</v>
      </c>
      <c r="O1313" s="66" t="s">
        <v>27</v>
      </c>
      <c r="P1313" s="82" t="s">
        <v>5738</v>
      </c>
      <c r="Q1313" s="84" t="s">
        <v>1321</v>
      </c>
      <c r="R1313" s="84" t="s">
        <v>1322</v>
      </c>
      <c r="S1313" s="84">
        <v>0.16500000000000001</v>
      </c>
      <c r="T1313" s="82" t="s">
        <v>4113</v>
      </c>
      <c r="U1313" s="84" t="s">
        <v>3584</v>
      </c>
      <c r="V1313" s="54"/>
    </row>
    <row r="1314" spans="1:22" s="11" customFormat="1" ht="45" customHeight="1" x14ac:dyDescent="0.2">
      <c r="A1314" s="66" t="s">
        <v>3577</v>
      </c>
      <c r="B1314" s="66" t="s">
        <v>1707</v>
      </c>
      <c r="C1314" s="66" t="s">
        <v>3578</v>
      </c>
      <c r="D1314" s="66">
        <v>81943</v>
      </c>
      <c r="E1314" s="68" t="s">
        <v>5739</v>
      </c>
      <c r="F1314" s="66" t="s">
        <v>5740</v>
      </c>
      <c r="G1314" s="71">
        <v>6890</v>
      </c>
      <c r="H1314" s="73"/>
      <c r="I1314" s="75">
        <v>0.1</v>
      </c>
      <c r="J1314" s="77"/>
      <c r="K1314" s="66"/>
      <c r="L1314" s="66"/>
      <c r="M1314" s="79" t="str">
        <f>HYPERLINK("http://www.pristavka.com/catalog/funko/Fun81943/")</f>
        <v>http://www.pristavka.com/catalog/funko/Fun81943/</v>
      </c>
      <c r="N1314" s="71">
        <v>10599</v>
      </c>
      <c r="O1314" s="66" t="s">
        <v>27</v>
      </c>
      <c r="P1314" s="82" t="s">
        <v>5741</v>
      </c>
      <c r="Q1314" s="84" t="s">
        <v>1321</v>
      </c>
      <c r="R1314" s="84" t="s">
        <v>1322</v>
      </c>
      <c r="S1314" s="84">
        <v>0.17299999999999999</v>
      </c>
      <c r="T1314" s="82" t="s">
        <v>4084</v>
      </c>
      <c r="U1314" s="84" t="s">
        <v>3584</v>
      </c>
      <c r="V1314" s="54"/>
    </row>
    <row r="1315" spans="1:22" s="11" customFormat="1" ht="45" customHeight="1" x14ac:dyDescent="0.2">
      <c r="A1315" s="66" t="s">
        <v>3577</v>
      </c>
      <c r="B1315" s="66" t="s">
        <v>1707</v>
      </c>
      <c r="C1315" s="66" t="s">
        <v>3578</v>
      </c>
      <c r="D1315" s="66">
        <v>81944</v>
      </c>
      <c r="E1315" s="68" t="s">
        <v>5742</v>
      </c>
      <c r="F1315" s="66" t="s">
        <v>5743</v>
      </c>
      <c r="G1315" s="71">
        <v>6890</v>
      </c>
      <c r="H1315" s="73"/>
      <c r="I1315" s="75">
        <v>0.1</v>
      </c>
      <c r="J1315" s="77"/>
      <c r="K1315" s="66"/>
      <c r="L1315" s="66"/>
      <c r="M1315" s="79" t="str">
        <f>HYPERLINK("http://www.pristavka.com/catalog/funko/Fun81944/")</f>
        <v>http://www.pristavka.com/catalog/funko/Fun81944/</v>
      </c>
      <c r="N1315" s="71">
        <v>10599</v>
      </c>
      <c r="O1315" s="66" t="s">
        <v>27</v>
      </c>
      <c r="P1315" s="82" t="s">
        <v>5744</v>
      </c>
      <c r="Q1315" s="84" t="s">
        <v>1321</v>
      </c>
      <c r="R1315" s="84" t="s">
        <v>1322</v>
      </c>
      <c r="S1315" s="84">
        <v>0.17</v>
      </c>
      <c r="T1315" s="82" t="s">
        <v>4084</v>
      </c>
      <c r="U1315" s="84" t="s">
        <v>3584</v>
      </c>
      <c r="V1315" s="54"/>
    </row>
    <row r="1316" spans="1:22" s="11" customFormat="1" ht="45" customHeight="1" x14ac:dyDescent="0.2">
      <c r="A1316" s="66" t="s">
        <v>3577</v>
      </c>
      <c r="B1316" s="66" t="s">
        <v>1707</v>
      </c>
      <c r="C1316" s="66" t="s">
        <v>3578</v>
      </c>
      <c r="D1316" s="66">
        <v>33886</v>
      </c>
      <c r="E1316" s="68" t="s">
        <v>5745</v>
      </c>
      <c r="F1316" s="66" t="s">
        <v>5746</v>
      </c>
      <c r="G1316" s="71">
        <v>6500</v>
      </c>
      <c r="H1316" s="73"/>
      <c r="I1316" s="75">
        <v>0.1</v>
      </c>
      <c r="J1316" s="77"/>
      <c r="K1316" s="66"/>
      <c r="L1316" s="66"/>
      <c r="M1316" s="79" t="str">
        <f>HYPERLINK("http://www.pristavka.com/catalog/funko/Fun1578/")</f>
        <v>http://www.pristavka.com/catalog/funko/Fun1578/</v>
      </c>
      <c r="N1316" s="71">
        <v>9999</v>
      </c>
      <c r="O1316" s="66" t="s">
        <v>27</v>
      </c>
      <c r="P1316" s="82" t="s">
        <v>5747</v>
      </c>
      <c r="Q1316" s="84" t="s">
        <v>5292</v>
      </c>
      <c r="R1316" s="84" t="s">
        <v>1322</v>
      </c>
      <c r="S1316" s="84">
        <v>0.14399999999999999</v>
      </c>
      <c r="T1316" s="82" t="s">
        <v>4102</v>
      </c>
      <c r="U1316" s="84" t="s">
        <v>3584</v>
      </c>
      <c r="V1316" s="54"/>
    </row>
    <row r="1317" spans="1:22" s="11" customFormat="1" ht="45" customHeight="1" x14ac:dyDescent="0.2">
      <c r="A1317" s="66" t="s">
        <v>3577</v>
      </c>
      <c r="B1317" s="66" t="s">
        <v>1707</v>
      </c>
      <c r="C1317" s="66" t="s">
        <v>3578</v>
      </c>
      <c r="D1317" s="66">
        <v>33884</v>
      </c>
      <c r="E1317" s="68" t="s">
        <v>5748</v>
      </c>
      <c r="F1317" s="66" t="s">
        <v>5749</v>
      </c>
      <c r="G1317" s="71">
        <v>6500</v>
      </c>
      <c r="H1317" s="73"/>
      <c r="I1317" s="75">
        <v>0.1</v>
      </c>
      <c r="J1317" s="77"/>
      <c r="K1317" s="66"/>
      <c r="L1317" s="66"/>
      <c r="M1317" s="79" t="str">
        <f>HYPERLINK("http://www.pristavka.com/catalog/funko/Fun1579/")</f>
        <v>http://www.pristavka.com/catalog/funko/Fun1579/</v>
      </c>
      <c r="N1317" s="71">
        <v>9999</v>
      </c>
      <c r="O1317" s="66" t="s">
        <v>27</v>
      </c>
      <c r="P1317" s="82" t="s">
        <v>5750</v>
      </c>
      <c r="Q1317" s="84" t="s">
        <v>5292</v>
      </c>
      <c r="R1317" s="84" t="s">
        <v>1322</v>
      </c>
      <c r="S1317" s="84">
        <v>0.14399999999999999</v>
      </c>
      <c r="T1317" s="82" t="s">
        <v>4102</v>
      </c>
      <c r="U1317" s="84" t="s">
        <v>3584</v>
      </c>
      <c r="V1317" s="54"/>
    </row>
    <row r="1318" spans="1:22" s="11" customFormat="1" ht="45" customHeight="1" x14ac:dyDescent="0.2">
      <c r="A1318" s="66" t="s">
        <v>3577</v>
      </c>
      <c r="B1318" s="66" t="s">
        <v>1707</v>
      </c>
      <c r="C1318" s="66" t="s">
        <v>3578</v>
      </c>
      <c r="D1318" s="66">
        <v>80009</v>
      </c>
      <c r="E1318" s="68" t="s">
        <v>5751</v>
      </c>
      <c r="F1318" s="66" t="s">
        <v>5752</v>
      </c>
      <c r="G1318" s="71">
        <v>0</v>
      </c>
      <c r="H1318" s="73"/>
      <c r="I1318" s="75">
        <v>0.1</v>
      </c>
      <c r="J1318" s="77"/>
      <c r="K1318" s="66"/>
      <c r="L1318" s="66"/>
      <c r="M1318" s="79" t="str">
        <f>HYPERLINK("http://www.pristavka.com/catalog/funko/Fun80009/")</f>
        <v>http://www.pristavka.com/catalog/funko/Fun80009/</v>
      </c>
      <c r="N1318" s="71"/>
      <c r="O1318" s="66" t="s">
        <v>27</v>
      </c>
      <c r="P1318" s="82" t="s">
        <v>5753</v>
      </c>
      <c r="Q1318" s="84" t="s">
        <v>1321</v>
      </c>
      <c r="R1318" s="84" t="s">
        <v>1322</v>
      </c>
      <c r="S1318" s="84">
        <v>0.23499999999999999</v>
      </c>
      <c r="T1318" s="82" t="s">
        <v>4084</v>
      </c>
      <c r="U1318" s="84" t="s">
        <v>3584</v>
      </c>
      <c r="V1318" s="54"/>
    </row>
    <row r="1319" spans="1:22" s="11" customFormat="1" ht="45" customHeight="1" x14ac:dyDescent="0.2">
      <c r="A1319" s="66" t="s">
        <v>3577</v>
      </c>
      <c r="B1319" s="66" t="s">
        <v>1707</v>
      </c>
      <c r="C1319" s="66" t="s">
        <v>3578</v>
      </c>
      <c r="D1319" s="66">
        <v>80010</v>
      </c>
      <c r="E1319" s="68" t="s">
        <v>5754</v>
      </c>
      <c r="F1319" s="66" t="s">
        <v>5755</v>
      </c>
      <c r="G1319" s="71">
        <v>0</v>
      </c>
      <c r="H1319" s="73"/>
      <c r="I1319" s="75">
        <v>0.1</v>
      </c>
      <c r="J1319" s="77"/>
      <c r="K1319" s="66"/>
      <c r="L1319" s="66"/>
      <c r="M1319" s="79" t="str">
        <f>HYPERLINK("http://www.pristavka.com/catalog/funko/Fun80010/")</f>
        <v>http://www.pristavka.com/catalog/funko/Fun80010/</v>
      </c>
      <c r="N1319" s="71"/>
      <c r="O1319" s="66" t="s">
        <v>27</v>
      </c>
      <c r="P1319" s="82" t="s">
        <v>5756</v>
      </c>
      <c r="Q1319" s="84" t="s">
        <v>1321</v>
      </c>
      <c r="R1319" s="84" t="s">
        <v>1322</v>
      </c>
      <c r="S1319" s="84">
        <v>0.22</v>
      </c>
      <c r="T1319" s="82" t="s">
        <v>4084</v>
      </c>
      <c r="U1319" s="84" t="s">
        <v>3584</v>
      </c>
      <c r="V1319" s="54"/>
    </row>
    <row r="1320" spans="1:22" s="11" customFormat="1" ht="45" customHeight="1" x14ac:dyDescent="0.2">
      <c r="A1320" s="66" t="s">
        <v>3577</v>
      </c>
      <c r="B1320" s="66" t="s">
        <v>1707</v>
      </c>
      <c r="C1320" s="66" t="s">
        <v>3578</v>
      </c>
      <c r="D1320" s="66">
        <v>80011</v>
      </c>
      <c r="E1320" s="68" t="s">
        <v>5757</v>
      </c>
      <c r="F1320" s="66" t="s">
        <v>5758</v>
      </c>
      <c r="G1320" s="71">
        <v>0</v>
      </c>
      <c r="H1320" s="73"/>
      <c r="I1320" s="75">
        <v>0.1</v>
      </c>
      <c r="J1320" s="77"/>
      <c r="K1320" s="66"/>
      <c r="L1320" s="66"/>
      <c r="M1320" s="79" t="str">
        <f>HYPERLINK("http://www.pristavka.com/catalog/funko/Fun80011/")</f>
        <v>http://www.pristavka.com/catalog/funko/Fun80011/</v>
      </c>
      <c r="N1320" s="71"/>
      <c r="O1320" s="66" t="s">
        <v>27</v>
      </c>
      <c r="P1320" s="82" t="s">
        <v>5759</v>
      </c>
      <c r="Q1320" s="84" t="s">
        <v>1321</v>
      </c>
      <c r="R1320" s="84" t="s">
        <v>1322</v>
      </c>
      <c r="S1320" s="84">
        <v>0.21</v>
      </c>
      <c r="T1320" s="82" t="s">
        <v>4084</v>
      </c>
      <c r="U1320" s="84" t="s">
        <v>3584</v>
      </c>
      <c r="V1320" s="54"/>
    </row>
    <row r="1321" spans="1:22" s="11" customFormat="1" ht="45" customHeight="1" x14ac:dyDescent="0.2">
      <c r="A1321" s="66" t="s">
        <v>3577</v>
      </c>
      <c r="B1321" s="66" t="s">
        <v>1707</v>
      </c>
      <c r="C1321" s="66" t="s">
        <v>3578</v>
      </c>
      <c r="D1321" s="66">
        <v>79934</v>
      </c>
      <c r="E1321" s="68" t="s">
        <v>5760</v>
      </c>
      <c r="F1321" s="66" t="s">
        <v>5761</v>
      </c>
      <c r="G1321" s="71">
        <v>6500</v>
      </c>
      <c r="H1321" s="73"/>
      <c r="I1321" s="75">
        <v>0.1</v>
      </c>
      <c r="J1321" s="77"/>
      <c r="K1321" s="66"/>
      <c r="L1321" s="66"/>
      <c r="M1321" s="79" t="str">
        <f>HYPERLINK("http://www.pristavka.com/catalog/funko/Fun79934/")</f>
        <v>http://www.pristavka.com/catalog/funko/Fun79934/</v>
      </c>
      <c r="N1321" s="71">
        <v>9999</v>
      </c>
      <c r="O1321" s="66" t="s">
        <v>27</v>
      </c>
      <c r="P1321" s="82" t="s">
        <v>5762</v>
      </c>
      <c r="Q1321" s="84" t="s">
        <v>3916</v>
      </c>
      <c r="R1321" s="84" t="s">
        <v>1322</v>
      </c>
      <c r="S1321" s="84">
        <v>0.18</v>
      </c>
      <c r="T1321" s="82" t="s">
        <v>4084</v>
      </c>
      <c r="U1321" s="84" t="s">
        <v>3584</v>
      </c>
      <c r="V1321" s="54"/>
    </row>
    <row r="1322" spans="1:22" s="11" customFormat="1" ht="45" customHeight="1" x14ac:dyDescent="0.2">
      <c r="A1322" s="66" t="s">
        <v>3577</v>
      </c>
      <c r="B1322" s="66" t="s">
        <v>1707</v>
      </c>
      <c r="C1322" s="66" t="s">
        <v>3578</v>
      </c>
      <c r="D1322" s="66">
        <v>33891</v>
      </c>
      <c r="E1322" s="68" t="s">
        <v>5763</v>
      </c>
      <c r="F1322" s="66" t="s">
        <v>5764</v>
      </c>
      <c r="G1322" s="71">
        <v>6500</v>
      </c>
      <c r="H1322" s="73"/>
      <c r="I1322" s="75">
        <v>0.1</v>
      </c>
      <c r="J1322" s="77"/>
      <c r="K1322" s="66"/>
      <c r="L1322" s="66"/>
      <c r="M1322" s="79" t="str">
        <f>HYPERLINK("http://www.pristavka.com/catalog/funko/Fun1580/")</f>
        <v>http://www.pristavka.com/catalog/funko/Fun1580/</v>
      </c>
      <c r="N1322" s="71">
        <v>9999</v>
      </c>
      <c r="O1322" s="66" t="s">
        <v>27</v>
      </c>
      <c r="P1322" s="82" t="s">
        <v>5765</v>
      </c>
      <c r="Q1322" s="84" t="s">
        <v>5292</v>
      </c>
      <c r="R1322" s="84" t="s">
        <v>1322</v>
      </c>
      <c r="S1322" s="84">
        <v>0.14399999999999999</v>
      </c>
      <c r="T1322" s="82" t="s">
        <v>4102</v>
      </c>
      <c r="U1322" s="84" t="s">
        <v>3584</v>
      </c>
      <c r="V1322" s="54"/>
    </row>
    <row r="1323" spans="1:22" s="11" customFormat="1" ht="45" customHeight="1" x14ac:dyDescent="0.2">
      <c r="A1323" s="66" t="s">
        <v>3577</v>
      </c>
      <c r="B1323" s="66" t="s">
        <v>1707</v>
      </c>
      <c r="C1323" s="66" t="s">
        <v>3578</v>
      </c>
      <c r="D1323" s="66">
        <v>33885</v>
      </c>
      <c r="E1323" s="68" t="s">
        <v>5766</v>
      </c>
      <c r="F1323" s="66" t="s">
        <v>5767</v>
      </c>
      <c r="G1323" s="71">
        <v>6500</v>
      </c>
      <c r="H1323" s="73"/>
      <c r="I1323" s="75">
        <v>0.1</v>
      </c>
      <c r="J1323" s="77"/>
      <c r="K1323" s="66"/>
      <c r="L1323" s="66"/>
      <c r="M1323" s="79" t="str">
        <f>HYPERLINK("http://www.pristavka.com/catalog/funko/Fun1581/")</f>
        <v>http://www.pristavka.com/catalog/funko/Fun1581/</v>
      </c>
      <c r="N1323" s="71">
        <v>9999</v>
      </c>
      <c r="O1323" s="66" t="s">
        <v>27</v>
      </c>
      <c r="P1323" s="82" t="s">
        <v>5768</v>
      </c>
      <c r="Q1323" s="84" t="s">
        <v>5292</v>
      </c>
      <c r="R1323" s="84" t="s">
        <v>1322</v>
      </c>
      <c r="S1323" s="84">
        <v>0.13300000000000001</v>
      </c>
      <c r="T1323" s="82" t="s">
        <v>4746</v>
      </c>
      <c r="U1323" s="84" t="s">
        <v>3584</v>
      </c>
      <c r="V1323" s="54"/>
    </row>
    <row r="1324" spans="1:22" s="11" customFormat="1" ht="45" customHeight="1" x14ac:dyDescent="0.2">
      <c r="A1324" s="66" t="s">
        <v>3577</v>
      </c>
      <c r="B1324" s="66" t="s">
        <v>1707</v>
      </c>
      <c r="C1324" s="66" t="s">
        <v>3578</v>
      </c>
      <c r="D1324" s="66">
        <v>77368</v>
      </c>
      <c r="E1324" s="68" t="s">
        <v>5769</v>
      </c>
      <c r="F1324" s="66" t="s">
        <v>5770</v>
      </c>
      <c r="G1324" s="71">
        <v>0</v>
      </c>
      <c r="H1324" s="73"/>
      <c r="I1324" s="75">
        <v>0.1</v>
      </c>
      <c r="J1324" s="77"/>
      <c r="K1324" s="66"/>
      <c r="L1324" s="66"/>
      <c r="M1324" s="79" t="str">
        <f>HYPERLINK("https://pristavka.com/catalog/funko_figures/Fun77368/")</f>
        <v>https://pristavka.com/catalog/funko_figures/Fun77368/</v>
      </c>
      <c r="N1324" s="71"/>
      <c r="O1324" s="66" t="s">
        <v>27</v>
      </c>
      <c r="P1324" s="82" t="s">
        <v>5771</v>
      </c>
      <c r="Q1324" s="84" t="s">
        <v>1321</v>
      </c>
      <c r="R1324" s="84" t="s">
        <v>1322</v>
      </c>
      <c r="S1324" s="84">
        <v>0.20399999999999999</v>
      </c>
      <c r="T1324" s="82" t="s">
        <v>4091</v>
      </c>
      <c r="U1324" s="84" t="s">
        <v>3584</v>
      </c>
      <c r="V1324" s="54"/>
    </row>
    <row r="1325" spans="1:22" s="11" customFormat="1" ht="45" customHeight="1" x14ac:dyDescent="0.2">
      <c r="A1325" s="66" t="s">
        <v>3577</v>
      </c>
      <c r="B1325" s="66" t="s">
        <v>1707</v>
      </c>
      <c r="C1325" s="66" t="s">
        <v>3578</v>
      </c>
      <c r="D1325" s="66">
        <v>45540</v>
      </c>
      <c r="E1325" s="68" t="s">
        <v>5772</v>
      </c>
      <c r="F1325" s="66" t="s">
        <v>5773</v>
      </c>
      <c r="G1325" s="71">
        <v>6500</v>
      </c>
      <c r="H1325" s="73"/>
      <c r="I1325" s="75">
        <v>0.1</v>
      </c>
      <c r="J1325" s="77"/>
      <c r="K1325" s="66"/>
      <c r="L1325" s="66"/>
      <c r="M1325" s="79" t="str">
        <f>HYPERLINK("http://www.pristavka.com/catalog/funko/Fun2549656/")</f>
        <v>http://www.pristavka.com/catalog/funko/Fun2549656/</v>
      </c>
      <c r="N1325" s="71">
        <v>9999</v>
      </c>
      <c r="O1325" s="66" t="s">
        <v>27</v>
      </c>
      <c r="P1325" s="82" t="s">
        <v>5774</v>
      </c>
      <c r="Q1325" s="84" t="s">
        <v>3916</v>
      </c>
      <c r="R1325" s="84" t="s">
        <v>1322</v>
      </c>
      <c r="S1325" s="84">
        <v>0.14000000000000001</v>
      </c>
      <c r="T1325" s="82" t="s">
        <v>4091</v>
      </c>
      <c r="U1325" s="84" t="s">
        <v>3584</v>
      </c>
      <c r="V1325" s="54"/>
    </row>
    <row r="1326" spans="1:22" s="11" customFormat="1" ht="45" customHeight="1" x14ac:dyDescent="0.2">
      <c r="A1326" s="66" t="s">
        <v>3577</v>
      </c>
      <c r="B1326" s="66" t="s">
        <v>1707</v>
      </c>
      <c r="C1326" s="66" t="s">
        <v>3578</v>
      </c>
      <c r="D1326" s="66">
        <v>45542</v>
      </c>
      <c r="E1326" s="68" t="s">
        <v>5775</v>
      </c>
      <c r="F1326" s="66" t="s">
        <v>5776</v>
      </c>
      <c r="G1326" s="71">
        <v>6500</v>
      </c>
      <c r="H1326" s="73"/>
      <c r="I1326" s="75">
        <v>0.1</v>
      </c>
      <c r="J1326" s="77"/>
      <c r="K1326" s="66"/>
      <c r="L1326" s="66"/>
      <c r="M1326" s="79" t="str">
        <f>HYPERLINK("http://www.pristavka.com/catalog/funko/Fun2549389/")</f>
        <v>http://www.pristavka.com/catalog/funko/Fun2549389/</v>
      </c>
      <c r="N1326" s="71">
        <v>9999</v>
      </c>
      <c r="O1326" s="66" t="s">
        <v>27</v>
      </c>
      <c r="P1326" s="82" t="s">
        <v>5777</v>
      </c>
      <c r="Q1326" s="84" t="s">
        <v>3916</v>
      </c>
      <c r="R1326" s="84" t="s">
        <v>1322</v>
      </c>
      <c r="S1326" s="84">
        <v>0.14000000000000001</v>
      </c>
      <c r="T1326" s="82" t="s">
        <v>4091</v>
      </c>
      <c r="U1326" s="84" t="s">
        <v>3584</v>
      </c>
      <c r="V1326" s="54"/>
    </row>
    <row r="1327" spans="1:22" s="11" customFormat="1" ht="45" customHeight="1" x14ac:dyDescent="0.2">
      <c r="A1327" s="66" t="s">
        <v>3577</v>
      </c>
      <c r="B1327" s="66" t="s">
        <v>1707</v>
      </c>
      <c r="C1327" s="66" t="s">
        <v>3578</v>
      </c>
      <c r="D1327" s="66">
        <v>50959</v>
      </c>
      <c r="E1327" s="68" t="s">
        <v>5778</v>
      </c>
      <c r="F1327" s="66" t="s">
        <v>5779</v>
      </c>
      <c r="G1327" s="71">
        <v>6500</v>
      </c>
      <c r="H1327" s="73"/>
      <c r="I1327" s="75">
        <v>0.1</v>
      </c>
      <c r="J1327" s="77"/>
      <c r="K1327" s="66"/>
      <c r="L1327" s="66"/>
      <c r="M1327" s="79" t="str">
        <f>HYPERLINK("http://www.pristavka.com/catalog/funko/Fun2549817/")</f>
        <v>http://www.pristavka.com/catalog/funko/Fun2549817/</v>
      </c>
      <c r="N1327" s="71">
        <v>9999</v>
      </c>
      <c r="O1327" s="66" t="s">
        <v>28</v>
      </c>
      <c r="P1327" s="82" t="s">
        <v>5780</v>
      </c>
      <c r="Q1327" s="84" t="s">
        <v>3916</v>
      </c>
      <c r="R1327" s="84" t="s">
        <v>1322</v>
      </c>
      <c r="S1327" s="84">
        <v>0.185</v>
      </c>
      <c r="T1327" s="82" t="s">
        <v>5781</v>
      </c>
      <c r="U1327" s="84" t="s">
        <v>3584</v>
      </c>
      <c r="V1327" s="54"/>
    </row>
    <row r="1328" spans="1:22" s="11" customFormat="1" ht="45" customHeight="1" x14ac:dyDescent="0.2">
      <c r="A1328" s="66" t="s">
        <v>3577</v>
      </c>
      <c r="B1328" s="66" t="s">
        <v>1707</v>
      </c>
      <c r="C1328" s="66" t="s">
        <v>3578</v>
      </c>
      <c r="D1328" s="66">
        <v>80004</v>
      </c>
      <c r="E1328" s="68" t="s">
        <v>5782</v>
      </c>
      <c r="F1328" s="66" t="s">
        <v>5783</v>
      </c>
      <c r="G1328" s="71">
        <v>6500</v>
      </c>
      <c r="H1328" s="73"/>
      <c r="I1328" s="75">
        <v>0.1</v>
      </c>
      <c r="J1328" s="77"/>
      <c r="K1328" s="66"/>
      <c r="L1328" s="66"/>
      <c r="M1328" s="79" t="str">
        <f>HYPERLINK("http://www.pristavka.com/catalog/funko/Fun80004/")</f>
        <v>http://www.pristavka.com/catalog/funko/Fun80004/</v>
      </c>
      <c r="N1328" s="71">
        <v>9999</v>
      </c>
      <c r="O1328" s="66" t="s">
        <v>28</v>
      </c>
      <c r="P1328" s="82" t="s">
        <v>5784</v>
      </c>
      <c r="Q1328" s="84" t="s">
        <v>1321</v>
      </c>
      <c r="R1328" s="84" t="s">
        <v>1322</v>
      </c>
      <c r="S1328" s="84">
        <v>0.19</v>
      </c>
      <c r="T1328" s="82" t="s">
        <v>4084</v>
      </c>
      <c r="U1328" s="84" t="s">
        <v>3584</v>
      </c>
      <c r="V1328" s="54"/>
    </row>
    <row r="1329" spans="1:22" s="11" customFormat="1" ht="45" customHeight="1" x14ac:dyDescent="0.2">
      <c r="A1329" s="66" t="s">
        <v>3577</v>
      </c>
      <c r="B1329" s="66" t="s">
        <v>1707</v>
      </c>
      <c r="C1329" s="66" t="s">
        <v>3578</v>
      </c>
      <c r="D1329" s="66">
        <v>78342</v>
      </c>
      <c r="E1329" s="68" t="s">
        <v>5785</v>
      </c>
      <c r="F1329" s="66" t="s">
        <v>5786</v>
      </c>
      <c r="G1329" s="71">
        <v>0</v>
      </c>
      <c r="H1329" s="73"/>
      <c r="I1329" s="75">
        <v>0.1</v>
      </c>
      <c r="J1329" s="77"/>
      <c r="K1329" s="66"/>
      <c r="L1329" s="66"/>
      <c r="M1329" s="79" t="str">
        <f>HYPERLINK("http://www.pristavka.com/catalog/funko/Fun78342/")</f>
        <v>http://www.pristavka.com/catalog/funko/Fun78342/</v>
      </c>
      <c r="N1329" s="71"/>
      <c r="O1329" s="66" t="s">
        <v>27</v>
      </c>
      <c r="P1329" s="82" t="s">
        <v>5787</v>
      </c>
      <c r="Q1329" s="84" t="s">
        <v>3916</v>
      </c>
      <c r="R1329" s="84" t="s">
        <v>1322</v>
      </c>
      <c r="S1329" s="84">
        <v>0.124</v>
      </c>
      <c r="T1329" s="82" t="s">
        <v>4113</v>
      </c>
      <c r="U1329" s="84" t="s">
        <v>3584</v>
      </c>
      <c r="V1329" s="54"/>
    </row>
    <row r="1330" spans="1:22" s="11" customFormat="1" ht="45" customHeight="1" x14ac:dyDescent="0.2">
      <c r="A1330" s="66" t="s">
        <v>3577</v>
      </c>
      <c r="B1330" s="66" t="s">
        <v>1707</v>
      </c>
      <c r="C1330" s="66" t="s">
        <v>3578</v>
      </c>
      <c r="D1330" s="66">
        <v>80005</v>
      </c>
      <c r="E1330" s="68" t="s">
        <v>5788</v>
      </c>
      <c r="F1330" s="66" t="s">
        <v>5789</v>
      </c>
      <c r="G1330" s="71">
        <v>6500</v>
      </c>
      <c r="H1330" s="73"/>
      <c r="I1330" s="75">
        <v>0.1</v>
      </c>
      <c r="J1330" s="77"/>
      <c r="K1330" s="66"/>
      <c r="L1330" s="66"/>
      <c r="M1330" s="79" t="str">
        <f>HYPERLINK("http://www.pristavka.com/catalog/funko/Fun80005/")</f>
        <v>http://www.pristavka.com/catalog/funko/Fun80005/</v>
      </c>
      <c r="N1330" s="71">
        <v>9999</v>
      </c>
      <c r="O1330" s="66" t="s">
        <v>27</v>
      </c>
      <c r="P1330" s="82" t="s">
        <v>5790</v>
      </c>
      <c r="Q1330" s="84" t="s">
        <v>1321</v>
      </c>
      <c r="R1330" s="84" t="s">
        <v>1322</v>
      </c>
      <c r="S1330" s="84">
        <v>0.153</v>
      </c>
      <c r="T1330" s="82" t="s">
        <v>4084</v>
      </c>
      <c r="U1330" s="84" t="s">
        <v>3584</v>
      </c>
      <c r="V1330" s="54"/>
    </row>
    <row r="1331" spans="1:22" s="11" customFormat="1" ht="45" customHeight="1" x14ac:dyDescent="0.2">
      <c r="A1331" s="66" t="s">
        <v>3577</v>
      </c>
      <c r="B1331" s="66" t="s">
        <v>1707</v>
      </c>
      <c r="C1331" s="66" t="s">
        <v>3578</v>
      </c>
      <c r="D1331" s="66">
        <v>82112</v>
      </c>
      <c r="E1331" s="68" t="s">
        <v>5791</v>
      </c>
      <c r="F1331" s="66" t="s">
        <v>5792</v>
      </c>
      <c r="G1331" s="71">
        <v>0</v>
      </c>
      <c r="H1331" s="73"/>
      <c r="I1331" s="75">
        <v>0.1</v>
      </c>
      <c r="J1331" s="77"/>
      <c r="K1331" s="66"/>
      <c r="L1331" s="66"/>
      <c r="M1331" s="79" t="str">
        <f>HYPERLINK("http://www.pristavka.com/catalog/funko/Fun82112/")</f>
        <v>http://www.pristavka.com/catalog/funko/Fun82112/</v>
      </c>
      <c r="N1331" s="71"/>
      <c r="O1331" s="66" t="s">
        <v>27</v>
      </c>
      <c r="P1331" s="82" t="s">
        <v>5793</v>
      </c>
      <c r="Q1331" s="84" t="s">
        <v>3916</v>
      </c>
      <c r="R1331" s="84" t="s">
        <v>1322</v>
      </c>
      <c r="S1331" s="84">
        <v>0.16</v>
      </c>
      <c r="T1331" s="82" t="s">
        <v>4113</v>
      </c>
      <c r="U1331" s="84" t="s">
        <v>3584</v>
      </c>
      <c r="V1331" s="54"/>
    </row>
    <row r="1332" spans="1:22" s="11" customFormat="1" ht="45" customHeight="1" x14ac:dyDescent="0.2">
      <c r="A1332" s="66" t="s">
        <v>3577</v>
      </c>
      <c r="B1332" s="66" t="s">
        <v>1707</v>
      </c>
      <c r="C1332" s="66" t="s">
        <v>3578</v>
      </c>
      <c r="D1332" s="66">
        <v>78341</v>
      </c>
      <c r="E1332" s="68" t="s">
        <v>5794</v>
      </c>
      <c r="F1332" s="66" t="s">
        <v>5795</v>
      </c>
      <c r="G1332" s="71">
        <v>0</v>
      </c>
      <c r="H1332" s="73"/>
      <c r="I1332" s="75">
        <v>0.1</v>
      </c>
      <c r="J1332" s="77"/>
      <c r="K1332" s="66"/>
      <c r="L1332" s="66"/>
      <c r="M1332" s="79" t="str">
        <f>HYPERLINK("http://www.pristavka.com/catalog/funko/Fun78341/")</f>
        <v>http://www.pristavka.com/catalog/funko/Fun78341/</v>
      </c>
      <c r="N1332" s="71"/>
      <c r="O1332" s="66" t="s">
        <v>27</v>
      </c>
      <c r="P1332" s="82" t="s">
        <v>5796</v>
      </c>
      <c r="Q1332" s="84" t="s">
        <v>3916</v>
      </c>
      <c r="R1332" s="84" t="s">
        <v>1322</v>
      </c>
      <c r="S1332" s="84">
        <v>0.16600000000000001</v>
      </c>
      <c r="T1332" s="82" t="s">
        <v>4113</v>
      </c>
      <c r="U1332" s="84" t="s">
        <v>3584</v>
      </c>
      <c r="V1332" s="54"/>
    </row>
    <row r="1333" spans="1:22" s="11" customFormat="1" ht="45" customHeight="1" x14ac:dyDescent="0.2">
      <c r="A1333" s="66" t="s">
        <v>3577</v>
      </c>
      <c r="B1333" s="66" t="s">
        <v>1707</v>
      </c>
      <c r="C1333" s="66" t="s">
        <v>3578</v>
      </c>
      <c r="D1333" s="66">
        <v>76552</v>
      </c>
      <c r="E1333" s="68" t="s">
        <v>5797</v>
      </c>
      <c r="F1333" s="66" t="s">
        <v>5798</v>
      </c>
      <c r="G1333" s="71">
        <v>6500</v>
      </c>
      <c r="H1333" s="73"/>
      <c r="I1333" s="75">
        <v>0.1</v>
      </c>
      <c r="J1333" s="77"/>
      <c r="K1333" s="66"/>
      <c r="L1333" s="66"/>
      <c r="M1333" s="79" t="str">
        <f>HYPERLINK("http://www.pristavka.com/catalog/funko/Fun76552/")</f>
        <v>http://www.pristavka.com/catalog/funko/Fun76552/</v>
      </c>
      <c r="N1333" s="71">
        <v>9999</v>
      </c>
      <c r="O1333" s="66" t="s">
        <v>27</v>
      </c>
      <c r="P1333" s="82" t="s">
        <v>5799</v>
      </c>
      <c r="Q1333" s="84" t="s">
        <v>3916</v>
      </c>
      <c r="R1333" s="84" t="s">
        <v>1322</v>
      </c>
      <c r="S1333" s="84">
        <v>0.17399999999999999</v>
      </c>
      <c r="T1333" s="82" t="s">
        <v>4165</v>
      </c>
      <c r="U1333" s="84" t="s">
        <v>3584</v>
      </c>
      <c r="V1333" s="54"/>
    </row>
    <row r="1334" spans="1:22" s="11" customFormat="1" ht="45" customHeight="1" x14ac:dyDescent="0.2">
      <c r="A1334" s="66" t="s">
        <v>3577</v>
      </c>
      <c r="B1334" s="66" t="s">
        <v>1707</v>
      </c>
      <c r="C1334" s="66" t="s">
        <v>3578</v>
      </c>
      <c r="D1334" s="66">
        <v>76554</v>
      </c>
      <c r="E1334" s="68" t="s">
        <v>5800</v>
      </c>
      <c r="F1334" s="66" t="s">
        <v>5801</v>
      </c>
      <c r="G1334" s="71">
        <v>6500</v>
      </c>
      <c r="H1334" s="73"/>
      <c r="I1334" s="75">
        <v>0.1</v>
      </c>
      <c r="J1334" s="77"/>
      <c r="K1334" s="66"/>
      <c r="L1334" s="66"/>
      <c r="M1334" s="79" t="str">
        <f>HYPERLINK("http://www.pristavka.com/catalog/funko/Fun76554/")</f>
        <v>http://www.pristavka.com/catalog/funko/Fun76554/</v>
      </c>
      <c r="N1334" s="71">
        <v>9999</v>
      </c>
      <c r="O1334" s="66" t="s">
        <v>27</v>
      </c>
      <c r="P1334" s="82" t="s">
        <v>5802</v>
      </c>
      <c r="Q1334" s="84" t="s">
        <v>3916</v>
      </c>
      <c r="R1334" s="84" t="s">
        <v>1322</v>
      </c>
      <c r="S1334" s="84">
        <v>0.152</v>
      </c>
      <c r="T1334" s="82" t="s">
        <v>4165</v>
      </c>
      <c r="U1334" s="84" t="s">
        <v>3584</v>
      </c>
      <c r="V1334" s="54"/>
    </row>
    <row r="1335" spans="1:22" s="11" customFormat="1" ht="45" customHeight="1" x14ac:dyDescent="0.2">
      <c r="A1335" s="66" t="s">
        <v>3577</v>
      </c>
      <c r="B1335" s="66" t="s">
        <v>1707</v>
      </c>
      <c r="C1335" s="66" t="s">
        <v>3578</v>
      </c>
      <c r="D1335" s="66">
        <v>83595</v>
      </c>
      <c r="E1335" s="68" t="s">
        <v>5803</v>
      </c>
      <c r="F1335" s="66" t="s">
        <v>5804</v>
      </c>
      <c r="G1335" s="71">
        <v>6500</v>
      </c>
      <c r="H1335" s="73"/>
      <c r="I1335" s="75">
        <v>0.1</v>
      </c>
      <c r="J1335" s="77"/>
      <c r="K1335" s="66"/>
      <c r="L1335" s="66"/>
      <c r="M1335" s="79" t="str">
        <f>HYPERLINK("http://www.pristavka.com/catalog/funko/Fun83595/")</f>
        <v>http://www.pristavka.com/catalog/funko/Fun83595/</v>
      </c>
      <c r="N1335" s="71">
        <v>9999</v>
      </c>
      <c r="O1335" s="66" t="s">
        <v>27</v>
      </c>
      <c r="P1335" s="82" t="s">
        <v>5805</v>
      </c>
      <c r="Q1335" s="84" t="s">
        <v>1321</v>
      </c>
      <c r="R1335" s="84" t="s">
        <v>1322</v>
      </c>
      <c r="S1335" s="84">
        <v>0.17199999999999999</v>
      </c>
      <c r="T1335" s="82" t="s">
        <v>4113</v>
      </c>
      <c r="U1335" s="84" t="s">
        <v>3584</v>
      </c>
      <c r="V1335" s="54"/>
    </row>
    <row r="1336" spans="1:22" s="11" customFormat="1" ht="45" customHeight="1" x14ac:dyDescent="0.2">
      <c r="A1336" s="66" t="s">
        <v>3577</v>
      </c>
      <c r="B1336" s="66" t="s">
        <v>1707</v>
      </c>
      <c r="C1336" s="66" t="s">
        <v>3578</v>
      </c>
      <c r="D1336" s="66">
        <v>67584</v>
      </c>
      <c r="E1336" s="68" t="s">
        <v>5806</v>
      </c>
      <c r="F1336" s="66" t="s">
        <v>5807</v>
      </c>
      <c r="G1336" s="71">
        <v>6500</v>
      </c>
      <c r="H1336" s="73"/>
      <c r="I1336" s="75">
        <v>0.1</v>
      </c>
      <c r="J1336" s="77"/>
      <c r="K1336" s="66"/>
      <c r="L1336" s="66"/>
      <c r="M1336" s="79" t="str">
        <f>HYPERLINK("http://www.pristavka.com/catalog/funko/Fun67584/")</f>
        <v>http://www.pristavka.com/catalog/funko/Fun67584/</v>
      </c>
      <c r="N1336" s="71">
        <v>9999</v>
      </c>
      <c r="O1336" s="66" t="s">
        <v>27</v>
      </c>
      <c r="P1336" s="82" t="s">
        <v>5808</v>
      </c>
      <c r="Q1336" s="84" t="s">
        <v>5809</v>
      </c>
      <c r="R1336" s="84" t="s">
        <v>1322</v>
      </c>
      <c r="S1336" s="84">
        <v>0.16600000000000001</v>
      </c>
      <c r="T1336" s="82" t="s">
        <v>4102</v>
      </c>
      <c r="U1336" s="84" t="s">
        <v>3584</v>
      </c>
      <c r="V1336" s="54"/>
    </row>
    <row r="1337" spans="1:22" s="11" customFormat="1" ht="45" customHeight="1" x14ac:dyDescent="0.2">
      <c r="A1337" s="66" t="s">
        <v>3577</v>
      </c>
      <c r="B1337" s="66" t="s">
        <v>1707</v>
      </c>
      <c r="C1337" s="66" t="s">
        <v>3578</v>
      </c>
      <c r="D1337" s="66">
        <v>67585</v>
      </c>
      <c r="E1337" s="68" t="s">
        <v>5810</v>
      </c>
      <c r="F1337" s="66" t="s">
        <v>5811</v>
      </c>
      <c r="G1337" s="71">
        <v>6500</v>
      </c>
      <c r="H1337" s="73"/>
      <c r="I1337" s="75">
        <v>0.1</v>
      </c>
      <c r="J1337" s="77"/>
      <c r="K1337" s="66"/>
      <c r="L1337" s="66"/>
      <c r="M1337" s="79" t="str">
        <f>HYPERLINK("http://www.pristavka.com/catalog/funko/Fun67585/")</f>
        <v>http://www.pristavka.com/catalog/funko/Fun67585/</v>
      </c>
      <c r="N1337" s="71">
        <v>9999</v>
      </c>
      <c r="O1337" s="66" t="s">
        <v>27</v>
      </c>
      <c r="P1337" s="82" t="s">
        <v>5812</v>
      </c>
      <c r="Q1337" s="84" t="s">
        <v>5809</v>
      </c>
      <c r="R1337" s="84" t="s">
        <v>1322</v>
      </c>
      <c r="S1337" s="84">
        <v>0.153</v>
      </c>
      <c r="T1337" s="82" t="s">
        <v>4084</v>
      </c>
      <c r="U1337" s="84" t="s">
        <v>3584</v>
      </c>
      <c r="V1337" s="54"/>
    </row>
    <row r="1338" spans="1:22" s="11" customFormat="1" ht="45" customHeight="1" x14ac:dyDescent="0.2">
      <c r="A1338" s="66" t="s">
        <v>3577</v>
      </c>
      <c r="B1338" s="66" t="s">
        <v>1707</v>
      </c>
      <c r="C1338" s="66" t="s">
        <v>3578</v>
      </c>
      <c r="D1338" s="66">
        <v>85075</v>
      </c>
      <c r="E1338" s="68" t="s">
        <v>5813</v>
      </c>
      <c r="F1338" s="66" t="s">
        <v>5814</v>
      </c>
      <c r="G1338" s="71">
        <v>6890</v>
      </c>
      <c r="H1338" s="73"/>
      <c r="I1338" s="75">
        <v>0.1</v>
      </c>
      <c r="J1338" s="77"/>
      <c r="K1338" s="66"/>
      <c r="L1338" s="66"/>
      <c r="M1338" s="79" t="str">
        <f>HYPERLINK("http://www.pristavka.com/catalog/funko/Fun85075/")</f>
        <v>http://www.pristavka.com/catalog/funko/Fun85075/</v>
      </c>
      <c r="N1338" s="71">
        <v>10599</v>
      </c>
      <c r="O1338" s="66" t="s">
        <v>27</v>
      </c>
      <c r="P1338" s="82" t="s">
        <v>5815</v>
      </c>
      <c r="Q1338" s="84" t="s">
        <v>1321</v>
      </c>
      <c r="R1338" s="84" t="s">
        <v>1322</v>
      </c>
      <c r="S1338" s="84">
        <v>0.185</v>
      </c>
      <c r="T1338" s="82" t="s">
        <v>4113</v>
      </c>
      <c r="U1338" s="84" t="s">
        <v>3584</v>
      </c>
      <c r="V1338" s="54"/>
    </row>
    <row r="1339" spans="1:22" s="11" customFormat="1" ht="45" customHeight="1" x14ac:dyDescent="0.2">
      <c r="A1339" s="66" t="s">
        <v>3577</v>
      </c>
      <c r="B1339" s="66" t="s">
        <v>1707</v>
      </c>
      <c r="C1339" s="66" t="s">
        <v>3578</v>
      </c>
      <c r="D1339" s="66">
        <v>85341</v>
      </c>
      <c r="E1339" s="68" t="s">
        <v>5816</v>
      </c>
      <c r="F1339" s="66" t="s">
        <v>5817</v>
      </c>
      <c r="G1339" s="71">
        <v>6890</v>
      </c>
      <c r="H1339" s="73"/>
      <c r="I1339" s="75">
        <v>0.1</v>
      </c>
      <c r="J1339" s="77"/>
      <c r="K1339" s="66"/>
      <c r="L1339" s="66"/>
      <c r="M1339" s="79" t="str">
        <f>HYPERLINK("http://www.pristavka.com/catalog/funko/Fun85341/")</f>
        <v>http://www.pristavka.com/catalog/funko/Fun85341/</v>
      </c>
      <c r="N1339" s="71">
        <v>10599</v>
      </c>
      <c r="O1339" s="66" t="s">
        <v>27</v>
      </c>
      <c r="P1339" s="82" t="s">
        <v>5818</v>
      </c>
      <c r="Q1339" s="84" t="s">
        <v>1321</v>
      </c>
      <c r="R1339" s="84" t="s">
        <v>1322</v>
      </c>
      <c r="S1339" s="84">
        <v>0.16500000000000001</v>
      </c>
      <c r="T1339" s="82" t="s">
        <v>4113</v>
      </c>
      <c r="U1339" s="84" t="s">
        <v>3584</v>
      </c>
      <c r="V1339" s="54"/>
    </row>
    <row r="1340" spans="1:22" s="11" customFormat="1" ht="45" customHeight="1" x14ac:dyDescent="0.2">
      <c r="A1340" s="66" t="s">
        <v>3577</v>
      </c>
      <c r="B1340" s="66" t="s">
        <v>1707</v>
      </c>
      <c r="C1340" s="66" t="s">
        <v>3578</v>
      </c>
      <c r="D1340" s="66">
        <v>84429</v>
      </c>
      <c r="E1340" s="68" t="s">
        <v>5819</v>
      </c>
      <c r="F1340" s="66" t="s">
        <v>5820</v>
      </c>
      <c r="G1340" s="71">
        <v>6890</v>
      </c>
      <c r="H1340" s="73"/>
      <c r="I1340" s="75">
        <v>0.1</v>
      </c>
      <c r="J1340" s="77"/>
      <c r="K1340" s="66"/>
      <c r="L1340" s="66"/>
      <c r="M1340" s="79" t="str">
        <f>HYPERLINK("http://www.pristavka.com/catalog/funko/Fun84429/")</f>
        <v>http://www.pristavka.com/catalog/funko/Fun84429/</v>
      </c>
      <c r="N1340" s="71">
        <v>10599</v>
      </c>
      <c r="O1340" s="66" t="s">
        <v>27</v>
      </c>
      <c r="P1340" s="82" t="s">
        <v>5821</v>
      </c>
      <c r="Q1340" s="84" t="s">
        <v>1321</v>
      </c>
      <c r="R1340" s="84" t="s">
        <v>1322</v>
      </c>
      <c r="S1340" s="84">
        <v>0.18</v>
      </c>
      <c r="T1340" s="82" t="s">
        <v>4102</v>
      </c>
      <c r="U1340" s="84" t="s">
        <v>3584</v>
      </c>
      <c r="V1340" s="54"/>
    </row>
    <row r="1341" spans="1:22" s="11" customFormat="1" ht="45" customHeight="1" x14ac:dyDescent="0.2">
      <c r="A1341" s="66" t="s">
        <v>3577</v>
      </c>
      <c r="B1341" s="66" t="s">
        <v>1707</v>
      </c>
      <c r="C1341" s="66" t="s">
        <v>3578</v>
      </c>
      <c r="D1341" s="66">
        <v>76733</v>
      </c>
      <c r="E1341" s="68" t="s">
        <v>5822</v>
      </c>
      <c r="F1341" s="66" t="s">
        <v>5823</v>
      </c>
      <c r="G1341" s="71">
        <v>0</v>
      </c>
      <c r="H1341" s="73"/>
      <c r="I1341" s="75">
        <v>0.1</v>
      </c>
      <c r="J1341" s="77"/>
      <c r="K1341" s="66"/>
      <c r="L1341" s="66"/>
      <c r="M1341" s="79" t="str">
        <f>HYPERLINK("http://www.pristavka.com/catalog/funko/Fun76733/")</f>
        <v>http://www.pristavka.com/catalog/funko/Fun76733/</v>
      </c>
      <c r="N1341" s="71"/>
      <c r="O1341" s="66" t="s">
        <v>27</v>
      </c>
      <c r="P1341" s="82" t="s">
        <v>5824</v>
      </c>
      <c r="Q1341" s="84" t="s">
        <v>5825</v>
      </c>
      <c r="R1341" s="84" t="s">
        <v>1322</v>
      </c>
      <c r="S1341" s="84">
        <v>0.14499999999999999</v>
      </c>
      <c r="T1341" s="82" t="s">
        <v>4113</v>
      </c>
      <c r="U1341" s="84" t="s">
        <v>3584</v>
      </c>
      <c r="V1341" s="54"/>
    </row>
    <row r="1342" spans="1:22" s="11" customFormat="1" ht="45" customHeight="1" x14ac:dyDescent="0.2">
      <c r="A1342" s="66" t="s">
        <v>3577</v>
      </c>
      <c r="B1342" s="66" t="s">
        <v>1707</v>
      </c>
      <c r="C1342" s="66" t="s">
        <v>3578</v>
      </c>
      <c r="D1342" s="66">
        <v>76731</v>
      </c>
      <c r="E1342" s="68" t="s">
        <v>5826</v>
      </c>
      <c r="F1342" s="66" t="s">
        <v>5827</v>
      </c>
      <c r="G1342" s="71">
        <v>0</v>
      </c>
      <c r="H1342" s="73"/>
      <c r="I1342" s="75">
        <v>0.1</v>
      </c>
      <c r="J1342" s="77"/>
      <c r="K1342" s="66"/>
      <c r="L1342" s="66"/>
      <c r="M1342" s="79" t="str">
        <f>HYPERLINK("http://www.pristavka.com/catalog/funko/Fun76731/")</f>
        <v>http://www.pristavka.com/catalog/funko/Fun76731/</v>
      </c>
      <c r="N1342" s="71"/>
      <c r="O1342" s="66" t="s">
        <v>27</v>
      </c>
      <c r="P1342" s="82" t="s">
        <v>5828</v>
      </c>
      <c r="Q1342" s="84" t="s">
        <v>5825</v>
      </c>
      <c r="R1342" s="84" t="s">
        <v>1322</v>
      </c>
      <c r="S1342" s="84">
        <v>0.16500000000000001</v>
      </c>
      <c r="T1342" s="82" t="s">
        <v>4113</v>
      </c>
      <c r="U1342" s="84" t="s">
        <v>3584</v>
      </c>
      <c r="V1342" s="54"/>
    </row>
    <row r="1343" spans="1:22" s="11" customFormat="1" ht="45" customHeight="1" x14ac:dyDescent="0.2">
      <c r="A1343" s="66" t="s">
        <v>3577</v>
      </c>
      <c r="B1343" s="66" t="s">
        <v>1707</v>
      </c>
      <c r="C1343" s="66" t="s">
        <v>3578</v>
      </c>
      <c r="D1343" s="66">
        <v>76732</v>
      </c>
      <c r="E1343" s="68" t="s">
        <v>5829</v>
      </c>
      <c r="F1343" s="66" t="s">
        <v>5830</v>
      </c>
      <c r="G1343" s="71">
        <v>0</v>
      </c>
      <c r="H1343" s="73"/>
      <c r="I1343" s="75">
        <v>0.1</v>
      </c>
      <c r="J1343" s="77"/>
      <c r="K1343" s="66"/>
      <c r="L1343" s="66"/>
      <c r="M1343" s="79" t="str">
        <f>HYPERLINK("http://www.pristavka.com/catalog/funko/Fun76732/")</f>
        <v>http://www.pristavka.com/catalog/funko/Fun76732/</v>
      </c>
      <c r="N1343" s="71"/>
      <c r="O1343" s="66" t="s">
        <v>27</v>
      </c>
      <c r="P1343" s="82" t="s">
        <v>5831</v>
      </c>
      <c r="Q1343" s="84" t="s">
        <v>5825</v>
      </c>
      <c r="R1343" s="84" t="s">
        <v>1322</v>
      </c>
      <c r="S1343" s="84">
        <v>0.155</v>
      </c>
      <c r="T1343" s="82" t="s">
        <v>4113</v>
      </c>
      <c r="U1343" s="84" t="s">
        <v>3584</v>
      </c>
      <c r="V1343" s="54"/>
    </row>
    <row r="1344" spans="1:22" s="11" customFormat="1" ht="45" customHeight="1" x14ac:dyDescent="0.2">
      <c r="A1344" s="66" t="s">
        <v>3577</v>
      </c>
      <c r="B1344" s="66" t="s">
        <v>1707</v>
      </c>
      <c r="C1344" s="66" t="s">
        <v>3578</v>
      </c>
      <c r="D1344" s="66">
        <v>76735</v>
      </c>
      <c r="E1344" s="68" t="s">
        <v>5832</v>
      </c>
      <c r="F1344" s="66" t="s">
        <v>5833</v>
      </c>
      <c r="G1344" s="71">
        <v>0</v>
      </c>
      <c r="H1344" s="73"/>
      <c r="I1344" s="75">
        <v>0.1</v>
      </c>
      <c r="J1344" s="77"/>
      <c r="K1344" s="66"/>
      <c r="L1344" s="66"/>
      <c r="M1344" s="79" t="str">
        <f>HYPERLINK("http://www.pristavka.com/catalog/funko/Fun76735/")</f>
        <v>http://www.pristavka.com/catalog/funko/Fun76735/</v>
      </c>
      <c r="N1344" s="71"/>
      <c r="O1344" s="66" t="s">
        <v>27</v>
      </c>
      <c r="P1344" s="82" t="s">
        <v>5834</v>
      </c>
      <c r="Q1344" s="84" t="s">
        <v>5825</v>
      </c>
      <c r="R1344" s="84" t="s">
        <v>1322</v>
      </c>
      <c r="S1344" s="84">
        <v>0.17499999999999999</v>
      </c>
      <c r="T1344" s="82" t="s">
        <v>5835</v>
      </c>
      <c r="U1344" s="84" t="s">
        <v>3584</v>
      </c>
      <c r="V1344" s="54"/>
    </row>
    <row r="1345" spans="1:22" s="11" customFormat="1" ht="45" customHeight="1" x14ac:dyDescent="0.2">
      <c r="A1345" s="66" t="s">
        <v>3577</v>
      </c>
      <c r="B1345" s="66" t="s">
        <v>1707</v>
      </c>
      <c r="C1345" s="66" t="s">
        <v>3578</v>
      </c>
      <c r="D1345" s="66">
        <v>76734</v>
      </c>
      <c r="E1345" s="68" t="s">
        <v>5836</v>
      </c>
      <c r="F1345" s="66" t="s">
        <v>5837</v>
      </c>
      <c r="G1345" s="71">
        <v>0</v>
      </c>
      <c r="H1345" s="73"/>
      <c r="I1345" s="75">
        <v>0.1</v>
      </c>
      <c r="J1345" s="77"/>
      <c r="K1345" s="66"/>
      <c r="L1345" s="66"/>
      <c r="M1345" s="79" t="str">
        <f>HYPERLINK("http://www.pristavka.com/catalog/funko/Fun76734/")</f>
        <v>http://www.pristavka.com/catalog/funko/Fun76734/</v>
      </c>
      <c r="N1345" s="71"/>
      <c r="O1345" s="66" t="s">
        <v>27</v>
      </c>
      <c r="P1345" s="82" t="s">
        <v>5838</v>
      </c>
      <c r="Q1345" s="84" t="s">
        <v>5825</v>
      </c>
      <c r="R1345" s="84" t="s">
        <v>1322</v>
      </c>
      <c r="S1345" s="84">
        <v>0.16800000000000001</v>
      </c>
      <c r="T1345" s="82" t="s">
        <v>4091</v>
      </c>
      <c r="U1345" s="84" t="s">
        <v>3584</v>
      </c>
      <c r="V1345" s="54"/>
    </row>
    <row r="1346" spans="1:22" s="11" customFormat="1" ht="45" customHeight="1" x14ac:dyDescent="0.2">
      <c r="A1346" s="66" t="s">
        <v>3577</v>
      </c>
      <c r="B1346" s="66" t="s">
        <v>1707</v>
      </c>
      <c r="C1346" s="66" t="s">
        <v>3578</v>
      </c>
      <c r="D1346" s="66">
        <v>85189</v>
      </c>
      <c r="E1346" s="68" t="s">
        <v>5839</v>
      </c>
      <c r="F1346" s="66" t="s">
        <v>5840</v>
      </c>
      <c r="G1346" s="71">
        <v>6890</v>
      </c>
      <c r="H1346" s="73"/>
      <c r="I1346" s="75">
        <v>0.1</v>
      </c>
      <c r="J1346" s="77"/>
      <c r="K1346" s="66"/>
      <c r="L1346" s="66"/>
      <c r="M1346" s="79" t="str">
        <f>HYPERLINK("http://www.pristavka.com/catalog/funko/Fun85189/")</f>
        <v>http://www.pristavka.com/catalog/funko/Fun85189/</v>
      </c>
      <c r="N1346" s="71">
        <v>10599</v>
      </c>
      <c r="O1346" s="66" t="s">
        <v>27</v>
      </c>
      <c r="P1346" s="82" t="s">
        <v>5841</v>
      </c>
      <c r="Q1346" s="84" t="s">
        <v>1321</v>
      </c>
      <c r="R1346" s="84" t="s">
        <v>1322</v>
      </c>
      <c r="S1346" s="84">
        <v>0.19</v>
      </c>
      <c r="T1346" s="82" t="s">
        <v>4113</v>
      </c>
      <c r="U1346" s="84" t="s">
        <v>3584</v>
      </c>
      <c r="V1346" s="54"/>
    </row>
    <row r="1347" spans="1:22" s="11" customFormat="1" ht="45" customHeight="1" x14ac:dyDescent="0.2">
      <c r="A1347" s="66" t="s">
        <v>3577</v>
      </c>
      <c r="B1347" s="66" t="s">
        <v>1707</v>
      </c>
      <c r="C1347" s="66" t="s">
        <v>3578</v>
      </c>
      <c r="D1347" s="66">
        <v>85188</v>
      </c>
      <c r="E1347" s="68" t="s">
        <v>5842</v>
      </c>
      <c r="F1347" s="66" t="s">
        <v>5843</v>
      </c>
      <c r="G1347" s="71">
        <v>6890</v>
      </c>
      <c r="H1347" s="73"/>
      <c r="I1347" s="75">
        <v>0.1</v>
      </c>
      <c r="J1347" s="77"/>
      <c r="K1347" s="66"/>
      <c r="L1347" s="66"/>
      <c r="M1347" s="79" t="str">
        <f>HYPERLINK("http://www.pristavka.com/catalog/funko/Fun85188/")</f>
        <v>http://www.pristavka.com/catalog/funko/Fun85188/</v>
      </c>
      <c r="N1347" s="71">
        <v>10599</v>
      </c>
      <c r="O1347" s="66" t="s">
        <v>28</v>
      </c>
      <c r="P1347" s="82" t="s">
        <v>5844</v>
      </c>
      <c r="Q1347" s="84" t="s">
        <v>3916</v>
      </c>
      <c r="R1347" s="84" t="s">
        <v>1322</v>
      </c>
      <c r="S1347" s="84">
        <v>0.17599999999999999</v>
      </c>
      <c r="T1347" s="82" t="s">
        <v>4113</v>
      </c>
      <c r="U1347" s="84" t="s">
        <v>3584</v>
      </c>
      <c r="V1347" s="54"/>
    </row>
    <row r="1348" spans="1:22" s="11" customFormat="1" ht="45" customHeight="1" x14ac:dyDescent="0.2">
      <c r="A1348" s="66" t="s">
        <v>3577</v>
      </c>
      <c r="B1348" s="66" t="s">
        <v>1707</v>
      </c>
      <c r="C1348" s="66" t="s">
        <v>3578</v>
      </c>
      <c r="D1348" s="66">
        <v>85190</v>
      </c>
      <c r="E1348" s="68" t="s">
        <v>5845</v>
      </c>
      <c r="F1348" s="66" t="s">
        <v>5846</v>
      </c>
      <c r="G1348" s="71">
        <v>6890</v>
      </c>
      <c r="H1348" s="73"/>
      <c r="I1348" s="75">
        <v>0.1</v>
      </c>
      <c r="J1348" s="77"/>
      <c r="K1348" s="66"/>
      <c r="L1348" s="66"/>
      <c r="M1348" s="79" t="str">
        <f>HYPERLINK("http://www.pristavka.com/catalog/funko/Fun85190/")</f>
        <v>http://www.pristavka.com/catalog/funko/Fun85190/</v>
      </c>
      <c r="N1348" s="71">
        <v>10599</v>
      </c>
      <c r="O1348" s="66" t="s">
        <v>27</v>
      </c>
      <c r="P1348" s="82" t="s">
        <v>5847</v>
      </c>
      <c r="Q1348" s="84" t="s">
        <v>1321</v>
      </c>
      <c r="R1348" s="84" t="s">
        <v>1322</v>
      </c>
      <c r="S1348" s="84">
        <v>0.16500000000000001</v>
      </c>
      <c r="T1348" s="82" t="s">
        <v>4113</v>
      </c>
      <c r="U1348" s="84" t="s">
        <v>3584</v>
      </c>
      <c r="V1348" s="54"/>
    </row>
    <row r="1349" spans="1:22" s="11" customFormat="1" ht="45" customHeight="1" x14ac:dyDescent="0.2">
      <c r="A1349" s="66" t="s">
        <v>3577</v>
      </c>
      <c r="B1349" s="66" t="s">
        <v>1707</v>
      </c>
      <c r="C1349" s="66" t="s">
        <v>3578</v>
      </c>
      <c r="D1349" s="66">
        <v>67613</v>
      </c>
      <c r="E1349" s="68" t="s">
        <v>5848</v>
      </c>
      <c r="F1349" s="66" t="s">
        <v>5849</v>
      </c>
      <c r="G1349" s="71">
        <v>6500</v>
      </c>
      <c r="H1349" s="73"/>
      <c r="I1349" s="75">
        <v>0.1</v>
      </c>
      <c r="J1349" s="77"/>
      <c r="K1349" s="66"/>
      <c r="L1349" s="66"/>
      <c r="M1349" s="79" t="str">
        <f>HYPERLINK("http://www.pristavka.com/catalog/funko/Fun67613/")</f>
        <v>http://www.pristavka.com/catalog/funko/Fun67613/</v>
      </c>
      <c r="N1349" s="71">
        <v>9999</v>
      </c>
      <c r="O1349" s="66" t="s">
        <v>27</v>
      </c>
      <c r="P1349" s="82" t="s">
        <v>5850</v>
      </c>
      <c r="Q1349" s="84" t="s">
        <v>1321</v>
      </c>
      <c r="R1349" s="84" t="s">
        <v>1322</v>
      </c>
      <c r="S1349" s="84">
        <v>0.158</v>
      </c>
      <c r="T1349" s="82" t="s">
        <v>4370</v>
      </c>
      <c r="U1349" s="84" t="s">
        <v>3584</v>
      </c>
      <c r="V1349" s="54"/>
    </row>
    <row r="1350" spans="1:22" s="11" customFormat="1" ht="45" customHeight="1" x14ac:dyDescent="0.2">
      <c r="A1350" s="66" t="s">
        <v>3577</v>
      </c>
      <c r="B1350" s="66" t="s">
        <v>1707</v>
      </c>
      <c r="C1350" s="66" t="s">
        <v>3578</v>
      </c>
      <c r="D1350" s="66">
        <v>81141</v>
      </c>
      <c r="E1350" s="68" t="s">
        <v>5851</v>
      </c>
      <c r="F1350" s="66" t="s">
        <v>5852</v>
      </c>
      <c r="G1350" s="71">
        <v>6500</v>
      </c>
      <c r="H1350" s="73"/>
      <c r="I1350" s="75">
        <v>0.1</v>
      </c>
      <c r="J1350" s="77"/>
      <c r="K1350" s="66"/>
      <c r="L1350" s="66"/>
      <c r="M1350" s="79" t="str">
        <f>HYPERLINK("http://www.pristavka.com/catalog/funko/Fun81141/")</f>
        <v>http://www.pristavka.com/catalog/funko/Fun81141/</v>
      </c>
      <c r="N1350" s="71">
        <v>9999</v>
      </c>
      <c r="O1350" s="66" t="s">
        <v>27</v>
      </c>
      <c r="P1350" s="82" t="s">
        <v>5853</v>
      </c>
      <c r="Q1350" s="84" t="s">
        <v>5854</v>
      </c>
      <c r="R1350" s="84"/>
      <c r="S1350" s="84">
        <v>0.14499999999999999</v>
      </c>
      <c r="T1350" s="82" t="s">
        <v>4084</v>
      </c>
      <c r="U1350" s="84" t="s">
        <v>3584</v>
      </c>
      <c r="V1350" s="54"/>
    </row>
    <row r="1351" spans="1:22" s="11" customFormat="1" ht="45" customHeight="1" x14ac:dyDescent="0.2">
      <c r="A1351" s="66" t="s">
        <v>3577</v>
      </c>
      <c r="B1351" s="66" t="s">
        <v>1707</v>
      </c>
      <c r="C1351" s="66" t="s">
        <v>3578</v>
      </c>
      <c r="D1351" s="66">
        <v>81142</v>
      </c>
      <c r="E1351" s="68" t="s">
        <v>5855</v>
      </c>
      <c r="F1351" s="66" t="s">
        <v>5856</v>
      </c>
      <c r="G1351" s="71">
        <v>6500</v>
      </c>
      <c r="H1351" s="73"/>
      <c r="I1351" s="75">
        <v>0.1</v>
      </c>
      <c r="J1351" s="77"/>
      <c r="K1351" s="66"/>
      <c r="L1351" s="66"/>
      <c r="M1351" s="79" t="str">
        <f>HYPERLINK("http://www.pristavka.com/catalog/funko/Fun81142/")</f>
        <v>http://www.pristavka.com/catalog/funko/Fun81142/</v>
      </c>
      <c r="N1351" s="71">
        <v>9999</v>
      </c>
      <c r="O1351" s="66" t="s">
        <v>28</v>
      </c>
      <c r="P1351" s="82" t="s">
        <v>5857</v>
      </c>
      <c r="Q1351" s="84" t="s">
        <v>5854</v>
      </c>
      <c r="R1351" s="84"/>
      <c r="S1351" s="84">
        <v>0.184</v>
      </c>
      <c r="T1351" s="82" t="s">
        <v>4084</v>
      </c>
      <c r="U1351" s="84" t="s">
        <v>3584</v>
      </c>
      <c r="V1351" s="54"/>
    </row>
    <row r="1352" spans="1:22" s="11" customFormat="1" ht="45" customHeight="1" x14ac:dyDescent="0.2">
      <c r="A1352" s="66" t="s">
        <v>3577</v>
      </c>
      <c r="B1352" s="66" t="s">
        <v>1707</v>
      </c>
      <c r="C1352" s="66" t="s">
        <v>3578</v>
      </c>
      <c r="D1352" s="66">
        <v>81144</v>
      </c>
      <c r="E1352" s="68" t="s">
        <v>5858</v>
      </c>
      <c r="F1352" s="66" t="s">
        <v>5859</v>
      </c>
      <c r="G1352" s="71">
        <v>6500</v>
      </c>
      <c r="H1352" s="73"/>
      <c r="I1352" s="75">
        <v>0.1</v>
      </c>
      <c r="J1352" s="77"/>
      <c r="K1352" s="66"/>
      <c r="L1352" s="66"/>
      <c r="M1352" s="79" t="str">
        <f>HYPERLINK("http://www.pristavka.com/catalog/funko/Fun81144/")</f>
        <v>http://www.pristavka.com/catalog/funko/Fun81144/</v>
      </c>
      <c r="N1352" s="71">
        <v>9999</v>
      </c>
      <c r="O1352" s="66" t="s">
        <v>27</v>
      </c>
      <c r="P1352" s="82" t="s">
        <v>5860</v>
      </c>
      <c r="Q1352" s="84" t="s">
        <v>5854</v>
      </c>
      <c r="R1352" s="84"/>
      <c r="S1352" s="84">
        <v>0.156</v>
      </c>
      <c r="T1352" s="82" t="s">
        <v>4084</v>
      </c>
      <c r="U1352" s="84" t="s">
        <v>3584</v>
      </c>
      <c r="V1352" s="54"/>
    </row>
    <row r="1353" spans="1:22" s="11" customFormat="1" ht="45" customHeight="1" x14ac:dyDescent="0.2">
      <c r="A1353" s="66" t="s">
        <v>3577</v>
      </c>
      <c r="B1353" s="66" t="s">
        <v>1707</v>
      </c>
      <c r="C1353" s="66" t="s">
        <v>3578</v>
      </c>
      <c r="D1353" s="66">
        <v>81146</v>
      </c>
      <c r="E1353" s="68" t="s">
        <v>5861</v>
      </c>
      <c r="F1353" s="66" t="s">
        <v>5862</v>
      </c>
      <c r="G1353" s="71">
        <v>6500</v>
      </c>
      <c r="H1353" s="73"/>
      <c r="I1353" s="75">
        <v>0.1</v>
      </c>
      <c r="J1353" s="77"/>
      <c r="K1353" s="66"/>
      <c r="L1353" s="66"/>
      <c r="M1353" s="79" t="str">
        <f>HYPERLINK("http://www.pristavka.com/catalog/funko/Fun81146/")</f>
        <v>http://www.pristavka.com/catalog/funko/Fun81146/</v>
      </c>
      <c r="N1353" s="71">
        <v>9999</v>
      </c>
      <c r="O1353" s="66" t="s">
        <v>27</v>
      </c>
      <c r="P1353" s="82" t="s">
        <v>5863</v>
      </c>
      <c r="Q1353" s="84" t="s">
        <v>5854</v>
      </c>
      <c r="R1353" s="84"/>
      <c r="S1353" s="84">
        <v>0.14000000000000001</v>
      </c>
      <c r="T1353" s="82" t="s">
        <v>4084</v>
      </c>
      <c r="U1353" s="84" t="s">
        <v>3584</v>
      </c>
      <c r="V1353" s="54"/>
    </row>
    <row r="1354" spans="1:22" s="11" customFormat="1" ht="45" customHeight="1" x14ac:dyDescent="0.2">
      <c r="A1354" s="66" t="s">
        <v>3577</v>
      </c>
      <c r="B1354" s="66" t="s">
        <v>1707</v>
      </c>
      <c r="C1354" s="66" t="s">
        <v>3578</v>
      </c>
      <c r="D1354" s="66">
        <v>80902</v>
      </c>
      <c r="E1354" s="68" t="s">
        <v>5864</v>
      </c>
      <c r="F1354" s="66" t="s">
        <v>5865</v>
      </c>
      <c r="G1354" s="71">
        <v>0</v>
      </c>
      <c r="H1354" s="73"/>
      <c r="I1354" s="75">
        <v>0.1</v>
      </c>
      <c r="J1354" s="77"/>
      <c r="K1354" s="66"/>
      <c r="L1354" s="66"/>
      <c r="M1354" s="79" t="str">
        <f>HYPERLINK("http://www.pristavka.com/catalog/funko/Fun80902/")</f>
        <v>http://www.pristavka.com/catalog/funko/Fun80902/</v>
      </c>
      <c r="N1354" s="71"/>
      <c r="O1354" s="66" t="s">
        <v>27</v>
      </c>
      <c r="P1354" s="82" t="s">
        <v>5866</v>
      </c>
      <c r="Q1354" s="84" t="s">
        <v>5867</v>
      </c>
      <c r="R1354" s="84"/>
      <c r="S1354" s="84">
        <v>0.46</v>
      </c>
      <c r="T1354" s="82" t="s">
        <v>5868</v>
      </c>
      <c r="U1354" s="84" t="s">
        <v>3584</v>
      </c>
      <c r="V1354" s="54"/>
    </row>
    <row r="1355" spans="1:22" s="11" customFormat="1" ht="45" customHeight="1" x14ac:dyDescent="0.2">
      <c r="A1355" s="66" t="s">
        <v>3577</v>
      </c>
      <c r="B1355" s="66" t="s">
        <v>1707</v>
      </c>
      <c r="C1355" s="66" t="s">
        <v>3578</v>
      </c>
      <c r="D1355" s="66">
        <v>80899</v>
      </c>
      <c r="E1355" s="68" t="s">
        <v>5869</v>
      </c>
      <c r="F1355" s="66" t="s">
        <v>5870</v>
      </c>
      <c r="G1355" s="71">
        <v>6500</v>
      </c>
      <c r="H1355" s="73"/>
      <c r="I1355" s="75">
        <v>0.1</v>
      </c>
      <c r="J1355" s="77"/>
      <c r="K1355" s="66"/>
      <c r="L1355" s="66"/>
      <c r="M1355" s="79" t="str">
        <f>HYPERLINK("http://www.pristavka.com/catalog/funko/Fun80899/")</f>
        <v>http://www.pristavka.com/catalog/funko/Fun80899/</v>
      </c>
      <c r="N1355" s="71">
        <v>9999</v>
      </c>
      <c r="O1355" s="66" t="s">
        <v>27</v>
      </c>
      <c r="P1355" s="82" t="s">
        <v>5871</v>
      </c>
      <c r="Q1355" s="84" t="s">
        <v>5867</v>
      </c>
      <c r="R1355" s="84"/>
      <c r="S1355" s="84">
        <v>0.16</v>
      </c>
      <c r="T1355" s="82" t="s">
        <v>4113</v>
      </c>
      <c r="U1355" s="84" t="s">
        <v>3584</v>
      </c>
      <c r="V1355" s="54"/>
    </row>
    <row r="1356" spans="1:22" s="11" customFormat="1" ht="45" customHeight="1" x14ac:dyDescent="0.2">
      <c r="A1356" s="66" t="s">
        <v>3577</v>
      </c>
      <c r="B1356" s="66" t="s">
        <v>1707</v>
      </c>
      <c r="C1356" s="66" t="s">
        <v>3578</v>
      </c>
      <c r="D1356" s="66">
        <v>80898</v>
      </c>
      <c r="E1356" s="68" t="s">
        <v>5872</v>
      </c>
      <c r="F1356" s="66" t="s">
        <v>5873</v>
      </c>
      <c r="G1356" s="71">
        <v>6500</v>
      </c>
      <c r="H1356" s="73"/>
      <c r="I1356" s="75">
        <v>0.1</v>
      </c>
      <c r="J1356" s="77"/>
      <c r="K1356" s="66"/>
      <c r="L1356" s="66"/>
      <c r="M1356" s="79" t="str">
        <f>HYPERLINK("http://www.pristavka.com/catalog/funko/Fun80898/")</f>
        <v>http://www.pristavka.com/catalog/funko/Fun80898/</v>
      </c>
      <c r="N1356" s="71">
        <v>9999</v>
      </c>
      <c r="O1356" s="66" t="s">
        <v>27</v>
      </c>
      <c r="P1356" s="82" t="s">
        <v>5874</v>
      </c>
      <c r="Q1356" s="84" t="s">
        <v>5867</v>
      </c>
      <c r="R1356" s="84"/>
      <c r="S1356" s="84">
        <v>0.185</v>
      </c>
      <c r="T1356" s="82" t="s">
        <v>4113</v>
      </c>
      <c r="U1356" s="84" t="s">
        <v>3584</v>
      </c>
      <c r="V1356" s="54"/>
    </row>
    <row r="1357" spans="1:22" s="11" customFormat="1" ht="45" customHeight="1" x14ac:dyDescent="0.2">
      <c r="A1357" s="66" t="s">
        <v>3577</v>
      </c>
      <c r="B1357" s="66" t="s">
        <v>1707</v>
      </c>
      <c r="C1357" s="66" t="s">
        <v>3578</v>
      </c>
      <c r="D1357" s="66">
        <v>80900</v>
      </c>
      <c r="E1357" s="68" t="s">
        <v>5875</v>
      </c>
      <c r="F1357" s="66" t="s">
        <v>5876</v>
      </c>
      <c r="G1357" s="71">
        <v>6500</v>
      </c>
      <c r="H1357" s="73"/>
      <c r="I1357" s="75">
        <v>0.1</v>
      </c>
      <c r="J1357" s="77"/>
      <c r="K1357" s="66"/>
      <c r="L1357" s="66"/>
      <c r="M1357" s="79" t="str">
        <f>HYPERLINK("http://www.pristavka.com/catalog/funko/Fun80900/")</f>
        <v>http://www.pristavka.com/catalog/funko/Fun80900/</v>
      </c>
      <c r="N1357" s="71">
        <v>9999</v>
      </c>
      <c r="O1357" s="66" t="s">
        <v>27</v>
      </c>
      <c r="P1357" s="82" t="s">
        <v>5877</v>
      </c>
      <c r="Q1357" s="84" t="s">
        <v>5867</v>
      </c>
      <c r="R1357" s="84"/>
      <c r="S1357" s="84">
        <v>0.13500000000000001</v>
      </c>
      <c r="T1357" s="82" t="s">
        <v>4113</v>
      </c>
      <c r="U1357" s="84" t="s">
        <v>3584</v>
      </c>
      <c r="V1357" s="54"/>
    </row>
    <row r="1358" spans="1:22" s="11" customFormat="1" ht="45" customHeight="1" x14ac:dyDescent="0.2">
      <c r="A1358" s="66" t="s">
        <v>3577</v>
      </c>
      <c r="B1358" s="66" t="s">
        <v>1707</v>
      </c>
      <c r="C1358" s="66" t="s">
        <v>3578</v>
      </c>
      <c r="D1358" s="66">
        <v>80901</v>
      </c>
      <c r="E1358" s="68" t="s">
        <v>5878</v>
      </c>
      <c r="F1358" s="66" t="s">
        <v>5879</v>
      </c>
      <c r="G1358" s="71">
        <v>6500</v>
      </c>
      <c r="H1358" s="73"/>
      <c r="I1358" s="75">
        <v>0.1</v>
      </c>
      <c r="J1358" s="77"/>
      <c r="K1358" s="66"/>
      <c r="L1358" s="66"/>
      <c r="M1358" s="79" t="str">
        <f>HYPERLINK("http://www.pristavka.com/catalog/funko/Fun80901/")</f>
        <v>http://www.pristavka.com/catalog/funko/Fun80901/</v>
      </c>
      <c r="N1358" s="71">
        <v>9999</v>
      </c>
      <c r="O1358" s="66" t="s">
        <v>27</v>
      </c>
      <c r="P1358" s="82" t="s">
        <v>5880</v>
      </c>
      <c r="Q1358" s="84" t="s">
        <v>5867</v>
      </c>
      <c r="R1358" s="84"/>
      <c r="S1358" s="84">
        <v>0.17</v>
      </c>
      <c r="T1358" s="82" t="s">
        <v>4113</v>
      </c>
      <c r="U1358" s="84" t="s">
        <v>3584</v>
      </c>
      <c r="V1358" s="54"/>
    </row>
    <row r="1359" spans="1:22" s="11" customFormat="1" ht="45" customHeight="1" x14ac:dyDescent="0.2">
      <c r="A1359" s="66" t="s">
        <v>3577</v>
      </c>
      <c r="B1359" s="66" t="s">
        <v>1707</v>
      </c>
      <c r="C1359" s="66" t="s">
        <v>3578</v>
      </c>
      <c r="D1359" s="66">
        <v>72505</v>
      </c>
      <c r="E1359" s="68" t="s">
        <v>5881</v>
      </c>
      <c r="F1359" s="66" t="s">
        <v>5882</v>
      </c>
      <c r="G1359" s="71">
        <v>0</v>
      </c>
      <c r="H1359" s="73"/>
      <c r="I1359" s="75">
        <v>0.1</v>
      </c>
      <c r="J1359" s="77"/>
      <c r="K1359" s="66"/>
      <c r="L1359" s="66"/>
      <c r="M1359" s="79" t="str">
        <f>HYPERLINK("http://www.pristavka.com/catalog/funko/Fun72505/")</f>
        <v>http://www.pristavka.com/catalog/funko/Fun72505/</v>
      </c>
      <c r="N1359" s="71"/>
      <c r="O1359" s="66" t="s">
        <v>27</v>
      </c>
      <c r="P1359" s="82" t="s">
        <v>5883</v>
      </c>
      <c r="Q1359" s="84" t="s">
        <v>5884</v>
      </c>
      <c r="R1359" s="84" t="s">
        <v>1212</v>
      </c>
      <c r="S1359" s="84">
        <v>0.26</v>
      </c>
      <c r="T1359" s="82" t="s">
        <v>5885</v>
      </c>
      <c r="U1359" s="84" t="s">
        <v>3584</v>
      </c>
      <c r="V1359" s="54"/>
    </row>
    <row r="1360" spans="1:22" s="11" customFormat="1" ht="45" customHeight="1" x14ac:dyDescent="0.2">
      <c r="A1360" s="66" t="s">
        <v>3577</v>
      </c>
      <c r="B1360" s="66" t="s">
        <v>1707</v>
      </c>
      <c r="C1360" s="66" t="s">
        <v>3578</v>
      </c>
      <c r="D1360" s="66">
        <v>72512</v>
      </c>
      <c r="E1360" s="68" t="s">
        <v>5886</v>
      </c>
      <c r="F1360" s="66" t="s">
        <v>5887</v>
      </c>
      <c r="G1360" s="71">
        <v>6500</v>
      </c>
      <c r="H1360" s="73"/>
      <c r="I1360" s="75">
        <v>0.1</v>
      </c>
      <c r="J1360" s="77"/>
      <c r="K1360" s="66"/>
      <c r="L1360" s="66"/>
      <c r="M1360" s="79" t="str">
        <f>HYPERLINK("http://www.pristavka.com/catalog/funko/Fun72512/")</f>
        <v>http://www.pristavka.com/catalog/funko/Fun72512/</v>
      </c>
      <c r="N1360" s="71">
        <v>9999</v>
      </c>
      <c r="O1360" s="66" t="s">
        <v>27</v>
      </c>
      <c r="P1360" s="82" t="s">
        <v>5888</v>
      </c>
      <c r="Q1360" s="84" t="s">
        <v>1765</v>
      </c>
      <c r="R1360" s="84" t="s">
        <v>1765</v>
      </c>
      <c r="S1360" s="84">
        <v>0.16200000000000001</v>
      </c>
      <c r="T1360" s="82" t="s">
        <v>4102</v>
      </c>
      <c r="U1360" s="84" t="s">
        <v>3584</v>
      </c>
      <c r="V1360" s="54"/>
    </row>
    <row r="1361" spans="1:22" s="11" customFormat="1" ht="45" customHeight="1" x14ac:dyDescent="0.2">
      <c r="A1361" s="66" t="s">
        <v>3577</v>
      </c>
      <c r="B1361" s="66" t="s">
        <v>1707</v>
      </c>
      <c r="C1361" s="66" t="s">
        <v>3578</v>
      </c>
      <c r="D1361" s="66">
        <v>61399</v>
      </c>
      <c r="E1361" s="68" t="s">
        <v>5889</v>
      </c>
      <c r="F1361" s="66" t="s">
        <v>5890</v>
      </c>
      <c r="G1361" s="71">
        <v>0</v>
      </c>
      <c r="H1361" s="73"/>
      <c r="I1361" s="75">
        <v>0.1</v>
      </c>
      <c r="J1361" s="77"/>
      <c r="K1361" s="66"/>
      <c r="L1361" s="66"/>
      <c r="M1361" s="79" t="str">
        <f>HYPERLINK("http://www.pristavka.com/catalog/funko/Fun61399/")</f>
        <v>http://www.pristavka.com/catalog/funko/Fun61399/</v>
      </c>
      <c r="N1361" s="71"/>
      <c r="O1361" s="66" t="s">
        <v>27</v>
      </c>
      <c r="P1361" s="82" t="s">
        <v>5891</v>
      </c>
      <c r="Q1361" s="84" t="s">
        <v>5892</v>
      </c>
      <c r="R1361" s="84" t="s">
        <v>3327</v>
      </c>
      <c r="S1361" s="84">
        <v>0.159</v>
      </c>
      <c r="T1361" s="82" t="s">
        <v>4084</v>
      </c>
      <c r="U1361" s="84" t="s">
        <v>3584</v>
      </c>
      <c r="V1361" s="54"/>
    </row>
    <row r="1362" spans="1:22" s="11" customFormat="1" ht="45" customHeight="1" x14ac:dyDescent="0.2">
      <c r="A1362" s="66" t="s">
        <v>3577</v>
      </c>
      <c r="B1362" s="66" t="s">
        <v>1707</v>
      </c>
      <c r="C1362" s="66" t="s">
        <v>3578</v>
      </c>
      <c r="D1362" s="66">
        <v>61401</v>
      </c>
      <c r="E1362" s="68" t="s">
        <v>5893</v>
      </c>
      <c r="F1362" s="66" t="s">
        <v>5894</v>
      </c>
      <c r="G1362" s="71">
        <v>0</v>
      </c>
      <c r="H1362" s="73"/>
      <c r="I1362" s="75">
        <v>0.1</v>
      </c>
      <c r="J1362" s="77"/>
      <c r="K1362" s="66"/>
      <c r="L1362" s="66"/>
      <c r="M1362" s="79" t="str">
        <f>HYPERLINK("http://www.pristavka.com/catalog/funko/Fun61401/")</f>
        <v>http://www.pristavka.com/catalog/funko/Fun61401/</v>
      </c>
      <c r="N1362" s="71"/>
      <c r="O1362" s="66" t="s">
        <v>27</v>
      </c>
      <c r="P1362" s="82" t="s">
        <v>5895</v>
      </c>
      <c r="Q1362" s="84" t="s">
        <v>5892</v>
      </c>
      <c r="R1362" s="84" t="s">
        <v>3327</v>
      </c>
      <c r="S1362" s="84">
        <v>0.13200000000000001</v>
      </c>
      <c r="T1362" s="82" t="s">
        <v>4091</v>
      </c>
      <c r="U1362" s="84" t="s">
        <v>3584</v>
      </c>
      <c r="V1362" s="54"/>
    </row>
    <row r="1363" spans="1:22" s="11" customFormat="1" ht="45" customHeight="1" x14ac:dyDescent="0.2">
      <c r="A1363" s="66" t="s">
        <v>3577</v>
      </c>
      <c r="B1363" s="66" t="s">
        <v>1707</v>
      </c>
      <c r="C1363" s="66" t="s">
        <v>3578</v>
      </c>
      <c r="D1363" s="66">
        <v>61397</v>
      </c>
      <c r="E1363" s="68" t="s">
        <v>5896</v>
      </c>
      <c r="F1363" s="66" t="s">
        <v>5897</v>
      </c>
      <c r="G1363" s="71">
        <v>0</v>
      </c>
      <c r="H1363" s="73"/>
      <c r="I1363" s="75">
        <v>0.1</v>
      </c>
      <c r="J1363" s="77"/>
      <c r="K1363" s="66"/>
      <c r="L1363" s="66"/>
      <c r="M1363" s="79" t="str">
        <f>HYPERLINK("http://www.pristavka.com/catalog/funko/Fun61397/")</f>
        <v>http://www.pristavka.com/catalog/funko/Fun61397/</v>
      </c>
      <c r="N1363" s="71"/>
      <c r="O1363" s="66" t="s">
        <v>27</v>
      </c>
      <c r="P1363" s="82" t="s">
        <v>5898</v>
      </c>
      <c r="Q1363" s="84" t="s">
        <v>5892</v>
      </c>
      <c r="R1363" s="84" t="s">
        <v>3327</v>
      </c>
      <c r="S1363" s="84">
        <v>0.11</v>
      </c>
      <c r="T1363" s="82" t="s">
        <v>4084</v>
      </c>
      <c r="U1363" s="84" t="s">
        <v>3584</v>
      </c>
      <c r="V1363" s="54"/>
    </row>
    <row r="1364" spans="1:22" s="11" customFormat="1" ht="45" customHeight="1" x14ac:dyDescent="0.2">
      <c r="A1364" s="66" t="s">
        <v>3577</v>
      </c>
      <c r="B1364" s="66" t="s">
        <v>1707</v>
      </c>
      <c r="C1364" s="66" t="s">
        <v>3578</v>
      </c>
      <c r="D1364" s="66">
        <v>61398</v>
      </c>
      <c r="E1364" s="68" t="s">
        <v>5899</v>
      </c>
      <c r="F1364" s="66" t="s">
        <v>5900</v>
      </c>
      <c r="G1364" s="71">
        <v>0</v>
      </c>
      <c r="H1364" s="73"/>
      <c r="I1364" s="75">
        <v>0.1</v>
      </c>
      <c r="J1364" s="77"/>
      <c r="K1364" s="66"/>
      <c r="L1364" s="66"/>
      <c r="M1364" s="79" t="str">
        <f>HYPERLINK("http://www.pristavka.com/catalog/funko/Fun61398/")</f>
        <v>http://www.pristavka.com/catalog/funko/Fun61398/</v>
      </c>
      <c r="N1364" s="71"/>
      <c r="O1364" s="66" t="s">
        <v>27</v>
      </c>
      <c r="P1364" s="82" t="s">
        <v>5901</v>
      </c>
      <c r="Q1364" s="84" t="s">
        <v>5892</v>
      </c>
      <c r="R1364" s="84" t="s">
        <v>3327</v>
      </c>
      <c r="S1364" s="84">
        <v>0.11600000000000001</v>
      </c>
      <c r="T1364" s="82" t="s">
        <v>4091</v>
      </c>
      <c r="U1364" s="84" t="s">
        <v>3584</v>
      </c>
      <c r="V1364" s="54"/>
    </row>
    <row r="1365" spans="1:22" s="11" customFormat="1" ht="45" customHeight="1" x14ac:dyDescent="0.2">
      <c r="A1365" s="66" t="s">
        <v>3577</v>
      </c>
      <c r="B1365" s="66" t="s">
        <v>1707</v>
      </c>
      <c r="C1365" s="66" t="s">
        <v>3578</v>
      </c>
      <c r="D1365" s="66">
        <v>61400</v>
      </c>
      <c r="E1365" s="68" t="s">
        <v>5902</v>
      </c>
      <c r="F1365" s="66" t="s">
        <v>5903</v>
      </c>
      <c r="G1365" s="71">
        <v>0</v>
      </c>
      <c r="H1365" s="73"/>
      <c r="I1365" s="75">
        <v>0.1</v>
      </c>
      <c r="J1365" s="77"/>
      <c r="K1365" s="66"/>
      <c r="L1365" s="66"/>
      <c r="M1365" s="79" t="str">
        <f>HYPERLINK("http://www.pristavka.com/catalog/funko/Fun61400/")</f>
        <v>http://www.pristavka.com/catalog/funko/Fun61400/</v>
      </c>
      <c r="N1365" s="71"/>
      <c r="O1365" s="66" t="s">
        <v>27</v>
      </c>
      <c r="P1365" s="82" t="s">
        <v>5904</v>
      </c>
      <c r="Q1365" s="84" t="s">
        <v>5892</v>
      </c>
      <c r="R1365" s="84" t="s">
        <v>3327</v>
      </c>
      <c r="S1365" s="84">
        <v>0.113</v>
      </c>
      <c r="T1365" s="82" t="s">
        <v>4091</v>
      </c>
      <c r="U1365" s="84" t="s">
        <v>3584</v>
      </c>
      <c r="V1365" s="54"/>
    </row>
    <row r="1366" spans="1:22" s="11" customFormat="1" ht="45" customHeight="1" x14ac:dyDescent="0.2">
      <c r="A1366" s="66" t="s">
        <v>3577</v>
      </c>
      <c r="B1366" s="66" t="s">
        <v>1707</v>
      </c>
      <c r="C1366" s="66" t="s">
        <v>3578</v>
      </c>
      <c r="D1366" s="66">
        <v>84528</v>
      </c>
      <c r="E1366" s="68" t="s">
        <v>5905</v>
      </c>
      <c r="F1366" s="66" t="s">
        <v>5906</v>
      </c>
      <c r="G1366" s="71">
        <v>10530</v>
      </c>
      <c r="H1366" s="73"/>
      <c r="I1366" s="75">
        <v>0.1</v>
      </c>
      <c r="J1366" s="77"/>
      <c r="K1366" s="66"/>
      <c r="L1366" s="66"/>
      <c r="M1366" s="79" t="str">
        <f>HYPERLINK("http://www.pristavka.com/catalog/funko/Fun84528/")</f>
        <v>http://www.pristavka.com/catalog/funko/Fun84528/</v>
      </c>
      <c r="N1366" s="71">
        <v>16199</v>
      </c>
      <c r="O1366" s="66" t="s">
        <v>27</v>
      </c>
      <c r="P1366" s="82" t="s">
        <v>5907</v>
      </c>
      <c r="Q1366" s="84" t="s">
        <v>3566</v>
      </c>
      <c r="R1366" s="84" t="s">
        <v>3566</v>
      </c>
      <c r="S1366" s="84">
        <v>0.51500000000000001</v>
      </c>
      <c r="T1366" s="82" t="s">
        <v>5908</v>
      </c>
      <c r="U1366" s="84" t="s">
        <v>3691</v>
      </c>
      <c r="V1366" s="54"/>
    </row>
    <row r="1367" spans="1:22" s="11" customFormat="1" ht="45" customHeight="1" x14ac:dyDescent="0.2">
      <c r="A1367" s="66" t="s">
        <v>3577</v>
      </c>
      <c r="B1367" s="66" t="s">
        <v>1707</v>
      </c>
      <c r="C1367" s="66" t="s">
        <v>3578</v>
      </c>
      <c r="D1367" s="66">
        <v>81073</v>
      </c>
      <c r="E1367" s="68" t="s">
        <v>5909</v>
      </c>
      <c r="F1367" s="66" t="s">
        <v>5910</v>
      </c>
      <c r="G1367" s="71">
        <v>0</v>
      </c>
      <c r="H1367" s="73"/>
      <c r="I1367" s="75">
        <v>0.1</v>
      </c>
      <c r="J1367" s="77"/>
      <c r="K1367" s="66"/>
      <c r="L1367" s="66"/>
      <c r="M1367" s="79" t="str">
        <f>HYPERLINK("http://www.pristavka.com/catalog/funko/Fun81073/")</f>
        <v>http://www.pristavka.com/catalog/funko/Fun81073/</v>
      </c>
      <c r="N1367" s="71"/>
      <c r="O1367" s="66" t="s">
        <v>27</v>
      </c>
      <c r="P1367" s="82" t="s">
        <v>5911</v>
      </c>
      <c r="Q1367" s="84" t="s">
        <v>3844</v>
      </c>
      <c r="R1367" s="84" t="s">
        <v>3566</v>
      </c>
      <c r="S1367" s="84">
        <v>0.51</v>
      </c>
      <c r="T1367" s="82" t="s">
        <v>5912</v>
      </c>
      <c r="U1367" s="84" t="s">
        <v>3584</v>
      </c>
      <c r="V1367" s="54"/>
    </row>
    <row r="1368" spans="1:22" s="11" customFormat="1" ht="45" customHeight="1" x14ac:dyDescent="0.2">
      <c r="A1368" s="66" t="s">
        <v>3577</v>
      </c>
      <c r="B1368" s="66" t="s">
        <v>1707</v>
      </c>
      <c r="C1368" s="66" t="s">
        <v>3578</v>
      </c>
      <c r="D1368" s="66">
        <v>76086</v>
      </c>
      <c r="E1368" s="68" t="s">
        <v>5913</v>
      </c>
      <c r="F1368" s="66" t="s">
        <v>5914</v>
      </c>
      <c r="G1368" s="71">
        <v>0</v>
      </c>
      <c r="H1368" s="73"/>
      <c r="I1368" s="75">
        <v>0.1</v>
      </c>
      <c r="J1368" s="77"/>
      <c r="K1368" s="66"/>
      <c r="L1368" s="66"/>
      <c r="M1368" s="79" t="str">
        <f>HYPERLINK("http://www.pristavka.com/catalog/funko/Fun76086/")</f>
        <v>http://www.pristavka.com/catalog/funko/Fun76086/</v>
      </c>
      <c r="N1368" s="71"/>
      <c r="O1368" s="66" t="s">
        <v>28</v>
      </c>
      <c r="P1368" s="82" t="s">
        <v>5915</v>
      </c>
      <c r="Q1368" s="84" t="s">
        <v>3604</v>
      </c>
      <c r="R1368" s="84" t="s">
        <v>3566</v>
      </c>
      <c r="S1368" s="84">
        <v>0.5</v>
      </c>
      <c r="T1368" s="82" t="s">
        <v>5916</v>
      </c>
      <c r="U1368" s="84" t="s">
        <v>3584</v>
      </c>
      <c r="V1368" s="54"/>
    </row>
    <row r="1369" spans="1:22" s="11" customFormat="1" ht="45" customHeight="1" x14ac:dyDescent="0.2">
      <c r="A1369" s="66" t="s">
        <v>3577</v>
      </c>
      <c r="B1369" s="66" t="s">
        <v>1707</v>
      </c>
      <c r="C1369" s="66" t="s">
        <v>3578</v>
      </c>
      <c r="D1369" s="66">
        <v>83729</v>
      </c>
      <c r="E1369" s="68" t="s">
        <v>5917</v>
      </c>
      <c r="F1369" s="66" t="s">
        <v>5918</v>
      </c>
      <c r="G1369" s="71">
        <v>10530</v>
      </c>
      <c r="H1369" s="73"/>
      <c r="I1369" s="75">
        <v>0.1</v>
      </c>
      <c r="J1369" s="77"/>
      <c r="K1369" s="66"/>
      <c r="L1369" s="66"/>
      <c r="M1369" s="79" t="str">
        <f>HYPERLINK("http://www.pristavka.com/catalog/funko/Fun83729/")</f>
        <v>http://www.pristavka.com/catalog/funko/Fun83729/</v>
      </c>
      <c r="N1369" s="71">
        <v>16199</v>
      </c>
      <c r="O1369" s="66" t="s">
        <v>27</v>
      </c>
      <c r="P1369" s="82" t="s">
        <v>5919</v>
      </c>
      <c r="Q1369" s="84" t="s">
        <v>3844</v>
      </c>
      <c r="R1369" s="84" t="s">
        <v>3566</v>
      </c>
      <c r="S1369" s="84">
        <v>0.53600000000000003</v>
      </c>
      <c r="T1369" s="82" t="s">
        <v>5920</v>
      </c>
      <c r="U1369" s="84" t="s">
        <v>3691</v>
      </c>
      <c r="V1369" s="54"/>
    </row>
    <row r="1370" spans="1:22" s="11" customFormat="1" ht="45" customHeight="1" x14ac:dyDescent="0.2">
      <c r="A1370" s="66" t="s">
        <v>3577</v>
      </c>
      <c r="B1370" s="66" t="s">
        <v>1707</v>
      </c>
      <c r="C1370" s="66" t="s">
        <v>3578</v>
      </c>
      <c r="D1370" s="66">
        <v>84431</v>
      </c>
      <c r="E1370" s="68" t="s">
        <v>5921</v>
      </c>
      <c r="F1370" s="66" t="s">
        <v>5922</v>
      </c>
      <c r="G1370" s="71">
        <v>10530</v>
      </c>
      <c r="H1370" s="73"/>
      <c r="I1370" s="75">
        <v>0.1</v>
      </c>
      <c r="J1370" s="77"/>
      <c r="K1370" s="66"/>
      <c r="L1370" s="66"/>
      <c r="M1370" s="79" t="str">
        <f>HYPERLINK("http://www.pristavka.com/catalog/funko/Fun84431/")</f>
        <v>http://www.pristavka.com/catalog/funko/Fun84431/</v>
      </c>
      <c r="N1370" s="71">
        <v>16199</v>
      </c>
      <c r="O1370" s="66" t="s">
        <v>27</v>
      </c>
      <c r="P1370" s="82" t="s">
        <v>5923</v>
      </c>
      <c r="Q1370" s="84" t="s">
        <v>3844</v>
      </c>
      <c r="R1370" s="84" t="s">
        <v>3566</v>
      </c>
      <c r="S1370" s="84">
        <v>0.53200000000000003</v>
      </c>
      <c r="T1370" s="82" t="s">
        <v>5920</v>
      </c>
      <c r="U1370" s="84" t="s">
        <v>3691</v>
      </c>
      <c r="V1370" s="54"/>
    </row>
    <row r="1371" spans="1:22" s="11" customFormat="1" ht="45" customHeight="1" x14ac:dyDescent="0.2">
      <c r="A1371" s="66" t="s">
        <v>3577</v>
      </c>
      <c r="B1371" s="66" t="s">
        <v>1707</v>
      </c>
      <c r="C1371" s="66" t="s">
        <v>3578</v>
      </c>
      <c r="D1371" s="66">
        <v>84601</v>
      </c>
      <c r="E1371" s="68" t="s">
        <v>5924</v>
      </c>
      <c r="F1371" s="66" t="s">
        <v>5925</v>
      </c>
      <c r="G1371" s="71">
        <v>11180</v>
      </c>
      <c r="H1371" s="73"/>
      <c r="I1371" s="75">
        <v>0.1</v>
      </c>
      <c r="J1371" s="77"/>
      <c r="K1371" s="66"/>
      <c r="L1371" s="66"/>
      <c r="M1371" s="79" t="str">
        <f>HYPERLINK("http://www.pristavka.com/catalog/funko/Fun84601/")</f>
        <v>http://www.pristavka.com/catalog/funko/Fun84601/</v>
      </c>
      <c r="N1371" s="71">
        <v>17199</v>
      </c>
      <c r="O1371" s="66" t="s">
        <v>27</v>
      </c>
      <c r="P1371" s="82" t="s">
        <v>5926</v>
      </c>
      <c r="Q1371" s="84" t="s">
        <v>3527</v>
      </c>
      <c r="R1371" s="84" t="s">
        <v>3512</v>
      </c>
      <c r="S1371" s="84">
        <v>0.50800000000000001</v>
      </c>
      <c r="T1371" s="82" t="s">
        <v>5927</v>
      </c>
      <c r="U1371" s="84" t="s">
        <v>3691</v>
      </c>
      <c r="V1371" s="54"/>
    </row>
    <row r="1372" spans="1:22" s="11" customFormat="1" ht="45" customHeight="1" x14ac:dyDescent="0.2">
      <c r="A1372" s="66" t="s">
        <v>3577</v>
      </c>
      <c r="B1372" s="66" t="s">
        <v>1707</v>
      </c>
      <c r="C1372" s="66" t="s">
        <v>3578</v>
      </c>
      <c r="D1372" s="66">
        <v>84527</v>
      </c>
      <c r="E1372" s="68" t="s">
        <v>5928</v>
      </c>
      <c r="F1372" s="66" t="s">
        <v>5929</v>
      </c>
      <c r="G1372" s="71">
        <v>11180</v>
      </c>
      <c r="H1372" s="73"/>
      <c r="I1372" s="75">
        <v>0.1</v>
      </c>
      <c r="J1372" s="77"/>
      <c r="K1372" s="66"/>
      <c r="L1372" s="66"/>
      <c r="M1372" s="79" t="str">
        <f>HYPERLINK("http://www.pristavka.com/catalog/funko/Fun84527/")</f>
        <v>http://www.pristavka.com/catalog/funko/Fun84527/</v>
      </c>
      <c r="N1372" s="71">
        <v>17199</v>
      </c>
      <c r="O1372" s="66" t="s">
        <v>27</v>
      </c>
      <c r="P1372" s="82" t="s">
        <v>5930</v>
      </c>
      <c r="Q1372" s="84" t="s">
        <v>3527</v>
      </c>
      <c r="R1372" s="84" t="s">
        <v>3512</v>
      </c>
      <c r="S1372" s="84">
        <v>0.505</v>
      </c>
      <c r="T1372" s="82" t="s">
        <v>5931</v>
      </c>
      <c r="U1372" s="84" t="s">
        <v>3691</v>
      </c>
      <c r="V1372" s="54"/>
    </row>
    <row r="1373" spans="1:22" s="11" customFormat="1" ht="45" customHeight="1" x14ac:dyDescent="0.2">
      <c r="A1373" s="66" t="s">
        <v>3577</v>
      </c>
      <c r="B1373" s="66" t="s">
        <v>1707</v>
      </c>
      <c r="C1373" s="66" t="s">
        <v>3578</v>
      </c>
      <c r="D1373" s="66">
        <v>84114</v>
      </c>
      <c r="E1373" s="68" t="s">
        <v>5932</v>
      </c>
      <c r="F1373" s="66" t="s">
        <v>5933</v>
      </c>
      <c r="G1373" s="71">
        <v>11180</v>
      </c>
      <c r="H1373" s="73"/>
      <c r="I1373" s="75">
        <v>0.1</v>
      </c>
      <c r="J1373" s="77"/>
      <c r="K1373" s="66"/>
      <c r="L1373" s="66"/>
      <c r="M1373" s="79" t="str">
        <f>HYPERLINK("http://www.pristavka.com/catalog/funko/Fun84114/")</f>
        <v>http://www.pristavka.com/catalog/funko/Fun84114/</v>
      </c>
      <c r="N1373" s="71">
        <v>17199</v>
      </c>
      <c r="O1373" s="66" t="s">
        <v>27</v>
      </c>
      <c r="P1373" s="82" t="s">
        <v>5934</v>
      </c>
      <c r="Q1373" s="84" t="s">
        <v>5545</v>
      </c>
      <c r="R1373" s="84" t="s">
        <v>3512</v>
      </c>
      <c r="S1373" s="84">
        <v>0.59199999999999997</v>
      </c>
      <c r="T1373" s="82" t="s">
        <v>5927</v>
      </c>
      <c r="U1373" s="84" t="s">
        <v>3691</v>
      </c>
      <c r="V1373" s="54"/>
    </row>
    <row r="1374" spans="1:22" s="11" customFormat="1" ht="45" customHeight="1" x14ac:dyDescent="0.2">
      <c r="A1374" s="66" t="s">
        <v>3577</v>
      </c>
      <c r="B1374" s="66" t="s">
        <v>1707</v>
      </c>
      <c r="C1374" s="66" t="s">
        <v>3578</v>
      </c>
      <c r="D1374" s="66">
        <v>74133</v>
      </c>
      <c r="E1374" s="68" t="s">
        <v>5935</v>
      </c>
      <c r="F1374" s="66" t="s">
        <v>5936</v>
      </c>
      <c r="G1374" s="71">
        <v>14300</v>
      </c>
      <c r="H1374" s="73"/>
      <c r="I1374" s="75">
        <v>0.1</v>
      </c>
      <c r="J1374" s="77"/>
      <c r="K1374" s="66"/>
      <c r="L1374" s="66"/>
      <c r="M1374" s="79" t="str">
        <f>HYPERLINK("http://www.pristavka.com/catalog/funko/Fun74133/")</f>
        <v>http://www.pristavka.com/catalog/funko/Fun74133/</v>
      </c>
      <c r="N1374" s="71">
        <v>21999</v>
      </c>
      <c r="O1374" s="66" t="s">
        <v>28</v>
      </c>
      <c r="P1374" s="82" t="s">
        <v>5937</v>
      </c>
      <c r="Q1374" s="84" t="s">
        <v>3833</v>
      </c>
      <c r="R1374" s="84" t="s">
        <v>3512</v>
      </c>
      <c r="S1374" s="84">
        <v>0.49</v>
      </c>
      <c r="T1374" s="82" t="s">
        <v>5908</v>
      </c>
      <c r="U1374" s="84" t="s">
        <v>3584</v>
      </c>
      <c r="V1374" s="54"/>
    </row>
    <row r="1375" spans="1:22" s="11" customFormat="1" ht="45" customHeight="1" x14ac:dyDescent="0.2">
      <c r="A1375" s="66" t="s">
        <v>3577</v>
      </c>
      <c r="B1375" s="66" t="s">
        <v>1707</v>
      </c>
      <c r="C1375" s="66" t="s">
        <v>3578</v>
      </c>
      <c r="D1375" s="66">
        <v>74134</v>
      </c>
      <c r="E1375" s="68" t="s">
        <v>5938</v>
      </c>
      <c r="F1375" s="66" t="s">
        <v>5939</v>
      </c>
      <c r="G1375" s="71">
        <v>14300</v>
      </c>
      <c r="H1375" s="73"/>
      <c r="I1375" s="75">
        <v>0.1</v>
      </c>
      <c r="J1375" s="77"/>
      <c r="K1375" s="66"/>
      <c r="L1375" s="66"/>
      <c r="M1375" s="79" t="str">
        <f>HYPERLINK("http://www.pristavka.com/catalog/funko/Fun74134/")</f>
        <v>http://www.pristavka.com/catalog/funko/Fun74134/</v>
      </c>
      <c r="N1375" s="71">
        <v>21999</v>
      </c>
      <c r="O1375" s="66" t="s">
        <v>27</v>
      </c>
      <c r="P1375" s="82" t="s">
        <v>5940</v>
      </c>
      <c r="Q1375" s="84" t="s">
        <v>3517</v>
      </c>
      <c r="R1375" s="84" t="s">
        <v>3512</v>
      </c>
      <c r="S1375" s="84">
        <v>0.48199999999999998</v>
      </c>
      <c r="T1375" s="82" t="s">
        <v>5941</v>
      </c>
      <c r="U1375" s="84" t="s">
        <v>3584</v>
      </c>
      <c r="V1375" s="54"/>
    </row>
    <row r="1376" spans="1:22" s="11" customFormat="1" ht="45" customHeight="1" x14ac:dyDescent="0.2">
      <c r="A1376" s="66" t="s">
        <v>3577</v>
      </c>
      <c r="B1376" s="66" t="s">
        <v>1707</v>
      </c>
      <c r="C1376" s="66" t="s">
        <v>3578</v>
      </c>
      <c r="D1376" s="66">
        <v>74421</v>
      </c>
      <c r="E1376" s="68" t="s">
        <v>5942</v>
      </c>
      <c r="F1376" s="66" t="s">
        <v>5943</v>
      </c>
      <c r="G1376" s="71">
        <v>11180</v>
      </c>
      <c r="H1376" s="73"/>
      <c r="I1376" s="75">
        <v>0.1</v>
      </c>
      <c r="J1376" s="77"/>
      <c r="K1376" s="66"/>
      <c r="L1376" s="66"/>
      <c r="M1376" s="79" t="str">
        <f>HYPERLINK("http://www.pristavka.com/catalog/funko/Fun74421/")</f>
        <v>http://www.pristavka.com/catalog/funko/Fun74421/</v>
      </c>
      <c r="N1376" s="71">
        <v>17199</v>
      </c>
      <c r="O1376" s="66" t="s">
        <v>27</v>
      </c>
      <c r="P1376" s="82" t="s">
        <v>5944</v>
      </c>
      <c r="Q1376" s="84" t="s">
        <v>5108</v>
      </c>
      <c r="R1376" s="84" t="s">
        <v>3512</v>
      </c>
      <c r="S1376" s="84">
        <v>0.48399999999999999</v>
      </c>
      <c r="T1376" s="82" t="s">
        <v>5927</v>
      </c>
      <c r="U1376" s="84" t="s">
        <v>3584</v>
      </c>
      <c r="V1376" s="54"/>
    </row>
    <row r="1377" spans="1:22" s="11" customFormat="1" ht="45" customHeight="1" x14ac:dyDescent="0.2">
      <c r="A1377" s="66" t="s">
        <v>3577</v>
      </c>
      <c r="B1377" s="66" t="s">
        <v>1707</v>
      </c>
      <c r="C1377" s="66" t="s">
        <v>3578</v>
      </c>
      <c r="D1377" s="66">
        <v>81841</v>
      </c>
      <c r="E1377" s="68" t="s">
        <v>5945</v>
      </c>
      <c r="F1377" s="66" t="s">
        <v>5946</v>
      </c>
      <c r="G1377" s="71">
        <v>0</v>
      </c>
      <c r="H1377" s="73"/>
      <c r="I1377" s="75">
        <v>0.1</v>
      </c>
      <c r="J1377" s="77"/>
      <c r="K1377" s="66"/>
      <c r="L1377" s="66"/>
      <c r="M1377" s="79" t="str">
        <f>HYPERLINK("http://www.pristavka.com/catalog/funko/Fun81841/")</f>
        <v>http://www.pristavka.com/catalog/funko/Fun81841/</v>
      </c>
      <c r="N1377" s="71"/>
      <c r="O1377" s="66" t="s">
        <v>28</v>
      </c>
      <c r="P1377" s="82" t="s">
        <v>5947</v>
      </c>
      <c r="Q1377" s="84" t="s">
        <v>5108</v>
      </c>
      <c r="R1377" s="84" t="s">
        <v>3512</v>
      </c>
      <c r="S1377" s="84">
        <v>0.48799999999999999</v>
      </c>
      <c r="T1377" s="82" t="s">
        <v>5948</v>
      </c>
      <c r="U1377" s="84" t="s">
        <v>3584</v>
      </c>
      <c r="V1377" s="54"/>
    </row>
    <row r="1378" spans="1:22" s="11" customFormat="1" ht="45" customHeight="1" x14ac:dyDescent="0.2">
      <c r="A1378" s="66" t="s">
        <v>3577</v>
      </c>
      <c r="B1378" s="66" t="s">
        <v>1707</v>
      </c>
      <c r="C1378" s="66" t="s">
        <v>3578</v>
      </c>
      <c r="D1378" s="66">
        <v>81047</v>
      </c>
      <c r="E1378" s="68" t="s">
        <v>5949</v>
      </c>
      <c r="F1378" s="66" t="s">
        <v>5950</v>
      </c>
      <c r="G1378" s="71">
        <v>14300</v>
      </c>
      <c r="H1378" s="73"/>
      <c r="I1378" s="75">
        <v>0.1</v>
      </c>
      <c r="J1378" s="77"/>
      <c r="K1378" s="66"/>
      <c r="L1378" s="66"/>
      <c r="M1378" s="79" t="str">
        <f>HYPERLINK("http://www.pristavka.com/catalog/funko/Fun81047/")</f>
        <v>http://www.pristavka.com/catalog/funko/Fun81047/</v>
      </c>
      <c r="N1378" s="71">
        <v>21999</v>
      </c>
      <c r="O1378" s="66" t="s">
        <v>27</v>
      </c>
      <c r="P1378" s="82" t="s">
        <v>5951</v>
      </c>
      <c r="Q1378" s="84" t="s">
        <v>5108</v>
      </c>
      <c r="R1378" s="84" t="s">
        <v>3512</v>
      </c>
      <c r="S1378" s="84">
        <v>0.498</v>
      </c>
      <c r="T1378" s="82" t="s">
        <v>5952</v>
      </c>
      <c r="U1378" s="84" t="s">
        <v>3691</v>
      </c>
      <c r="V1378" s="54"/>
    </row>
    <row r="1379" spans="1:22" s="11" customFormat="1" ht="45" customHeight="1" x14ac:dyDescent="0.2">
      <c r="A1379" s="66" t="s">
        <v>3577</v>
      </c>
      <c r="B1379" s="66" t="s">
        <v>1707</v>
      </c>
      <c r="C1379" s="66" t="s">
        <v>3578</v>
      </c>
      <c r="D1379" s="66">
        <v>65742</v>
      </c>
      <c r="E1379" s="68" t="s">
        <v>5953</v>
      </c>
      <c r="F1379" s="66" t="s">
        <v>5954</v>
      </c>
      <c r="G1379" s="71">
        <v>13000</v>
      </c>
      <c r="H1379" s="73"/>
      <c r="I1379" s="75">
        <v>0.1</v>
      </c>
      <c r="J1379" s="77"/>
      <c r="K1379" s="66"/>
      <c r="L1379" s="66"/>
      <c r="M1379" s="79" t="str">
        <f>HYPERLINK("http://www.pristavka.com/catalog/funko/Fun65742/")</f>
        <v>http://www.pristavka.com/catalog/funko/Fun65742/</v>
      </c>
      <c r="N1379" s="71">
        <v>19999</v>
      </c>
      <c r="O1379" s="66" t="s">
        <v>27</v>
      </c>
      <c r="P1379" s="82" t="s">
        <v>5955</v>
      </c>
      <c r="Q1379" s="84" t="s">
        <v>5108</v>
      </c>
      <c r="R1379" s="84" t="s">
        <v>3512</v>
      </c>
      <c r="S1379" s="84">
        <v>0.495</v>
      </c>
      <c r="T1379" s="82" t="s">
        <v>5956</v>
      </c>
      <c r="U1379" s="84" t="s">
        <v>3691</v>
      </c>
      <c r="V1379" s="54"/>
    </row>
    <row r="1380" spans="1:22" s="11" customFormat="1" ht="45" customHeight="1" x14ac:dyDescent="0.2">
      <c r="A1380" s="66" t="s">
        <v>3577</v>
      </c>
      <c r="B1380" s="66" t="s">
        <v>1707</v>
      </c>
      <c r="C1380" s="66" t="s">
        <v>3578</v>
      </c>
      <c r="D1380" s="66">
        <v>83037</v>
      </c>
      <c r="E1380" s="68" t="s">
        <v>5957</v>
      </c>
      <c r="F1380" s="66" t="s">
        <v>5958</v>
      </c>
      <c r="G1380" s="71">
        <v>11180</v>
      </c>
      <c r="H1380" s="73"/>
      <c r="I1380" s="75">
        <v>0.2</v>
      </c>
      <c r="J1380" s="77"/>
      <c r="K1380" s="66"/>
      <c r="L1380" s="66"/>
      <c r="M1380" s="79" t="str">
        <f>HYPERLINK("http://www.pristavka.com/catalog/funko/Fun83037/")</f>
        <v>http://www.pristavka.com/catalog/funko/Fun83037/</v>
      </c>
      <c r="N1380" s="71">
        <v>17199</v>
      </c>
      <c r="O1380" s="66" t="s">
        <v>27</v>
      </c>
      <c r="P1380" s="82" t="s">
        <v>5959</v>
      </c>
      <c r="Q1380" s="84" t="s">
        <v>3798</v>
      </c>
      <c r="R1380" s="84" t="s">
        <v>3512</v>
      </c>
      <c r="S1380" s="84">
        <v>0.47599999999999998</v>
      </c>
      <c r="T1380" s="82" t="s">
        <v>5927</v>
      </c>
      <c r="U1380" s="84" t="s">
        <v>3708</v>
      </c>
      <c r="V1380" s="54"/>
    </row>
    <row r="1381" spans="1:22" s="11" customFormat="1" ht="45" customHeight="1" x14ac:dyDescent="0.2">
      <c r="A1381" s="66" t="s">
        <v>3577</v>
      </c>
      <c r="B1381" s="66" t="s">
        <v>1707</v>
      </c>
      <c r="C1381" s="66" t="s">
        <v>3578</v>
      </c>
      <c r="D1381" s="66">
        <v>81839</v>
      </c>
      <c r="E1381" s="68" t="s">
        <v>5960</v>
      </c>
      <c r="F1381" s="66" t="s">
        <v>5961</v>
      </c>
      <c r="G1381" s="71">
        <v>14300</v>
      </c>
      <c r="H1381" s="73"/>
      <c r="I1381" s="75">
        <v>0.1</v>
      </c>
      <c r="J1381" s="77"/>
      <c r="K1381" s="66"/>
      <c r="L1381" s="66"/>
      <c r="M1381" s="79" t="str">
        <f>HYPERLINK("http://www.pristavka.com/catalog/funko/Fun81839/")</f>
        <v>http://www.pristavka.com/catalog/funko/Fun81839/</v>
      </c>
      <c r="N1381" s="71">
        <v>21999</v>
      </c>
      <c r="O1381" s="66" t="s">
        <v>28</v>
      </c>
      <c r="P1381" s="82" t="s">
        <v>5962</v>
      </c>
      <c r="Q1381" s="84" t="s">
        <v>5281</v>
      </c>
      <c r="R1381" s="84" t="s">
        <v>3512</v>
      </c>
      <c r="S1381" s="84">
        <v>0.48099999999999998</v>
      </c>
      <c r="T1381" s="82" t="s">
        <v>5916</v>
      </c>
      <c r="U1381" s="84" t="s">
        <v>3584</v>
      </c>
      <c r="V1381" s="54"/>
    </row>
    <row r="1382" spans="1:22" s="11" customFormat="1" ht="45" customHeight="1" x14ac:dyDescent="0.2">
      <c r="A1382" s="66" t="s">
        <v>3577</v>
      </c>
      <c r="B1382" s="66" t="s">
        <v>1707</v>
      </c>
      <c r="C1382" s="66" t="s">
        <v>3578</v>
      </c>
      <c r="D1382" s="66">
        <v>81838</v>
      </c>
      <c r="E1382" s="68" t="s">
        <v>5963</v>
      </c>
      <c r="F1382" s="66" t="s">
        <v>5964</v>
      </c>
      <c r="G1382" s="71">
        <v>0</v>
      </c>
      <c r="H1382" s="73"/>
      <c r="I1382" s="75">
        <v>0.1</v>
      </c>
      <c r="J1382" s="77"/>
      <c r="K1382" s="66"/>
      <c r="L1382" s="66"/>
      <c r="M1382" s="79" t="str">
        <f>HYPERLINK("http://www.pristavka.com/catalog/funko/Fun81838/")</f>
        <v>http://www.pristavka.com/catalog/funko/Fun81838/</v>
      </c>
      <c r="N1382" s="71"/>
      <c r="O1382" s="66" t="s">
        <v>27</v>
      </c>
      <c r="P1382" s="82" t="s">
        <v>5965</v>
      </c>
      <c r="Q1382" s="84" t="s">
        <v>3527</v>
      </c>
      <c r="R1382" s="84" t="s">
        <v>3512</v>
      </c>
      <c r="S1382" s="84">
        <v>0.49199999999999999</v>
      </c>
      <c r="T1382" s="82" t="s">
        <v>5966</v>
      </c>
      <c r="U1382" s="84" t="s">
        <v>3691</v>
      </c>
      <c r="V1382" s="54"/>
    </row>
    <row r="1383" spans="1:22" s="11" customFormat="1" ht="45" customHeight="1" x14ac:dyDescent="0.2">
      <c r="A1383" s="66" t="s">
        <v>3577</v>
      </c>
      <c r="B1383" s="66" t="s">
        <v>1707</v>
      </c>
      <c r="C1383" s="66" t="s">
        <v>3578</v>
      </c>
      <c r="D1383" s="66">
        <v>84600</v>
      </c>
      <c r="E1383" s="68" t="s">
        <v>5967</v>
      </c>
      <c r="F1383" s="66" t="s">
        <v>5968</v>
      </c>
      <c r="G1383" s="71">
        <v>0</v>
      </c>
      <c r="H1383" s="73"/>
      <c r="I1383" s="75">
        <v>0.1</v>
      </c>
      <c r="J1383" s="77"/>
      <c r="K1383" s="66"/>
      <c r="L1383" s="66"/>
      <c r="M1383" s="79" t="str">
        <f>HYPERLINK("http://www.pristavka.com/catalog/funko/Fun84600/")</f>
        <v>http://www.pristavka.com/catalog/funko/Fun84600/</v>
      </c>
      <c r="N1383" s="71"/>
      <c r="O1383" s="66" t="s">
        <v>27</v>
      </c>
      <c r="P1383" s="82" t="s">
        <v>5969</v>
      </c>
      <c r="Q1383" s="84" t="s">
        <v>3527</v>
      </c>
      <c r="R1383" s="84" t="s">
        <v>3512</v>
      </c>
      <c r="S1383" s="84">
        <v>0.51</v>
      </c>
      <c r="T1383" s="82" t="s">
        <v>5927</v>
      </c>
      <c r="U1383" s="84" t="s">
        <v>3691</v>
      </c>
      <c r="V1383" s="54"/>
    </row>
    <row r="1384" spans="1:22" s="11" customFormat="1" ht="45" customHeight="1" x14ac:dyDescent="0.2">
      <c r="A1384" s="66" t="s">
        <v>3577</v>
      </c>
      <c r="B1384" s="66" t="s">
        <v>1707</v>
      </c>
      <c r="C1384" s="66" t="s">
        <v>3578</v>
      </c>
      <c r="D1384" s="66">
        <v>85343</v>
      </c>
      <c r="E1384" s="68" t="s">
        <v>5970</v>
      </c>
      <c r="F1384" s="66" t="s">
        <v>5971</v>
      </c>
      <c r="G1384" s="71">
        <v>0</v>
      </c>
      <c r="H1384" s="73"/>
      <c r="I1384" s="75">
        <v>0.1</v>
      </c>
      <c r="J1384" s="77"/>
      <c r="K1384" s="66"/>
      <c r="L1384" s="66"/>
      <c r="M1384" s="79" t="str">
        <f>HYPERLINK("http://www.pristavka.com/catalog/funko/Fun85343/")</f>
        <v>http://www.pristavka.com/catalog/funko/Fun85343/</v>
      </c>
      <c r="N1384" s="71"/>
      <c r="O1384" s="66" t="s">
        <v>28</v>
      </c>
      <c r="P1384" s="82" t="s">
        <v>5972</v>
      </c>
      <c r="Q1384" s="84" t="s">
        <v>3527</v>
      </c>
      <c r="R1384" s="84" t="s">
        <v>3512</v>
      </c>
      <c r="S1384" s="84">
        <v>0.49199999999999999</v>
      </c>
      <c r="T1384" s="82" t="s">
        <v>5916</v>
      </c>
      <c r="U1384" s="84" t="s">
        <v>3691</v>
      </c>
      <c r="V1384" s="54"/>
    </row>
    <row r="1385" spans="1:22" s="11" customFormat="1" ht="45" customHeight="1" x14ac:dyDescent="0.2">
      <c r="A1385" s="66" t="s">
        <v>3577</v>
      </c>
      <c r="B1385" s="66" t="s">
        <v>1707</v>
      </c>
      <c r="C1385" s="66" t="s">
        <v>3578</v>
      </c>
      <c r="D1385" s="66">
        <v>85339</v>
      </c>
      <c r="E1385" s="68" t="s">
        <v>5973</v>
      </c>
      <c r="F1385" s="66" t="s">
        <v>5974</v>
      </c>
      <c r="G1385" s="71">
        <v>0</v>
      </c>
      <c r="H1385" s="73"/>
      <c r="I1385" s="75">
        <v>0.1</v>
      </c>
      <c r="J1385" s="77"/>
      <c r="K1385" s="66"/>
      <c r="L1385" s="66"/>
      <c r="M1385" s="79" t="str">
        <f>HYPERLINK("http://www.pristavka.com/catalog/funko/Fun85339/")</f>
        <v>http://www.pristavka.com/catalog/funko/Fun85339/</v>
      </c>
      <c r="N1385" s="71"/>
      <c r="O1385" s="66" t="s">
        <v>27</v>
      </c>
      <c r="P1385" s="82" t="s">
        <v>5975</v>
      </c>
      <c r="Q1385" s="84" t="s">
        <v>3527</v>
      </c>
      <c r="R1385" s="84" t="s">
        <v>3512</v>
      </c>
      <c r="S1385" s="84">
        <v>0.495</v>
      </c>
      <c r="T1385" s="82" t="s">
        <v>5927</v>
      </c>
      <c r="U1385" s="84" t="s">
        <v>3584</v>
      </c>
      <c r="V1385" s="54"/>
    </row>
    <row r="1386" spans="1:22" s="11" customFormat="1" ht="45" customHeight="1" x14ac:dyDescent="0.2">
      <c r="A1386" s="66" t="s">
        <v>3577</v>
      </c>
      <c r="B1386" s="66" t="s">
        <v>1707</v>
      </c>
      <c r="C1386" s="66" t="s">
        <v>3578</v>
      </c>
      <c r="D1386" s="66">
        <v>84426</v>
      </c>
      <c r="E1386" s="68" t="s">
        <v>5976</v>
      </c>
      <c r="F1386" s="66" t="s">
        <v>5977</v>
      </c>
      <c r="G1386" s="71">
        <v>11180</v>
      </c>
      <c r="H1386" s="73"/>
      <c r="I1386" s="75">
        <v>0.1</v>
      </c>
      <c r="J1386" s="77"/>
      <c r="K1386" s="66"/>
      <c r="L1386" s="66"/>
      <c r="M1386" s="79" t="str">
        <f>HYPERLINK("http://www.pristavka.com/catalog/funko/Fun84426/")</f>
        <v>http://www.pristavka.com/catalog/funko/Fun84426/</v>
      </c>
      <c r="N1386" s="71">
        <v>17199</v>
      </c>
      <c r="O1386" s="66" t="s">
        <v>27</v>
      </c>
      <c r="P1386" s="82" t="s">
        <v>5978</v>
      </c>
      <c r="Q1386" s="84" t="s">
        <v>5545</v>
      </c>
      <c r="R1386" s="84" t="s">
        <v>3512</v>
      </c>
      <c r="S1386" s="84">
        <v>0.56999999999999995</v>
      </c>
      <c r="T1386" s="82" t="s">
        <v>5927</v>
      </c>
      <c r="U1386" s="84" t="s">
        <v>3691</v>
      </c>
      <c r="V1386" s="54"/>
    </row>
    <row r="1387" spans="1:22" s="11" customFormat="1" ht="45" customHeight="1" x14ac:dyDescent="0.2">
      <c r="A1387" s="66" t="s">
        <v>3577</v>
      </c>
      <c r="B1387" s="66" t="s">
        <v>1707</v>
      </c>
      <c r="C1387" s="66" t="s">
        <v>3578</v>
      </c>
      <c r="D1387" s="66">
        <v>76082</v>
      </c>
      <c r="E1387" s="68" t="s">
        <v>5979</v>
      </c>
      <c r="F1387" s="66" t="s">
        <v>5980</v>
      </c>
      <c r="G1387" s="71">
        <v>0</v>
      </c>
      <c r="H1387" s="73"/>
      <c r="I1387" s="75">
        <v>0.1</v>
      </c>
      <c r="J1387" s="77"/>
      <c r="K1387" s="66"/>
      <c r="L1387" s="66"/>
      <c r="M1387" s="79" t="str">
        <f>HYPERLINK("http://www.pristavka.com/catalog/funko/Fun76082/")</f>
        <v>http://www.pristavka.com/catalog/funko/Fun76082/</v>
      </c>
      <c r="N1387" s="71"/>
      <c r="O1387" s="66" t="s">
        <v>27</v>
      </c>
      <c r="P1387" s="82" t="s">
        <v>5981</v>
      </c>
      <c r="Q1387" s="84" t="s">
        <v>5545</v>
      </c>
      <c r="R1387" s="84" t="s">
        <v>3512</v>
      </c>
      <c r="S1387" s="84">
        <v>0.54</v>
      </c>
      <c r="T1387" s="82" t="s">
        <v>5982</v>
      </c>
      <c r="U1387" s="84" t="s">
        <v>3691</v>
      </c>
      <c r="V1387" s="54"/>
    </row>
    <row r="1388" spans="1:22" s="11" customFormat="1" ht="45" customHeight="1" x14ac:dyDescent="0.2">
      <c r="A1388" s="66" t="s">
        <v>3577</v>
      </c>
      <c r="B1388" s="66" t="s">
        <v>1707</v>
      </c>
      <c r="C1388" s="66" t="s">
        <v>3578</v>
      </c>
      <c r="D1388" s="66">
        <v>80875</v>
      </c>
      <c r="E1388" s="68" t="s">
        <v>5983</v>
      </c>
      <c r="F1388" s="66" t="s">
        <v>5984</v>
      </c>
      <c r="G1388" s="71">
        <v>13000</v>
      </c>
      <c r="H1388" s="73"/>
      <c r="I1388" s="75">
        <v>0.1</v>
      </c>
      <c r="J1388" s="77"/>
      <c r="K1388" s="66"/>
      <c r="L1388" s="66"/>
      <c r="M1388" s="79" t="str">
        <f>HYPERLINK("http://www.pristavka.com/catalog/funko/Fun80875/")</f>
        <v>http://www.pristavka.com/catalog/funko/Fun80875/</v>
      </c>
      <c r="N1388" s="71">
        <v>19999</v>
      </c>
      <c r="O1388" s="66" t="s">
        <v>27</v>
      </c>
      <c r="P1388" s="82" t="s">
        <v>5985</v>
      </c>
      <c r="Q1388" s="84" t="s">
        <v>3527</v>
      </c>
      <c r="R1388" s="84" t="s">
        <v>3512</v>
      </c>
      <c r="S1388" s="84">
        <v>0.504</v>
      </c>
      <c r="T1388" s="82" t="s">
        <v>5986</v>
      </c>
      <c r="U1388" s="84" t="s">
        <v>3691</v>
      </c>
      <c r="V1388" s="54"/>
    </row>
    <row r="1389" spans="1:22" s="11" customFormat="1" ht="45" customHeight="1" x14ac:dyDescent="0.2">
      <c r="A1389" s="66" t="s">
        <v>3577</v>
      </c>
      <c r="B1389" s="66" t="s">
        <v>1707</v>
      </c>
      <c r="C1389" s="66" t="s">
        <v>3578</v>
      </c>
      <c r="D1389" s="66">
        <v>80961</v>
      </c>
      <c r="E1389" s="68" t="s">
        <v>5987</v>
      </c>
      <c r="F1389" s="66" t="s">
        <v>5988</v>
      </c>
      <c r="G1389" s="71">
        <v>13000</v>
      </c>
      <c r="H1389" s="73"/>
      <c r="I1389" s="75">
        <v>0.1</v>
      </c>
      <c r="J1389" s="77"/>
      <c r="K1389" s="66"/>
      <c r="L1389" s="66"/>
      <c r="M1389" s="79" t="str">
        <f>HYPERLINK("http://www.pristavka.com/catalog/funko/Fun80961/")</f>
        <v>http://www.pristavka.com/catalog/funko/Fun80961/</v>
      </c>
      <c r="N1389" s="71">
        <v>19999</v>
      </c>
      <c r="O1389" s="66" t="s">
        <v>27</v>
      </c>
      <c r="P1389" s="82" t="s">
        <v>5989</v>
      </c>
      <c r="Q1389" s="84" t="s">
        <v>5108</v>
      </c>
      <c r="R1389" s="84" t="s">
        <v>3512</v>
      </c>
      <c r="S1389" s="84">
        <v>0.48</v>
      </c>
      <c r="T1389" s="82" t="s">
        <v>5986</v>
      </c>
      <c r="U1389" s="84" t="s">
        <v>3691</v>
      </c>
      <c r="V1389" s="54"/>
    </row>
    <row r="1390" spans="1:22" s="11" customFormat="1" ht="45" customHeight="1" x14ac:dyDescent="0.2">
      <c r="A1390" s="66" t="s">
        <v>3577</v>
      </c>
      <c r="B1390" s="66" t="s">
        <v>1707</v>
      </c>
      <c r="C1390" s="66" t="s">
        <v>3578</v>
      </c>
      <c r="D1390" s="66">
        <v>80876</v>
      </c>
      <c r="E1390" s="68" t="s">
        <v>5990</v>
      </c>
      <c r="F1390" s="66" t="s">
        <v>5991</v>
      </c>
      <c r="G1390" s="71">
        <v>0</v>
      </c>
      <c r="H1390" s="73"/>
      <c r="I1390" s="75">
        <v>0.1</v>
      </c>
      <c r="J1390" s="77"/>
      <c r="K1390" s="66"/>
      <c r="L1390" s="66"/>
      <c r="M1390" s="79" t="str">
        <f>HYPERLINK("http://www.pristavka.com/catalog/funko/Fun80876/")</f>
        <v>http://www.pristavka.com/catalog/funko/Fun80876/</v>
      </c>
      <c r="N1390" s="71"/>
      <c r="O1390" s="66" t="s">
        <v>27</v>
      </c>
      <c r="P1390" s="82" t="s">
        <v>5992</v>
      </c>
      <c r="Q1390" s="84" t="s">
        <v>1321</v>
      </c>
      <c r="R1390" s="84" t="s">
        <v>1322</v>
      </c>
      <c r="S1390" s="84">
        <v>0.60799999999999998</v>
      </c>
      <c r="T1390" s="82" t="s">
        <v>5993</v>
      </c>
      <c r="U1390" s="84" t="s">
        <v>3691</v>
      </c>
      <c r="V1390" s="54"/>
    </row>
    <row r="1391" spans="1:22" s="11" customFormat="1" ht="45" customHeight="1" x14ac:dyDescent="0.2">
      <c r="A1391" s="66" t="s">
        <v>3577</v>
      </c>
      <c r="B1391" s="66" t="s">
        <v>1707</v>
      </c>
      <c r="C1391" s="66" t="s">
        <v>3578</v>
      </c>
      <c r="D1391" s="66">
        <v>66932</v>
      </c>
      <c r="E1391" s="68" t="s">
        <v>5994</v>
      </c>
      <c r="F1391" s="66" t="s">
        <v>5995</v>
      </c>
      <c r="G1391" s="71">
        <v>10530</v>
      </c>
      <c r="H1391" s="73"/>
      <c r="I1391" s="75">
        <v>0.1</v>
      </c>
      <c r="J1391" s="77"/>
      <c r="K1391" s="66"/>
      <c r="L1391" s="66"/>
      <c r="M1391" s="79" t="str">
        <f>HYPERLINK("http://www.pristavka.com/catalog/funko/Fun66932/")</f>
        <v>http://www.pristavka.com/catalog/funko/Fun66932/</v>
      </c>
      <c r="N1391" s="71">
        <v>16199</v>
      </c>
      <c r="O1391" s="66" t="s">
        <v>27</v>
      </c>
      <c r="P1391" s="82" t="s">
        <v>5996</v>
      </c>
      <c r="Q1391" s="84" t="s">
        <v>1321</v>
      </c>
      <c r="R1391" s="84" t="s">
        <v>1322</v>
      </c>
      <c r="S1391" s="84">
        <v>0.63</v>
      </c>
      <c r="T1391" s="82" t="s">
        <v>5997</v>
      </c>
      <c r="U1391" s="84" t="s">
        <v>3691</v>
      </c>
      <c r="V1391" s="54"/>
    </row>
    <row r="1392" spans="1:22" s="11" customFormat="1" ht="45" customHeight="1" x14ac:dyDescent="0.2">
      <c r="A1392" s="66" t="s">
        <v>3577</v>
      </c>
      <c r="B1392" s="66" t="s">
        <v>1707</v>
      </c>
      <c r="C1392" s="66" t="s">
        <v>3578</v>
      </c>
      <c r="D1392" s="66">
        <v>83510</v>
      </c>
      <c r="E1392" s="68" t="s">
        <v>5998</v>
      </c>
      <c r="F1392" s="66" t="s">
        <v>5999</v>
      </c>
      <c r="G1392" s="71">
        <v>6500</v>
      </c>
      <c r="H1392" s="73"/>
      <c r="I1392" s="75">
        <v>0.1</v>
      </c>
      <c r="J1392" s="77"/>
      <c r="K1392" s="66"/>
      <c r="L1392" s="66"/>
      <c r="M1392" s="79" t="str">
        <f>HYPERLINK("http://www.pristavka.com/catalog/funko/Fun83510/")</f>
        <v>http://www.pristavka.com/catalog/funko/Fun83510/</v>
      </c>
      <c r="N1392" s="71">
        <v>9999</v>
      </c>
      <c r="O1392" s="66" t="s">
        <v>27</v>
      </c>
      <c r="P1392" s="82" t="s">
        <v>6000</v>
      </c>
      <c r="Q1392" s="84" t="s">
        <v>1297</v>
      </c>
      <c r="R1392" s="84" t="s">
        <v>1298</v>
      </c>
      <c r="S1392" s="84">
        <v>0.16500000000000001</v>
      </c>
      <c r="T1392" s="82" t="s">
        <v>4113</v>
      </c>
      <c r="U1392" s="84" t="s">
        <v>3584</v>
      </c>
      <c r="V1392" s="54"/>
    </row>
    <row r="1393" spans="1:22" s="11" customFormat="1" ht="45" customHeight="1" x14ac:dyDescent="0.2">
      <c r="A1393" s="66" t="s">
        <v>3577</v>
      </c>
      <c r="B1393" s="66" t="s">
        <v>1707</v>
      </c>
      <c r="C1393" s="66" t="s">
        <v>3578</v>
      </c>
      <c r="D1393" s="66">
        <v>85094</v>
      </c>
      <c r="E1393" s="68" t="s">
        <v>6001</v>
      </c>
      <c r="F1393" s="66" t="s">
        <v>6002</v>
      </c>
      <c r="G1393" s="71">
        <v>6890</v>
      </c>
      <c r="H1393" s="73"/>
      <c r="I1393" s="75">
        <v>0.1</v>
      </c>
      <c r="J1393" s="77"/>
      <c r="K1393" s="66"/>
      <c r="L1393" s="66"/>
      <c r="M1393" s="79" t="str">
        <f>HYPERLINK("http://www.pristavka.com/catalog/funko/Fun85094/")</f>
        <v>http://www.pristavka.com/catalog/funko/Fun85094/</v>
      </c>
      <c r="N1393" s="71">
        <v>10599</v>
      </c>
      <c r="O1393" s="66" t="s">
        <v>27</v>
      </c>
      <c r="P1393" s="82" t="s">
        <v>6003</v>
      </c>
      <c r="Q1393" s="84" t="s">
        <v>1297</v>
      </c>
      <c r="R1393" s="84" t="s">
        <v>1298</v>
      </c>
      <c r="S1393" s="84">
        <v>0.14000000000000001</v>
      </c>
      <c r="T1393" s="82" t="s">
        <v>4113</v>
      </c>
      <c r="U1393" s="84" t="s">
        <v>3584</v>
      </c>
      <c r="V1393" s="54"/>
    </row>
    <row r="1394" spans="1:22" s="11" customFormat="1" ht="45" customHeight="1" x14ac:dyDescent="0.2">
      <c r="A1394" s="66" t="s">
        <v>3577</v>
      </c>
      <c r="B1394" s="66" t="s">
        <v>1707</v>
      </c>
      <c r="C1394" s="66" t="s">
        <v>3578</v>
      </c>
      <c r="D1394" s="66">
        <v>83511</v>
      </c>
      <c r="E1394" s="68" t="s">
        <v>6004</v>
      </c>
      <c r="F1394" s="66" t="s">
        <v>6005</v>
      </c>
      <c r="G1394" s="71">
        <v>6500</v>
      </c>
      <c r="H1394" s="73"/>
      <c r="I1394" s="75">
        <v>0.1</v>
      </c>
      <c r="J1394" s="77"/>
      <c r="K1394" s="66"/>
      <c r="L1394" s="66"/>
      <c r="M1394" s="79" t="str">
        <f>HYPERLINK("http://www.pristavka.com/catalog/funko/Fun83511/")</f>
        <v>http://www.pristavka.com/catalog/funko/Fun83511/</v>
      </c>
      <c r="N1394" s="71">
        <v>9999</v>
      </c>
      <c r="O1394" s="66" t="s">
        <v>27</v>
      </c>
      <c r="P1394" s="82" t="s">
        <v>6006</v>
      </c>
      <c r="Q1394" s="84" t="s">
        <v>1297</v>
      </c>
      <c r="R1394" s="84" t="s">
        <v>1298</v>
      </c>
      <c r="S1394" s="84">
        <v>0.13500000000000001</v>
      </c>
      <c r="T1394" s="82" t="s">
        <v>4113</v>
      </c>
      <c r="U1394" s="84" t="s">
        <v>3584</v>
      </c>
      <c r="V1394" s="54"/>
    </row>
    <row r="1395" spans="1:22" s="11" customFormat="1" ht="45" customHeight="1" x14ac:dyDescent="0.2">
      <c r="A1395" s="66" t="s">
        <v>3577</v>
      </c>
      <c r="B1395" s="66" t="s">
        <v>1707</v>
      </c>
      <c r="C1395" s="66" t="s">
        <v>3578</v>
      </c>
      <c r="D1395" s="66">
        <v>84986</v>
      </c>
      <c r="E1395" s="68" t="s">
        <v>6007</v>
      </c>
      <c r="F1395" s="66" t="s">
        <v>6008</v>
      </c>
      <c r="G1395" s="71">
        <v>6890</v>
      </c>
      <c r="H1395" s="73"/>
      <c r="I1395" s="75">
        <v>0.1</v>
      </c>
      <c r="J1395" s="77"/>
      <c r="K1395" s="66"/>
      <c r="L1395" s="66"/>
      <c r="M1395" s="79" t="str">
        <f>HYPERLINK("http://www.pristavka.com/catalog/funko/Fun84986/")</f>
        <v>http://www.pristavka.com/catalog/funko/Fun84986/</v>
      </c>
      <c r="N1395" s="71">
        <v>10599</v>
      </c>
      <c r="O1395" s="66" t="s">
        <v>27</v>
      </c>
      <c r="P1395" s="82" t="s">
        <v>6009</v>
      </c>
      <c r="Q1395" s="84" t="s">
        <v>1297</v>
      </c>
      <c r="R1395" s="84" t="s">
        <v>1298</v>
      </c>
      <c r="S1395" s="84">
        <v>0.14599999999999999</v>
      </c>
      <c r="T1395" s="82" t="s">
        <v>4113</v>
      </c>
      <c r="U1395" s="84" t="s">
        <v>3584</v>
      </c>
      <c r="V1395" s="54"/>
    </row>
    <row r="1396" spans="1:22" s="11" customFormat="1" ht="45" customHeight="1" x14ac:dyDescent="0.2">
      <c r="A1396" s="66" t="s">
        <v>3577</v>
      </c>
      <c r="B1396" s="66" t="s">
        <v>1707</v>
      </c>
      <c r="C1396" s="66" t="s">
        <v>3578</v>
      </c>
      <c r="D1396" s="66">
        <v>83512</v>
      </c>
      <c r="E1396" s="68" t="s">
        <v>6010</v>
      </c>
      <c r="F1396" s="66" t="s">
        <v>6011</v>
      </c>
      <c r="G1396" s="71">
        <v>6500</v>
      </c>
      <c r="H1396" s="73"/>
      <c r="I1396" s="75">
        <v>0.1</v>
      </c>
      <c r="J1396" s="77"/>
      <c r="K1396" s="66"/>
      <c r="L1396" s="66"/>
      <c r="M1396" s="79" t="str">
        <f>HYPERLINK("http://www.pristavka.com/catalog/funko/Fun83512/")</f>
        <v>http://www.pristavka.com/catalog/funko/Fun83512/</v>
      </c>
      <c r="N1396" s="71">
        <v>9999</v>
      </c>
      <c r="O1396" s="66" t="s">
        <v>27</v>
      </c>
      <c r="P1396" s="82" t="s">
        <v>6012</v>
      </c>
      <c r="Q1396" s="84" t="s">
        <v>1297</v>
      </c>
      <c r="R1396" s="84" t="s">
        <v>1298</v>
      </c>
      <c r="S1396" s="84">
        <v>0.13500000000000001</v>
      </c>
      <c r="T1396" s="82" t="s">
        <v>4113</v>
      </c>
      <c r="U1396" s="84" t="s">
        <v>3584</v>
      </c>
      <c r="V1396" s="54"/>
    </row>
    <row r="1397" spans="1:22" s="11" customFormat="1" ht="45" customHeight="1" x14ac:dyDescent="0.2">
      <c r="A1397" s="66" t="s">
        <v>3577</v>
      </c>
      <c r="B1397" s="66" t="s">
        <v>1707</v>
      </c>
      <c r="C1397" s="66" t="s">
        <v>3578</v>
      </c>
      <c r="D1397" s="66">
        <v>84985</v>
      </c>
      <c r="E1397" s="68" t="s">
        <v>6013</v>
      </c>
      <c r="F1397" s="66" t="s">
        <v>6014</v>
      </c>
      <c r="G1397" s="71">
        <v>6890</v>
      </c>
      <c r="H1397" s="73"/>
      <c r="I1397" s="75">
        <v>0.1</v>
      </c>
      <c r="J1397" s="77"/>
      <c r="K1397" s="66"/>
      <c r="L1397" s="66"/>
      <c r="M1397" s="79" t="str">
        <f>HYPERLINK("http://www.pristavka.com/catalog/funko/Fun84985/")</f>
        <v>http://www.pristavka.com/catalog/funko/Fun84985/</v>
      </c>
      <c r="N1397" s="71">
        <v>10599</v>
      </c>
      <c r="O1397" s="66" t="s">
        <v>27</v>
      </c>
      <c r="P1397" s="82" t="s">
        <v>6015</v>
      </c>
      <c r="Q1397" s="84" t="s">
        <v>1297</v>
      </c>
      <c r="R1397" s="84" t="s">
        <v>1298</v>
      </c>
      <c r="S1397" s="84">
        <v>0.155</v>
      </c>
      <c r="T1397" s="82" t="s">
        <v>4113</v>
      </c>
      <c r="U1397" s="84" t="s">
        <v>3584</v>
      </c>
      <c r="V1397" s="54"/>
    </row>
    <row r="1398" spans="1:22" s="11" customFormat="1" ht="45" customHeight="1" x14ac:dyDescent="0.2">
      <c r="A1398" s="66" t="s">
        <v>3577</v>
      </c>
      <c r="B1398" s="66" t="s">
        <v>1707</v>
      </c>
      <c r="C1398" s="66" t="s">
        <v>3578</v>
      </c>
      <c r="D1398" s="66">
        <v>80936</v>
      </c>
      <c r="E1398" s="68" t="s">
        <v>6016</v>
      </c>
      <c r="F1398" s="66" t="s">
        <v>6017</v>
      </c>
      <c r="G1398" s="71">
        <v>0</v>
      </c>
      <c r="H1398" s="73"/>
      <c r="I1398" s="75">
        <v>0.1</v>
      </c>
      <c r="J1398" s="77"/>
      <c r="K1398" s="66"/>
      <c r="L1398" s="66"/>
      <c r="M1398" s="79" t="str">
        <f>HYPERLINK("http://www.pristavka.com/catalog/funko/Fun80936/")</f>
        <v>http://www.pristavka.com/catalog/funko/Fun80936/</v>
      </c>
      <c r="N1398" s="71"/>
      <c r="O1398" s="66" t="s">
        <v>27</v>
      </c>
      <c r="P1398" s="82" t="s">
        <v>6018</v>
      </c>
      <c r="Q1398" s="84" t="s">
        <v>3609</v>
      </c>
      <c r="R1398" s="84" t="s">
        <v>1315</v>
      </c>
      <c r="S1398" s="84">
        <v>0.51600000000000001</v>
      </c>
      <c r="T1398" s="82" t="s">
        <v>5912</v>
      </c>
      <c r="U1398" s="84" t="s">
        <v>3584</v>
      </c>
      <c r="V1398" s="54"/>
    </row>
    <row r="1399" spans="1:22" s="11" customFormat="1" ht="45" customHeight="1" x14ac:dyDescent="0.2">
      <c r="A1399" s="66" t="s">
        <v>3577</v>
      </c>
      <c r="B1399" s="66" t="s">
        <v>1707</v>
      </c>
      <c r="C1399" s="66" t="s">
        <v>3578</v>
      </c>
      <c r="D1399" s="66">
        <v>84581</v>
      </c>
      <c r="E1399" s="68" t="s">
        <v>6019</v>
      </c>
      <c r="F1399" s="66" t="s">
        <v>6020</v>
      </c>
      <c r="G1399" s="71">
        <v>10530</v>
      </c>
      <c r="H1399" s="73"/>
      <c r="I1399" s="75">
        <v>0.1</v>
      </c>
      <c r="J1399" s="77"/>
      <c r="K1399" s="66"/>
      <c r="L1399" s="66"/>
      <c r="M1399" s="79" t="str">
        <f>HYPERLINK("http://www.pristavka.com/catalog/funko/Fun84581/")</f>
        <v>http://www.pristavka.com/catalog/funko/Fun84581/</v>
      </c>
      <c r="N1399" s="71">
        <v>16199</v>
      </c>
      <c r="O1399" s="66" t="s">
        <v>27</v>
      </c>
      <c r="P1399" s="82" t="s">
        <v>6021</v>
      </c>
      <c r="Q1399" s="84" t="s">
        <v>1148</v>
      </c>
      <c r="R1399" s="84" t="s">
        <v>1068</v>
      </c>
      <c r="S1399" s="84">
        <v>0.45200000000000001</v>
      </c>
      <c r="T1399" s="82" t="s">
        <v>5920</v>
      </c>
      <c r="U1399" s="84" t="s">
        <v>3584</v>
      </c>
      <c r="V1399" s="54"/>
    </row>
    <row r="1400" spans="1:22" s="11" customFormat="1" ht="45" customHeight="1" x14ac:dyDescent="0.2">
      <c r="A1400" s="66" t="s">
        <v>3577</v>
      </c>
      <c r="B1400" s="66" t="s">
        <v>1707</v>
      </c>
      <c r="C1400" s="66" t="s">
        <v>3578</v>
      </c>
      <c r="D1400" s="66">
        <v>80349</v>
      </c>
      <c r="E1400" s="68" t="s">
        <v>6022</v>
      </c>
      <c r="F1400" s="66" t="s">
        <v>6023</v>
      </c>
      <c r="G1400" s="71">
        <v>0</v>
      </c>
      <c r="H1400" s="73"/>
      <c r="I1400" s="75">
        <v>0.1</v>
      </c>
      <c r="J1400" s="77"/>
      <c r="K1400" s="66"/>
      <c r="L1400" s="66"/>
      <c r="M1400" s="79" t="str">
        <f>HYPERLINK("http://www.pristavka.com/catalog/funko/Fun80349/")</f>
        <v>http://www.pristavka.com/catalog/funko/Fun80349/</v>
      </c>
      <c r="N1400" s="71"/>
      <c r="O1400" s="66" t="s">
        <v>27</v>
      </c>
      <c r="P1400" s="82" t="s">
        <v>6024</v>
      </c>
      <c r="Q1400" s="84" t="s">
        <v>1436</v>
      </c>
      <c r="R1400" s="84" t="s">
        <v>1068</v>
      </c>
      <c r="S1400" s="84">
        <v>0.376</v>
      </c>
      <c r="T1400" s="82" t="s">
        <v>6025</v>
      </c>
      <c r="U1400" s="84" t="s">
        <v>3584</v>
      </c>
      <c r="V1400" s="54"/>
    </row>
    <row r="1401" spans="1:22" s="11" customFormat="1" ht="45" customHeight="1" x14ac:dyDescent="0.2">
      <c r="A1401" s="66" t="s">
        <v>3577</v>
      </c>
      <c r="B1401" s="66" t="s">
        <v>1707</v>
      </c>
      <c r="C1401" s="66" t="s">
        <v>3578</v>
      </c>
      <c r="D1401" s="66">
        <v>72102</v>
      </c>
      <c r="E1401" s="68" t="s">
        <v>6026</v>
      </c>
      <c r="F1401" s="66" t="s">
        <v>6027</v>
      </c>
      <c r="G1401" s="71">
        <v>18200</v>
      </c>
      <c r="H1401" s="73"/>
      <c r="I1401" s="75">
        <v>0.1</v>
      </c>
      <c r="J1401" s="77"/>
      <c r="K1401" s="66"/>
      <c r="L1401" s="66"/>
      <c r="M1401" s="79" t="str">
        <f>HYPERLINK("http://www.pristavka.com/catalog/funko/Fun73692/")</f>
        <v>http://www.pristavka.com/catalog/funko/Fun73692/</v>
      </c>
      <c r="N1401" s="71">
        <v>27999</v>
      </c>
      <c r="O1401" s="66" t="s">
        <v>27</v>
      </c>
      <c r="P1401" s="82" t="s">
        <v>6028</v>
      </c>
      <c r="Q1401" s="84" t="s">
        <v>3749</v>
      </c>
      <c r="R1401" s="84" t="s">
        <v>1068</v>
      </c>
      <c r="S1401" s="84">
        <v>0.312</v>
      </c>
      <c r="T1401" s="82" t="s">
        <v>4989</v>
      </c>
      <c r="U1401" s="84" t="s">
        <v>3584</v>
      </c>
      <c r="V1401" s="54"/>
    </row>
    <row r="1402" spans="1:22" s="11" customFormat="1" ht="45" customHeight="1" x14ac:dyDescent="0.2">
      <c r="A1402" s="66" t="s">
        <v>3577</v>
      </c>
      <c r="B1402" s="66" t="s">
        <v>1707</v>
      </c>
      <c r="C1402" s="66" t="s">
        <v>3578</v>
      </c>
      <c r="D1402" s="66">
        <v>81245</v>
      </c>
      <c r="E1402" s="68" t="s">
        <v>6029</v>
      </c>
      <c r="F1402" s="66" t="s">
        <v>6030</v>
      </c>
      <c r="G1402" s="71">
        <v>0</v>
      </c>
      <c r="H1402" s="73"/>
      <c r="I1402" s="75">
        <v>0.1</v>
      </c>
      <c r="J1402" s="77"/>
      <c r="K1402" s="66"/>
      <c r="L1402" s="66"/>
      <c r="M1402" s="79" t="str">
        <f>HYPERLINK("http://www.pristavka.com/catalog/funko/Fun81245/")</f>
        <v>http://www.pristavka.com/catalog/funko/Fun81245/</v>
      </c>
      <c r="N1402" s="71"/>
      <c r="O1402" s="66" t="s">
        <v>27</v>
      </c>
      <c r="P1402" s="82" t="s">
        <v>6031</v>
      </c>
      <c r="Q1402" s="84" t="s">
        <v>3749</v>
      </c>
      <c r="R1402" s="84" t="s">
        <v>1068</v>
      </c>
      <c r="S1402" s="84">
        <v>0.315</v>
      </c>
      <c r="T1402" s="82" t="s">
        <v>4989</v>
      </c>
      <c r="U1402" s="84" t="s">
        <v>3584</v>
      </c>
      <c r="V1402" s="54"/>
    </row>
    <row r="1403" spans="1:22" s="11" customFormat="1" ht="45" customHeight="1" x14ac:dyDescent="0.2">
      <c r="A1403" s="66" t="s">
        <v>3577</v>
      </c>
      <c r="B1403" s="66" t="s">
        <v>1707</v>
      </c>
      <c r="C1403" s="66" t="s">
        <v>3578</v>
      </c>
      <c r="D1403" s="66">
        <v>81246</v>
      </c>
      <c r="E1403" s="68" t="s">
        <v>6032</v>
      </c>
      <c r="F1403" s="66" t="s">
        <v>6033</v>
      </c>
      <c r="G1403" s="71">
        <v>0</v>
      </c>
      <c r="H1403" s="73"/>
      <c r="I1403" s="75">
        <v>0.1</v>
      </c>
      <c r="J1403" s="77"/>
      <c r="K1403" s="66"/>
      <c r="L1403" s="66"/>
      <c r="M1403" s="79" t="str">
        <f>HYPERLINK("http://www.pristavka.com/catalog/funko/Fun81246/")</f>
        <v>http://www.pristavka.com/catalog/funko/Fun81246/</v>
      </c>
      <c r="N1403" s="71"/>
      <c r="O1403" s="66" t="s">
        <v>27</v>
      </c>
      <c r="P1403" s="82" t="s">
        <v>6034</v>
      </c>
      <c r="Q1403" s="84" t="s">
        <v>3749</v>
      </c>
      <c r="R1403" s="84" t="s">
        <v>1068</v>
      </c>
      <c r="S1403" s="84">
        <v>0.39</v>
      </c>
      <c r="T1403" s="82" t="s">
        <v>4989</v>
      </c>
      <c r="U1403" s="84" t="s">
        <v>3584</v>
      </c>
      <c r="V1403" s="54"/>
    </row>
    <row r="1404" spans="1:22" s="11" customFormat="1" ht="45" customHeight="1" x14ac:dyDescent="0.2">
      <c r="A1404" s="66" t="s">
        <v>3577</v>
      </c>
      <c r="B1404" s="66" t="s">
        <v>1707</v>
      </c>
      <c r="C1404" s="66" t="s">
        <v>3578</v>
      </c>
      <c r="D1404" s="66">
        <v>81247</v>
      </c>
      <c r="E1404" s="68" t="s">
        <v>6035</v>
      </c>
      <c r="F1404" s="66" t="s">
        <v>6036</v>
      </c>
      <c r="G1404" s="71">
        <v>0</v>
      </c>
      <c r="H1404" s="73"/>
      <c r="I1404" s="75">
        <v>0.1</v>
      </c>
      <c r="J1404" s="77"/>
      <c r="K1404" s="66"/>
      <c r="L1404" s="66"/>
      <c r="M1404" s="79" t="str">
        <f>HYPERLINK("http://www.pristavka.com/catalog/funko/Fun81247/")</f>
        <v>http://www.pristavka.com/catalog/funko/Fun81247/</v>
      </c>
      <c r="N1404" s="71"/>
      <c r="O1404" s="66" t="s">
        <v>27</v>
      </c>
      <c r="P1404" s="82" t="s">
        <v>6037</v>
      </c>
      <c r="Q1404" s="84" t="s">
        <v>3749</v>
      </c>
      <c r="R1404" s="84" t="s">
        <v>1068</v>
      </c>
      <c r="S1404" s="84">
        <v>0.35499999999999998</v>
      </c>
      <c r="T1404" s="82" t="s">
        <v>4989</v>
      </c>
      <c r="U1404" s="84" t="s">
        <v>3584</v>
      </c>
      <c r="V1404" s="54"/>
    </row>
    <row r="1405" spans="1:22" s="11" customFormat="1" ht="45" customHeight="1" x14ac:dyDescent="0.2">
      <c r="A1405" s="66" t="s">
        <v>3577</v>
      </c>
      <c r="B1405" s="66" t="s">
        <v>1707</v>
      </c>
      <c r="C1405" s="66" t="s">
        <v>3578</v>
      </c>
      <c r="D1405" s="66">
        <v>81248</v>
      </c>
      <c r="E1405" s="68" t="s">
        <v>6038</v>
      </c>
      <c r="F1405" s="66" t="s">
        <v>6039</v>
      </c>
      <c r="G1405" s="71">
        <v>0</v>
      </c>
      <c r="H1405" s="73"/>
      <c r="I1405" s="75">
        <v>0.1</v>
      </c>
      <c r="J1405" s="77"/>
      <c r="K1405" s="66"/>
      <c r="L1405" s="66"/>
      <c r="M1405" s="79" t="str">
        <f>HYPERLINK("http://www.pristavka.com/catalog/funko/Fun81248/")</f>
        <v>http://www.pristavka.com/catalog/funko/Fun81248/</v>
      </c>
      <c r="N1405" s="71"/>
      <c r="O1405" s="66" t="s">
        <v>27</v>
      </c>
      <c r="P1405" s="82" t="s">
        <v>6040</v>
      </c>
      <c r="Q1405" s="84" t="s">
        <v>3749</v>
      </c>
      <c r="R1405" s="84" t="s">
        <v>1068</v>
      </c>
      <c r="S1405" s="84">
        <v>0.35799999999999998</v>
      </c>
      <c r="T1405" s="82" t="s">
        <v>6041</v>
      </c>
      <c r="U1405" s="84" t="s">
        <v>3584</v>
      </c>
      <c r="V1405" s="54"/>
    </row>
    <row r="1406" spans="1:22" s="11" customFormat="1" ht="45" customHeight="1" x14ac:dyDescent="0.2">
      <c r="A1406" s="66" t="s">
        <v>3577</v>
      </c>
      <c r="B1406" s="66" t="s">
        <v>1707</v>
      </c>
      <c r="C1406" s="66" t="s">
        <v>3578</v>
      </c>
      <c r="D1406" s="66">
        <v>80682</v>
      </c>
      <c r="E1406" s="68" t="s">
        <v>6042</v>
      </c>
      <c r="F1406" s="66" t="s">
        <v>6043</v>
      </c>
      <c r="G1406" s="71">
        <v>16900</v>
      </c>
      <c r="H1406" s="73"/>
      <c r="I1406" s="75">
        <v>0.1</v>
      </c>
      <c r="J1406" s="77"/>
      <c r="K1406" s="66"/>
      <c r="L1406" s="66"/>
      <c r="M1406" s="79" t="str">
        <f>HYPERLINK("http://www.pristavka.com/catalog/funko/Fun80682/")</f>
        <v>http://www.pristavka.com/catalog/funko/Fun80682/</v>
      </c>
      <c r="N1406" s="71">
        <v>25999</v>
      </c>
      <c r="O1406" s="66" t="s">
        <v>27</v>
      </c>
      <c r="P1406" s="82" t="s">
        <v>6044</v>
      </c>
      <c r="Q1406" s="84" t="s">
        <v>3604</v>
      </c>
      <c r="R1406" s="84" t="s">
        <v>3566</v>
      </c>
      <c r="S1406" s="84">
        <v>0.27400000000000002</v>
      </c>
      <c r="T1406" s="82" t="s">
        <v>6045</v>
      </c>
      <c r="U1406" s="84" t="s">
        <v>3584</v>
      </c>
      <c r="V1406" s="54"/>
    </row>
    <row r="1407" spans="1:22" s="11" customFormat="1" ht="45" customHeight="1" x14ac:dyDescent="0.2">
      <c r="A1407" s="66" t="s">
        <v>3577</v>
      </c>
      <c r="B1407" s="66" t="s">
        <v>1707</v>
      </c>
      <c r="C1407" s="66" t="s">
        <v>3578</v>
      </c>
      <c r="D1407" s="66">
        <v>84529</v>
      </c>
      <c r="E1407" s="68" t="s">
        <v>6046</v>
      </c>
      <c r="F1407" s="66" t="s">
        <v>6047</v>
      </c>
      <c r="G1407" s="71">
        <v>11180</v>
      </c>
      <c r="H1407" s="73"/>
      <c r="I1407" s="75">
        <v>0.1</v>
      </c>
      <c r="J1407" s="77"/>
      <c r="K1407" s="66"/>
      <c r="L1407" s="66"/>
      <c r="M1407" s="79" t="str">
        <f>HYPERLINK("http://www.pristavka.com/catalog/funko/Fun84529/")</f>
        <v>http://www.pristavka.com/catalog/funko/Fun84529/</v>
      </c>
      <c r="N1407" s="71">
        <v>17199</v>
      </c>
      <c r="O1407" s="66" t="s">
        <v>27</v>
      </c>
      <c r="P1407" s="82" t="s">
        <v>6048</v>
      </c>
      <c r="Q1407" s="84" t="s">
        <v>6049</v>
      </c>
      <c r="R1407" s="84" t="s">
        <v>1840</v>
      </c>
      <c r="S1407" s="84">
        <v>0.315</v>
      </c>
      <c r="T1407" s="82" t="s">
        <v>4989</v>
      </c>
      <c r="U1407" s="84" t="s">
        <v>3584</v>
      </c>
      <c r="V1407" s="54"/>
    </row>
    <row r="1408" spans="1:22" s="11" customFormat="1" ht="45" customHeight="1" x14ac:dyDescent="0.2">
      <c r="A1408" s="66" t="s">
        <v>3577</v>
      </c>
      <c r="B1408" s="66" t="s">
        <v>1707</v>
      </c>
      <c r="C1408" s="66" t="s">
        <v>3578</v>
      </c>
      <c r="D1408" s="66">
        <v>84425</v>
      </c>
      <c r="E1408" s="68" t="s">
        <v>6050</v>
      </c>
      <c r="F1408" s="66" t="s">
        <v>6051</v>
      </c>
      <c r="G1408" s="71">
        <v>21450</v>
      </c>
      <c r="H1408" s="73"/>
      <c r="I1408" s="75">
        <v>0.1</v>
      </c>
      <c r="J1408" s="77"/>
      <c r="K1408" s="66"/>
      <c r="L1408" s="66"/>
      <c r="M1408" s="79" t="str">
        <f>HYPERLINK("http://www.pristavka.com/catalog/funko/Fun84425/")</f>
        <v>http://www.pristavka.com/catalog/funko/Fun84425/</v>
      </c>
      <c r="N1408" s="71">
        <v>32999</v>
      </c>
      <c r="O1408" s="66" t="s">
        <v>27</v>
      </c>
      <c r="P1408" s="82" t="s">
        <v>6052</v>
      </c>
      <c r="Q1408" s="84" t="s">
        <v>3527</v>
      </c>
      <c r="R1408" s="84" t="s">
        <v>3512</v>
      </c>
      <c r="S1408" s="84">
        <v>0.42</v>
      </c>
      <c r="T1408" s="82" t="s">
        <v>4989</v>
      </c>
      <c r="U1408" s="84" t="s">
        <v>3584</v>
      </c>
      <c r="V1408" s="54"/>
    </row>
    <row r="1409" spans="1:22" s="11" customFormat="1" ht="45" customHeight="1" x14ac:dyDescent="0.2">
      <c r="A1409" s="66" t="s">
        <v>3577</v>
      </c>
      <c r="B1409" s="66" t="s">
        <v>1707</v>
      </c>
      <c r="C1409" s="66" t="s">
        <v>3578</v>
      </c>
      <c r="D1409" s="66">
        <v>80772</v>
      </c>
      <c r="E1409" s="68" t="s">
        <v>6053</v>
      </c>
      <c r="F1409" s="66" t="s">
        <v>6054</v>
      </c>
      <c r="G1409" s="71">
        <v>0</v>
      </c>
      <c r="H1409" s="73"/>
      <c r="I1409" s="75">
        <v>0.1</v>
      </c>
      <c r="J1409" s="77"/>
      <c r="K1409" s="66"/>
      <c r="L1409" s="66"/>
      <c r="M1409" s="79" t="str">
        <f>HYPERLINK("http://www.pristavka.com/catalog/funko/Fun80772/")</f>
        <v>http://www.pristavka.com/catalog/funko/Fun80772/</v>
      </c>
      <c r="N1409" s="71"/>
      <c r="O1409" s="66" t="s">
        <v>27</v>
      </c>
      <c r="P1409" s="82" t="s">
        <v>6055</v>
      </c>
      <c r="Q1409" s="84" t="s">
        <v>1321</v>
      </c>
      <c r="R1409" s="84" t="s">
        <v>1322</v>
      </c>
      <c r="S1409" s="84">
        <v>0.372</v>
      </c>
      <c r="T1409" s="82" t="s">
        <v>6056</v>
      </c>
      <c r="U1409" s="84" t="s">
        <v>3584</v>
      </c>
      <c r="V1409" s="54"/>
    </row>
    <row r="1410" spans="1:22" s="11" customFormat="1" ht="45" customHeight="1" x14ac:dyDescent="0.2">
      <c r="A1410" s="66" t="s">
        <v>3577</v>
      </c>
      <c r="B1410" s="66" t="s">
        <v>1707</v>
      </c>
      <c r="C1410" s="66" t="s">
        <v>3578</v>
      </c>
      <c r="D1410" s="66">
        <v>80767</v>
      </c>
      <c r="E1410" s="68" t="s">
        <v>6057</v>
      </c>
      <c r="F1410" s="66" t="s">
        <v>6058</v>
      </c>
      <c r="G1410" s="71">
        <v>0</v>
      </c>
      <c r="H1410" s="73"/>
      <c r="I1410" s="75">
        <v>0.1</v>
      </c>
      <c r="J1410" s="77"/>
      <c r="K1410" s="66"/>
      <c r="L1410" s="66"/>
      <c r="M1410" s="79" t="str">
        <f>HYPERLINK("http://www.pristavka.com/catalog/funko/Fun80767/")</f>
        <v>http://www.pristavka.com/catalog/funko/Fun80767/</v>
      </c>
      <c r="N1410" s="71"/>
      <c r="O1410" s="66" t="s">
        <v>27</v>
      </c>
      <c r="P1410" s="82" t="s">
        <v>6059</v>
      </c>
      <c r="Q1410" s="84" t="s">
        <v>1321</v>
      </c>
      <c r="R1410" s="84" t="s">
        <v>1322</v>
      </c>
      <c r="S1410" s="84">
        <v>0.40100000000000002</v>
      </c>
      <c r="T1410" s="82" t="s">
        <v>6060</v>
      </c>
      <c r="U1410" s="84" t="s">
        <v>3584</v>
      </c>
      <c r="V1410" s="54"/>
    </row>
    <row r="1411" spans="1:22" s="11" customFormat="1" ht="45" customHeight="1" x14ac:dyDescent="0.2">
      <c r="A1411" s="66" t="s">
        <v>3577</v>
      </c>
      <c r="B1411" s="66" t="s">
        <v>1707</v>
      </c>
      <c r="C1411" s="66" t="s">
        <v>3578</v>
      </c>
      <c r="D1411" s="66">
        <v>76012</v>
      </c>
      <c r="E1411" s="68" t="s">
        <v>6061</v>
      </c>
      <c r="F1411" s="66" t="s">
        <v>6062</v>
      </c>
      <c r="G1411" s="71">
        <v>18200</v>
      </c>
      <c r="H1411" s="73"/>
      <c r="I1411" s="75">
        <v>0.1</v>
      </c>
      <c r="J1411" s="77"/>
      <c r="K1411" s="66"/>
      <c r="L1411" s="66"/>
      <c r="M1411" s="79" t="str">
        <f>HYPERLINK("http://www.pristavka.com/catalog/funko/Fun76012/")</f>
        <v>http://www.pristavka.com/catalog/funko/Fun76012/</v>
      </c>
      <c r="N1411" s="71">
        <v>27999</v>
      </c>
      <c r="O1411" s="66" t="s">
        <v>28</v>
      </c>
      <c r="P1411" s="82" t="s">
        <v>6063</v>
      </c>
      <c r="Q1411" s="84" t="s">
        <v>1321</v>
      </c>
      <c r="R1411" s="84" t="s">
        <v>1322</v>
      </c>
      <c r="S1411" s="84">
        <v>0.35</v>
      </c>
      <c r="T1411" s="82" t="s">
        <v>6064</v>
      </c>
      <c r="U1411" s="84" t="s">
        <v>3584</v>
      </c>
      <c r="V1411" s="54"/>
    </row>
    <row r="1412" spans="1:22" s="11" customFormat="1" ht="45" customHeight="1" x14ac:dyDescent="0.2">
      <c r="A1412" s="66" t="s">
        <v>3577</v>
      </c>
      <c r="B1412" s="66" t="s">
        <v>1707</v>
      </c>
      <c r="C1412" s="66" t="s">
        <v>3578</v>
      </c>
      <c r="D1412" s="66">
        <v>83799</v>
      </c>
      <c r="E1412" s="68" t="s">
        <v>6065</v>
      </c>
      <c r="F1412" s="66" t="s">
        <v>6066</v>
      </c>
      <c r="G1412" s="71">
        <v>16900</v>
      </c>
      <c r="H1412" s="73"/>
      <c r="I1412" s="75">
        <v>0.1</v>
      </c>
      <c r="J1412" s="77"/>
      <c r="K1412" s="66"/>
      <c r="L1412" s="66"/>
      <c r="M1412" s="79" t="str">
        <f>HYPERLINK("http://www.pristavka.com/catalog/funko/Fun83799/")</f>
        <v>http://www.pristavka.com/catalog/funko/Fun83799/</v>
      </c>
      <c r="N1412" s="71">
        <v>25999</v>
      </c>
      <c r="O1412" s="66" t="s">
        <v>27</v>
      </c>
      <c r="P1412" s="82" t="s">
        <v>6067</v>
      </c>
      <c r="Q1412" s="84" t="s">
        <v>1321</v>
      </c>
      <c r="R1412" s="84" t="s">
        <v>1322</v>
      </c>
      <c r="S1412" s="84">
        <v>0.42</v>
      </c>
      <c r="T1412" s="82" t="s">
        <v>4616</v>
      </c>
      <c r="U1412" s="84" t="s">
        <v>3584</v>
      </c>
      <c r="V1412" s="54"/>
    </row>
    <row r="1413" spans="1:22" s="11" customFormat="1" ht="45" customHeight="1" x14ac:dyDescent="0.2">
      <c r="A1413" s="66" t="s">
        <v>3577</v>
      </c>
      <c r="B1413" s="66" t="s">
        <v>1707</v>
      </c>
      <c r="C1413" s="66" t="s">
        <v>3578</v>
      </c>
      <c r="D1413" s="66">
        <v>80001</v>
      </c>
      <c r="E1413" s="68" t="s">
        <v>6068</v>
      </c>
      <c r="F1413" s="66" t="s">
        <v>6069</v>
      </c>
      <c r="G1413" s="71">
        <v>16900</v>
      </c>
      <c r="H1413" s="73"/>
      <c r="I1413" s="75">
        <v>0.1</v>
      </c>
      <c r="J1413" s="77"/>
      <c r="K1413" s="66"/>
      <c r="L1413" s="66"/>
      <c r="M1413" s="79" t="str">
        <f>HYPERLINK("http://www.pristavka.com/catalog/funko/Fun80001/")</f>
        <v>http://www.pristavka.com/catalog/funko/Fun80001/</v>
      </c>
      <c r="N1413" s="71">
        <v>25999</v>
      </c>
      <c r="O1413" s="66" t="s">
        <v>28</v>
      </c>
      <c r="P1413" s="82" t="s">
        <v>6070</v>
      </c>
      <c r="Q1413" s="84" t="s">
        <v>1321</v>
      </c>
      <c r="R1413" s="84" t="s">
        <v>1322</v>
      </c>
      <c r="S1413" s="84">
        <v>0.27</v>
      </c>
      <c r="T1413" s="82" t="s">
        <v>4989</v>
      </c>
      <c r="U1413" s="84" t="s">
        <v>3584</v>
      </c>
      <c r="V1413" s="54"/>
    </row>
    <row r="1414" spans="1:22" s="11" customFormat="1" ht="45" customHeight="1" x14ac:dyDescent="0.2">
      <c r="A1414" s="66" t="s">
        <v>3577</v>
      </c>
      <c r="B1414" s="66" t="s">
        <v>1707</v>
      </c>
      <c r="C1414" s="66" t="s">
        <v>3578</v>
      </c>
      <c r="D1414" s="66">
        <v>76545</v>
      </c>
      <c r="E1414" s="68" t="s">
        <v>6071</v>
      </c>
      <c r="F1414" s="66" t="s">
        <v>6072</v>
      </c>
      <c r="G1414" s="71">
        <v>18200</v>
      </c>
      <c r="H1414" s="73"/>
      <c r="I1414" s="75">
        <v>0.1</v>
      </c>
      <c r="J1414" s="77"/>
      <c r="K1414" s="66"/>
      <c r="L1414" s="66"/>
      <c r="M1414" s="79" t="str">
        <f>HYPERLINK("http://www.pristavka.com/catalog/funko/Fun76545/")</f>
        <v>http://www.pristavka.com/catalog/funko/Fun76545/</v>
      </c>
      <c r="N1414" s="71">
        <v>27999</v>
      </c>
      <c r="O1414" s="66" t="s">
        <v>27</v>
      </c>
      <c r="P1414" s="82" t="s">
        <v>6073</v>
      </c>
      <c r="Q1414" s="84" t="s">
        <v>3916</v>
      </c>
      <c r="R1414" s="84" t="s">
        <v>1322</v>
      </c>
      <c r="S1414" s="84">
        <v>0.34499999999999997</v>
      </c>
      <c r="T1414" s="82" t="s">
        <v>4989</v>
      </c>
      <c r="U1414" s="84" t="s">
        <v>3584</v>
      </c>
      <c r="V1414" s="54"/>
    </row>
    <row r="1415" spans="1:22" s="11" customFormat="1" ht="45" customHeight="1" x14ac:dyDescent="0.2">
      <c r="A1415" s="66" t="s">
        <v>3577</v>
      </c>
      <c r="B1415" s="66" t="s">
        <v>1707</v>
      </c>
      <c r="C1415" s="66" t="s">
        <v>3578</v>
      </c>
      <c r="D1415" s="66">
        <v>56105</v>
      </c>
      <c r="E1415" s="68" t="s">
        <v>6074</v>
      </c>
      <c r="F1415" s="66" t="s">
        <v>6075</v>
      </c>
      <c r="G1415" s="71">
        <v>17550</v>
      </c>
      <c r="H1415" s="73"/>
      <c r="I1415" s="75">
        <v>0.1</v>
      </c>
      <c r="J1415" s="77"/>
      <c r="K1415" s="66"/>
      <c r="L1415" s="66"/>
      <c r="M1415" s="79" t="str">
        <f>HYPERLINK("http://www.pristavka.com/catalog/funko/Fun25491927/")</f>
        <v>http://www.pristavka.com/catalog/funko/Fun25491927/</v>
      </c>
      <c r="N1415" s="71">
        <v>26999</v>
      </c>
      <c r="O1415" s="66" t="s">
        <v>27</v>
      </c>
      <c r="P1415" s="82" t="s">
        <v>6076</v>
      </c>
      <c r="Q1415" s="84" t="s">
        <v>1321</v>
      </c>
      <c r="R1415" s="84" t="s">
        <v>1322</v>
      </c>
      <c r="S1415" s="84">
        <v>0.33100000000000002</v>
      </c>
      <c r="T1415" s="82" t="s">
        <v>4635</v>
      </c>
      <c r="U1415" s="84" t="s">
        <v>3584</v>
      </c>
      <c r="V1415" s="54"/>
    </row>
    <row r="1416" spans="1:22" s="11" customFormat="1" ht="45" customHeight="1" x14ac:dyDescent="0.2">
      <c r="A1416" s="66" t="s">
        <v>3577</v>
      </c>
      <c r="B1416" s="66" t="s">
        <v>1707</v>
      </c>
      <c r="C1416" s="66" t="s">
        <v>3578</v>
      </c>
      <c r="D1416" s="66">
        <v>83632</v>
      </c>
      <c r="E1416" s="68" t="s">
        <v>6077</v>
      </c>
      <c r="F1416" s="66" t="s">
        <v>6078</v>
      </c>
      <c r="G1416" s="71">
        <v>13975</v>
      </c>
      <c r="H1416" s="73"/>
      <c r="I1416" s="75">
        <v>0.1</v>
      </c>
      <c r="J1416" s="77"/>
      <c r="K1416" s="66"/>
      <c r="L1416" s="66"/>
      <c r="M1416" s="79" t="str">
        <f>HYPERLINK("http://www.pristavka.com/catalog/funko/Fun83632/")</f>
        <v>http://www.pristavka.com/catalog/funko/Fun83632/</v>
      </c>
      <c r="N1416" s="71">
        <v>21499</v>
      </c>
      <c r="O1416" s="66" t="s">
        <v>27</v>
      </c>
      <c r="P1416" s="82" t="s">
        <v>6079</v>
      </c>
      <c r="Q1416" s="84" t="s">
        <v>1091</v>
      </c>
      <c r="R1416" s="84" t="s">
        <v>1068</v>
      </c>
      <c r="S1416" s="84">
        <v>0.47399999999999998</v>
      </c>
      <c r="T1416" s="82" t="s">
        <v>4616</v>
      </c>
      <c r="U1416" s="84" t="s">
        <v>3584</v>
      </c>
      <c r="V1416" s="54"/>
    </row>
    <row r="1417" spans="1:22" s="11" customFormat="1" ht="45" customHeight="1" x14ac:dyDescent="0.2">
      <c r="A1417" s="66" t="s">
        <v>3577</v>
      </c>
      <c r="B1417" s="66" t="s">
        <v>1707</v>
      </c>
      <c r="C1417" s="66" t="s">
        <v>3578</v>
      </c>
      <c r="D1417" s="66">
        <v>81166</v>
      </c>
      <c r="E1417" s="68" t="s">
        <v>6080</v>
      </c>
      <c r="F1417" s="66" t="s">
        <v>6081</v>
      </c>
      <c r="G1417" s="71">
        <v>16900</v>
      </c>
      <c r="H1417" s="73"/>
      <c r="I1417" s="75">
        <v>0.1</v>
      </c>
      <c r="J1417" s="77"/>
      <c r="K1417" s="66"/>
      <c r="L1417" s="66"/>
      <c r="M1417" s="79" t="str">
        <f>HYPERLINK("http://www.pristavka.com/catalog/funko/Fun81166/")</f>
        <v>http://www.pristavka.com/catalog/funko/Fun81166/</v>
      </c>
      <c r="N1417" s="71">
        <v>25999</v>
      </c>
      <c r="O1417" s="66" t="s">
        <v>27</v>
      </c>
      <c r="P1417" s="82" t="s">
        <v>6082</v>
      </c>
      <c r="Q1417" s="84" t="s">
        <v>6083</v>
      </c>
      <c r="R1417" s="84" t="s">
        <v>1765</v>
      </c>
      <c r="S1417" s="84">
        <v>0.42</v>
      </c>
      <c r="T1417" s="82" t="s">
        <v>4989</v>
      </c>
      <c r="U1417" s="84" t="s">
        <v>3584</v>
      </c>
      <c r="V1417" s="54"/>
    </row>
    <row r="1418" spans="1:22" s="11" customFormat="1" ht="45" customHeight="1" x14ac:dyDescent="0.2">
      <c r="A1418" s="66" t="s">
        <v>3577</v>
      </c>
      <c r="B1418" s="66" t="s">
        <v>1707</v>
      </c>
      <c r="C1418" s="66" t="s">
        <v>3578</v>
      </c>
      <c r="D1418" s="66">
        <v>84422</v>
      </c>
      <c r="E1418" s="68" t="s">
        <v>6084</v>
      </c>
      <c r="F1418" s="66" t="s">
        <v>6085</v>
      </c>
      <c r="G1418" s="71">
        <v>18135</v>
      </c>
      <c r="H1418" s="73"/>
      <c r="I1418" s="75">
        <v>0.1</v>
      </c>
      <c r="J1418" s="77"/>
      <c r="K1418" s="66"/>
      <c r="L1418" s="66"/>
      <c r="M1418" s="79" t="str">
        <f>HYPERLINK("http://www.pristavka.com/catalog/funko/Fun84422/")</f>
        <v>http://www.pristavka.com/catalog/funko/Fun84422/</v>
      </c>
      <c r="N1418" s="71">
        <v>27899</v>
      </c>
      <c r="O1418" s="66" t="s">
        <v>27</v>
      </c>
      <c r="P1418" s="82" t="s">
        <v>6086</v>
      </c>
      <c r="Q1418" s="84" t="s">
        <v>6087</v>
      </c>
      <c r="R1418" s="84" t="s">
        <v>3785</v>
      </c>
      <c r="S1418" s="84">
        <v>0.51500000000000001</v>
      </c>
      <c r="T1418" s="82" t="s">
        <v>4989</v>
      </c>
      <c r="U1418" s="84" t="s">
        <v>3584</v>
      </c>
      <c r="V1418" s="54"/>
    </row>
    <row r="1419" spans="1:22" s="11" customFormat="1" ht="45" customHeight="1" x14ac:dyDescent="0.2">
      <c r="A1419" s="66" t="s">
        <v>3577</v>
      </c>
      <c r="B1419" s="66" t="s">
        <v>1707</v>
      </c>
      <c r="C1419" s="66" t="s">
        <v>3578</v>
      </c>
      <c r="D1419" s="66">
        <v>83517</v>
      </c>
      <c r="E1419" s="68" t="s">
        <v>6088</v>
      </c>
      <c r="F1419" s="66" t="s">
        <v>6089</v>
      </c>
      <c r="G1419" s="71">
        <v>6500</v>
      </c>
      <c r="H1419" s="73"/>
      <c r="I1419" s="75">
        <v>0.1</v>
      </c>
      <c r="J1419" s="77"/>
      <c r="K1419" s="66"/>
      <c r="L1419" s="66"/>
      <c r="M1419" s="79" t="str">
        <f>HYPERLINK("http://www.pristavka.com/catalog/funko/Fun83517/")</f>
        <v>http://www.pristavka.com/catalog/funko/Fun83517/</v>
      </c>
      <c r="N1419" s="71">
        <v>9999</v>
      </c>
      <c r="O1419" s="66" t="s">
        <v>27</v>
      </c>
      <c r="P1419" s="82" t="s">
        <v>6090</v>
      </c>
      <c r="Q1419" s="84" t="s">
        <v>3604</v>
      </c>
      <c r="R1419" s="84" t="s">
        <v>3566</v>
      </c>
      <c r="S1419" s="84">
        <v>0.36199999999999999</v>
      </c>
      <c r="T1419" s="82" t="s">
        <v>4616</v>
      </c>
      <c r="U1419" s="84" t="s">
        <v>3584</v>
      </c>
      <c r="V1419" s="54"/>
    </row>
    <row r="1420" spans="1:22" s="11" customFormat="1" ht="45" customHeight="1" x14ac:dyDescent="0.2">
      <c r="A1420" s="66" t="s">
        <v>3577</v>
      </c>
      <c r="B1420" s="66" t="s">
        <v>1707</v>
      </c>
      <c r="C1420" s="66" t="s">
        <v>3578</v>
      </c>
      <c r="D1420" s="66">
        <v>80762</v>
      </c>
      <c r="E1420" s="68" t="s">
        <v>6091</v>
      </c>
      <c r="F1420" s="66" t="s">
        <v>6092</v>
      </c>
      <c r="G1420" s="71">
        <v>18135</v>
      </c>
      <c r="H1420" s="73"/>
      <c r="I1420" s="75">
        <v>0.1</v>
      </c>
      <c r="J1420" s="77"/>
      <c r="K1420" s="66"/>
      <c r="L1420" s="66"/>
      <c r="M1420" s="79" t="str">
        <f>HYPERLINK("http://www.pristavka.com/catalog/funko/Fun80762/")</f>
        <v>http://www.pristavka.com/catalog/funko/Fun80762/</v>
      </c>
      <c r="N1420" s="71">
        <v>27899</v>
      </c>
      <c r="O1420" s="66" t="s">
        <v>27</v>
      </c>
      <c r="P1420" s="82" t="s">
        <v>6093</v>
      </c>
      <c r="Q1420" s="84" t="s">
        <v>3844</v>
      </c>
      <c r="R1420" s="84" t="s">
        <v>3566</v>
      </c>
      <c r="S1420" s="84">
        <v>0.35799999999999998</v>
      </c>
      <c r="T1420" s="82" t="s">
        <v>4616</v>
      </c>
      <c r="U1420" s="84" t="s">
        <v>3584</v>
      </c>
      <c r="V1420" s="54"/>
    </row>
    <row r="1421" spans="1:22" s="11" customFormat="1" ht="45" customHeight="1" x14ac:dyDescent="0.2">
      <c r="A1421" s="66" t="s">
        <v>3577</v>
      </c>
      <c r="B1421" s="66" t="s">
        <v>1707</v>
      </c>
      <c r="C1421" s="66" t="s">
        <v>3578</v>
      </c>
      <c r="D1421" s="66">
        <v>64989</v>
      </c>
      <c r="E1421" s="68" t="s">
        <v>6094</v>
      </c>
      <c r="F1421" s="66" t="s">
        <v>6095</v>
      </c>
      <c r="G1421" s="71">
        <v>0</v>
      </c>
      <c r="H1421" s="73"/>
      <c r="I1421" s="75">
        <v>0.1</v>
      </c>
      <c r="J1421" s="77"/>
      <c r="K1421" s="66"/>
      <c r="L1421" s="66"/>
      <c r="M1421" s="79" t="str">
        <f>HYPERLINK("http://www.pristavka.com/catalog/funko/Fun64989/")</f>
        <v>http://www.pristavka.com/catalog/funko/Fun64989/</v>
      </c>
      <c r="N1421" s="71"/>
      <c r="O1421" s="66" t="s">
        <v>28</v>
      </c>
      <c r="P1421" s="82" t="s">
        <v>6096</v>
      </c>
      <c r="Q1421" s="84" t="s">
        <v>3953</v>
      </c>
      <c r="R1421" s="84" t="s">
        <v>1315</v>
      </c>
      <c r="S1421" s="84">
        <v>0.22900000000000001</v>
      </c>
      <c r="T1421" s="82" t="s">
        <v>5060</v>
      </c>
      <c r="U1421" s="84" t="s">
        <v>3584</v>
      </c>
      <c r="V1421" s="54"/>
    </row>
    <row r="1422" spans="1:22" s="11" customFormat="1" ht="45" customHeight="1" x14ac:dyDescent="0.2">
      <c r="A1422" s="66" t="s">
        <v>3577</v>
      </c>
      <c r="B1422" s="66" t="s">
        <v>1707</v>
      </c>
      <c r="C1422" s="66" t="s">
        <v>3578</v>
      </c>
      <c r="D1422" s="66">
        <v>78180</v>
      </c>
      <c r="E1422" s="68" t="s">
        <v>6097</v>
      </c>
      <c r="F1422" s="66" t="s">
        <v>6098</v>
      </c>
      <c r="G1422" s="71">
        <v>18200</v>
      </c>
      <c r="H1422" s="73"/>
      <c r="I1422" s="75">
        <v>0.1</v>
      </c>
      <c r="J1422" s="77"/>
      <c r="K1422" s="66"/>
      <c r="L1422" s="66"/>
      <c r="M1422" s="79" t="str">
        <f>HYPERLINK("http://www.pristavka.com/catalog/funko/Fun78180/")</f>
        <v>http://www.pristavka.com/catalog/funko/Fun78180/</v>
      </c>
      <c r="N1422" s="71">
        <v>27999</v>
      </c>
      <c r="O1422" s="66" t="s">
        <v>27</v>
      </c>
      <c r="P1422" s="82" t="s">
        <v>6099</v>
      </c>
      <c r="Q1422" s="84" t="s">
        <v>6100</v>
      </c>
      <c r="R1422" s="84" t="s">
        <v>1315</v>
      </c>
      <c r="S1422" s="84">
        <v>0.51600000000000001</v>
      </c>
      <c r="T1422" s="82" t="s">
        <v>6101</v>
      </c>
      <c r="U1422" s="84" t="s">
        <v>3584</v>
      </c>
      <c r="V1422" s="54"/>
    </row>
    <row r="1423" spans="1:22" s="11" customFormat="1" ht="45" customHeight="1" x14ac:dyDescent="0.2">
      <c r="A1423" s="66" t="s">
        <v>3577</v>
      </c>
      <c r="B1423" s="66" t="s">
        <v>1707</v>
      </c>
      <c r="C1423" s="66" t="s">
        <v>3578</v>
      </c>
      <c r="D1423" s="66">
        <v>80785</v>
      </c>
      <c r="E1423" s="68" t="s">
        <v>6102</v>
      </c>
      <c r="F1423" s="66" t="s">
        <v>6103</v>
      </c>
      <c r="G1423" s="71">
        <v>16900</v>
      </c>
      <c r="H1423" s="73"/>
      <c r="I1423" s="75">
        <v>0.1</v>
      </c>
      <c r="J1423" s="77"/>
      <c r="K1423" s="66"/>
      <c r="L1423" s="66"/>
      <c r="M1423" s="79" t="str">
        <f>HYPERLINK("http://www.pristavka.com/catalog/funko/Fun80785/")</f>
        <v>http://www.pristavka.com/catalog/funko/Fun80785/</v>
      </c>
      <c r="N1423" s="71">
        <v>25999</v>
      </c>
      <c r="O1423" s="66" t="s">
        <v>27</v>
      </c>
      <c r="P1423" s="82" t="s">
        <v>6104</v>
      </c>
      <c r="Q1423" s="84" t="s">
        <v>6105</v>
      </c>
      <c r="R1423" s="84" t="s">
        <v>1315</v>
      </c>
      <c r="S1423" s="84">
        <v>0.32600000000000001</v>
      </c>
      <c r="T1423" s="82" t="s">
        <v>6106</v>
      </c>
      <c r="U1423" s="84" t="s">
        <v>3584</v>
      </c>
      <c r="V1423" s="54"/>
    </row>
    <row r="1424" spans="1:22" s="11" customFormat="1" ht="45" customHeight="1" x14ac:dyDescent="0.2">
      <c r="A1424" s="66" t="s">
        <v>3577</v>
      </c>
      <c r="B1424" s="66" t="s">
        <v>1707</v>
      </c>
      <c r="C1424" s="66" t="s">
        <v>3578</v>
      </c>
      <c r="D1424" s="66">
        <v>72382</v>
      </c>
      <c r="E1424" s="68" t="s">
        <v>6107</v>
      </c>
      <c r="F1424" s="66" t="s">
        <v>6108</v>
      </c>
      <c r="G1424" s="71">
        <v>0</v>
      </c>
      <c r="H1424" s="73"/>
      <c r="I1424" s="75">
        <v>0.1</v>
      </c>
      <c r="J1424" s="77"/>
      <c r="K1424" s="66"/>
      <c r="L1424" s="66"/>
      <c r="M1424" s="79" t="str">
        <f>HYPERLINK("http://www.pristavka.com/catalog/funko/Fun72382/")</f>
        <v>http://www.pristavka.com/catalog/funko/Fun72382/</v>
      </c>
      <c r="N1424" s="71"/>
      <c r="O1424" s="66" t="s">
        <v>27</v>
      </c>
      <c r="P1424" s="82" t="s">
        <v>6109</v>
      </c>
      <c r="Q1424" s="84" t="s">
        <v>1314</v>
      </c>
      <c r="R1424" s="84" t="s">
        <v>1315</v>
      </c>
      <c r="S1424" s="84">
        <v>0.40699999999999997</v>
      </c>
      <c r="T1424" s="82" t="s">
        <v>4635</v>
      </c>
      <c r="U1424" s="84" t="s">
        <v>3584</v>
      </c>
      <c r="V1424" s="54"/>
    </row>
    <row r="1425" spans="1:22" s="11" customFormat="1" ht="45" customHeight="1" x14ac:dyDescent="0.2">
      <c r="A1425" s="66" t="s">
        <v>3577</v>
      </c>
      <c r="B1425" s="66" t="s">
        <v>1707</v>
      </c>
      <c r="C1425" s="66" t="s">
        <v>3578</v>
      </c>
      <c r="D1425" s="66">
        <v>72310</v>
      </c>
      <c r="E1425" s="68" t="s">
        <v>6110</v>
      </c>
      <c r="F1425" s="66" t="s">
        <v>6111</v>
      </c>
      <c r="G1425" s="71">
        <v>0</v>
      </c>
      <c r="H1425" s="73"/>
      <c r="I1425" s="75">
        <v>0.1</v>
      </c>
      <c r="J1425" s="77"/>
      <c r="K1425" s="66"/>
      <c r="L1425" s="66"/>
      <c r="M1425" s="79" t="str">
        <f>HYPERLINK("http://www.pristavka.com/catalog/funko/Fun72310/")</f>
        <v>http://www.pristavka.com/catalog/funko/Fun72310/</v>
      </c>
      <c r="N1425" s="71"/>
      <c r="O1425" s="66" t="s">
        <v>27</v>
      </c>
      <c r="P1425" s="82" t="s">
        <v>6112</v>
      </c>
      <c r="Q1425" s="84" t="s">
        <v>1314</v>
      </c>
      <c r="R1425" s="84" t="s">
        <v>1315</v>
      </c>
      <c r="S1425" s="84">
        <v>0.33</v>
      </c>
      <c r="T1425" s="82" t="s">
        <v>4989</v>
      </c>
      <c r="U1425" s="84" t="s">
        <v>3584</v>
      </c>
      <c r="V1425" s="54"/>
    </row>
    <row r="1426" spans="1:22" s="11" customFormat="1" ht="45" customHeight="1" x14ac:dyDescent="0.2">
      <c r="A1426" s="66" t="s">
        <v>3577</v>
      </c>
      <c r="B1426" s="66" t="s">
        <v>1707</v>
      </c>
      <c r="C1426" s="66" t="s">
        <v>3578</v>
      </c>
      <c r="D1426" s="66">
        <v>72311</v>
      </c>
      <c r="E1426" s="68" t="s">
        <v>6113</v>
      </c>
      <c r="F1426" s="66" t="s">
        <v>6114</v>
      </c>
      <c r="G1426" s="71">
        <v>15600</v>
      </c>
      <c r="H1426" s="73"/>
      <c r="I1426" s="75">
        <v>0.1</v>
      </c>
      <c r="J1426" s="77"/>
      <c r="K1426" s="66"/>
      <c r="L1426" s="66"/>
      <c r="M1426" s="79" t="str">
        <f>HYPERLINK("http://www.pristavka.com/catalog/funko/Fun72311/")</f>
        <v>http://www.pristavka.com/catalog/funko/Fun72311/</v>
      </c>
      <c r="N1426" s="71">
        <v>23999</v>
      </c>
      <c r="O1426" s="66" t="s">
        <v>27</v>
      </c>
      <c r="P1426" s="82" t="s">
        <v>6115</v>
      </c>
      <c r="Q1426" s="84" t="s">
        <v>1314</v>
      </c>
      <c r="R1426" s="84" t="s">
        <v>1315</v>
      </c>
      <c r="S1426" s="84">
        <v>0.31</v>
      </c>
      <c r="T1426" s="82" t="s">
        <v>4989</v>
      </c>
      <c r="U1426" s="84" t="s">
        <v>3584</v>
      </c>
      <c r="V1426" s="54"/>
    </row>
    <row r="1427" spans="1:22" s="11" customFormat="1" ht="45" customHeight="1" x14ac:dyDescent="0.2">
      <c r="A1427" s="66" t="s">
        <v>3577</v>
      </c>
      <c r="B1427" s="66" t="s">
        <v>1707</v>
      </c>
      <c r="C1427" s="66" t="s">
        <v>3578</v>
      </c>
      <c r="D1427" s="66">
        <v>72315</v>
      </c>
      <c r="E1427" s="68" t="s">
        <v>6116</v>
      </c>
      <c r="F1427" s="66" t="s">
        <v>6117</v>
      </c>
      <c r="G1427" s="71">
        <v>18200</v>
      </c>
      <c r="H1427" s="73"/>
      <c r="I1427" s="75">
        <v>0.1</v>
      </c>
      <c r="J1427" s="77"/>
      <c r="K1427" s="66"/>
      <c r="L1427" s="66"/>
      <c r="M1427" s="79" t="str">
        <f>HYPERLINK("http://www.pristavka.com/catalog/funko/Fun72315/")</f>
        <v>http://www.pristavka.com/catalog/funko/Fun72315/</v>
      </c>
      <c r="N1427" s="71">
        <v>27999</v>
      </c>
      <c r="O1427" s="66" t="s">
        <v>27</v>
      </c>
      <c r="P1427" s="82" t="s">
        <v>6118</v>
      </c>
      <c r="Q1427" s="84" t="s">
        <v>1314</v>
      </c>
      <c r="R1427" s="84" t="s">
        <v>1315</v>
      </c>
      <c r="S1427" s="84">
        <v>0.28000000000000003</v>
      </c>
      <c r="T1427" s="82" t="s">
        <v>6119</v>
      </c>
      <c r="U1427" s="84" t="s">
        <v>3584</v>
      </c>
      <c r="V1427" s="54"/>
    </row>
    <row r="1428" spans="1:22" s="11" customFormat="1" ht="45" customHeight="1" x14ac:dyDescent="0.2">
      <c r="A1428" s="66" t="s">
        <v>3577</v>
      </c>
      <c r="B1428" s="66" t="s">
        <v>1707</v>
      </c>
      <c r="C1428" s="66" t="s">
        <v>3578</v>
      </c>
      <c r="D1428" s="66">
        <v>57360</v>
      </c>
      <c r="E1428" s="68" t="s">
        <v>6120</v>
      </c>
      <c r="F1428" s="66" t="s">
        <v>6121</v>
      </c>
      <c r="G1428" s="71">
        <v>18460</v>
      </c>
      <c r="H1428" s="73"/>
      <c r="I1428" s="75">
        <v>0.1</v>
      </c>
      <c r="J1428" s="77"/>
      <c r="K1428" s="66"/>
      <c r="L1428" s="66"/>
      <c r="M1428" s="79" t="str">
        <f>HYPERLINK("http://www.pristavka.com/catalog/funko/Fun25491306/")</f>
        <v>http://www.pristavka.com/catalog/funko/Fun25491306/</v>
      </c>
      <c r="N1428" s="71">
        <v>28399</v>
      </c>
      <c r="O1428" s="66" t="s">
        <v>27</v>
      </c>
      <c r="P1428" s="82" t="s">
        <v>6122</v>
      </c>
      <c r="Q1428" s="84" t="s">
        <v>1102</v>
      </c>
      <c r="R1428" s="84" t="s">
        <v>1103</v>
      </c>
      <c r="S1428" s="84">
        <v>0.34</v>
      </c>
      <c r="T1428" s="82" t="s">
        <v>6123</v>
      </c>
      <c r="U1428" s="84" t="s">
        <v>3584</v>
      </c>
      <c r="V1428" s="54"/>
    </row>
    <row r="1429" spans="1:22" s="11" customFormat="1" ht="45" customHeight="1" x14ac:dyDescent="0.2">
      <c r="A1429" s="66" t="s">
        <v>3577</v>
      </c>
      <c r="B1429" s="66" t="s">
        <v>1707</v>
      </c>
      <c r="C1429" s="66" t="s">
        <v>3578</v>
      </c>
      <c r="D1429" s="66">
        <v>65649</v>
      </c>
      <c r="E1429" s="68" t="s">
        <v>6124</v>
      </c>
      <c r="F1429" s="66" t="s">
        <v>6125</v>
      </c>
      <c r="G1429" s="71">
        <v>17550</v>
      </c>
      <c r="H1429" s="73"/>
      <c r="I1429" s="75">
        <v>0.1</v>
      </c>
      <c r="J1429" s="77"/>
      <c r="K1429" s="66"/>
      <c r="L1429" s="66"/>
      <c r="M1429" s="79" t="str">
        <f>HYPERLINK("http://www.pristavka.com/catalog/funko/Fun65649/")</f>
        <v>http://www.pristavka.com/catalog/funko/Fun65649/</v>
      </c>
      <c r="N1429" s="71">
        <v>26999</v>
      </c>
      <c r="O1429" s="66" t="s">
        <v>28</v>
      </c>
      <c r="P1429" s="82" t="s">
        <v>6126</v>
      </c>
      <c r="Q1429" s="84" t="s">
        <v>1102</v>
      </c>
      <c r="R1429" s="84" t="s">
        <v>1103</v>
      </c>
      <c r="S1429" s="84">
        <v>0.64300000000000002</v>
      </c>
      <c r="T1429" s="82" t="s">
        <v>6127</v>
      </c>
      <c r="U1429" s="84" t="s">
        <v>3584</v>
      </c>
      <c r="V1429" s="54"/>
    </row>
    <row r="1430" spans="1:22" s="11" customFormat="1" ht="45" customHeight="1" x14ac:dyDescent="0.2">
      <c r="A1430" s="66" t="s">
        <v>3577</v>
      </c>
      <c r="B1430" s="66" t="s">
        <v>1707</v>
      </c>
      <c r="C1430" s="66" t="s">
        <v>3578</v>
      </c>
      <c r="D1430" s="66">
        <v>65647</v>
      </c>
      <c r="E1430" s="68" t="s">
        <v>6128</v>
      </c>
      <c r="F1430" s="66" t="s">
        <v>6129</v>
      </c>
      <c r="G1430" s="71">
        <v>17550</v>
      </c>
      <c r="H1430" s="73"/>
      <c r="I1430" s="75">
        <v>0.1</v>
      </c>
      <c r="J1430" s="77" t="s">
        <v>18266</v>
      </c>
      <c r="K1430" s="66"/>
      <c r="L1430" s="66"/>
      <c r="M1430" s="79" t="str">
        <f>HYPERLINK("http://www.pristavka.com/catalog/funko/Fun65647/")</f>
        <v>http://www.pristavka.com/catalog/funko/Fun65647/</v>
      </c>
      <c r="N1430" s="71">
        <v>26999</v>
      </c>
      <c r="O1430" s="66" t="s">
        <v>27</v>
      </c>
      <c r="P1430" s="82" t="s">
        <v>6130</v>
      </c>
      <c r="Q1430" s="84" t="s">
        <v>1102</v>
      </c>
      <c r="R1430" s="84" t="s">
        <v>1103</v>
      </c>
      <c r="S1430" s="84">
        <v>0.66900000000000004</v>
      </c>
      <c r="T1430" s="82" t="s">
        <v>6127</v>
      </c>
      <c r="U1430" s="84" t="s">
        <v>3584</v>
      </c>
      <c r="V1430" s="54"/>
    </row>
    <row r="1431" spans="1:22" s="11" customFormat="1" ht="45" customHeight="1" x14ac:dyDescent="0.2">
      <c r="A1431" s="66" t="s">
        <v>3577</v>
      </c>
      <c r="B1431" s="66" t="s">
        <v>1707</v>
      </c>
      <c r="C1431" s="66" t="s">
        <v>3578</v>
      </c>
      <c r="D1431" s="66">
        <v>76002</v>
      </c>
      <c r="E1431" s="68" t="s">
        <v>6131</v>
      </c>
      <c r="F1431" s="66" t="s">
        <v>6132</v>
      </c>
      <c r="G1431" s="71">
        <v>18200</v>
      </c>
      <c r="H1431" s="73"/>
      <c r="I1431" s="75">
        <v>0.1</v>
      </c>
      <c r="J1431" s="77" t="s">
        <v>18267</v>
      </c>
      <c r="K1431" s="66"/>
      <c r="L1431" s="66"/>
      <c r="M1431" s="79" t="str">
        <f>HYPERLINK("http://www.pristavka.com/catalog/funko/Fun76002/")</f>
        <v>http://www.pristavka.com/catalog/funko/Fun76002/</v>
      </c>
      <c r="N1431" s="71">
        <v>27999</v>
      </c>
      <c r="O1431" s="66" t="s">
        <v>27</v>
      </c>
      <c r="P1431" s="82" t="s">
        <v>6133</v>
      </c>
      <c r="Q1431" s="84" t="s">
        <v>1102</v>
      </c>
      <c r="R1431" s="84" t="s">
        <v>1103</v>
      </c>
      <c r="S1431" s="84">
        <v>0.30199999999999999</v>
      </c>
      <c r="T1431" s="82" t="s">
        <v>6134</v>
      </c>
      <c r="U1431" s="84" t="s">
        <v>3584</v>
      </c>
      <c r="V1431" s="54"/>
    </row>
    <row r="1432" spans="1:22" s="11" customFormat="1" ht="45" customHeight="1" x14ac:dyDescent="0.2">
      <c r="A1432" s="66" t="s">
        <v>3577</v>
      </c>
      <c r="B1432" s="66" t="s">
        <v>1707</v>
      </c>
      <c r="C1432" s="66" t="s">
        <v>3578</v>
      </c>
      <c r="D1432" s="66">
        <v>80972</v>
      </c>
      <c r="E1432" s="68" t="s">
        <v>6135</v>
      </c>
      <c r="F1432" s="66" t="s">
        <v>6136</v>
      </c>
      <c r="G1432" s="71">
        <v>0</v>
      </c>
      <c r="H1432" s="73"/>
      <c r="I1432" s="75">
        <v>0.1</v>
      </c>
      <c r="J1432" s="77"/>
      <c r="K1432" s="66"/>
      <c r="L1432" s="66"/>
      <c r="M1432" s="79" t="str">
        <f>HYPERLINK("http://www.pristavka.com/catalog/funko/Fun80972/")</f>
        <v>http://www.pristavka.com/catalog/funko/Fun80972/</v>
      </c>
      <c r="N1432" s="71"/>
      <c r="O1432" s="66" t="s">
        <v>28</v>
      </c>
      <c r="P1432" s="82" t="s">
        <v>6137</v>
      </c>
      <c r="Q1432" s="84" t="s">
        <v>5884</v>
      </c>
      <c r="R1432" s="84" t="s">
        <v>1212</v>
      </c>
      <c r="S1432" s="84">
        <v>0.27300000000000002</v>
      </c>
      <c r="T1432" s="82" t="s">
        <v>3786</v>
      </c>
      <c r="U1432" s="84" t="s">
        <v>3584</v>
      </c>
      <c r="V1432" s="54"/>
    </row>
    <row r="1433" spans="1:22" s="11" customFormat="1" ht="45" customHeight="1" x14ac:dyDescent="0.2">
      <c r="A1433" s="66" t="s">
        <v>3577</v>
      </c>
      <c r="B1433" s="66" t="s">
        <v>1707</v>
      </c>
      <c r="C1433" s="66" t="s">
        <v>3578</v>
      </c>
      <c r="D1433" s="66">
        <v>86140</v>
      </c>
      <c r="E1433" s="68" t="s">
        <v>6138</v>
      </c>
      <c r="F1433" s="66" t="s">
        <v>6139</v>
      </c>
      <c r="G1433" s="71">
        <v>13975</v>
      </c>
      <c r="H1433" s="73"/>
      <c r="I1433" s="75">
        <v>0.1</v>
      </c>
      <c r="J1433" s="77"/>
      <c r="K1433" s="66"/>
      <c r="L1433" s="66"/>
      <c r="M1433" s="79" t="str">
        <f>HYPERLINK("http://www.pristavka.com/catalog/funko/Fun86140/")</f>
        <v>http://www.pristavka.com/catalog/funko/Fun86140/</v>
      </c>
      <c r="N1433" s="71">
        <v>21499</v>
      </c>
      <c r="O1433" s="66" t="s">
        <v>27</v>
      </c>
      <c r="P1433" s="82" t="s">
        <v>6140</v>
      </c>
      <c r="Q1433" s="84" t="s">
        <v>6141</v>
      </c>
      <c r="R1433" s="84" t="s">
        <v>1212</v>
      </c>
      <c r="S1433" s="84">
        <v>0.53</v>
      </c>
      <c r="T1433" s="82" t="s">
        <v>6142</v>
      </c>
      <c r="U1433" s="84" t="s">
        <v>3584</v>
      </c>
      <c r="V1433" s="54"/>
    </row>
    <row r="1434" spans="1:22" s="11" customFormat="1" ht="45" customHeight="1" x14ac:dyDescent="0.2">
      <c r="A1434" s="66" t="s">
        <v>3577</v>
      </c>
      <c r="B1434" s="66" t="s">
        <v>1707</v>
      </c>
      <c r="C1434" s="66" t="s">
        <v>3578</v>
      </c>
      <c r="D1434" s="66">
        <v>80800</v>
      </c>
      <c r="E1434" s="68" t="s">
        <v>6143</v>
      </c>
      <c r="F1434" s="66" t="s">
        <v>6144</v>
      </c>
      <c r="G1434" s="71">
        <v>16900</v>
      </c>
      <c r="H1434" s="73"/>
      <c r="I1434" s="75">
        <v>0.1</v>
      </c>
      <c r="J1434" s="77"/>
      <c r="K1434" s="66"/>
      <c r="L1434" s="66"/>
      <c r="M1434" s="79" t="str">
        <f>HYPERLINK("http://www.pristavka.com/catalog/funko/Fun80800/")</f>
        <v>http://www.pristavka.com/catalog/funko/Fun80800/</v>
      </c>
      <c r="N1434" s="71">
        <v>25999</v>
      </c>
      <c r="O1434" s="66" t="s">
        <v>27</v>
      </c>
      <c r="P1434" s="82" t="s">
        <v>6145</v>
      </c>
      <c r="Q1434" s="84" t="s">
        <v>6146</v>
      </c>
      <c r="R1434" s="84" t="s">
        <v>1840</v>
      </c>
      <c r="S1434" s="84">
        <v>0.4</v>
      </c>
      <c r="T1434" s="82" t="s">
        <v>4989</v>
      </c>
      <c r="U1434" s="84" t="s">
        <v>3584</v>
      </c>
      <c r="V1434" s="54"/>
    </row>
    <row r="1435" spans="1:22" s="11" customFormat="1" ht="45" customHeight="1" x14ac:dyDescent="0.2">
      <c r="A1435" s="66" t="s">
        <v>3577</v>
      </c>
      <c r="B1435" s="66" t="s">
        <v>1707</v>
      </c>
      <c r="C1435" s="66" t="s">
        <v>3578</v>
      </c>
      <c r="D1435" s="66">
        <v>83784</v>
      </c>
      <c r="E1435" s="68" t="s">
        <v>6147</v>
      </c>
      <c r="F1435" s="66" t="s">
        <v>6148</v>
      </c>
      <c r="G1435" s="71">
        <v>16250</v>
      </c>
      <c r="H1435" s="73"/>
      <c r="I1435" s="75">
        <v>0.1</v>
      </c>
      <c r="J1435" s="77"/>
      <c r="K1435" s="66"/>
      <c r="L1435" s="66"/>
      <c r="M1435" s="79" t="str">
        <f>HYPERLINK("http://www.pristavka.com/catalog/funko/Fun83784/")</f>
        <v>http://www.pristavka.com/catalog/funko/Fun83784/</v>
      </c>
      <c r="N1435" s="71">
        <v>24999</v>
      </c>
      <c r="O1435" s="66" t="s">
        <v>27</v>
      </c>
      <c r="P1435" s="82" t="s">
        <v>6149</v>
      </c>
      <c r="Q1435" s="84" t="s">
        <v>3502</v>
      </c>
      <c r="R1435" s="84" t="s">
        <v>1303</v>
      </c>
      <c r="S1435" s="84">
        <v>0.47099999999999997</v>
      </c>
      <c r="T1435" s="82" t="s">
        <v>4989</v>
      </c>
      <c r="U1435" s="84" t="s">
        <v>3584</v>
      </c>
      <c r="V1435" s="54"/>
    </row>
    <row r="1436" spans="1:22" s="11" customFormat="1" ht="45" customHeight="1" x14ac:dyDescent="0.2">
      <c r="A1436" s="66" t="s">
        <v>3577</v>
      </c>
      <c r="B1436" s="66" t="s">
        <v>1707</v>
      </c>
      <c r="C1436" s="66" t="s">
        <v>3578</v>
      </c>
      <c r="D1436" s="66">
        <v>81048</v>
      </c>
      <c r="E1436" s="68" t="s">
        <v>6150</v>
      </c>
      <c r="F1436" s="66" t="s">
        <v>6151</v>
      </c>
      <c r="G1436" s="71">
        <v>16900</v>
      </c>
      <c r="H1436" s="73"/>
      <c r="I1436" s="75">
        <v>0.1</v>
      </c>
      <c r="J1436" s="77"/>
      <c r="K1436" s="66"/>
      <c r="L1436" s="66"/>
      <c r="M1436" s="79" t="str">
        <f>HYPERLINK("http://www.pristavka.com/catalog/funko/Fun81048/")</f>
        <v>http://www.pristavka.com/catalog/funko/Fun81048/</v>
      </c>
      <c r="N1436" s="71">
        <v>25999</v>
      </c>
      <c r="O1436" s="66" t="s">
        <v>27</v>
      </c>
      <c r="P1436" s="82" t="s">
        <v>6152</v>
      </c>
      <c r="Q1436" s="84" t="s">
        <v>5108</v>
      </c>
      <c r="R1436" s="84" t="s">
        <v>3512</v>
      </c>
      <c r="S1436" s="84">
        <v>0.41899999999999998</v>
      </c>
      <c r="T1436" s="82" t="s">
        <v>6153</v>
      </c>
      <c r="U1436" s="84" t="s">
        <v>3584</v>
      </c>
      <c r="V1436" s="54"/>
    </row>
    <row r="1437" spans="1:22" s="11" customFormat="1" ht="45" customHeight="1" x14ac:dyDescent="0.2">
      <c r="A1437" s="66" t="s">
        <v>3577</v>
      </c>
      <c r="B1437" s="66" t="s">
        <v>1707</v>
      </c>
      <c r="C1437" s="66" t="s">
        <v>3578</v>
      </c>
      <c r="D1437" s="66">
        <v>78666</v>
      </c>
      <c r="E1437" s="68" t="s">
        <v>6154</v>
      </c>
      <c r="F1437" s="66" t="s">
        <v>6155</v>
      </c>
      <c r="G1437" s="71">
        <v>0</v>
      </c>
      <c r="H1437" s="73"/>
      <c r="I1437" s="75">
        <v>0.1</v>
      </c>
      <c r="J1437" s="77"/>
      <c r="K1437" s="66"/>
      <c r="L1437" s="66"/>
      <c r="M1437" s="79" t="str">
        <f>HYPERLINK("https://pristavka.com/catalog/funko_figures/Fun78666/")</f>
        <v>https://pristavka.com/catalog/funko_figures/Fun78666/</v>
      </c>
      <c r="N1437" s="71"/>
      <c r="O1437" s="66" t="s">
        <v>27</v>
      </c>
      <c r="P1437" s="82" t="s">
        <v>6156</v>
      </c>
      <c r="Q1437" s="84" t="s">
        <v>1148</v>
      </c>
      <c r="R1437" s="84" t="s">
        <v>1068</v>
      </c>
      <c r="S1437" s="84">
        <v>0.37</v>
      </c>
      <c r="T1437" s="82" t="s">
        <v>6060</v>
      </c>
      <c r="U1437" s="84" t="s">
        <v>3584</v>
      </c>
      <c r="V1437" s="54"/>
    </row>
    <row r="1438" spans="1:22" s="11" customFormat="1" ht="45" customHeight="1" x14ac:dyDescent="0.2">
      <c r="A1438" s="66" t="s">
        <v>3577</v>
      </c>
      <c r="B1438" s="66" t="s">
        <v>1707</v>
      </c>
      <c r="C1438" s="66" t="s">
        <v>3578</v>
      </c>
      <c r="D1438" s="66">
        <v>79999</v>
      </c>
      <c r="E1438" s="68" t="s">
        <v>6157</v>
      </c>
      <c r="F1438" s="66" t="s">
        <v>6158</v>
      </c>
      <c r="G1438" s="71">
        <v>16900</v>
      </c>
      <c r="H1438" s="73"/>
      <c r="I1438" s="75">
        <v>0.1</v>
      </c>
      <c r="J1438" s="77"/>
      <c r="K1438" s="66"/>
      <c r="L1438" s="66"/>
      <c r="M1438" s="79" t="str">
        <f>HYPERLINK("http://www.pristavka.com/catalog/funko/Fun79999/")</f>
        <v>http://www.pristavka.com/catalog/funko/Fun79999/</v>
      </c>
      <c r="N1438" s="71">
        <v>25999</v>
      </c>
      <c r="O1438" s="66" t="s">
        <v>28</v>
      </c>
      <c r="P1438" s="82" t="s">
        <v>6159</v>
      </c>
      <c r="Q1438" s="84" t="s">
        <v>6160</v>
      </c>
      <c r="R1438" s="84" t="s">
        <v>6161</v>
      </c>
      <c r="S1438" s="84">
        <v>0.26600000000000001</v>
      </c>
      <c r="T1438" s="82" t="s">
        <v>6162</v>
      </c>
      <c r="U1438" s="84" t="s">
        <v>3584</v>
      </c>
      <c r="V1438" s="54"/>
    </row>
    <row r="1439" spans="1:22" s="11" customFormat="1" ht="45" customHeight="1" x14ac:dyDescent="0.2">
      <c r="A1439" s="66" t="s">
        <v>3577</v>
      </c>
      <c r="B1439" s="66" t="s">
        <v>1707</v>
      </c>
      <c r="C1439" s="66" t="s">
        <v>3578</v>
      </c>
      <c r="D1439" s="66">
        <v>80012</v>
      </c>
      <c r="E1439" s="68" t="s">
        <v>6163</v>
      </c>
      <c r="F1439" s="66" t="s">
        <v>6164</v>
      </c>
      <c r="G1439" s="71">
        <v>19825</v>
      </c>
      <c r="H1439" s="73"/>
      <c r="I1439" s="75">
        <v>0.1</v>
      </c>
      <c r="J1439" s="77"/>
      <c r="K1439" s="66"/>
      <c r="L1439" s="66"/>
      <c r="M1439" s="79" t="str">
        <f>HYPERLINK("http://www.pristavka.com/catalog/funko/Fun80012/")</f>
        <v>http://www.pristavka.com/catalog/funko/Fun80012/</v>
      </c>
      <c r="N1439" s="71">
        <v>30499</v>
      </c>
      <c r="O1439" s="66" t="s">
        <v>27</v>
      </c>
      <c r="P1439" s="82" t="s">
        <v>6165</v>
      </c>
      <c r="Q1439" s="84" t="s">
        <v>6160</v>
      </c>
      <c r="R1439" s="84" t="s">
        <v>6166</v>
      </c>
      <c r="S1439" s="84">
        <v>0.39500000000000002</v>
      </c>
      <c r="T1439" s="82" t="s">
        <v>4989</v>
      </c>
      <c r="U1439" s="84" t="s">
        <v>3584</v>
      </c>
      <c r="V1439" s="54"/>
    </row>
    <row r="1440" spans="1:22" s="11" customFormat="1" ht="45" customHeight="1" x14ac:dyDescent="0.2">
      <c r="A1440" s="66" t="s">
        <v>3577</v>
      </c>
      <c r="B1440" s="66" t="s">
        <v>1707</v>
      </c>
      <c r="C1440" s="66" t="s">
        <v>3578</v>
      </c>
      <c r="D1440" s="66">
        <v>80141</v>
      </c>
      <c r="E1440" s="68" t="s">
        <v>6167</v>
      </c>
      <c r="F1440" s="66" t="s">
        <v>6168</v>
      </c>
      <c r="G1440" s="71">
        <v>0</v>
      </c>
      <c r="H1440" s="73"/>
      <c r="I1440" s="75">
        <v>0.1</v>
      </c>
      <c r="J1440" s="77"/>
      <c r="K1440" s="66"/>
      <c r="L1440" s="66"/>
      <c r="M1440" s="79" t="str">
        <f>HYPERLINK("http://www.pristavka.com/catalog/funko/Fun80141/")</f>
        <v>http://www.pristavka.com/catalog/funko/Fun80141/</v>
      </c>
      <c r="N1440" s="71"/>
      <c r="O1440" s="66" t="s">
        <v>27</v>
      </c>
      <c r="P1440" s="82" t="s">
        <v>6169</v>
      </c>
      <c r="Q1440" s="84" t="s">
        <v>6170</v>
      </c>
      <c r="R1440" s="84" t="s">
        <v>6171</v>
      </c>
      <c r="S1440" s="84">
        <v>0.41499999999999998</v>
      </c>
      <c r="T1440" s="82" t="s">
        <v>4989</v>
      </c>
      <c r="U1440" s="84" t="s">
        <v>3584</v>
      </c>
      <c r="V1440" s="54"/>
    </row>
    <row r="1441" spans="1:22" s="11" customFormat="1" ht="45" customHeight="1" x14ac:dyDescent="0.2">
      <c r="A1441" s="66" t="s">
        <v>3577</v>
      </c>
      <c r="B1441" s="66" t="s">
        <v>1707</v>
      </c>
      <c r="C1441" s="66" t="s">
        <v>3578</v>
      </c>
      <c r="D1441" s="66">
        <v>80232</v>
      </c>
      <c r="E1441" s="68" t="s">
        <v>6172</v>
      </c>
      <c r="F1441" s="66" t="s">
        <v>6173</v>
      </c>
      <c r="G1441" s="71">
        <v>0</v>
      </c>
      <c r="H1441" s="73"/>
      <c r="I1441" s="75">
        <v>0.1</v>
      </c>
      <c r="J1441" s="77"/>
      <c r="K1441" s="66"/>
      <c r="L1441" s="66"/>
      <c r="M1441" s="79" t="str">
        <f>HYPERLINK("http://www.pristavka.com/catalog/funko/Fun80232/")</f>
        <v>http://www.pristavka.com/catalog/funko/Fun80232/</v>
      </c>
      <c r="N1441" s="71"/>
      <c r="O1441" s="66" t="s">
        <v>27</v>
      </c>
      <c r="P1441" s="82" t="s">
        <v>6174</v>
      </c>
      <c r="Q1441" s="84" t="s">
        <v>1840</v>
      </c>
      <c r="R1441" s="84" t="s">
        <v>1840</v>
      </c>
      <c r="S1441" s="84">
        <v>0.37</v>
      </c>
      <c r="T1441" s="82" t="s">
        <v>6175</v>
      </c>
      <c r="U1441" s="84" t="s">
        <v>3584</v>
      </c>
      <c r="V1441" s="54"/>
    </row>
    <row r="1442" spans="1:22" s="11" customFormat="1" ht="45" customHeight="1" x14ac:dyDescent="0.2">
      <c r="A1442" s="66" t="s">
        <v>3577</v>
      </c>
      <c r="B1442" s="66" t="s">
        <v>1707</v>
      </c>
      <c r="C1442" s="66" t="s">
        <v>3578</v>
      </c>
      <c r="D1442" s="66">
        <v>83513</v>
      </c>
      <c r="E1442" s="68" t="s">
        <v>6176</v>
      </c>
      <c r="F1442" s="66" t="s">
        <v>6177</v>
      </c>
      <c r="G1442" s="71">
        <v>16900</v>
      </c>
      <c r="H1442" s="73"/>
      <c r="I1442" s="75">
        <v>0.1</v>
      </c>
      <c r="J1442" s="77"/>
      <c r="K1442" s="66"/>
      <c r="L1442" s="66"/>
      <c r="M1442" s="79" t="str">
        <f>HYPERLINK("http://www.pristavka.com/catalog/funko/Fun83513/")</f>
        <v>http://www.pristavka.com/catalog/funko/Fun83513/</v>
      </c>
      <c r="N1442" s="71">
        <v>25999</v>
      </c>
      <c r="O1442" s="66" t="s">
        <v>28</v>
      </c>
      <c r="P1442" s="82" t="s">
        <v>6178</v>
      </c>
      <c r="Q1442" s="84" t="s">
        <v>1297</v>
      </c>
      <c r="R1442" s="84" t="s">
        <v>1298</v>
      </c>
      <c r="S1442" s="84">
        <v>0.42</v>
      </c>
      <c r="T1442" s="82" t="s">
        <v>6179</v>
      </c>
      <c r="U1442" s="84" t="s">
        <v>3584</v>
      </c>
      <c r="V1442" s="54"/>
    </row>
    <row r="1443" spans="1:22" s="11" customFormat="1" ht="45" customHeight="1" x14ac:dyDescent="0.2">
      <c r="A1443" s="66" t="s">
        <v>3577</v>
      </c>
      <c r="B1443" s="66" t="s">
        <v>1707</v>
      </c>
      <c r="C1443" s="66" t="s">
        <v>3578</v>
      </c>
      <c r="D1443" s="66">
        <v>80197</v>
      </c>
      <c r="E1443" s="68" t="s">
        <v>6180</v>
      </c>
      <c r="F1443" s="66" t="s">
        <v>6181</v>
      </c>
      <c r="G1443" s="71">
        <v>0</v>
      </c>
      <c r="H1443" s="73"/>
      <c r="I1443" s="75">
        <v>0.1</v>
      </c>
      <c r="J1443" s="77"/>
      <c r="K1443" s="66"/>
      <c r="L1443" s="66"/>
      <c r="M1443" s="79" t="str">
        <f>HYPERLINK("http://www.pristavka.com/catalog/funko/Fun80197/")</f>
        <v>http://www.pristavka.com/catalog/funko/Fun80197/</v>
      </c>
      <c r="N1443" s="71"/>
      <c r="O1443" s="66" t="s">
        <v>27</v>
      </c>
      <c r="P1443" s="82" t="s">
        <v>6182</v>
      </c>
      <c r="Q1443" s="84" t="s">
        <v>6183</v>
      </c>
      <c r="R1443" s="84" t="s">
        <v>6171</v>
      </c>
      <c r="S1443" s="84">
        <v>0.22500000000000001</v>
      </c>
      <c r="T1443" s="82" t="s">
        <v>6184</v>
      </c>
      <c r="U1443" s="84" t="s">
        <v>3584</v>
      </c>
      <c r="V1443" s="54"/>
    </row>
    <row r="1444" spans="1:22" s="11" customFormat="1" ht="45" customHeight="1" x14ac:dyDescent="0.2">
      <c r="A1444" s="66" t="s">
        <v>3577</v>
      </c>
      <c r="B1444" s="66" t="s">
        <v>1707</v>
      </c>
      <c r="C1444" s="66" t="s">
        <v>3578</v>
      </c>
      <c r="D1444" s="66">
        <v>80380</v>
      </c>
      <c r="E1444" s="68" t="s">
        <v>6185</v>
      </c>
      <c r="F1444" s="66" t="s">
        <v>6186</v>
      </c>
      <c r="G1444" s="71">
        <v>0</v>
      </c>
      <c r="H1444" s="73"/>
      <c r="I1444" s="75">
        <v>0.1</v>
      </c>
      <c r="J1444" s="77"/>
      <c r="K1444" s="66"/>
      <c r="L1444" s="66"/>
      <c r="M1444" s="79" t="str">
        <f>HYPERLINK("http://www.pristavka.com/catalog/funko/Fun80380/")</f>
        <v>http://www.pristavka.com/catalog/funko/Fun80380/</v>
      </c>
      <c r="N1444" s="71"/>
      <c r="O1444" s="66" t="s">
        <v>27</v>
      </c>
      <c r="P1444" s="82" t="s">
        <v>6187</v>
      </c>
      <c r="Q1444" s="84" t="s">
        <v>4985</v>
      </c>
      <c r="R1444" s="84" t="s">
        <v>1068</v>
      </c>
      <c r="S1444" s="84">
        <v>0.65800000000000003</v>
      </c>
      <c r="T1444" s="82" t="s">
        <v>6106</v>
      </c>
      <c r="U1444" s="84" t="s">
        <v>3584</v>
      </c>
      <c r="V1444" s="54"/>
    </row>
    <row r="1445" spans="1:22" s="11" customFormat="1" ht="45" customHeight="1" x14ac:dyDescent="0.2">
      <c r="A1445" s="66" t="s">
        <v>3577</v>
      </c>
      <c r="B1445" s="66" t="s">
        <v>1707</v>
      </c>
      <c r="C1445" s="66" t="s">
        <v>3578</v>
      </c>
      <c r="D1445" s="66">
        <v>80947</v>
      </c>
      <c r="E1445" s="68" t="s">
        <v>6188</v>
      </c>
      <c r="F1445" s="66" t="s">
        <v>6189</v>
      </c>
      <c r="G1445" s="71">
        <v>6500</v>
      </c>
      <c r="H1445" s="73"/>
      <c r="I1445" s="75">
        <v>0.1</v>
      </c>
      <c r="J1445" s="77"/>
      <c r="K1445" s="66"/>
      <c r="L1445" s="66"/>
      <c r="M1445" s="79" t="str">
        <f>HYPERLINK("http://www.pristavka.com/catalog/funko/Fun80947/")</f>
        <v>http://www.pristavka.com/catalog/funko/Fun80947/</v>
      </c>
      <c r="N1445" s="71">
        <v>9999</v>
      </c>
      <c r="O1445" s="66" t="s">
        <v>27</v>
      </c>
      <c r="P1445" s="82" t="s">
        <v>6190</v>
      </c>
      <c r="Q1445" s="84" t="s">
        <v>6191</v>
      </c>
      <c r="R1445" s="84" t="s">
        <v>1315</v>
      </c>
      <c r="S1445" s="84">
        <v>0.16400000000000001</v>
      </c>
      <c r="T1445" s="82" t="s">
        <v>4084</v>
      </c>
      <c r="U1445" s="84" t="s">
        <v>3584</v>
      </c>
      <c r="V1445" s="54"/>
    </row>
    <row r="1446" spans="1:22" s="11" customFormat="1" ht="45" customHeight="1" x14ac:dyDescent="0.2">
      <c r="A1446" s="66" t="s">
        <v>3577</v>
      </c>
      <c r="B1446" s="66" t="s">
        <v>1707</v>
      </c>
      <c r="C1446" s="66" t="s">
        <v>3578</v>
      </c>
      <c r="D1446" s="66">
        <v>80211</v>
      </c>
      <c r="E1446" s="68" t="s">
        <v>6192</v>
      </c>
      <c r="F1446" s="66" t="s">
        <v>6193</v>
      </c>
      <c r="G1446" s="71">
        <v>0</v>
      </c>
      <c r="H1446" s="73"/>
      <c r="I1446" s="75">
        <v>0.1</v>
      </c>
      <c r="J1446" s="77"/>
      <c r="K1446" s="66"/>
      <c r="L1446" s="66"/>
      <c r="M1446" s="79" t="str">
        <f>HYPERLINK("http://www.pristavka.com/catalog/funko/Fun80211/")</f>
        <v>http://www.pristavka.com/catalog/funko/Fun80211/</v>
      </c>
      <c r="N1446" s="71"/>
      <c r="O1446" s="66" t="s">
        <v>28</v>
      </c>
      <c r="P1446" s="82" t="s">
        <v>6194</v>
      </c>
      <c r="Q1446" s="84" t="s">
        <v>6195</v>
      </c>
      <c r="R1446" s="84" t="s">
        <v>1315</v>
      </c>
      <c r="S1446" s="84">
        <v>0.45200000000000001</v>
      </c>
      <c r="T1446" s="82" t="s">
        <v>4616</v>
      </c>
      <c r="U1446" s="84" t="s">
        <v>3584</v>
      </c>
      <c r="V1446" s="54"/>
    </row>
    <row r="1447" spans="1:22" s="11" customFormat="1" ht="45" customHeight="1" x14ac:dyDescent="0.2">
      <c r="A1447" s="66" t="s">
        <v>3577</v>
      </c>
      <c r="B1447" s="66" t="s">
        <v>1707</v>
      </c>
      <c r="C1447" s="66" t="s">
        <v>3578</v>
      </c>
      <c r="D1447" s="66">
        <v>83598</v>
      </c>
      <c r="E1447" s="68" t="s">
        <v>6196</v>
      </c>
      <c r="F1447" s="66" t="s">
        <v>6197</v>
      </c>
      <c r="G1447" s="71">
        <v>6500</v>
      </c>
      <c r="H1447" s="73"/>
      <c r="I1447" s="75">
        <v>0.1</v>
      </c>
      <c r="J1447" s="77"/>
      <c r="K1447" s="66"/>
      <c r="L1447" s="66"/>
      <c r="M1447" s="79" t="str">
        <f>HYPERLINK("http://www.pristavka.com/catalog/funko/Fun83598/")</f>
        <v>http://www.pristavka.com/catalog/funko/Fun83598/</v>
      </c>
      <c r="N1447" s="71">
        <v>9999</v>
      </c>
      <c r="O1447" s="66" t="s">
        <v>27</v>
      </c>
      <c r="P1447" s="82" t="s">
        <v>6198</v>
      </c>
      <c r="Q1447" s="84" t="s">
        <v>1315</v>
      </c>
      <c r="R1447" s="84" t="s">
        <v>1315</v>
      </c>
      <c r="S1447" s="84">
        <v>0.156</v>
      </c>
      <c r="T1447" s="82" t="s">
        <v>4113</v>
      </c>
      <c r="U1447" s="84" t="s">
        <v>3584</v>
      </c>
      <c r="V1447" s="54"/>
    </row>
    <row r="1448" spans="1:22" s="11" customFormat="1" ht="45" customHeight="1" x14ac:dyDescent="0.2">
      <c r="A1448" s="66" t="s">
        <v>3577</v>
      </c>
      <c r="B1448" s="66" t="s">
        <v>1707</v>
      </c>
      <c r="C1448" s="66" t="s">
        <v>3578</v>
      </c>
      <c r="D1448" s="66">
        <v>83596</v>
      </c>
      <c r="E1448" s="68" t="s">
        <v>6199</v>
      </c>
      <c r="F1448" s="66" t="s">
        <v>6200</v>
      </c>
      <c r="G1448" s="71">
        <v>6500</v>
      </c>
      <c r="H1448" s="73"/>
      <c r="I1448" s="75">
        <v>0.1</v>
      </c>
      <c r="J1448" s="77"/>
      <c r="K1448" s="66"/>
      <c r="L1448" s="66"/>
      <c r="M1448" s="79" t="str">
        <f>HYPERLINK("http://www.pristavka.com/catalog/funko/Fun83596/")</f>
        <v>http://www.pristavka.com/catalog/funko/Fun83596/</v>
      </c>
      <c r="N1448" s="71">
        <v>9999</v>
      </c>
      <c r="O1448" s="66" t="s">
        <v>27</v>
      </c>
      <c r="P1448" s="82" t="s">
        <v>6201</v>
      </c>
      <c r="Q1448" s="84" t="s">
        <v>1315</v>
      </c>
      <c r="R1448" s="84" t="s">
        <v>1315</v>
      </c>
      <c r="S1448" s="84">
        <v>0.184</v>
      </c>
      <c r="T1448" s="82" t="s">
        <v>4084</v>
      </c>
      <c r="U1448" s="84" t="s">
        <v>3584</v>
      </c>
      <c r="V1448" s="54"/>
    </row>
    <row r="1449" spans="1:22" s="11" customFormat="1" ht="45" customHeight="1" x14ac:dyDescent="0.2">
      <c r="A1449" s="66" t="s">
        <v>3577</v>
      </c>
      <c r="B1449" s="66" t="s">
        <v>1707</v>
      </c>
      <c r="C1449" s="66" t="s">
        <v>3578</v>
      </c>
      <c r="D1449" s="66">
        <v>83597</v>
      </c>
      <c r="E1449" s="68" t="s">
        <v>6202</v>
      </c>
      <c r="F1449" s="66" t="s">
        <v>6203</v>
      </c>
      <c r="G1449" s="71">
        <v>6500</v>
      </c>
      <c r="H1449" s="73"/>
      <c r="I1449" s="75">
        <v>0.1</v>
      </c>
      <c r="J1449" s="77"/>
      <c r="K1449" s="66"/>
      <c r="L1449" s="66"/>
      <c r="M1449" s="79" t="str">
        <f>HYPERLINK("http://www.pristavka.com/catalog/funko/Fun83597/")</f>
        <v>http://www.pristavka.com/catalog/funko/Fun83597/</v>
      </c>
      <c r="N1449" s="71">
        <v>9999</v>
      </c>
      <c r="O1449" s="66" t="s">
        <v>27</v>
      </c>
      <c r="P1449" s="82" t="s">
        <v>6204</v>
      </c>
      <c r="Q1449" s="84" t="s">
        <v>1315</v>
      </c>
      <c r="R1449" s="84" t="s">
        <v>1315</v>
      </c>
      <c r="S1449" s="84">
        <v>0.13500000000000001</v>
      </c>
      <c r="T1449" s="82" t="s">
        <v>4084</v>
      </c>
      <c r="U1449" s="84" t="s">
        <v>3584</v>
      </c>
      <c r="V1449" s="54"/>
    </row>
    <row r="1450" spans="1:22" s="11" customFormat="1" ht="45" customHeight="1" x14ac:dyDescent="0.2">
      <c r="A1450" s="66" t="s">
        <v>3577</v>
      </c>
      <c r="B1450" s="66" t="s">
        <v>1707</v>
      </c>
      <c r="C1450" s="66" t="s">
        <v>3578</v>
      </c>
      <c r="D1450" s="66">
        <v>83456</v>
      </c>
      <c r="E1450" s="68" t="s">
        <v>6205</v>
      </c>
      <c r="F1450" s="66" t="s">
        <v>6206</v>
      </c>
      <c r="G1450" s="71">
        <v>6500</v>
      </c>
      <c r="H1450" s="73"/>
      <c r="I1450" s="75">
        <v>0.1</v>
      </c>
      <c r="J1450" s="77"/>
      <c r="K1450" s="66"/>
      <c r="L1450" s="66"/>
      <c r="M1450" s="79" t="str">
        <f>HYPERLINK("http://www.pristavka.com/catalog/funko/Fun83456/")</f>
        <v>http://www.pristavka.com/catalog/funko/Fun83456/</v>
      </c>
      <c r="N1450" s="71">
        <v>9999</v>
      </c>
      <c r="O1450" s="66" t="s">
        <v>27</v>
      </c>
      <c r="P1450" s="82" t="s">
        <v>6207</v>
      </c>
      <c r="Q1450" s="84" t="s">
        <v>3609</v>
      </c>
      <c r="R1450" s="84" t="s">
        <v>1315</v>
      </c>
      <c r="S1450" s="84">
        <v>0.15</v>
      </c>
      <c r="T1450" s="82" t="s">
        <v>4113</v>
      </c>
      <c r="U1450" s="84" t="s">
        <v>3584</v>
      </c>
      <c r="V1450" s="54"/>
    </row>
    <row r="1451" spans="1:22" s="11" customFormat="1" ht="45" customHeight="1" x14ac:dyDescent="0.2">
      <c r="A1451" s="66" t="s">
        <v>3577</v>
      </c>
      <c r="B1451" s="66" t="s">
        <v>1707</v>
      </c>
      <c r="C1451" s="66" t="s">
        <v>3578</v>
      </c>
      <c r="D1451" s="66">
        <v>83457</v>
      </c>
      <c r="E1451" s="68" t="s">
        <v>6208</v>
      </c>
      <c r="F1451" s="66" t="s">
        <v>6209</v>
      </c>
      <c r="G1451" s="71">
        <v>6500</v>
      </c>
      <c r="H1451" s="73"/>
      <c r="I1451" s="75">
        <v>0.1</v>
      </c>
      <c r="J1451" s="77"/>
      <c r="K1451" s="66"/>
      <c r="L1451" s="66"/>
      <c r="M1451" s="79" t="str">
        <f>HYPERLINK("http://www.pristavka.com/catalog/funko/Fun83457/")</f>
        <v>http://www.pristavka.com/catalog/funko/Fun83457/</v>
      </c>
      <c r="N1451" s="71">
        <v>9999</v>
      </c>
      <c r="O1451" s="66" t="s">
        <v>27</v>
      </c>
      <c r="P1451" s="82" t="s">
        <v>6210</v>
      </c>
      <c r="Q1451" s="84" t="s">
        <v>3609</v>
      </c>
      <c r="R1451" s="84" t="s">
        <v>1315</v>
      </c>
      <c r="S1451" s="84">
        <v>0.14499999999999999</v>
      </c>
      <c r="T1451" s="82" t="s">
        <v>4113</v>
      </c>
      <c r="U1451" s="84" t="s">
        <v>3584</v>
      </c>
      <c r="V1451" s="54"/>
    </row>
    <row r="1452" spans="1:22" s="11" customFormat="1" ht="45" customHeight="1" x14ac:dyDescent="0.2">
      <c r="A1452" s="66" t="s">
        <v>3577</v>
      </c>
      <c r="B1452" s="66" t="s">
        <v>1707</v>
      </c>
      <c r="C1452" s="66" t="s">
        <v>3578</v>
      </c>
      <c r="D1452" s="66">
        <v>83458</v>
      </c>
      <c r="E1452" s="68" t="s">
        <v>6211</v>
      </c>
      <c r="F1452" s="66" t="s">
        <v>6212</v>
      </c>
      <c r="G1452" s="71">
        <v>6500</v>
      </c>
      <c r="H1452" s="73"/>
      <c r="I1452" s="75">
        <v>0.1</v>
      </c>
      <c r="J1452" s="77"/>
      <c r="K1452" s="66"/>
      <c r="L1452" s="66"/>
      <c r="M1452" s="79" t="str">
        <f>HYPERLINK("http://www.pristavka.com/catalog/funko/Fun83458/")</f>
        <v>http://www.pristavka.com/catalog/funko/Fun83458/</v>
      </c>
      <c r="N1452" s="71">
        <v>9999</v>
      </c>
      <c r="O1452" s="66" t="s">
        <v>27</v>
      </c>
      <c r="P1452" s="82" t="s">
        <v>6213</v>
      </c>
      <c r="Q1452" s="84" t="s">
        <v>3609</v>
      </c>
      <c r="R1452" s="84" t="s">
        <v>1315</v>
      </c>
      <c r="S1452" s="84">
        <v>0.16200000000000001</v>
      </c>
      <c r="T1452" s="82" t="s">
        <v>4113</v>
      </c>
      <c r="U1452" s="84" t="s">
        <v>3584</v>
      </c>
      <c r="V1452" s="54"/>
    </row>
    <row r="1453" spans="1:22" s="11" customFormat="1" ht="45" customHeight="1" x14ac:dyDescent="0.2">
      <c r="A1453" s="66" t="s">
        <v>3577</v>
      </c>
      <c r="B1453" s="66" t="s">
        <v>1707</v>
      </c>
      <c r="C1453" s="66" t="s">
        <v>3578</v>
      </c>
      <c r="D1453" s="66">
        <v>83459</v>
      </c>
      <c r="E1453" s="68" t="s">
        <v>6214</v>
      </c>
      <c r="F1453" s="66" t="s">
        <v>6215</v>
      </c>
      <c r="G1453" s="71">
        <v>6500</v>
      </c>
      <c r="H1453" s="73"/>
      <c r="I1453" s="75">
        <v>0.1</v>
      </c>
      <c r="J1453" s="77"/>
      <c r="K1453" s="66"/>
      <c r="L1453" s="66"/>
      <c r="M1453" s="79" t="str">
        <f>HYPERLINK("http://www.pristavka.com/catalog/funko/Fun83459/")</f>
        <v>http://www.pristavka.com/catalog/funko/Fun83459/</v>
      </c>
      <c r="N1453" s="71">
        <v>9999</v>
      </c>
      <c r="O1453" s="66" t="s">
        <v>27</v>
      </c>
      <c r="P1453" s="82" t="s">
        <v>6216</v>
      </c>
      <c r="Q1453" s="84" t="s">
        <v>3609</v>
      </c>
      <c r="R1453" s="84" t="s">
        <v>1315</v>
      </c>
      <c r="S1453" s="84">
        <v>0.13500000000000001</v>
      </c>
      <c r="T1453" s="82" t="s">
        <v>4113</v>
      </c>
      <c r="U1453" s="84" t="s">
        <v>3584</v>
      </c>
      <c r="V1453" s="54"/>
    </row>
    <row r="1454" spans="1:22" s="11" customFormat="1" ht="45" customHeight="1" x14ac:dyDescent="0.2">
      <c r="A1454" s="66" t="s">
        <v>3577</v>
      </c>
      <c r="B1454" s="66" t="s">
        <v>1707</v>
      </c>
      <c r="C1454" s="66" t="s">
        <v>3578</v>
      </c>
      <c r="D1454" s="66">
        <v>65664</v>
      </c>
      <c r="E1454" s="68" t="s">
        <v>6217</v>
      </c>
      <c r="F1454" s="66" t="s">
        <v>6218</v>
      </c>
      <c r="G1454" s="71">
        <v>6500</v>
      </c>
      <c r="H1454" s="73"/>
      <c r="I1454" s="75">
        <v>0.1</v>
      </c>
      <c r="J1454" s="77"/>
      <c r="K1454" s="66"/>
      <c r="L1454" s="66"/>
      <c r="M1454" s="79" t="str">
        <f>HYPERLINK("http://www.pristavka.com/catalog/funko/Fun65664/")</f>
        <v>http://www.pristavka.com/catalog/funko/Fun65664/</v>
      </c>
      <c r="N1454" s="71">
        <v>9999</v>
      </c>
      <c r="O1454" s="66" t="s">
        <v>27</v>
      </c>
      <c r="P1454" s="82" t="s">
        <v>6219</v>
      </c>
      <c r="Q1454" s="84" t="s">
        <v>6191</v>
      </c>
      <c r="R1454" s="84" t="s">
        <v>1315</v>
      </c>
      <c r="S1454" s="84">
        <v>0.14599999999999999</v>
      </c>
      <c r="T1454" s="82" t="s">
        <v>4091</v>
      </c>
      <c r="U1454" s="84" t="s">
        <v>3584</v>
      </c>
      <c r="V1454" s="54"/>
    </row>
    <row r="1455" spans="1:22" s="11" customFormat="1" ht="45" customHeight="1" x14ac:dyDescent="0.2">
      <c r="A1455" s="66" t="s">
        <v>3577</v>
      </c>
      <c r="B1455" s="66" t="s">
        <v>1707</v>
      </c>
      <c r="C1455" s="66" t="s">
        <v>3578</v>
      </c>
      <c r="D1455" s="66">
        <v>65665</v>
      </c>
      <c r="E1455" s="68" t="s">
        <v>6220</v>
      </c>
      <c r="F1455" s="66" t="s">
        <v>6221</v>
      </c>
      <c r="G1455" s="71">
        <v>6500</v>
      </c>
      <c r="H1455" s="73"/>
      <c r="I1455" s="75">
        <v>0.1</v>
      </c>
      <c r="J1455" s="77"/>
      <c r="K1455" s="66"/>
      <c r="L1455" s="66"/>
      <c r="M1455" s="79" t="str">
        <f>HYPERLINK("http://www.pristavka.com/catalog/funko/Fun65665/")</f>
        <v>http://www.pristavka.com/catalog/funko/Fun65665/</v>
      </c>
      <c r="N1455" s="71">
        <v>9999</v>
      </c>
      <c r="O1455" s="66" t="s">
        <v>27</v>
      </c>
      <c r="P1455" s="82" t="s">
        <v>6222</v>
      </c>
      <c r="Q1455" s="84" t="s">
        <v>6191</v>
      </c>
      <c r="R1455" s="84" t="s">
        <v>1315</v>
      </c>
      <c r="S1455" s="84">
        <v>0.14699999999999999</v>
      </c>
      <c r="T1455" s="82" t="s">
        <v>4084</v>
      </c>
      <c r="U1455" s="84" t="s">
        <v>3584</v>
      </c>
      <c r="V1455" s="54"/>
    </row>
    <row r="1456" spans="1:22" s="11" customFormat="1" ht="45" customHeight="1" x14ac:dyDescent="0.2">
      <c r="A1456" s="66" t="s">
        <v>3577</v>
      </c>
      <c r="B1456" s="66" t="s">
        <v>1707</v>
      </c>
      <c r="C1456" s="66" t="s">
        <v>3578</v>
      </c>
      <c r="D1456" s="66">
        <v>65666</v>
      </c>
      <c r="E1456" s="68" t="s">
        <v>6223</v>
      </c>
      <c r="F1456" s="66" t="s">
        <v>6224</v>
      </c>
      <c r="G1456" s="71">
        <v>6500</v>
      </c>
      <c r="H1456" s="73"/>
      <c r="I1456" s="75">
        <v>0.1</v>
      </c>
      <c r="J1456" s="77"/>
      <c r="K1456" s="66"/>
      <c r="L1456" s="66"/>
      <c r="M1456" s="79" t="str">
        <f>HYPERLINK("http://www.pristavka.com/catalog/funko/Fun65666/")</f>
        <v>http://www.pristavka.com/catalog/funko/Fun65666/</v>
      </c>
      <c r="N1456" s="71">
        <v>9999</v>
      </c>
      <c r="O1456" s="66" t="s">
        <v>27</v>
      </c>
      <c r="P1456" s="82" t="s">
        <v>6225</v>
      </c>
      <c r="Q1456" s="84" t="s">
        <v>6191</v>
      </c>
      <c r="R1456" s="84" t="s">
        <v>1315</v>
      </c>
      <c r="S1456" s="84">
        <v>0.13</v>
      </c>
      <c r="T1456" s="82" t="s">
        <v>4091</v>
      </c>
      <c r="U1456" s="84" t="s">
        <v>3584</v>
      </c>
      <c r="V1456" s="54"/>
    </row>
    <row r="1457" spans="1:22" s="11" customFormat="1" ht="45" customHeight="1" x14ac:dyDescent="0.2">
      <c r="A1457" s="66" t="s">
        <v>3577</v>
      </c>
      <c r="B1457" s="66" t="s">
        <v>1707</v>
      </c>
      <c r="C1457" s="66" t="s">
        <v>3578</v>
      </c>
      <c r="D1457" s="66">
        <v>66371</v>
      </c>
      <c r="E1457" s="68" t="s">
        <v>6226</v>
      </c>
      <c r="F1457" s="66" t="s">
        <v>6227</v>
      </c>
      <c r="G1457" s="71">
        <v>6890</v>
      </c>
      <c r="H1457" s="73"/>
      <c r="I1457" s="75">
        <v>0.1</v>
      </c>
      <c r="J1457" s="77"/>
      <c r="K1457" s="66"/>
      <c r="L1457" s="66"/>
      <c r="M1457" s="79" t="str">
        <f>HYPERLINK("http://www.pristavka.com/catalog/funko/Fun66371/")</f>
        <v>http://www.pristavka.com/catalog/funko/Fun66371/</v>
      </c>
      <c r="N1457" s="71">
        <v>10599</v>
      </c>
      <c r="O1457" s="66" t="s">
        <v>27</v>
      </c>
      <c r="P1457" s="82" t="s">
        <v>6228</v>
      </c>
      <c r="Q1457" s="84" t="s">
        <v>1315</v>
      </c>
      <c r="R1457" s="84" t="s">
        <v>1315</v>
      </c>
      <c r="S1457" s="84">
        <v>0.17599999999999999</v>
      </c>
      <c r="T1457" s="82" t="s">
        <v>4084</v>
      </c>
      <c r="U1457" s="84" t="s">
        <v>3584</v>
      </c>
      <c r="V1457" s="54"/>
    </row>
    <row r="1458" spans="1:22" s="11" customFormat="1" ht="45" customHeight="1" x14ac:dyDescent="0.2">
      <c r="A1458" s="66" t="s">
        <v>3577</v>
      </c>
      <c r="B1458" s="66" t="s">
        <v>1707</v>
      </c>
      <c r="C1458" s="66" t="s">
        <v>3578</v>
      </c>
      <c r="D1458" s="66">
        <v>54466</v>
      </c>
      <c r="E1458" s="68" t="s">
        <v>6229</v>
      </c>
      <c r="F1458" s="66" t="s">
        <v>6230</v>
      </c>
      <c r="G1458" s="71">
        <v>6500</v>
      </c>
      <c r="H1458" s="73"/>
      <c r="I1458" s="75">
        <v>0.1</v>
      </c>
      <c r="J1458" s="77"/>
      <c r="K1458" s="66"/>
      <c r="L1458" s="66"/>
      <c r="M1458" s="79" t="str">
        <f>HYPERLINK("http://www.pristavka.com/catalog/funko/Fun25491068/")</f>
        <v>http://www.pristavka.com/catalog/funko/Fun25491068/</v>
      </c>
      <c r="N1458" s="71">
        <v>9999</v>
      </c>
      <c r="O1458" s="66" t="s">
        <v>27</v>
      </c>
      <c r="P1458" s="82" t="s">
        <v>6231</v>
      </c>
      <c r="Q1458" s="84" t="s">
        <v>1315</v>
      </c>
      <c r="R1458" s="84" t="s">
        <v>1315</v>
      </c>
      <c r="S1458" s="84">
        <v>0.14000000000000001</v>
      </c>
      <c r="T1458" s="82" t="s">
        <v>6232</v>
      </c>
      <c r="U1458" s="84" t="s">
        <v>3584</v>
      </c>
      <c r="V1458" s="54"/>
    </row>
    <row r="1459" spans="1:22" s="11" customFormat="1" ht="45" customHeight="1" x14ac:dyDescent="0.2">
      <c r="A1459" s="66" t="s">
        <v>3577</v>
      </c>
      <c r="B1459" s="66" t="s">
        <v>1707</v>
      </c>
      <c r="C1459" s="66" t="s">
        <v>3578</v>
      </c>
      <c r="D1459" s="66">
        <v>75723</v>
      </c>
      <c r="E1459" s="68" t="s">
        <v>6233</v>
      </c>
      <c r="F1459" s="66" t="s">
        <v>6234</v>
      </c>
      <c r="G1459" s="71">
        <v>6500</v>
      </c>
      <c r="H1459" s="73"/>
      <c r="I1459" s="75">
        <v>0.1</v>
      </c>
      <c r="J1459" s="77"/>
      <c r="K1459" s="66"/>
      <c r="L1459" s="66"/>
      <c r="M1459" s="79" t="str">
        <f>HYPERLINK("http://www.pristavka.com/catalog/funko/Fun75723/")</f>
        <v>http://www.pristavka.com/catalog/funko/Fun75723/</v>
      </c>
      <c r="N1459" s="71">
        <v>9999</v>
      </c>
      <c r="O1459" s="66" t="s">
        <v>27</v>
      </c>
      <c r="P1459" s="82" t="s">
        <v>6235</v>
      </c>
      <c r="Q1459" s="84" t="s">
        <v>1738</v>
      </c>
      <c r="R1459" s="84" t="s">
        <v>1315</v>
      </c>
      <c r="S1459" s="84">
        <v>0.13700000000000001</v>
      </c>
      <c r="T1459" s="82" t="s">
        <v>4084</v>
      </c>
      <c r="U1459" s="84" t="s">
        <v>3584</v>
      </c>
      <c r="V1459" s="54"/>
    </row>
    <row r="1460" spans="1:22" s="11" customFormat="1" ht="45" customHeight="1" x14ac:dyDescent="0.2">
      <c r="A1460" s="66" t="s">
        <v>3577</v>
      </c>
      <c r="B1460" s="66" t="s">
        <v>1707</v>
      </c>
      <c r="C1460" s="66" t="s">
        <v>3578</v>
      </c>
      <c r="D1460" s="66">
        <v>75725</v>
      </c>
      <c r="E1460" s="68" t="s">
        <v>6236</v>
      </c>
      <c r="F1460" s="66" t="s">
        <v>6237</v>
      </c>
      <c r="G1460" s="71">
        <v>6500</v>
      </c>
      <c r="H1460" s="73"/>
      <c r="I1460" s="75">
        <v>0.1</v>
      </c>
      <c r="J1460" s="77"/>
      <c r="K1460" s="66"/>
      <c r="L1460" s="66"/>
      <c r="M1460" s="79" t="str">
        <f>HYPERLINK("http://www.pristavka.com/catalog/funko/Fun75725/")</f>
        <v>http://www.pristavka.com/catalog/funko/Fun75725/</v>
      </c>
      <c r="N1460" s="71">
        <v>9999</v>
      </c>
      <c r="O1460" s="66" t="s">
        <v>27</v>
      </c>
      <c r="P1460" s="82" t="s">
        <v>6238</v>
      </c>
      <c r="Q1460" s="84" t="s">
        <v>1738</v>
      </c>
      <c r="R1460" s="84" t="s">
        <v>1315</v>
      </c>
      <c r="S1460" s="84">
        <v>0.13400000000000001</v>
      </c>
      <c r="T1460" s="82" t="s">
        <v>4091</v>
      </c>
      <c r="U1460" s="84" t="s">
        <v>3584</v>
      </c>
      <c r="V1460" s="54"/>
    </row>
    <row r="1461" spans="1:22" s="11" customFormat="1" ht="45" customHeight="1" x14ac:dyDescent="0.2">
      <c r="A1461" s="66" t="s">
        <v>3577</v>
      </c>
      <c r="B1461" s="66" t="s">
        <v>1707</v>
      </c>
      <c r="C1461" s="66" t="s">
        <v>3578</v>
      </c>
      <c r="D1461" s="66">
        <v>80940</v>
      </c>
      <c r="E1461" s="68" t="s">
        <v>6239</v>
      </c>
      <c r="F1461" s="66" t="s">
        <v>6240</v>
      </c>
      <c r="G1461" s="71">
        <v>6500</v>
      </c>
      <c r="H1461" s="73"/>
      <c r="I1461" s="75">
        <v>0.1</v>
      </c>
      <c r="J1461" s="77"/>
      <c r="K1461" s="66"/>
      <c r="L1461" s="66"/>
      <c r="M1461" s="79" t="str">
        <f>HYPERLINK("http://www.pristavka.com/catalog/funko/Fun80940/")</f>
        <v>http://www.pristavka.com/catalog/funko/Fun80940/</v>
      </c>
      <c r="N1461" s="71">
        <v>9999</v>
      </c>
      <c r="O1461" s="66" t="s">
        <v>27</v>
      </c>
      <c r="P1461" s="82" t="s">
        <v>6241</v>
      </c>
      <c r="Q1461" s="84" t="s">
        <v>6242</v>
      </c>
      <c r="R1461" s="84" t="s">
        <v>1315</v>
      </c>
      <c r="S1461" s="84">
        <v>0.16</v>
      </c>
      <c r="T1461" s="82" t="s">
        <v>4113</v>
      </c>
      <c r="U1461" s="84" t="s">
        <v>3584</v>
      </c>
      <c r="V1461" s="54"/>
    </row>
    <row r="1462" spans="1:22" s="11" customFormat="1" ht="45" customHeight="1" x14ac:dyDescent="0.2">
      <c r="A1462" s="66" t="s">
        <v>3577</v>
      </c>
      <c r="B1462" s="66" t="s">
        <v>1707</v>
      </c>
      <c r="C1462" s="66" t="s">
        <v>3578</v>
      </c>
      <c r="D1462" s="66">
        <v>80207</v>
      </c>
      <c r="E1462" s="68" t="s">
        <v>6243</v>
      </c>
      <c r="F1462" s="66" t="s">
        <v>6244</v>
      </c>
      <c r="G1462" s="71">
        <v>6500</v>
      </c>
      <c r="H1462" s="73"/>
      <c r="I1462" s="75">
        <v>0.1</v>
      </c>
      <c r="J1462" s="77"/>
      <c r="K1462" s="66"/>
      <c r="L1462" s="66"/>
      <c r="M1462" s="79" t="str">
        <f>HYPERLINK("http://www.pristavka.com/catalog/funko/Fun80207/")</f>
        <v>http://www.pristavka.com/catalog/funko/Fun80207/</v>
      </c>
      <c r="N1462" s="71">
        <v>9999</v>
      </c>
      <c r="O1462" s="66" t="s">
        <v>27</v>
      </c>
      <c r="P1462" s="82" t="s">
        <v>6245</v>
      </c>
      <c r="Q1462" s="84" t="s">
        <v>6242</v>
      </c>
      <c r="R1462" s="84" t="s">
        <v>1315</v>
      </c>
      <c r="S1462" s="84">
        <v>0.155</v>
      </c>
      <c r="T1462" s="82" t="s">
        <v>4113</v>
      </c>
      <c r="U1462" s="84" t="s">
        <v>3584</v>
      </c>
      <c r="V1462" s="54"/>
    </row>
    <row r="1463" spans="1:22" s="11" customFormat="1" ht="45" customHeight="1" x14ac:dyDescent="0.2">
      <c r="A1463" s="66" t="s">
        <v>3577</v>
      </c>
      <c r="B1463" s="66" t="s">
        <v>1707</v>
      </c>
      <c r="C1463" s="66" t="s">
        <v>3578</v>
      </c>
      <c r="D1463" s="66">
        <v>80209</v>
      </c>
      <c r="E1463" s="68" t="s">
        <v>6246</v>
      </c>
      <c r="F1463" s="66" t="s">
        <v>6247</v>
      </c>
      <c r="G1463" s="71">
        <v>0</v>
      </c>
      <c r="H1463" s="73"/>
      <c r="I1463" s="75">
        <v>0.1</v>
      </c>
      <c r="J1463" s="77"/>
      <c r="K1463" s="66"/>
      <c r="L1463" s="66"/>
      <c r="M1463" s="79" t="str">
        <f>HYPERLINK("http://www.pristavka.com/catalog/funko/Fun80209/")</f>
        <v>http://www.pristavka.com/catalog/funko/Fun80209/</v>
      </c>
      <c r="N1463" s="71"/>
      <c r="O1463" s="66" t="s">
        <v>28</v>
      </c>
      <c r="P1463" s="82" t="s">
        <v>6248</v>
      </c>
      <c r="Q1463" s="84" t="s">
        <v>6242</v>
      </c>
      <c r="R1463" s="84" t="s">
        <v>1315</v>
      </c>
      <c r="S1463" s="84">
        <v>0.46500000000000002</v>
      </c>
      <c r="T1463" s="82" t="s">
        <v>4989</v>
      </c>
      <c r="U1463" s="84" t="s">
        <v>3584</v>
      </c>
      <c r="V1463" s="54"/>
    </row>
    <row r="1464" spans="1:22" s="11" customFormat="1" ht="45" customHeight="1" x14ac:dyDescent="0.2">
      <c r="A1464" s="66" t="s">
        <v>3577</v>
      </c>
      <c r="B1464" s="66" t="s">
        <v>1707</v>
      </c>
      <c r="C1464" s="66" t="s">
        <v>3578</v>
      </c>
      <c r="D1464" s="66">
        <v>80208</v>
      </c>
      <c r="E1464" s="68" t="s">
        <v>6249</v>
      </c>
      <c r="F1464" s="66" t="s">
        <v>6250</v>
      </c>
      <c r="G1464" s="71">
        <v>6500</v>
      </c>
      <c r="H1464" s="73"/>
      <c r="I1464" s="75">
        <v>0.1</v>
      </c>
      <c r="J1464" s="77"/>
      <c r="K1464" s="66"/>
      <c r="L1464" s="66"/>
      <c r="M1464" s="79" t="str">
        <f>HYPERLINK("http://www.pristavka.com/catalog/funko/Fun80208/")</f>
        <v>http://www.pristavka.com/catalog/funko/Fun80208/</v>
      </c>
      <c r="N1464" s="71">
        <v>9999</v>
      </c>
      <c r="O1464" s="66" t="s">
        <v>27</v>
      </c>
      <c r="P1464" s="82" t="s">
        <v>6251</v>
      </c>
      <c r="Q1464" s="84" t="s">
        <v>6242</v>
      </c>
      <c r="R1464" s="84" t="s">
        <v>1315</v>
      </c>
      <c r="S1464" s="84">
        <v>0.15</v>
      </c>
      <c r="T1464" s="82" t="s">
        <v>4113</v>
      </c>
      <c r="U1464" s="84" t="s">
        <v>3584</v>
      </c>
      <c r="V1464" s="54"/>
    </row>
    <row r="1465" spans="1:22" s="11" customFormat="1" ht="45" customHeight="1" x14ac:dyDescent="0.2">
      <c r="A1465" s="66" t="s">
        <v>3577</v>
      </c>
      <c r="B1465" s="66" t="s">
        <v>1707</v>
      </c>
      <c r="C1465" s="66" t="s">
        <v>3578</v>
      </c>
      <c r="D1465" s="66">
        <v>57599</v>
      </c>
      <c r="E1465" s="68" t="s">
        <v>6252</v>
      </c>
      <c r="F1465" s="66" t="s">
        <v>6253</v>
      </c>
      <c r="G1465" s="71">
        <v>6500</v>
      </c>
      <c r="H1465" s="73"/>
      <c r="I1465" s="75">
        <v>0.1</v>
      </c>
      <c r="J1465" s="77"/>
      <c r="K1465" s="66"/>
      <c r="L1465" s="66"/>
      <c r="M1465" s="79" t="str">
        <f>HYPERLINK("http://www.pristavka.com/catalog/funko/Fun25491645/")</f>
        <v>http://www.pristavka.com/catalog/funko/Fun25491645/</v>
      </c>
      <c r="N1465" s="71">
        <v>9999</v>
      </c>
      <c r="O1465" s="66" t="s">
        <v>27</v>
      </c>
      <c r="P1465" s="82" t="s">
        <v>6254</v>
      </c>
      <c r="Q1465" s="84" t="s">
        <v>6255</v>
      </c>
      <c r="R1465" s="84" t="s">
        <v>1315</v>
      </c>
      <c r="S1465" s="84">
        <v>0.13</v>
      </c>
      <c r="T1465" s="82" t="s">
        <v>6256</v>
      </c>
      <c r="U1465" s="84" t="s">
        <v>3584</v>
      </c>
      <c r="V1465" s="54"/>
    </row>
    <row r="1466" spans="1:22" s="11" customFormat="1" ht="45" customHeight="1" x14ac:dyDescent="0.2">
      <c r="A1466" s="66" t="s">
        <v>3577</v>
      </c>
      <c r="B1466" s="66" t="s">
        <v>1707</v>
      </c>
      <c r="C1466" s="66" t="s">
        <v>3578</v>
      </c>
      <c r="D1466" s="66">
        <v>83570</v>
      </c>
      <c r="E1466" s="68" t="s">
        <v>6257</v>
      </c>
      <c r="F1466" s="66" t="s">
        <v>6258</v>
      </c>
      <c r="G1466" s="71">
        <v>6500</v>
      </c>
      <c r="H1466" s="73"/>
      <c r="I1466" s="75">
        <v>0.1</v>
      </c>
      <c r="J1466" s="77"/>
      <c r="K1466" s="66"/>
      <c r="L1466" s="66"/>
      <c r="M1466" s="79" t="str">
        <f>HYPERLINK("http://www.pristavka.com/catalog/funko/Fun83570/")</f>
        <v>http://www.pristavka.com/catalog/funko/Fun83570/</v>
      </c>
      <c r="N1466" s="71">
        <v>9999</v>
      </c>
      <c r="O1466" s="66" t="s">
        <v>27</v>
      </c>
      <c r="P1466" s="82" t="s">
        <v>6259</v>
      </c>
      <c r="Q1466" s="84" t="s">
        <v>6260</v>
      </c>
      <c r="R1466" s="84" t="s">
        <v>1315</v>
      </c>
      <c r="S1466" s="84">
        <v>0.21</v>
      </c>
      <c r="T1466" s="82" t="s">
        <v>4113</v>
      </c>
      <c r="U1466" s="84" t="s">
        <v>3584</v>
      </c>
      <c r="V1466" s="54"/>
    </row>
    <row r="1467" spans="1:22" s="11" customFormat="1" ht="45" customHeight="1" x14ac:dyDescent="0.2">
      <c r="A1467" s="66" t="s">
        <v>3577</v>
      </c>
      <c r="B1467" s="66" t="s">
        <v>1707</v>
      </c>
      <c r="C1467" s="66" t="s">
        <v>3578</v>
      </c>
      <c r="D1467" s="66">
        <v>40886</v>
      </c>
      <c r="E1467" s="68" t="s">
        <v>6261</v>
      </c>
      <c r="F1467" s="66" t="s">
        <v>6262</v>
      </c>
      <c r="G1467" s="71">
        <v>6500</v>
      </c>
      <c r="H1467" s="73"/>
      <c r="I1467" s="75">
        <v>0.1</v>
      </c>
      <c r="J1467" s="77"/>
      <c r="K1467" s="66"/>
      <c r="L1467" s="66"/>
      <c r="M1467" s="79" t="str">
        <f>HYPERLINK("http://www.pristavka.com/catalog/funko/Fun254934/")</f>
        <v>http://www.pristavka.com/catalog/funko/Fun254934/</v>
      </c>
      <c r="N1467" s="71">
        <v>9999</v>
      </c>
      <c r="O1467" s="66" t="s">
        <v>27</v>
      </c>
      <c r="P1467" s="82" t="s">
        <v>6263</v>
      </c>
      <c r="Q1467" s="84" t="s">
        <v>6264</v>
      </c>
      <c r="R1467" s="84" t="s">
        <v>1315</v>
      </c>
      <c r="S1467" s="84">
        <v>0.13</v>
      </c>
      <c r="T1467" s="82" t="s">
        <v>4102</v>
      </c>
      <c r="U1467" s="84" t="s">
        <v>3584</v>
      </c>
      <c r="V1467" s="54"/>
    </row>
    <row r="1468" spans="1:22" s="11" customFormat="1" ht="45" customHeight="1" x14ac:dyDescent="0.2">
      <c r="A1468" s="66" t="s">
        <v>3577</v>
      </c>
      <c r="B1468" s="66" t="s">
        <v>1707</v>
      </c>
      <c r="C1468" s="66" t="s">
        <v>3578</v>
      </c>
      <c r="D1468" s="66">
        <v>82665</v>
      </c>
      <c r="E1468" s="68" t="s">
        <v>6265</v>
      </c>
      <c r="F1468" s="66" t="s">
        <v>6266</v>
      </c>
      <c r="G1468" s="71">
        <v>6500</v>
      </c>
      <c r="H1468" s="73"/>
      <c r="I1468" s="75">
        <v>0.1</v>
      </c>
      <c r="J1468" s="77"/>
      <c r="K1468" s="66"/>
      <c r="L1468" s="66"/>
      <c r="M1468" s="79" t="str">
        <f>HYPERLINK("http://www.pristavka.com/catalog/funko/Fun82665/")</f>
        <v>http://www.pristavka.com/catalog/funko/Fun82665/</v>
      </c>
      <c r="N1468" s="71">
        <v>9999</v>
      </c>
      <c r="O1468" s="66" t="s">
        <v>27</v>
      </c>
      <c r="P1468" s="82" t="s">
        <v>6267</v>
      </c>
      <c r="Q1468" s="84" t="s">
        <v>1315</v>
      </c>
      <c r="R1468" s="84" t="s">
        <v>1315</v>
      </c>
      <c r="S1468" s="84">
        <v>0.13900000000000001</v>
      </c>
      <c r="T1468" s="82" t="s">
        <v>4091</v>
      </c>
      <c r="U1468" s="84" t="s">
        <v>3584</v>
      </c>
      <c r="V1468" s="54"/>
    </row>
    <row r="1469" spans="1:22" s="11" customFormat="1" ht="45" customHeight="1" x14ac:dyDescent="0.2">
      <c r="A1469" s="66" t="s">
        <v>3577</v>
      </c>
      <c r="B1469" s="66" t="s">
        <v>1707</v>
      </c>
      <c r="C1469" s="66" t="s">
        <v>3578</v>
      </c>
      <c r="D1469" s="66">
        <v>84873</v>
      </c>
      <c r="E1469" s="68" t="s">
        <v>6268</v>
      </c>
      <c r="F1469" s="66" t="s">
        <v>6269</v>
      </c>
      <c r="G1469" s="71">
        <v>6500</v>
      </c>
      <c r="H1469" s="73"/>
      <c r="I1469" s="75">
        <v>0.1</v>
      </c>
      <c r="J1469" s="77"/>
      <c r="K1469" s="66"/>
      <c r="L1469" s="66"/>
      <c r="M1469" s="79" t="str">
        <f>HYPERLINK("http://www.pristavka.com/catalog/funko/Fun84873/")</f>
        <v>http://www.pristavka.com/catalog/funko/Fun84873/</v>
      </c>
      <c r="N1469" s="71">
        <v>9999</v>
      </c>
      <c r="O1469" s="66" t="s">
        <v>27</v>
      </c>
      <c r="P1469" s="82" t="s">
        <v>6270</v>
      </c>
      <c r="Q1469" s="84" t="s">
        <v>1315</v>
      </c>
      <c r="R1469" s="84" t="s">
        <v>1315</v>
      </c>
      <c r="S1469" s="84">
        <v>0.16</v>
      </c>
      <c r="T1469" s="82" t="s">
        <v>4113</v>
      </c>
      <c r="U1469" s="84" t="s">
        <v>3584</v>
      </c>
      <c r="V1469" s="54"/>
    </row>
    <row r="1470" spans="1:22" s="11" customFormat="1" ht="45" customHeight="1" x14ac:dyDescent="0.2">
      <c r="A1470" s="66" t="s">
        <v>3577</v>
      </c>
      <c r="B1470" s="66" t="s">
        <v>1707</v>
      </c>
      <c r="C1470" s="66" t="s">
        <v>3578</v>
      </c>
      <c r="D1470" s="66">
        <v>83599</v>
      </c>
      <c r="E1470" s="68" t="s">
        <v>6271</v>
      </c>
      <c r="F1470" s="66" t="s">
        <v>6272</v>
      </c>
      <c r="G1470" s="71">
        <v>6500</v>
      </c>
      <c r="H1470" s="73"/>
      <c r="I1470" s="75">
        <v>0.1</v>
      </c>
      <c r="J1470" s="77"/>
      <c r="K1470" s="66"/>
      <c r="L1470" s="66"/>
      <c r="M1470" s="79" t="str">
        <f>HYPERLINK("http://www.pristavka.com/catalog/funko/Fun83599/")</f>
        <v>http://www.pristavka.com/catalog/funko/Fun83599/</v>
      </c>
      <c r="N1470" s="71">
        <v>9999</v>
      </c>
      <c r="O1470" s="66" t="s">
        <v>27</v>
      </c>
      <c r="P1470" s="82" t="s">
        <v>6273</v>
      </c>
      <c r="Q1470" s="84" t="s">
        <v>1315</v>
      </c>
      <c r="R1470" s="84" t="s">
        <v>1315</v>
      </c>
      <c r="S1470" s="84">
        <v>0.14499999999999999</v>
      </c>
      <c r="T1470" s="82" t="s">
        <v>4084</v>
      </c>
      <c r="U1470" s="84" t="s">
        <v>3584</v>
      </c>
      <c r="V1470" s="54"/>
    </row>
    <row r="1471" spans="1:22" s="11" customFormat="1" ht="45" customHeight="1" x14ac:dyDescent="0.2">
      <c r="A1471" s="66" t="s">
        <v>3577</v>
      </c>
      <c r="B1471" s="66" t="s">
        <v>1707</v>
      </c>
      <c r="C1471" s="66" t="s">
        <v>3578</v>
      </c>
      <c r="D1471" s="66">
        <v>83601</v>
      </c>
      <c r="E1471" s="68" t="s">
        <v>6274</v>
      </c>
      <c r="F1471" s="66" t="s">
        <v>6275</v>
      </c>
      <c r="G1471" s="71">
        <v>6500</v>
      </c>
      <c r="H1471" s="73"/>
      <c r="I1471" s="75">
        <v>0.1</v>
      </c>
      <c r="J1471" s="77"/>
      <c r="K1471" s="66"/>
      <c r="L1471" s="66"/>
      <c r="M1471" s="79" t="str">
        <f>HYPERLINK("http://www.pristavka.com/catalog/funko/Fun83601/")</f>
        <v>http://www.pristavka.com/catalog/funko/Fun83601/</v>
      </c>
      <c r="N1471" s="71">
        <v>9999</v>
      </c>
      <c r="O1471" s="66" t="s">
        <v>27</v>
      </c>
      <c r="P1471" s="82" t="s">
        <v>6276</v>
      </c>
      <c r="Q1471" s="84" t="s">
        <v>1315</v>
      </c>
      <c r="R1471" s="84" t="s">
        <v>1315</v>
      </c>
      <c r="S1471" s="84">
        <v>0.14199999999999999</v>
      </c>
      <c r="T1471" s="82" t="s">
        <v>4084</v>
      </c>
      <c r="U1471" s="84" t="s">
        <v>3584</v>
      </c>
      <c r="V1471" s="54"/>
    </row>
    <row r="1472" spans="1:22" s="11" customFormat="1" ht="45" customHeight="1" x14ac:dyDescent="0.2">
      <c r="A1472" s="66" t="s">
        <v>3577</v>
      </c>
      <c r="B1472" s="66" t="s">
        <v>1707</v>
      </c>
      <c r="C1472" s="66" t="s">
        <v>3578</v>
      </c>
      <c r="D1472" s="66">
        <v>83600</v>
      </c>
      <c r="E1472" s="68" t="s">
        <v>6277</v>
      </c>
      <c r="F1472" s="66" t="s">
        <v>6278</v>
      </c>
      <c r="G1472" s="71">
        <v>6500</v>
      </c>
      <c r="H1472" s="73"/>
      <c r="I1472" s="75">
        <v>0.1</v>
      </c>
      <c r="J1472" s="77"/>
      <c r="K1472" s="66"/>
      <c r="L1472" s="66"/>
      <c r="M1472" s="79" t="str">
        <f>HYPERLINK("http://www.pristavka.com/catalog/funko/Fun83600/")</f>
        <v>http://www.pristavka.com/catalog/funko/Fun83600/</v>
      </c>
      <c r="N1472" s="71">
        <v>9999</v>
      </c>
      <c r="O1472" s="66" t="s">
        <v>27</v>
      </c>
      <c r="P1472" s="82" t="s">
        <v>6279</v>
      </c>
      <c r="Q1472" s="84" t="s">
        <v>1315</v>
      </c>
      <c r="R1472" s="84" t="s">
        <v>1315</v>
      </c>
      <c r="S1472" s="84">
        <v>0.14399999999999999</v>
      </c>
      <c r="T1472" s="82" t="s">
        <v>4574</v>
      </c>
      <c r="U1472" s="84" t="s">
        <v>3584</v>
      </c>
      <c r="V1472" s="54"/>
    </row>
    <row r="1473" spans="1:22" s="11" customFormat="1" ht="45" customHeight="1" x14ac:dyDescent="0.2">
      <c r="A1473" s="66" t="s">
        <v>3577</v>
      </c>
      <c r="B1473" s="66" t="s">
        <v>1707</v>
      </c>
      <c r="C1473" s="66" t="s">
        <v>3578</v>
      </c>
      <c r="D1473" s="66">
        <v>79903</v>
      </c>
      <c r="E1473" s="68" t="s">
        <v>6280</v>
      </c>
      <c r="F1473" s="66" t="s">
        <v>6281</v>
      </c>
      <c r="G1473" s="71">
        <v>6500</v>
      </c>
      <c r="H1473" s="73"/>
      <c r="I1473" s="75">
        <v>0.1</v>
      </c>
      <c r="J1473" s="77"/>
      <c r="K1473" s="66"/>
      <c r="L1473" s="66"/>
      <c r="M1473" s="79" t="str">
        <f>HYPERLINK("http://www.pristavka.com/catalog/funko/Fun79903/")</f>
        <v>http://www.pristavka.com/catalog/funko/Fun79903/</v>
      </c>
      <c r="N1473" s="71">
        <v>9999</v>
      </c>
      <c r="O1473" s="66" t="s">
        <v>27</v>
      </c>
      <c r="P1473" s="82" t="s">
        <v>6282</v>
      </c>
      <c r="Q1473" s="84" t="s">
        <v>1738</v>
      </c>
      <c r="R1473" s="84" t="s">
        <v>1315</v>
      </c>
      <c r="S1473" s="84">
        <v>0.13</v>
      </c>
      <c r="T1473" s="82" t="s">
        <v>4084</v>
      </c>
      <c r="U1473" s="84" t="s">
        <v>3584</v>
      </c>
      <c r="V1473" s="54"/>
    </row>
    <row r="1474" spans="1:22" s="11" customFormat="1" ht="45" customHeight="1" x14ac:dyDescent="0.2">
      <c r="A1474" s="66" t="s">
        <v>3577</v>
      </c>
      <c r="B1474" s="66" t="s">
        <v>1707</v>
      </c>
      <c r="C1474" s="66" t="s">
        <v>3578</v>
      </c>
      <c r="D1474" s="66">
        <v>79904</v>
      </c>
      <c r="E1474" s="68" t="s">
        <v>6283</v>
      </c>
      <c r="F1474" s="66" t="s">
        <v>6284</v>
      </c>
      <c r="G1474" s="71">
        <v>6500</v>
      </c>
      <c r="H1474" s="73"/>
      <c r="I1474" s="75">
        <v>0.1</v>
      </c>
      <c r="J1474" s="77"/>
      <c r="K1474" s="66"/>
      <c r="L1474" s="66"/>
      <c r="M1474" s="79" t="str">
        <f>HYPERLINK("http://www.pristavka.com/catalog/funko/Fun79904/")</f>
        <v>http://www.pristavka.com/catalog/funko/Fun79904/</v>
      </c>
      <c r="N1474" s="71">
        <v>9999</v>
      </c>
      <c r="O1474" s="66" t="s">
        <v>27</v>
      </c>
      <c r="P1474" s="82" t="s">
        <v>6285</v>
      </c>
      <c r="Q1474" s="84" t="s">
        <v>1738</v>
      </c>
      <c r="R1474" s="84" t="s">
        <v>1315</v>
      </c>
      <c r="S1474" s="84">
        <v>0.13400000000000001</v>
      </c>
      <c r="T1474" s="82" t="s">
        <v>4084</v>
      </c>
      <c r="U1474" s="84" t="s">
        <v>3584</v>
      </c>
      <c r="V1474" s="54"/>
    </row>
    <row r="1475" spans="1:22" s="11" customFormat="1" ht="45" customHeight="1" x14ac:dyDescent="0.2">
      <c r="A1475" s="66" t="s">
        <v>3577</v>
      </c>
      <c r="B1475" s="66" t="s">
        <v>1707</v>
      </c>
      <c r="C1475" s="66" t="s">
        <v>3578</v>
      </c>
      <c r="D1475" s="66">
        <v>57747</v>
      </c>
      <c r="E1475" s="68" t="s">
        <v>6286</v>
      </c>
      <c r="F1475" s="66" t="s">
        <v>6287</v>
      </c>
      <c r="G1475" s="71">
        <v>6500</v>
      </c>
      <c r="H1475" s="73"/>
      <c r="I1475" s="75">
        <v>0.1</v>
      </c>
      <c r="J1475" s="77"/>
      <c r="K1475" s="66"/>
      <c r="L1475" s="66"/>
      <c r="M1475" s="79" t="str">
        <f>HYPERLINK("http://www.pristavka.com/catalog/funko/Fun25491808/")</f>
        <v>http://www.pristavka.com/catalog/funko/Fun25491808/</v>
      </c>
      <c r="N1475" s="71">
        <v>9999</v>
      </c>
      <c r="O1475" s="66" t="s">
        <v>27</v>
      </c>
      <c r="P1475" s="82" t="s">
        <v>6288</v>
      </c>
      <c r="Q1475" s="84" t="s">
        <v>1315</v>
      </c>
      <c r="R1475" s="84" t="s">
        <v>1315</v>
      </c>
      <c r="S1475" s="84">
        <v>0.13100000000000001</v>
      </c>
      <c r="T1475" s="82" t="s">
        <v>4084</v>
      </c>
      <c r="U1475" s="84" t="s">
        <v>3584</v>
      </c>
      <c r="V1475" s="54"/>
    </row>
    <row r="1476" spans="1:22" s="11" customFormat="1" ht="45" customHeight="1" x14ac:dyDescent="0.2">
      <c r="A1476" s="66" t="s">
        <v>3577</v>
      </c>
      <c r="B1476" s="66" t="s">
        <v>1707</v>
      </c>
      <c r="C1476" s="66" t="s">
        <v>3578</v>
      </c>
      <c r="D1476" s="66">
        <v>57748</v>
      </c>
      <c r="E1476" s="68" t="s">
        <v>6289</v>
      </c>
      <c r="F1476" s="66" t="s">
        <v>6290</v>
      </c>
      <c r="G1476" s="71">
        <v>6500</v>
      </c>
      <c r="H1476" s="73"/>
      <c r="I1476" s="75">
        <v>0.1</v>
      </c>
      <c r="J1476" s="77"/>
      <c r="K1476" s="66"/>
      <c r="L1476" s="66"/>
      <c r="M1476" s="79" t="str">
        <f>HYPERLINK("http://www.pristavka.com/catalog/funko/Fun25491809/")</f>
        <v>http://www.pristavka.com/catalog/funko/Fun25491809/</v>
      </c>
      <c r="N1476" s="71">
        <v>9999</v>
      </c>
      <c r="O1476" s="66" t="s">
        <v>27</v>
      </c>
      <c r="P1476" s="82" t="s">
        <v>6291</v>
      </c>
      <c r="Q1476" s="84" t="s">
        <v>1315</v>
      </c>
      <c r="R1476" s="84" t="s">
        <v>1315</v>
      </c>
      <c r="S1476" s="84">
        <v>0.155</v>
      </c>
      <c r="T1476" s="82" t="s">
        <v>4084</v>
      </c>
      <c r="U1476" s="84" t="s">
        <v>3584</v>
      </c>
      <c r="V1476" s="54"/>
    </row>
    <row r="1477" spans="1:22" s="11" customFormat="1" ht="45" customHeight="1" x14ac:dyDescent="0.2">
      <c r="A1477" s="66" t="s">
        <v>3577</v>
      </c>
      <c r="B1477" s="66" t="s">
        <v>1707</v>
      </c>
      <c r="C1477" s="66" t="s">
        <v>3578</v>
      </c>
      <c r="D1477" s="66">
        <v>57749</v>
      </c>
      <c r="E1477" s="68" t="s">
        <v>6292</v>
      </c>
      <c r="F1477" s="66" t="s">
        <v>6293</v>
      </c>
      <c r="G1477" s="71">
        <v>6500</v>
      </c>
      <c r="H1477" s="73"/>
      <c r="I1477" s="75">
        <v>0.1</v>
      </c>
      <c r="J1477" s="77"/>
      <c r="K1477" s="66"/>
      <c r="L1477" s="66"/>
      <c r="M1477" s="79" t="str">
        <f>HYPERLINK("http://www.pristavka.com/catalog/funko/Fun25491810/")</f>
        <v>http://www.pristavka.com/catalog/funko/Fun25491810/</v>
      </c>
      <c r="N1477" s="71">
        <v>9999</v>
      </c>
      <c r="O1477" s="66" t="s">
        <v>27</v>
      </c>
      <c r="P1477" s="82" t="s">
        <v>6294</v>
      </c>
      <c r="Q1477" s="84" t="s">
        <v>1315</v>
      </c>
      <c r="R1477" s="84" t="s">
        <v>1315</v>
      </c>
      <c r="S1477" s="84">
        <v>0.157</v>
      </c>
      <c r="T1477" s="82" t="s">
        <v>4084</v>
      </c>
      <c r="U1477" s="84" t="s">
        <v>3584</v>
      </c>
      <c r="V1477" s="54"/>
    </row>
    <row r="1478" spans="1:22" s="11" customFormat="1" ht="45" customHeight="1" x14ac:dyDescent="0.2">
      <c r="A1478" s="66" t="s">
        <v>3577</v>
      </c>
      <c r="B1478" s="66" t="s">
        <v>1707</v>
      </c>
      <c r="C1478" s="66" t="s">
        <v>3578</v>
      </c>
      <c r="D1478" s="66">
        <v>43327</v>
      </c>
      <c r="E1478" s="68" t="s">
        <v>6295</v>
      </c>
      <c r="F1478" s="66" t="s">
        <v>6296</v>
      </c>
      <c r="G1478" s="71">
        <v>6500</v>
      </c>
      <c r="H1478" s="73"/>
      <c r="I1478" s="75">
        <v>0.1</v>
      </c>
      <c r="J1478" s="77"/>
      <c r="K1478" s="66"/>
      <c r="L1478" s="66"/>
      <c r="M1478" s="79" t="str">
        <f>HYPERLINK("http://www.pristavka.com/catalog/funko/Fun43327/")</f>
        <v>http://www.pristavka.com/catalog/funko/Fun43327/</v>
      </c>
      <c r="N1478" s="71">
        <v>9999</v>
      </c>
      <c r="O1478" s="66" t="s">
        <v>27</v>
      </c>
      <c r="P1478" s="82" t="s">
        <v>6297</v>
      </c>
      <c r="Q1478" s="84" t="s">
        <v>1738</v>
      </c>
      <c r="R1478" s="84" t="s">
        <v>1315</v>
      </c>
      <c r="S1478" s="84">
        <v>0.14499999999999999</v>
      </c>
      <c r="T1478" s="82" t="s">
        <v>4084</v>
      </c>
      <c r="U1478" s="84" t="s">
        <v>3584</v>
      </c>
      <c r="V1478" s="54"/>
    </row>
    <row r="1479" spans="1:22" s="11" customFormat="1" ht="45" customHeight="1" x14ac:dyDescent="0.2">
      <c r="A1479" s="66" t="s">
        <v>3577</v>
      </c>
      <c r="B1479" s="66" t="s">
        <v>1707</v>
      </c>
      <c r="C1479" s="66" t="s">
        <v>3578</v>
      </c>
      <c r="D1479" s="66">
        <v>51675</v>
      </c>
      <c r="E1479" s="68" t="s">
        <v>6298</v>
      </c>
      <c r="F1479" s="66" t="s">
        <v>6299</v>
      </c>
      <c r="G1479" s="71">
        <v>6890</v>
      </c>
      <c r="H1479" s="73"/>
      <c r="I1479" s="75">
        <v>0.1</v>
      </c>
      <c r="J1479" s="77"/>
      <c r="K1479" s="66"/>
      <c r="L1479" s="66"/>
      <c r="M1479" s="79" t="str">
        <f>HYPERLINK("http://www.pristavka.com/catalog/funko/Fun2549732/")</f>
        <v>http://www.pristavka.com/catalog/funko/Fun2549732/</v>
      </c>
      <c r="N1479" s="71">
        <v>10599</v>
      </c>
      <c r="O1479" s="66" t="s">
        <v>27</v>
      </c>
      <c r="P1479" s="82" t="s">
        <v>6300</v>
      </c>
      <c r="Q1479" s="84" t="s">
        <v>5292</v>
      </c>
      <c r="R1479" s="84" t="s">
        <v>1315</v>
      </c>
      <c r="S1479" s="84">
        <v>0.17499999999999999</v>
      </c>
      <c r="T1479" s="82" t="s">
        <v>4102</v>
      </c>
      <c r="U1479" s="84" t="s">
        <v>3584</v>
      </c>
      <c r="V1479" s="54"/>
    </row>
    <row r="1480" spans="1:22" s="11" customFormat="1" ht="45" customHeight="1" x14ac:dyDescent="0.2">
      <c r="A1480" s="66" t="s">
        <v>3577</v>
      </c>
      <c r="B1480" s="66" t="s">
        <v>1707</v>
      </c>
      <c r="C1480" s="66" t="s">
        <v>3578</v>
      </c>
      <c r="D1480" s="66">
        <v>80949</v>
      </c>
      <c r="E1480" s="68" t="s">
        <v>6301</v>
      </c>
      <c r="F1480" s="66" t="s">
        <v>6302</v>
      </c>
      <c r="G1480" s="71">
        <v>0</v>
      </c>
      <c r="H1480" s="73"/>
      <c r="I1480" s="75">
        <v>0.1</v>
      </c>
      <c r="J1480" s="77"/>
      <c r="K1480" s="66"/>
      <c r="L1480" s="66"/>
      <c r="M1480" s="79" t="str">
        <f>HYPERLINK("http://www.pristavka.com/catalog/funko/Fun80949/")</f>
        <v>http://www.pristavka.com/catalog/funko/Fun80949/</v>
      </c>
      <c r="N1480" s="71"/>
      <c r="O1480" s="66" t="s">
        <v>27</v>
      </c>
      <c r="P1480" s="82" t="s">
        <v>6303</v>
      </c>
      <c r="Q1480" s="84" t="s">
        <v>6304</v>
      </c>
      <c r="R1480" s="84" t="s">
        <v>1315</v>
      </c>
      <c r="S1480" s="84">
        <v>0.13</v>
      </c>
      <c r="T1480" s="82" t="s">
        <v>4113</v>
      </c>
      <c r="U1480" s="84" t="s">
        <v>3584</v>
      </c>
      <c r="V1480" s="54"/>
    </row>
    <row r="1481" spans="1:22" s="11" customFormat="1" ht="45" customHeight="1" x14ac:dyDescent="0.2">
      <c r="A1481" s="66" t="s">
        <v>3577</v>
      </c>
      <c r="B1481" s="66" t="s">
        <v>1707</v>
      </c>
      <c r="C1481" s="66" t="s">
        <v>3578</v>
      </c>
      <c r="D1481" s="66">
        <v>80950</v>
      </c>
      <c r="E1481" s="68" t="s">
        <v>6305</v>
      </c>
      <c r="F1481" s="66" t="s">
        <v>6306</v>
      </c>
      <c r="G1481" s="71">
        <v>0</v>
      </c>
      <c r="H1481" s="73"/>
      <c r="I1481" s="75">
        <v>0.1</v>
      </c>
      <c r="J1481" s="77"/>
      <c r="K1481" s="66"/>
      <c r="L1481" s="66"/>
      <c r="M1481" s="79" t="str">
        <f>HYPERLINK("http://www.pristavka.com/catalog/funko/Fun80950/")</f>
        <v>http://www.pristavka.com/catalog/funko/Fun80950/</v>
      </c>
      <c r="N1481" s="71"/>
      <c r="O1481" s="66" t="s">
        <v>27</v>
      </c>
      <c r="P1481" s="82" t="s">
        <v>6307</v>
      </c>
      <c r="Q1481" s="84" t="s">
        <v>6304</v>
      </c>
      <c r="R1481" s="84" t="s">
        <v>1315</v>
      </c>
      <c r="S1481" s="84">
        <v>0.14000000000000001</v>
      </c>
      <c r="T1481" s="82" t="s">
        <v>4113</v>
      </c>
      <c r="U1481" s="84" t="s">
        <v>3584</v>
      </c>
      <c r="V1481" s="54"/>
    </row>
    <row r="1482" spans="1:22" s="11" customFormat="1" ht="45" customHeight="1" x14ac:dyDescent="0.2">
      <c r="A1482" s="66" t="s">
        <v>3577</v>
      </c>
      <c r="B1482" s="66" t="s">
        <v>1707</v>
      </c>
      <c r="C1482" s="66" t="s">
        <v>3578</v>
      </c>
      <c r="D1482" s="66">
        <v>80948</v>
      </c>
      <c r="E1482" s="68" t="s">
        <v>6308</v>
      </c>
      <c r="F1482" s="66" t="s">
        <v>6309</v>
      </c>
      <c r="G1482" s="71">
        <v>0</v>
      </c>
      <c r="H1482" s="73"/>
      <c r="I1482" s="75">
        <v>0.1</v>
      </c>
      <c r="J1482" s="77"/>
      <c r="K1482" s="66"/>
      <c r="L1482" s="66"/>
      <c r="M1482" s="79" t="str">
        <f>HYPERLINK("http://www.pristavka.com/catalog/funko/Fun80948/")</f>
        <v>http://www.pristavka.com/catalog/funko/Fun80948/</v>
      </c>
      <c r="N1482" s="71"/>
      <c r="O1482" s="66" t="s">
        <v>27</v>
      </c>
      <c r="P1482" s="82" t="s">
        <v>6310</v>
      </c>
      <c r="Q1482" s="84" t="s">
        <v>6304</v>
      </c>
      <c r="R1482" s="84" t="s">
        <v>1315</v>
      </c>
      <c r="S1482" s="84">
        <v>0.17199999999999999</v>
      </c>
      <c r="T1482" s="82" t="s">
        <v>4091</v>
      </c>
      <c r="U1482" s="84" t="s">
        <v>3584</v>
      </c>
      <c r="V1482" s="54"/>
    </row>
    <row r="1483" spans="1:22" s="11" customFormat="1" ht="45" customHeight="1" x14ac:dyDescent="0.2">
      <c r="A1483" s="66" t="s">
        <v>3577</v>
      </c>
      <c r="B1483" s="66" t="s">
        <v>1707</v>
      </c>
      <c r="C1483" s="66" t="s">
        <v>3578</v>
      </c>
      <c r="D1483" s="66">
        <v>80951</v>
      </c>
      <c r="E1483" s="68" t="s">
        <v>6311</v>
      </c>
      <c r="F1483" s="66" t="s">
        <v>6312</v>
      </c>
      <c r="G1483" s="71">
        <v>0</v>
      </c>
      <c r="H1483" s="73"/>
      <c r="I1483" s="75">
        <v>0.1</v>
      </c>
      <c r="J1483" s="77"/>
      <c r="K1483" s="66"/>
      <c r="L1483" s="66"/>
      <c r="M1483" s="79" t="str">
        <f>HYPERLINK("http://www.pristavka.com/catalog/funko/Fun80951/")</f>
        <v>http://www.pristavka.com/catalog/funko/Fun80951/</v>
      </c>
      <c r="N1483" s="71"/>
      <c r="O1483" s="66" t="s">
        <v>27</v>
      </c>
      <c r="P1483" s="82" t="s">
        <v>6313</v>
      </c>
      <c r="Q1483" s="84" t="s">
        <v>6304</v>
      </c>
      <c r="R1483" s="84" t="s">
        <v>1315</v>
      </c>
      <c r="S1483" s="84">
        <v>0.14499999999999999</v>
      </c>
      <c r="T1483" s="82" t="s">
        <v>4084</v>
      </c>
      <c r="U1483" s="84" t="s">
        <v>3584</v>
      </c>
      <c r="V1483" s="54"/>
    </row>
    <row r="1484" spans="1:22" s="11" customFormat="1" ht="45" customHeight="1" x14ac:dyDescent="0.2">
      <c r="A1484" s="66" t="s">
        <v>3577</v>
      </c>
      <c r="B1484" s="66" t="s">
        <v>1707</v>
      </c>
      <c r="C1484" s="66" t="s">
        <v>3578</v>
      </c>
      <c r="D1484" s="66">
        <v>75997</v>
      </c>
      <c r="E1484" s="68" t="s">
        <v>6314</v>
      </c>
      <c r="F1484" s="66" t="s">
        <v>6315</v>
      </c>
      <c r="G1484" s="71">
        <v>6500</v>
      </c>
      <c r="H1484" s="73"/>
      <c r="I1484" s="75">
        <v>0.1</v>
      </c>
      <c r="J1484" s="77"/>
      <c r="K1484" s="66"/>
      <c r="L1484" s="66"/>
      <c r="M1484" s="79" t="str">
        <f>HYPERLINK("http://www.pristavka.com/catalog/funko/Fun75997/")</f>
        <v>http://www.pristavka.com/catalog/funko/Fun75997/</v>
      </c>
      <c r="N1484" s="71">
        <v>9999</v>
      </c>
      <c r="O1484" s="66" t="s">
        <v>27</v>
      </c>
      <c r="P1484" s="82" t="s">
        <v>6316</v>
      </c>
      <c r="Q1484" s="84" t="s">
        <v>6317</v>
      </c>
      <c r="R1484" s="84" t="s">
        <v>1315</v>
      </c>
      <c r="S1484" s="84">
        <v>0.125</v>
      </c>
      <c r="T1484" s="82" t="s">
        <v>4113</v>
      </c>
      <c r="U1484" s="84" t="s">
        <v>3584</v>
      </c>
      <c r="V1484" s="54"/>
    </row>
    <row r="1485" spans="1:22" s="11" customFormat="1" ht="45" customHeight="1" x14ac:dyDescent="0.2">
      <c r="A1485" s="66" t="s">
        <v>3577</v>
      </c>
      <c r="B1485" s="66" t="s">
        <v>1707</v>
      </c>
      <c r="C1485" s="66" t="s">
        <v>3578</v>
      </c>
      <c r="D1485" s="66">
        <v>75998</v>
      </c>
      <c r="E1485" s="68" t="s">
        <v>6318</v>
      </c>
      <c r="F1485" s="66" t="s">
        <v>6319</v>
      </c>
      <c r="G1485" s="71">
        <v>6500</v>
      </c>
      <c r="H1485" s="73"/>
      <c r="I1485" s="75">
        <v>0.1</v>
      </c>
      <c r="J1485" s="77"/>
      <c r="K1485" s="66"/>
      <c r="L1485" s="66"/>
      <c r="M1485" s="79" t="str">
        <f>HYPERLINK("http://www.pristavka.com/catalog/funko/Fun75998/")</f>
        <v>http://www.pristavka.com/catalog/funko/Fun75998/</v>
      </c>
      <c r="N1485" s="71">
        <v>9999</v>
      </c>
      <c r="O1485" s="66" t="s">
        <v>27</v>
      </c>
      <c r="P1485" s="82" t="s">
        <v>6320</v>
      </c>
      <c r="Q1485" s="84" t="s">
        <v>6317</v>
      </c>
      <c r="R1485" s="84" t="s">
        <v>1315</v>
      </c>
      <c r="S1485" s="84">
        <v>0.13</v>
      </c>
      <c r="T1485" s="82" t="s">
        <v>4084</v>
      </c>
      <c r="U1485" s="84" t="s">
        <v>3584</v>
      </c>
      <c r="V1485" s="54"/>
    </row>
    <row r="1486" spans="1:22" s="11" customFormat="1" ht="45" customHeight="1" x14ac:dyDescent="0.2">
      <c r="A1486" s="66" t="s">
        <v>3577</v>
      </c>
      <c r="B1486" s="66" t="s">
        <v>1707</v>
      </c>
      <c r="C1486" s="66" t="s">
        <v>3578</v>
      </c>
      <c r="D1486" s="66">
        <v>76000</v>
      </c>
      <c r="E1486" s="68" t="s">
        <v>6321</v>
      </c>
      <c r="F1486" s="66" t="s">
        <v>6322</v>
      </c>
      <c r="G1486" s="71">
        <v>6500</v>
      </c>
      <c r="H1486" s="73"/>
      <c r="I1486" s="75">
        <v>0.1</v>
      </c>
      <c r="J1486" s="77"/>
      <c r="K1486" s="66"/>
      <c r="L1486" s="66"/>
      <c r="M1486" s="79" t="str">
        <f>HYPERLINK("http://www.pristavka.com/catalog/funko/Fun76000/")</f>
        <v>http://www.pristavka.com/catalog/funko/Fun76000/</v>
      </c>
      <c r="N1486" s="71">
        <v>9999</v>
      </c>
      <c r="O1486" s="66" t="s">
        <v>27</v>
      </c>
      <c r="P1486" s="82" t="s">
        <v>6323</v>
      </c>
      <c r="Q1486" s="84" t="s">
        <v>6317</v>
      </c>
      <c r="R1486" s="84" t="s">
        <v>1315</v>
      </c>
      <c r="S1486" s="84">
        <v>0.11</v>
      </c>
      <c r="T1486" s="82" t="s">
        <v>4113</v>
      </c>
      <c r="U1486" s="84" t="s">
        <v>3584</v>
      </c>
      <c r="V1486" s="54"/>
    </row>
    <row r="1487" spans="1:22" s="11" customFormat="1" ht="45" customHeight="1" x14ac:dyDescent="0.2">
      <c r="A1487" s="66" t="s">
        <v>3577</v>
      </c>
      <c r="B1487" s="66" t="s">
        <v>1707</v>
      </c>
      <c r="C1487" s="66" t="s">
        <v>3578</v>
      </c>
      <c r="D1487" s="66">
        <v>84942</v>
      </c>
      <c r="E1487" s="68" t="s">
        <v>6324</v>
      </c>
      <c r="F1487" s="66" t="s">
        <v>6325</v>
      </c>
      <c r="G1487" s="71">
        <v>6890</v>
      </c>
      <c r="H1487" s="73"/>
      <c r="I1487" s="75">
        <v>0.1</v>
      </c>
      <c r="J1487" s="77"/>
      <c r="K1487" s="66"/>
      <c r="L1487" s="66"/>
      <c r="M1487" s="79" t="str">
        <f>HYPERLINK("http://www.pristavka.com/catalog/funko/Fun84942/")</f>
        <v>http://www.pristavka.com/catalog/funko/Fun84942/</v>
      </c>
      <c r="N1487" s="71">
        <v>10599</v>
      </c>
      <c r="O1487" s="66" t="s">
        <v>27</v>
      </c>
      <c r="P1487" s="82" t="s">
        <v>6326</v>
      </c>
      <c r="Q1487" s="84" t="s">
        <v>6327</v>
      </c>
      <c r="R1487" s="84" t="s">
        <v>1315</v>
      </c>
      <c r="S1487" s="84">
        <v>0.16500000000000001</v>
      </c>
      <c r="T1487" s="82" t="s">
        <v>4084</v>
      </c>
      <c r="U1487" s="84" t="s">
        <v>3584</v>
      </c>
      <c r="V1487" s="54"/>
    </row>
    <row r="1488" spans="1:22" s="11" customFormat="1" ht="45" customHeight="1" x14ac:dyDescent="0.2">
      <c r="A1488" s="66" t="s">
        <v>3577</v>
      </c>
      <c r="B1488" s="66" t="s">
        <v>1707</v>
      </c>
      <c r="C1488" s="66" t="s">
        <v>3578</v>
      </c>
      <c r="D1488" s="66">
        <v>83524</v>
      </c>
      <c r="E1488" s="68" t="s">
        <v>6328</v>
      </c>
      <c r="F1488" s="66" t="s">
        <v>6329</v>
      </c>
      <c r="G1488" s="71">
        <v>6500</v>
      </c>
      <c r="H1488" s="73"/>
      <c r="I1488" s="75">
        <v>0.1</v>
      </c>
      <c r="J1488" s="77"/>
      <c r="K1488" s="66"/>
      <c r="L1488" s="66"/>
      <c r="M1488" s="79" t="str">
        <f>HYPERLINK("http://www.pristavka.com/catalog/funko/Fun83524/")</f>
        <v>http://www.pristavka.com/catalog/funko/Fun83524/</v>
      </c>
      <c r="N1488" s="71">
        <v>9999</v>
      </c>
      <c r="O1488" s="66" t="s">
        <v>27</v>
      </c>
      <c r="P1488" s="82" t="s">
        <v>6330</v>
      </c>
      <c r="Q1488" s="84" t="s">
        <v>6327</v>
      </c>
      <c r="R1488" s="84" t="s">
        <v>1315</v>
      </c>
      <c r="S1488" s="84">
        <v>0.156</v>
      </c>
      <c r="T1488" s="82" t="s">
        <v>4558</v>
      </c>
      <c r="U1488" s="84" t="s">
        <v>3584</v>
      </c>
      <c r="V1488" s="54"/>
    </row>
    <row r="1489" spans="1:22" s="11" customFormat="1" ht="45" customHeight="1" x14ac:dyDescent="0.2">
      <c r="A1489" s="66" t="s">
        <v>3577</v>
      </c>
      <c r="B1489" s="66" t="s">
        <v>1707</v>
      </c>
      <c r="C1489" s="66" t="s">
        <v>3578</v>
      </c>
      <c r="D1489" s="66">
        <v>83525</v>
      </c>
      <c r="E1489" s="68" t="s">
        <v>6331</v>
      </c>
      <c r="F1489" s="66" t="s">
        <v>6332</v>
      </c>
      <c r="G1489" s="71">
        <v>6500</v>
      </c>
      <c r="H1489" s="73"/>
      <c r="I1489" s="75">
        <v>0.1</v>
      </c>
      <c r="J1489" s="77"/>
      <c r="K1489" s="66"/>
      <c r="L1489" s="66"/>
      <c r="M1489" s="79" t="str">
        <f>HYPERLINK("http://www.pristavka.com/catalog/funko/Fun83525/")</f>
        <v>http://www.pristavka.com/catalog/funko/Fun83525/</v>
      </c>
      <c r="N1489" s="71">
        <v>9999</v>
      </c>
      <c r="O1489" s="66" t="s">
        <v>27</v>
      </c>
      <c r="P1489" s="82" t="s">
        <v>6333</v>
      </c>
      <c r="Q1489" s="84" t="s">
        <v>6327</v>
      </c>
      <c r="R1489" s="84" t="s">
        <v>1315</v>
      </c>
      <c r="S1489" s="84">
        <v>0.13600000000000001</v>
      </c>
      <c r="T1489" s="82" t="s">
        <v>4113</v>
      </c>
      <c r="U1489" s="84" t="s">
        <v>3584</v>
      </c>
      <c r="V1489" s="54"/>
    </row>
    <row r="1490" spans="1:22" s="11" customFormat="1" ht="45" customHeight="1" x14ac:dyDescent="0.2">
      <c r="A1490" s="66" t="s">
        <v>3577</v>
      </c>
      <c r="B1490" s="66" t="s">
        <v>1707</v>
      </c>
      <c r="C1490" s="66" t="s">
        <v>3578</v>
      </c>
      <c r="D1490" s="66">
        <v>83568</v>
      </c>
      <c r="E1490" s="68" t="s">
        <v>6334</v>
      </c>
      <c r="F1490" s="66" t="s">
        <v>6335</v>
      </c>
      <c r="G1490" s="71">
        <v>6500</v>
      </c>
      <c r="H1490" s="73"/>
      <c r="I1490" s="75">
        <v>0.1</v>
      </c>
      <c r="J1490" s="77"/>
      <c r="K1490" s="66"/>
      <c r="L1490" s="66"/>
      <c r="M1490" s="79" t="str">
        <f>HYPERLINK("http://www.pristavka.com/catalog/funko/Fun83568/")</f>
        <v>http://www.pristavka.com/catalog/funko/Fun83568/</v>
      </c>
      <c r="N1490" s="71">
        <v>9999</v>
      </c>
      <c r="O1490" s="66" t="s">
        <v>27</v>
      </c>
      <c r="P1490" s="82" t="s">
        <v>6336</v>
      </c>
      <c r="Q1490" s="84" t="s">
        <v>6337</v>
      </c>
      <c r="R1490" s="84" t="s">
        <v>1315</v>
      </c>
      <c r="S1490" s="84">
        <v>0.20399999999999999</v>
      </c>
      <c r="T1490" s="82" t="s">
        <v>4113</v>
      </c>
      <c r="U1490" s="84" t="s">
        <v>3584</v>
      </c>
      <c r="V1490" s="54"/>
    </row>
    <row r="1491" spans="1:22" s="11" customFormat="1" ht="45" customHeight="1" x14ac:dyDescent="0.2">
      <c r="A1491" s="66" t="s">
        <v>3577</v>
      </c>
      <c r="B1491" s="66" t="s">
        <v>1707</v>
      </c>
      <c r="C1491" s="66" t="s">
        <v>3578</v>
      </c>
      <c r="D1491" s="66">
        <v>83569</v>
      </c>
      <c r="E1491" s="68" t="s">
        <v>6338</v>
      </c>
      <c r="F1491" s="66" t="s">
        <v>6339</v>
      </c>
      <c r="G1491" s="71">
        <v>6500</v>
      </c>
      <c r="H1491" s="73"/>
      <c r="I1491" s="75">
        <v>0.1</v>
      </c>
      <c r="J1491" s="77"/>
      <c r="K1491" s="66"/>
      <c r="L1491" s="66"/>
      <c r="M1491" s="79" t="str">
        <f>HYPERLINK("http://www.pristavka.com/catalog/funko/Fun83569/")</f>
        <v>http://www.pristavka.com/catalog/funko/Fun83569/</v>
      </c>
      <c r="N1491" s="71">
        <v>9999</v>
      </c>
      <c r="O1491" s="66" t="s">
        <v>27</v>
      </c>
      <c r="P1491" s="82" t="s">
        <v>6340</v>
      </c>
      <c r="Q1491" s="84" t="s">
        <v>6337</v>
      </c>
      <c r="R1491" s="84" t="s">
        <v>1315</v>
      </c>
      <c r="S1491" s="84">
        <v>0.17599999999999999</v>
      </c>
      <c r="T1491" s="82" t="s">
        <v>4113</v>
      </c>
      <c r="U1491" s="84" t="s">
        <v>3584</v>
      </c>
      <c r="V1491" s="54"/>
    </row>
    <row r="1492" spans="1:22" s="11" customFormat="1" ht="45" customHeight="1" x14ac:dyDescent="0.2">
      <c r="A1492" s="66" t="s">
        <v>3577</v>
      </c>
      <c r="B1492" s="66" t="s">
        <v>1707</v>
      </c>
      <c r="C1492" s="66" t="s">
        <v>3578</v>
      </c>
      <c r="D1492" s="66">
        <v>84936</v>
      </c>
      <c r="E1492" s="68" t="s">
        <v>6341</v>
      </c>
      <c r="F1492" s="66" t="s">
        <v>6342</v>
      </c>
      <c r="G1492" s="71">
        <v>6890</v>
      </c>
      <c r="H1492" s="73"/>
      <c r="I1492" s="75">
        <v>0.1</v>
      </c>
      <c r="J1492" s="77"/>
      <c r="K1492" s="66"/>
      <c r="L1492" s="66"/>
      <c r="M1492" s="79" t="str">
        <f>HYPERLINK("http://www.pristavka.com/catalog/funko/Fun84936/")</f>
        <v>http://www.pristavka.com/catalog/funko/Fun84936/</v>
      </c>
      <c r="N1492" s="71">
        <v>10599</v>
      </c>
      <c r="O1492" s="66" t="s">
        <v>27</v>
      </c>
      <c r="P1492" s="82" t="s">
        <v>6343</v>
      </c>
      <c r="Q1492" s="84" t="s">
        <v>3582</v>
      </c>
      <c r="R1492" s="84" t="s">
        <v>1315</v>
      </c>
      <c r="S1492" s="84">
        <v>0.192</v>
      </c>
      <c r="T1492" s="82" t="s">
        <v>4558</v>
      </c>
      <c r="U1492" s="84" t="s">
        <v>3584</v>
      </c>
      <c r="V1492" s="54"/>
    </row>
    <row r="1493" spans="1:22" s="11" customFormat="1" ht="45" customHeight="1" x14ac:dyDescent="0.2">
      <c r="A1493" s="66" t="s">
        <v>3577</v>
      </c>
      <c r="B1493" s="66" t="s">
        <v>1707</v>
      </c>
      <c r="C1493" s="66" t="s">
        <v>3578</v>
      </c>
      <c r="D1493" s="66">
        <v>84935</v>
      </c>
      <c r="E1493" s="68" t="s">
        <v>6344</v>
      </c>
      <c r="F1493" s="66" t="s">
        <v>6345</v>
      </c>
      <c r="G1493" s="71">
        <v>6890</v>
      </c>
      <c r="H1493" s="73"/>
      <c r="I1493" s="75">
        <v>0.1</v>
      </c>
      <c r="J1493" s="77"/>
      <c r="K1493" s="66"/>
      <c r="L1493" s="66"/>
      <c r="M1493" s="79" t="str">
        <f>HYPERLINK("http://www.pristavka.com/catalog/funko/Fun84935/")</f>
        <v>http://www.pristavka.com/catalog/funko/Fun84935/</v>
      </c>
      <c r="N1493" s="71">
        <v>10599</v>
      </c>
      <c r="O1493" s="66" t="s">
        <v>27</v>
      </c>
      <c r="P1493" s="82" t="s">
        <v>6346</v>
      </c>
      <c r="Q1493" s="84" t="s">
        <v>3582</v>
      </c>
      <c r="R1493" s="84" t="s">
        <v>1315</v>
      </c>
      <c r="S1493" s="84">
        <v>0.16800000000000001</v>
      </c>
      <c r="T1493" s="82" t="s">
        <v>4558</v>
      </c>
      <c r="U1493" s="84" t="s">
        <v>3584</v>
      </c>
      <c r="V1493" s="54"/>
    </row>
    <row r="1494" spans="1:22" s="11" customFormat="1" ht="45" customHeight="1" x14ac:dyDescent="0.2">
      <c r="A1494" s="66" t="s">
        <v>3577</v>
      </c>
      <c r="B1494" s="66" t="s">
        <v>1707</v>
      </c>
      <c r="C1494" s="66" t="s">
        <v>3578</v>
      </c>
      <c r="D1494" s="66">
        <v>83111</v>
      </c>
      <c r="E1494" s="68" t="s">
        <v>6347</v>
      </c>
      <c r="F1494" s="66" t="s">
        <v>6348</v>
      </c>
      <c r="G1494" s="71">
        <v>6500</v>
      </c>
      <c r="H1494" s="73"/>
      <c r="I1494" s="75">
        <v>0.1</v>
      </c>
      <c r="J1494" s="77"/>
      <c r="K1494" s="66"/>
      <c r="L1494" s="66"/>
      <c r="M1494" s="79" t="str">
        <f>HYPERLINK("http://www.pristavka.com/catalog/funko/Fun83111/")</f>
        <v>http://www.pristavka.com/catalog/funko/Fun83111/</v>
      </c>
      <c r="N1494" s="71">
        <v>9999</v>
      </c>
      <c r="O1494" s="66" t="s">
        <v>27</v>
      </c>
      <c r="P1494" s="82" t="s">
        <v>6349</v>
      </c>
      <c r="Q1494" s="84" t="s">
        <v>3582</v>
      </c>
      <c r="R1494" s="84" t="s">
        <v>1315</v>
      </c>
      <c r="S1494" s="84">
        <v>0.15</v>
      </c>
      <c r="T1494" s="82" t="s">
        <v>4113</v>
      </c>
      <c r="U1494" s="84" t="s">
        <v>3584</v>
      </c>
      <c r="V1494" s="54"/>
    </row>
    <row r="1495" spans="1:22" s="11" customFormat="1" ht="45" customHeight="1" x14ac:dyDescent="0.2">
      <c r="A1495" s="66" t="s">
        <v>3577</v>
      </c>
      <c r="B1495" s="66" t="s">
        <v>1707</v>
      </c>
      <c r="C1495" s="66" t="s">
        <v>3578</v>
      </c>
      <c r="D1495" s="66">
        <v>83112</v>
      </c>
      <c r="E1495" s="68" t="s">
        <v>6350</v>
      </c>
      <c r="F1495" s="66" t="s">
        <v>6351</v>
      </c>
      <c r="G1495" s="71">
        <v>6500</v>
      </c>
      <c r="H1495" s="73"/>
      <c r="I1495" s="75">
        <v>0.1</v>
      </c>
      <c r="J1495" s="77"/>
      <c r="K1495" s="66"/>
      <c r="L1495" s="66"/>
      <c r="M1495" s="79" t="str">
        <f>HYPERLINK("http://www.pristavka.com/catalog/funko/Fun83112/")</f>
        <v>http://www.pristavka.com/catalog/funko/Fun83112/</v>
      </c>
      <c r="N1495" s="71">
        <v>9999</v>
      </c>
      <c r="O1495" s="66" t="s">
        <v>27</v>
      </c>
      <c r="P1495" s="82" t="s">
        <v>6352</v>
      </c>
      <c r="Q1495" s="84" t="s">
        <v>3582</v>
      </c>
      <c r="R1495" s="84" t="s">
        <v>1315</v>
      </c>
      <c r="S1495" s="84">
        <v>0.14000000000000001</v>
      </c>
      <c r="T1495" s="82" t="s">
        <v>4113</v>
      </c>
      <c r="U1495" s="84" t="s">
        <v>3584</v>
      </c>
      <c r="V1495" s="54"/>
    </row>
    <row r="1496" spans="1:22" s="11" customFormat="1" ht="45" customHeight="1" x14ac:dyDescent="0.2">
      <c r="A1496" s="66" t="s">
        <v>3577</v>
      </c>
      <c r="B1496" s="66" t="s">
        <v>1707</v>
      </c>
      <c r="C1496" s="66" t="s">
        <v>3578</v>
      </c>
      <c r="D1496" s="66">
        <v>81949</v>
      </c>
      <c r="E1496" s="68" t="s">
        <v>6353</v>
      </c>
      <c r="F1496" s="66" t="s">
        <v>6354</v>
      </c>
      <c r="G1496" s="71">
        <v>6890</v>
      </c>
      <c r="H1496" s="73"/>
      <c r="I1496" s="75">
        <v>0.1</v>
      </c>
      <c r="J1496" s="77"/>
      <c r="K1496" s="66"/>
      <c r="L1496" s="66"/>
      <c r="M1496" s="79" t="str">
        <f>HYPERLINK("http://www.pristavka.com/catalog/funko/Fun81949/")</f>
        <v>http://www.pristavka.com/catalog/funko/Fun81949/</v>
      </c>
      <c r="N1496" s="71">
        <v>10599</v>
      </c>
      <c r="O1496" s="66" t="s">
        <v>27</v>
      </c>
      <c r="P1496" s="82" t="s">
        <v>6355</v>
      </c>
      <c r="Q1496" s="84" t="s">
        <v>3582</v>
      </c>
      <c r="R1496" s="84" t="s">
        <v>1315</v>
      </c>
      <c r="S1496" s="84">
        <v>0.16400000000000001</v>
      </c>
      <c r="T1496" s="82" t="s">
        <v>4091</v>
      </c>
      <c r="U1496" s="84" t="s">
        <v>3584</v>
      </c>
      <c r="V1496" s="54"/>
    </row>
    <row r="1497" spans="1:22" s="11" customFormat="1" ht="45" customHeight="1" x14ac:dyDescent="0.2">
      <c r="A1497" s="66" t="s">
        <v>3577</v>
      </c>
      <c r="B1497" s="66" t="s">
        <v>1707</v>
      </c>
      <c r="C1497" s="66" t="s">
        <v>3578</v>
      </c>
      <c r="D1497" s="66">
        <v>80036</v>
      </c>
      <c r="E1497" s="68" t="s">
        <v>6356</v>
      </c>
      <c r="F1497" s="66" t="s">
        <v>6357</v>
      </c>
      <c r="G1497" s="71">
        <v>0</v>
      </c>
      <c r="H1497" s="73"/>
      <c r="I1497" s="75">
        <v>0.1</v>
      </c>
      <c r="J1497" s="77"/>
      <c r="K1497" s="66"/>
      <c r="L1497" s="66"/>
      <c r="M1497" s="79" t="str">
        <f>HYPERLINK("http://www.pristavka.com/catalog/funko/Fun80036/")</f>
        <v>http://www.pristavka.com/catalog/funko/Fun80036/</v>
      </c>
      <c r="N1497" s="71"/>
      <c r="O1497" s="66" t="s">
        <v>27</v>
      </c>
      <c r="P1497" s="82" t="s">
        <v>6358</v>
      </c>
      <c r="Q1497" s="84" t="s">
        <v>3582</v>
      </c>
      <c r="R1497" s="84" t="s">
        <v>1315</v>
      </c>
      <c r="S1497" s="84">
        <v>0.16600000000000001</v>
      </c>
      <c r="T1497" s="82" t="s">
        <v>4091</v>
      </c>
      <c r="U1497" s="84" t="s">
        <v>3584</v>
      </c>
      <c r="V1497" s="54"/>
    </row>
    <row r="1498" spans="1:22" s="11" customFormat="1" ht="45" customHeight="1" x14ac:dyDescent="0.2">
      <c r="A1498" s="66" t="s">
        <v>3577</v>
      </c>
      <c r="B1498" s="66" t="s">
        <v>1707</v>
      </c>
      <c r="C1498" s="66" t="s">
        <v>3578</v>
      </c>
      <c r="D1498" s="66">
        <v>80037</v>
      </c>
      <c r="E1498" s="68" t="s">
        <v>6359</v>
      </c>
      <c r="F1498" s="66" t="s">
        <v>6360</v>
      </c>
      <c r="G1498" s="71">
        <v>0</v>
      </c>
      <c r="H1498" s="73"/>
      <c r="I1498" s="75">
        <v>0.1</v>
      </c>
      <c r="J1498" s="77"/>
      <c r="K1498" s="66"/>
      <c r="L1498" s="66"/>
      <c r="M1498" s="79" t="str">
        <f>HYPERLINK("http://www.pristavka.com/catalog/funko/Fun80037/")</f>
        <v>http://www.pristavka.com/catalog/funko/Fun80037/</v>
      </c>
      <c r="N1498" s="71"/>
      <c r="O1498" s="66" t="s">
        <v>27</v>
      </c>
      <c r="P1498" s="82" t="s">
        <v>6361</v>
      </c>
      <c r="Q1498" s="84" t="s">
        <v>3582</v>
      </c>
      <c r="R1498" s="84" t="s">
        <v>1315</v>
      </c>
      <c r="S1498" s="84">
        <v>0.18</v>
      </c>
      <c r="T1498" s="82" t="s">
        <v>4084</v>
      </c>
      <c r="U1498" s="84" t="s">
        <v>3584</v>
      </c>
      <c r="V1498" s="54"/>
    </row>
    <row r="1499" spans="1:22" s="11" customFormat="1" ht="45" customHeight="1" x14ac:dyDescent="0.2">
      <c r="A1499" s="66" t="s">
        <v>3577</v>
      </c>
      <c r="B1499" s="66" t="s">
        <v>1707</v>
      </c>
      <c r="C1499" s="66" t="s">
        <v>3578</v>
      </c>
      <c r="D1499" s="66">
        <v>80038</v>
      </c>
      <c r="E1499" s="68" t="s">
        <v>6362</v>
      </c>
      <c r="F1499" s="66" t="s">
        <v>6363</v>
      </c>
      <c r="G1499" s="71">
        <v>6500</v>
      </c>
      <c r="H1499" s="73"/>
      <c r="I1499" s="75">
        <v>0.1</v>
      </c>
      <c r="J1499" s="77"/>
      <c r="K1499" s="66"/>
      <c r="L1499" s="66"/>
      <c r="M1499" s="79" t="str">
        <f>HYPERLINK("http://www.pristavka.com/catalog/funko/Fun80038/")</f>
        <v>http://www.pristavka.com/catalog/funko/Fun80038/</v>
      </c>
      <c r="N1499" s="71">
        <v>9999</v>
      </c>
      <c r="O1499" s="66" t="s">
        <v>27</v>
      </c>
      <c r="P1499" s="82" t="s">
        <v>6364</v>
      </c>
      <c r="Q1499" s="84" t="s">
        <v>3582</v>
      </c>
      <c r="R1499" s="84" t="s">
        <v>1315</v>
      </c>
      <c r="S1499" s="84">
        <v>0.16200000000000001</v>
      </c>
      <c r="T1499" s="82" t="s">
        <v>4102</v>
      </c>
      <c r="U1499" s="84" t="s">
        <v>3584</v>
      </c>
      <c r="V1499" s="54"/>
    </row>
    <row r="1500" spans="1:22" s="11" customFormat="1" ht="45" customHeight="1" x14ac:dyDescent="0.2">
      <c r="A1500" s="66" t="s">
        <v>3577</v>
      </c>
      <c r="B1500" s="66" t="s">
        <v>1707</v>
      </c>
      <c r="C1500" s="66" t="s">
        <v>3578</v>
      </c>
      <c r="D1500" s="66">
        <v>75162</v>
      </c>
      <c r="E1500" s="68" t="s">
        <v>6365</v>
      </c>
      <c r="F1500" s="66" t="s">
        <v>6366</v>
      </c>
      <c r="G1500" s="71">
        <v>6500</v>
      </c>
      <c r="H1500" s="73"/>
      <c r="I1500" s="75">
        <v>0.1</v>
      </c>
      <c r="J1500" s="77"/>
      <c r="K1500" s="66"/>
      <c r="L1500" s="66"/>
      <c r="M1500" s="79" t="str">
        <f>HYPERLINK("http://www.pristavka.com/catalog/funko/Fun75162/")</f>
        <v>http://www.pristavka.com/catalog/funko/Fun75162/</v>
      </c>
      <c r="N1500" s="71">
        <v>9999</v>
      </c>
      <c r="O1500" s="66" t="s">
        <v>27</v>
      </c>
      <c r="P1500" s="82" t="s">
        <v>6367</v>
      </c>
      <c r="Q1500" s="84" t="s">
        <v>3582</v>
      </c>
      <c r="R1500" s="84" t="s">
        <v>1315</v>
      </c>
      <c r="S1500" s="84">
        <v>0.13600000000000001</v>
      </c>
      <c r="T1500" s="82" t="s">
        <v>4102</v>
      </c>
      <c r="U1500" s="84" t="s">
        <v>3584</v>
      </c>
      <c r="V1500" s="54"/>
    </row>
    <row r="1501" spans="1:22" s="11" customFormat="1" ht="45" customHeight="1" x14ac:dyDescent="0.2">
      <c r="A1501" s="66" t="s">
        <v>3577</v>
      </c>
      <c r="B1501" s="66" t="s">
        <v>1707</v>
      </c>
      <c r="C1501" s="66" t="s">
        <v>3578</v>
      </c>
      <c r="D1501" s="66">
        <v>78403</v>
      </c>
      <c r="E1501" s="68" t="s">
        <v>6368</v>
      </c>
      <c r="F1501" s="66" t="s">
        <v>6369</v>
      </c>
      <c r="G1501" s="71">
        <v>6890</v>
      </c>
      <c r="H1501" s="73"/>
      <c r="I1501" s="75">
        <v>0.1</v>
      </c>
      <c r="J1501" s="77"/>
      <c r="K1501" s="66"/>
      <c r="L1501" s="66"/>
      <c r="M1501" s="79" t="str">
        <f>HYPERLINK("http://www.pristavka.com/catalog/funko/Fun78403/")</f>
        <v>http://www.pristavka.com/catalog/funko/Fun78403/</v>
      </c>
      <c r="N1501" s="71">
        <v>10599</v>
      </c>
      <c r="O1501" s="66" t="s">
        <v>27</v>
      </c>
      <c r="P1501" s="82" t="s">
        <v>6370</v>
      </c>
      <c r="Q1501" s="84" t="s">
        <v>3582</v>
      </c>
      <c r="R1501" s="84" t="s">
        <v>1315</v>
      </c>
      <c r="S1501" s="84">
        <v>0.13500000000000001</v>
      </c>
      <c r="T1501" s="82" t="s">
        <v>4084</v>
      </c>
      <c r="U1501" s="84" t="s">
        <v>3584</v>
      </c>
      <c r="V1501" s="54"/>
    </row>
    <row r="1502" spans="1:22" s="11" customFormat="1" ht="45" customHeight="1" x14ac:dyDescent="0.2">
      <c r="A1502" s="66" t="s">
        <v>3577</v>
      </c>
      <c r="B1502" s="66" t="s">
        <v>1707</v>
      </c>
      <c r="C1502" s="66" t="s">
        <v>3578</v>
      </c>
      <c r="D1502" s="66">
        <v>75165</v>
      </c>
      <c r="E1502" s="68" t="s">
        <v>6371</v>
      </c>
      <c r="F1502" s="66" t="s">
        <v>6372</v>
      </c>
      <c r="G1502" s="71">
        <v>6500</v>
      </c>
      <c r="H1502" s="73"/>
      <c r="I1502" s="75">
        <v>0.1</v>
      </c>
      <c r="J1502" s="77"/>
      <c r="K1502" s="66"/>
      <c r="L1502" s="66"/>
      <c r="M1502" s="79" t="str">
        <f>HYPERLINK("http://www.pristavka.com/catalog/funko/Fun75165/")</f>
        <v>http://www.pristavka.com/catalog/funko/Fun75165/</v>
      </c>
      <c r="N1502" s="71">
        <v>9999</v>
      </c>
      <c r="O1502" s="66" t="s">
        <v>27</v>
      </c>
      <c r="P1502" s="82" t="s">
        <v>6373</v>
      </c>
      <c r="Q1502" s="84" t="s">
        <v>3582</v>
      </c>
      <c r="R1502" s="84" t="s">
        <v>1315</v>
      </c>
      <c r="S1502" s="84">
        <v>0.14399999999999999</v>
      </c>
      <c r="T1502" s="82" t="s">
        <v>4102</v>
      </c>
      <c r="U1502" s="84" t="s">
        <v>3584</v>
      </c>
      <c r="V1502" s="54"/>
    </row>
    <row r="1503" spans="1:22" s="11" customFormat="1" ht="45" customHeight="1" x14ac:dyDescent="0.2">
      <c r="A1503" s="66" t="s">
        <v>3577</v>
      </c>
      <c r="B1503" s="66" t="s">
        <v>1707</v>
      </c>
      <c r="C1503" s="66" t="s">
        <v>3578</v>
      </c>
      <c r="D1503" s="66">
        <v>75164</v>
      </c>
      <c r="E1503" s="68" t="s">
        <v>6374</v>
      </c>
      <c r="F1503" s="66" t="s">
        <v>6375</v>
      </c>
      <c r="G1503" s="71">
        <v>6500</v>
      </c>
      <c r="H1503" s="73"/>
      <c r="I1503" s="75">
        <v>0.1</v>
      </c>
      <c r="J1503" s="77"/>
      <c r="K1503" s="66"/>
      <c r="L1503" s="66"/>
      <c r="M1503" s="79" t="str">
        <f>HYPERLINK("http://www.pristavka.com/catalog/funko/Fun75164/")</f>
        <v>http://www.pristavka.com/catalog/funko/Fun75164/</v>
      </c>
      <c r="N1503" s="71">
        <v>9999</v>
      </c>
      <c r="O1503" s="66" t="s">
        <v>27</v>
      </c>
      <c r="P1503" s="82" t="s">
        <v>6376</v>
      </c>
      <c r="Q1503" s="84" t="s">
        <v>3582</v>
      </c>
      <c r="R1503" s="84" t="s">
        <v>1315</v>
      </c>
      <c r="S1503" s="84">
        <v>0.16</v>
      </c>
      <c r="T1503" s="82" t="s">
        <v>4084</v>
      </c>
      <c r="U1503" s="84" t="s">
        <v>3584</v>
      </c>
      <c r="V1503" s="54"/>
    </row>
    <row r="1504" spans="1:22" s="11" customFormat="1" ht="45" customHeight="1" x14ac:dyDescent="0.2">
      <c r="A1504" s="66" t="s">
        <v>3577</v>
      </c>
      <c r="B1504" s="66" t="s">
        <v>1707</v>
      </c>
      <c r="C1504" s="66" t="s">
        <v>3578</v>
      </c>
      <c r="D1504" s="66">
        <v>84934</v>
      </c>
      <c r="E1504" s="68" t="s">
        <v>6377</v>
      </c>
      <c r="F1504" s="66" t="s">
        <v>6378</v>
      </c>
      <c r="G1504" s="71">
        <v>6890</v>
      </c>
      <c r="H1504" s="73"/>
      <c r="I1504" s="75">
        <v>0.1</v>
      </c>
      <c r="J1504" s="77"/>
      <c r="K1504" s="66"/>
      <c r="L1504" s="66"/>
      <c r="M1504" s="79" t="str">
        <f>HYPERLINK("http://www.pristavka.com/catalog/funko/Fun84934/")</f>
        <v>http://www.pristavka.com/catalog/funko/Fun84934/</v>
      </c>
      <c r="N1504" s="71">
        <v>10599</v>
      </c>
      <c r="O1504" s="66" t="s">
        <v>28</v>
      </c>
      <c r="P1504" s="82" t="s">
        <v>6379</v>
      </c>
      <c r="Q1504" s="84" t="s">
        <v>3582</v>
      </c>
      <c r="R1504" s="84" t="s">
        <v>1315</v>
      </c>
      <c r="S1504" s="84">
        <v>0.13</v>
      </c>
      <c r="T1504" s="82" t="s">
        <v>4084</v>
      </c>
      <c r="U1504" s="84" t="s">
        <v>3584</v>
      </c>
      <c r="V1504" s="54"/>
    </row>
    <row r="1505" spans="1:22" s="11" customFormat="1" ht="45" customHeight="1" x14ac:dyDescent="0.2">
      <c r="A1505" s="66" t="s">
        <v>3577</v>
      </c>
      <c r="B1505" s="66" t="s">
        <v>1707</v>
      </c>
      <c r="C1505" s="66" t="s">
        <v>3578</v>
      </c>
      <c r="D1505" s="66">
        <v>55621</v>
      </c>
      <c r="E1505" s="68" t="s">
        <v>6380</v>
      </c>
      <c r="F1505" s="66" t="s">
        <v>6381</v>
      </c>
      <c r="G1505" s="71">
        <v>6500</v>
      </c>
      <c r="H1505" s="73"/>
      <c r="I1505" s="75">
        <v>0.1</v>
      </c>
      <c r="J1505" s="77"/>
      <c r="K1505" s="66"/>
      <c r="L1505" s="66"/>
      <c r="M1505" s="79" t="str">
        <f>HYPERLINK("http://www.pristavka.com/catalog/funko/Fun55621/")</f>
        <v>http://www.pristavka.com/catalog/funko/Fun55621/</v>
      </c>
      <c r="N1505" s="71">
        <v>9999</v>
      </c>
      <c r="O1505" s="66" t="s">
        <v>27</v>
      </c>
      <c r="P1505" s="82" t="s">
        <v>6382</v>
      </c>
      <c r="Q1505" s="84" t="s">
        <v>3582</v>
      </c>
      <c r="R1505" s="84" t="s">
        <v>1315</v>
      </c>
      <c r="S1505" s="84">
        <v>0.185</v>
      </c>
      <c r="T1505" s="82" t="s">
        <v>4113</v>
      </c>
      <c r="U1505" s="84" t="s">
        <v>3584</v>
      </c>
      <c r="V1505" s="54"/>
    </row>
    <row r="1506" spans="1:22" s="11" customFormat="1" ht="45" customHeight="1" x14ac:dyDescent="0.2">
      <c r="A1506" s="66" t="s">
        <v>3577</v>
      </c>
      <c r="B1506" s="66" t="s">
        <v>1707</v>
      </c>
      <c r="C1506" s="66" t="s">
        <v>3578</v>
      </c>
      <c r="D1506" s="66">
        <v>55614</v>
      </c>
      <c r="E1506" s="68" t="s">
        <v>6383</v>
      </c>
      <c r="F1506" s="66" t="s">
        <v>6384</v>
      </c>
      <c r="G1506" s="71">
        <v>6500</v>
      </c>
      <c r="H1506" s="73"/>
      <c r="I1506" s="75">
        <v>0.1</v>
      </c>
      <c r="J1506" s="77"/>
      <c r="K1506" s="66"/>
      <c r="L1506" s="66"/>
      <c r="M1506" s="79" t="str">
        <f>HYPERLINK("http://www.pristavka.com/catalog/funko/Fun25491121/")</f>
        <v>http://www.pristavka.com/catalog/funko/Fun25491121/</v>
      </c>
      <c r="N1506" s="71">
        <v>9999</v>
      </c>
      <c r="O1506" s="66" t="s">
        <v>27</v>
      </c>
      <c r="P1506" s="82" t="s">
        <v>6385</v>
      </c>
      <c r="Q1506" s="84" t="s">
        <v>3582</v>
      </c>
      <c r="R1506" s="84" t="s">
        <v>1315</v>
      </c>
      <c r="S1506" s="84">
        <v>0.16500000000000001</v>
      </c>
      <c r="T1506" s="82" t="s">
        <v>6386</v>
      </c>
      <c r="U1506" s="84" t="s">
        <v>3584</v>
      </c>
      <c r="V1506" s="54"/>
    </row>
    <row r="1507" spans="1:22" s="11" customFormat="1" ht="45" customHeight="1" x14ac:dyDescent="0.2">
      <c r="A1507" s="66" t="s">
        <v>3577</v>
      </c>
      <c r="B1507" s="66" t="s">
        <v>1707</v>
      </c>
      <c r="C1507" s="66" t="s">
        <v>3578</v>
      </c>
      <c r="D1507" s="66">
        <v>86274</v>
      </c>
      <c r="E1507" s="68" t="s">
        <v>6387</v>
      </c>
      <c r="F1507" s="66" t="s">
        <v>6388</v>
      </c>
      <c r="G1507" s="71">
        <v>6500</v>
      </c>
      <c r="H1507" s="73"/>
      <c r="I1507" s="75">
        <v>0.1</v>
      </c>
      <c r="J1507" s="77"/>
      <c r="K1507" s="66"/>
      <c r="L1507" s="66"/>
      <c r="M1507" s="79" t="str">
        <f>HYPERLINK("http://www.pristavka.com/catalog/funko/Fun86274/")</f>
        <v>http://www.pristavka.com/catalog/funko/Fun86274/</v>
      </c>
      <c r="N1507" s="71">
        <v>9999</v>
      </c>
      <c r="O1507" s="66" t="s">
        <v>27</v>
      </c>
      <c r="P1507" s="82" t="s">
        <v>6389</v>
      </c>
      <c r="Q1507" s="84" t="s">
        <v>3582</v>
      </c>
      <c r="R1507" s="84" t="s">
        <v>1315</v>
      </c>
      <c r="S1507" s="84">
        <v>0.16500000000000001</v>
      </c>
      <c r="T1507" s="82" t="s">
        <v>4084</v>
      </c>
      <c r="U1507" s="84" t="s">
        <v>3584</v>
      </c>
      <c r="V1507" s="54"/>
    </row>
    <row r="1508" spans="1:22" s="11" customFormat="1" ht="45" customHeight="1" x14ac:dyDescent="0.2">
      <c r="A1508" s="66" t="s">
        <v>3577</v>
      </c>
      <c r="B1508" s="66" t="s">
        <v>1707</v>
      </c>
      <c r="C1508" s="66" t="s">
        <v>3578</v>
      </c>
      <c r="D1508" s="66">
        <v>86275</v>
      </c>
      <c r="E1508" s="68" t="s">
        <v>6390</v>
      </c>
      <c r="F1508" s="66" t="s">
        <v>6391</v>
      </c>
      <c r="G1508" s="71">
        <v>6500</v>
      </c>
      <c r="H1508" s="73"/>
      <c r="I1508" s="75">
        <v>0.1</v>
      </c>
      <c r="J1508" s="77"/>
      <c r="K1508" s="66"/>
      <c r="L1508" s="66"/>
      <c r="M1508" s="79" t="str">
        <f>HYPERLINK("http://www.pristavka.com/catalog/funko/Fun86275/")</f>
        <v>http://www.pristavka.com/catalog/funko/Fun86275/</v>
      </c>
      <c r="N1508" s="71">
        <v>9999</v>
      </c>
      <c r="O1508" s="66" t="s">
        <v>27</v>
      </c>
      <c r="P1508" s="82" t="s">
        <v>6392</v>
      </c>
      <c r="Q1508" s="84" t="s">
        <v>3582</v>
      </c>
      <c r="R1508" s="84" t="s">
        <v>1315</v>
      </c>
      <c r="S1508" s="84">
        <v>0.14499999999999999</v>
      </c>
      <c r="T1508" s="82" t="s">
        <v>4113</v>
      </c>
      <c r="U1508" s="84" t="s">
        <v>3584</v>
      </c>
      <c r="V1508" s="54"/>
    </row>
    <row r="1509" spans="1:22" s="11" customFormat="1" ht="45" customHeight="1" x14ac:dyDescent="0.2">
      <c r="A1509" s="66" t="s">
        <v>3577</v>
      </c>
      <c r="B1509" s="66" t="s">
        <v>1707</v>
      </c>
      <c r="C1509" s="66" t="s">
        <v>3578</v>
      </c>
      <c r="D1509" s="66">
        <v>81969</v>
      </c>
      <c r="E1509" s="68" t="s">
        <v>6393</v>
      </c>
      <c r="F1509" s="66" t="s">
        <v>6394</v>
      </c>
      <c r="G1509" s="71">
        <v>0</v>
      </c>
      <c r="H1509" s="73"/>
      <c r="I1509" s="75">
        <v>0.1</v>
      </c>
      <c r="J1509" s="77"/>
      <c r="K1509" s="66"/>
      <c r="L1509" s="66"/>
      <c r="M1509" s="79" t="str">
        <f>HYPERLINK("https://pristavka.com/catalog/funko_figures/Fun81969/")</f>
        <v>https://pristavka.com/catalog/funko_figures/Fun81969/</v>
      </c>
      <c r="N1509" s="71"/>
      <c r="O1509" s="66" t="s">
        <v>27</v>
      </c>
      <c r="P1509" s="82" t="s">
        <v>6395</v>
      </c>
      <c r="Q1509" s="84" t="s">
        <v>3582</v>
      </c>
      <c r="R1509" s="84" t="s">
        <v>1315</v>
      </c>
      <c r="S1509" s="84">
        <v>0.21199999999999999</v>
      </c>
      <c r="T1509" s="82" t="s">
        <v>4206</v>
      </c>
      <c r="U1509" s="84" t="s">
        <v>3584</v>
      </c>
      <c r="V1509" s="54"/>
    </row>
    <row r="1510" spans="1:22" s="11" customFormat="1" ht="45" customHeight="1" x14ac:dyDescent="0.2">
      <c r="A1510" s="66" t="s">
        <v>3577</v>
      </c>
      <c r="B1510" s="66" t="s">
        <v>1707</v>
      </c>
      <c r="C1510" s="66" t="s">
        <v>3578</v>
      </c>
      <c r="D1510" s="66">
        <v>55617</v>
      </c>
      <c r="E1510" s="68" t="s">
        <v>6396</v>
      </c>
      <c r="F1510" s="66" t="s">
        <v>6397</v>
      </c>
      <c r="G1510" s="71">
        <v>6500</v>
      </c>
      <c r="H1510" s="73"/>
      <c r="I1510" s="75">
        <v>0.1</v>
      </c>
      <c r="J1510" s="77"/>
      <c r="K1510" s="66"/>
      <c r="L1510" s="66"/>
      <c r="M1510" s="79" t="str">
        <f>HYPERLINK("http://www.pristavka.com/catalog/funko/Fun25491123/")</f>
        <v>http://www.pristavka.com/catalog/funko/Fun25491123/</v>
      </c>
      <c r="N1510" s="71">
        <v>9999</v>
      </c>
      <c r="O1510" s="66" t="s">
        <v>27</v>
      </c>
      <c r="P1510" s="82" t="s">
        <v>6398</v>
      </c>
      <c r="Q1510" s="84" t="s">
        <v>3582</v>
      </c>
      <c r="R1510" s="84" t="s">
        <v>1315</v>
      </c>
      <c r="S1510" s="84">
        <v>0.14499999999999999</v>
      </c>
      <c r="T1510" s="82" t="s">
        <v>6386</v>
      </c>
      <c r="U1510" s="84" t="s">
        <v>3584</v>
      </c>
      <c r="V1510" s="54"/>
    </row>
    <row r="1511" spans="1:22" s="11" customFormat="1" ht="45" customHeight="1" x14ac:dyDescent="0.2">
      <c r="A1511" s="66" t="s">
        <v>3577</v>
      </c>
      <c r="B1511" s="66" t="s">
        <v>1707</v>
      </c>
      <c r="C1511" s="66" t="s">
        <v>3578</v>
      </c>
      <c r="D1511" s="66">
        <v>2353</v>
      </c>
      <c r="E1511" s="68" t="s">
        <v>6399</v>
      </c>
      <c r="F1511" s="66" t="s">
        <v>6400</v>
      </c>
      <c r="G1511" s="71">
        <v>6500</v>
      </c>
      <c r="H1511" s="73"/>
      <c r="I1511" s="75">
        <v>0.1</v>
      </c>
      <c r="J1511" s="77"/>
      <c r="K1511" s="66"/>
      <c r="L1511" s="66"/>
      <c r="M1511" s="79" t="str">
        <f>HYPERLINK("http://www.pristavka.com/catalog/funko/Fun1391/")</f>
        <v>http://www.pristavka.com/catalog/funko/Fun1391/</v>
      </c>
      <c r="N1511" s="71">
        <v>9999</v>
      </c>
      <c r="O1511" s="66" t="s">
        <v>27</v>
      </c>
      <c r="P1511" s="82" t="s">
        <v>6401</v>
      </c>
      <c r="Q1511" s="84" t="s">
        <v>3582</v>
      </c>
      <c r="R1511" s="84" t="s">
        <v>1315</v>
      </c>
      <c r="S1511" s="84">
        <v>0.13</v>
      </c>
      <c r="T1511" s="82" t="s">
        <v>4102</v>
      </c>
      <c r="U1511" s="84" t="s">
        <v>3584</v>
      </c>
      <c r="V1511" s="54"/>
    </row>
    <row r="1512" spans="1:22" s="11" customFormat="1" ht="45" customHeight="1" x14ac:dyDescent="0.2">
      <c r="A1512" s="66" t="s">
        <v>3577</v>
      </c>
      <c r="B1512" s="66" t="s">
        <v>1707</v>
      </c>
      <c r="C1512" s="66" t="s">
        <v>3578</v>
      </c>
      <c r="D1512" s="66">
        <v>79953</v>
      </c>
      <c r="E1512" s="68" t="s">
        <v>6402</v>
      </c>
      <c r="F1512" s="66" t="s">
        <v>6403</v>
      </c>
      <c r="G1512" s="71">
        <v>6500</v>
      </c>
      <c r="H1512" s="73"/>
      <c r="I1512" s="75">
        <v>0.1</v>
      </c>
      <c r="J1512" s="77"/>
      <c r="K1512" s="66"/>
      <c r="L1512" s="66"/>
      <c r="M1512" s="79" t="str">
        <f>HYPERLINK("http://www.pristavka.com/catalog/funko/Fun79953/")</f>
        <v>http://www.pristavka.com/catalog/funko/Fun79953/</v>
      </c>
      <c r="N1512" s="71">
        <v>9999</v>
      </c>
      <c r="O1512" s="66" t="s">
        <v>27</v>
      </c>
      <c r="P1512" s="82" t="s">
        <v>6404</v>
      </c>
      <c r="Q1512" s="84" t="s">
        <v>3582</v>
      </c>
      <c r="R1512" s="84" t="s">
        <v>1315</v>
      </c>
      <c r="S1512" s="84">
        <v>0.14000000000000001</v>
      </c>
      <c r="T1512" s="82" t="s">
        <v>4558</v>
      </c>
      <c r="U1512" s="84" t="s">
        <v>3584</v>
      </c>
      <c r="V1512" s="54"/>
    </row>
    <row r="1513" spans="1:22" s="11" customFormat="1" ht="45" customHeight="1" x14ac:dyDescent="0.2">
      <c r="A1513" s="66" t="s">
        <v>3577</v>
      </c>
      <c r="B1513" s="66" t="s">
        <v>1707</v>
      </c>
      <c r="C1513" s="66" t="s">
        <v>3578</v>
      </c>
      <c r="D1513" s="66">
        <v>55618</v>
      </c>
      <c r="E1513" s="68" t="s">
        <v>6405</v>
      </c>
      <c r="F1513" s="66" t="s">
        <v>6406</v>
      </c>
      <c r="G1513" s="71">
        <v>22750</v>
      </c>
      <c r="H1513" s="73"/>
      <c r="I1513" s="75">
        <v>0.1</v>
      </c>
      <c r="J1513" s="77"/>
      <c r="K1513" s="66"/>
      <c r="L1513" s="66"/>
      <c r="M1513" s="79" t="str">
        <f>HYPERLINK("http://www.pristavka.com/catalog/funko/Fun55618/")</f>
        <v>http://www.pristavka.com/catalog/funko/Fun55618/</v>
      </c>
      <c r="N1513" s="71">
        <v>34999</v>
      </c>
      <c r="O1513" s="66" t="s">
        <v>27</v>
      </c>
      <c r="P1513" s="82" t="s">
        <v>6407</v>
      </c>
      <c r="Q1513" s="84" t="s">
        <v>3582</v>
      </c>
      <c r="R1513" s="84" t="s">
        <v>1315</v>
      </c>
      <c r="S1513" s="84">
        <v>1.4</v>
      </c>
      <c r="T1513" s="82" t="s">
        <v>6408</v>
      </c>
      <c r="U1513" s="84" t="s">
        <v>3584</v>
      </c>
      <c r="V1513" s="54"/>
    </row>
    <row r="1514" spans="1:22" s="11" customFormat="1" ht="45" customHeight="1" x14ac:dyDescent="0.2">
      <c r="A1514" s="66" t="s">
        <v>3577</v>
      </c>
      <c r="B1514" s="66" t="s">
        <v>1707</v>
      </c>
      <c r="C1514" s="66" t="s">
        <v>3578</v>
      </c>
      <c r="D1514" s="66">
        <v>4671</v>
      </c>
      <c r="E1514" s="68" t="s">
        <v>6409</v>
      </c>
      <c r="F1514" s="66" t="s">
        <v>6410</v>
      </c>
      <c r="G1514" s="71">
        <v>6500</v>
      </c>
      <c r="H1514" s="73"/>
      <c r="I1514" s="75">
        <v>0.1</v>
      </c>
      <c r="J1514" s="77"/>
      <c r="K1514" s="66"/>
      <c r="L1514" s="66"/>
      <c r="M1514" s="79" t="str">
        <f>HYPERLINK("http://www.pristavka.com/catalog/funko/Fun2549884/")</f>
        <v>http://www.pristavka.com/catalog/funko/Fun2549884/</v>
      </c>
      <c r="N1514" s="71">
        <v>9999</v>
      </c>
      <c r="O1514" s="66" t="s">
        <v>27</v>
      </c>
      <c r="P1514" s="82" t="s">
        <v>6411</v>
      </c>
      <c r="Q1514" s="84" t="s">
        <v>3582</v>
      </c>
      <c r="R1514" s="84" t="s">
        <v>1315</v>
      </c>
      <c r="S1514" s="84">
        <v>0.13</v>
      </c>
      <c r="T1514" s="82" t="s">
        <v>4574</v>
      </c>
      <c r="U1514" s="84" t="s">
        <v>3584</v>
      </c>
      <c r="V1514" s="54"/>
    </row>
    <row r="1515" spans="1:22" s="11" customFormat="1" ht="45" customHeight="1" x14ac:dyDescent="0.2">
      <c r="A1515" s="66" t="s">
        <v>3577</v>
      </c>
      <c r="B1515" s="66" t="s">
        <v>1707</v>
      </c>
      <c r="C1515" s="66" t="s">
        <v>3578</v>
      </c>
      <c r="D1515" s="66">
        <v>87208</v>
      </c>
      <c r="E1515" s="68" t="s">
        <v>6412</v>
      </c>
      <c r="F1515" s="66" t="s">
        <v>6413</v>
      </c>
      <c r="G1515" s="71">
        <v>6890</v>
      </c>
      <c r="H1515" s="73"/>
      <c r="I1515" s="75">
        <v>0.1</v>
      </c>
      <c r="J1515" s="77"/>
      <c r="K1515" s="66"/>
      <c r="L1515" s="66"/>
      <c r="M1515" s="79" t="str">
        <f>HYPERLINK("http://www.pristavka.com/catalog/funko/Fun87208/")</f>
        <v>http://www.pristavka.com/catalog/funko/Fun87208/</v>
      </c>
      <c r="N1515" s="71">
        <v>10599</v>
      </c>
      <c r="O1515" s="66" t="s">
        <v>27</v>
      </c>
      <c r="P1515" s="82" t="s">
        <v>6414</v>
      </c>
      <c r="Q1515" s="84" t="s">
        <v>3582</v>
      </c>
      <c r="R1515" s="84" t="s">
        <v>1315</v>
      </c>
      <c r="S1515" s="84">
        <v>0.156</v>
      </c>
      <c r="T1515" s="82" t="s">
        <v>5191</v>
      </c>
      <c r="U1515" s="84" t="s">
        <v>3584</v>
      </c>
      <c r="V1515" s="54"/>
    </row>
    <row r="1516" spans="1:22" s="11" customFormat="1" ht="45" customHeight="1" x14ac:dyDescent="0.2">
      <c r="A1516" s="66" t="s">
        <v>3577</v>
      </c>
      <c r="B1516" s="66" t="s">
        <v>1707</v>
      </c>
      <c r="C1516" s="66" t="s">
        <v>3578</v>
      </c>
      <c r="D1516" s="66">
        <v>66486</v>
      </c>
      <c r="E1516" s="68" t="s">
        <v>6415</v>
      </c>
      <c r="F1516" s="66" t="s">
        <v>6416</v>
      </c>
      <c r="G1516" s="71">
        <v>6890</v>
      </c>
      <c r="H1516" s="73"/>
      <c r="I1516" s="75">
        <v>0.1</v>
      </c>
      <c r="J1516" s="77"/>
      <c r="K1516" s="66"/>
      <c r="L1516" s="66"/>
      <c r="M1516" s="79" t="str">
        <f>HYPERLINK("http://www.pristavka.com/catalog/funko/Fun66486/")</f>
        <v>http://www.pristavka.com/catalog/funko/Fun66486/</v>
      </c>
      <c r="N1516" s="71">
        <v>10599</v>
      </c>
      <c r="O1516" s="66" t="s">
        <v>27</v>
      </c>
      <c r="P1516" s="82" t="s">
        <v>6417</v>
      </c>
      <c r="Q1516" s="84" t="s">
        <v>3582</v>
      </c>
      <c r="R1516" s="84" t="s">
        <v>1315</v>
      </c>
      <c r="S1516" s="84">
        <v>0.13500000000000001</v>
      </c>
      <c r="T1516" s="82" t="s">
        <v>4084</v>
      </c>
      <c r="U1516" s="84" t="s">
        <v>3584</v>
      </c>
      <c r="V1516" s="54"/>
    </row>
    <row r="1517" spans="1:22" s="11" customFormat="1" ht="45" customHeight="1" x14ac:dyDescent="0.2">
      <c r="A1517" s="66" t="s">
        <v>3577</v>
      </c>
      <c r="B1517" s="66" t="s">
        <v>1707</v>
      </c>
      <c r="C1517" s="66" t="s">
        <v>3578</v>
      </c>
      <c r="D1517" s="66">
        <v>86276</v>
      </c>
      <c r="E1517" s="68" t="s">
        <v>6418</v>
      </c>
      <c r="F1517" s="66" t="s">
        <v>6419</v>
      </c>
      <c r="G1517" s="71">
        <v>6500</v>
      </c>
      <c r="H1517" s="73"/>
      <c r="I1517" s="75">
        <v>0.1</v>
      </c>
      <c r="J1517" s="77"/>
      <c r="K1517" s="66"/>
      <c r="L1517" s="66"/>
      <c r="M1517" s="79" t="str">
        <f>HYPERLINK("http://www.pristavka.com/catalog/funko/Fun86276/")</f>
        <v>http://www.pristavka.com/catalog/funko/Fun86276/</v>
      </c>
      <c r="N1517" s="71">
        <v>9999</v>
      </c>
      <c r="O1517" s="66" t="s">
        <v>27</v>
      </c>
      <c r="P1517" s="82" t="s">
        <v>6420</v>
      </c>
      <c r="Q1517" s="84" t="s">
        <v>3582</v>
      </c>
      <c r="R1517" s="84" t="s">
        <v>1315</v>
      </c>
      <c r="S1517" s="84">
        <v>0.14000000000000001</v>
      </c>
      <c r="T1517" s="82" t="s">
        <v>4113</v>
      </c>
      <c r="U1517" s="84" t="s">
        <v>3584</v>
      </c>
      <c r="V1517" s="54"/>
    </row>
    <row r="1518" spans="1:22" s="11" customFormat="1" ht="45" customHeight="1" x14ac:dyDescent="0.2">
      <c r="A1518" s="66" t="s">
        <v>3577</v>
      </c>
      <c r="B1518" s="66" t="s">
        <v>1707</v>
      </c>
      <c r="C1518" s="66" t="s">
        <v>3578</v>
      </c>
      <c r="D1518" s="66">
        <v>6555</v>
      </c>
      <c r="E1518" s="68" t="s">
        <v>6421</v>
      </c>
      <c r="F1518" s="66" t="s">
        <v>6422</v>
      </c>
      <c r="G1518" s="71">
        <v>6500</v>
      </c>
      <c r="H1518" s="73"/>
      <c r="I1518" s="75">
        <v>0.1</v>
      </c>
      <c r="J1518" s="77"/>
      <c r="K1518" s="66"/>
      <c r="L1518" s="66"/>
      <c r="M1518" s="79" t="str">
        <f>HYPERLINK("http://www.pristavka.com/catalog/funko/Fun1288/")</f>
        <v>http://www.pristavka.com/catalog/funko/Fun1288/</v>
      </c>
      <c r="N1518" s="71">
        <v>9999</v>
      </c>
      <c r="O1518" s="66" t="s">
        <v>27</v>
      </c>
      <c r="P1518" s="82" t="s">
        <v>6423</v>
      </c>
      <c r="Q1518" s="84" t="s">
        <v>3582</v>
      </c>
      <c r="R1518" s="84" t="s">
        <v>1315</v>
      </c>
      <c r="S1518" s="84">
        <v>0.154</v>
      </c>
      <c r="T1518" s="82" t="s">
        <v>4102</v>
      </c>
      <c r="U1518" s="84" t="s">
        <v>3584</v>
      </c>
      <c r="V1518" s="54"/>
    </row>
    <row r="1519" spans="1:22" s="11" customFormat="1" ht="45" customHeight="1" x14ac:dyDescent="0.2">
      <c r="A1519" s="66" t="s">
        <v>3577</v>
      </c>
      <c r="B1519" s="66" t="s">
        <v>1707</v>
      </c>
      <c r="C1519" s="66" t="s">
        <v>3578</v>
      </c>
      <c r="D1519" s="66">
        <v>82860</v>
      </c>
      <c r="E1519" s="68" t="s">
        <v>6424</v>
      </c>
      <c r="F1519" s="66" t="s">
        <v>6425</v>
      </c>
      <c r="G1519" s="71">
        <v>0</v>
      </c>
      <c r="H1519" s="73"/>
      <c r="I1519" s="75">
        <v>0.1</v>
      </c>
      <c r="J1519" s="77"/>
      <c r="K1519" s="66"/>
      <c r="L1519" s="66"/>
      <c r="M1519" s="79" t="str">
        <f>HYPERLINK("http://www.pristavka.com/catalog/funko/Fun82860/")</f>
        <v>http://www.pristavka.com/catalog/funko/Fun82860/</v>
      </c>
      <c r="N1519" s="71"/>
      <c r="O1519" s="66" t="s">
        <v>27</v>
      </c>
      <c r="P1519" s="82" t="s">
        <v>6426</v>
      </c>
      <c r="Q1519" s="84" t="s">
        <v>3582</v>
      </c>
      <c r="R1519" s="84" t="s">
        <v>1315</v>
      </c>
      <c r="S1519" s="84">
        <v>0.21199999999999999</v>
      </c>
      <c r="T1519" s="82" t="s">
        <v>4091</v>
      </c>
      <c r="U1519" s="84" t="s">
        <v>3584</v>
      </c>
      <c r="V1519" s="54"/>
    </row>
    <row r="1520" spans="1:22" s="11" customFormat="1" ht="45" customHeight="1" x14ac:dyDescent="0.2">
      <c r="A1520" s="66" t="s">
        <v>3577</v>
      </c>
      <c r="B1520" s="66" t="s">
        <v>1707</v>
      </c>
      <c r="C1520" s="66" t="s">
        <v>3578</v>
      </c>
      <c r="D1520" s="66">
        <v>51795</v>
      </c>
      <c r="E1520" s="68" t="s">
        <v>6427</v>
      </c>
      <c r="F1520" s="66" t="s">
        <v>6428</v>
      </c>
      <c r="G1520" s="71">
        <v>6890</v>
      </c>
      <c r="H1520" s="73"/>
      <c r="I1520" s="75">
        <v>0.1</v>
      </c>
      <c r="J1520" s="77"/>
      <c r="K1520" s="66"/>
      <c r="L1520" s="66"/>
      <c r="M1520" s="79" t="str">
        <f>HYPERLINK("http://www.pristavka.com/catalog/funko/Fun2549819/")</f>
        <v>http://www.pristavka.com/catalog/funko/Fun2549819/</v>
      </c>
      <c r="N1520" s="71">
        <v>10599</v>
      </c>
      <c r="O1520" s="66" t="s">
        <v>28</v>
      </c>
      <c r="P1520" s="82" t="s">
        <v>6429</v>
      </c>
      <c r="Q1520" s="84" t="s">
        <v>3582</v>
      </c>
      <c r="R1520" s="84" t="s">
        <v>1315</v>
      </c>
      <c r="S1520" s="84">
        <v>0.17499999999999999</v>
      </c>
      <c r="T1520" s="82" t="s">
        <v>4303</v>
      </c>
      <c r="U1520" s="84" t="s">
        <v>3584</v>
      </c>
      <c r="V1520" s="54"/>
    </row>
    <row r="1521" spans="1:22" s="11" customFormat="1" ht="45" customHeight="1" x14ac:dyDescent="0.2">
      <c r="A1521" s="66" t="s">
        <v>3577</v>
      </c>
      <c r="B1521" s="66" t="s">
        <v>1707</v>
      </c>
      <c r="C1521" s="66" t="s">
        <v>3578</v>
      </c>
      <c r="D1521" s="66">
        <v>82880</v>
      </c>
      <c r="E1521" s="68" t="s">
        <v>6430</v>
      </c>
      <c r="F1521" s="66" t="s">
        <v>6431</v>
      </c>
      <c r="G1521" s="71">
        <v>6890</v>
      </c>
      <c r="H1521" s="73"/>
      <c r="I1521" s="75">
        <v>0.1</v>
      </c>
      <c r="J1521" s="77"/>
      <c r="K1521" s="66"/>
      <c r="L1521" s="66"/>
      <c r="M1521" s="79" t="str">
        <f>HYPERLINK("http://www.pristavka.com/catalog/funko/Fun82880/")</f>
        <v>http://www.pristavka.com/catalog/funko/Fun82880/</v>
      </c>
      <c r="N1521" s="71">
        <v>10599</v>
      </c>
      <c r="O1521" s="66" t="s">
        <v>27</v>
      </c>
      <c r="P1521" s="82" t="s">
        <v>6432</v>
      </c>
      <c r="Q1521" s="84" t="s">
        <v>3582</v>
      </c>
      <c r="R1521" s="84" t="s">
        <v>1315</v>
      </c>
      <c r="S1521" s="84">
        <v>0.156</v>
      </c>
      <c r="T1521" s="82" t="s">
        <v>4091</v>
      </c>
      <c r="U1521" s="84" t="s">
        <v>3584</v>
      </c>
      <c r="V1521" s="54"/>
    </row>
    <row r="1522" spans="1:22" s="11" customFormat="1" ht="45" customHeight="1" x14ac:dyDescent="0.2">
      <c r="A1522" s="66" t="s">
        <v>3577</v>
      </c>
      <c r="B1522" s="66" t="s">
        <v>1707</v>
      </c>
      <c r="C1522" s="66" t="s">
        <v>3578</v>
      </c>
      <c r="D1522" s="66">
        <v>86277</v>
      </c>
      <c r="E1522" s="68" t="s">
        <v>6433</v>
      </c>
      <c r="F1522" s="66" t="s">
        <v>6434</v>
      </c>
      <c r="G1522" s="71">
        <v>6500</v>
      </c>
      <c r="H1522" s="73"/>
      <c r="I1522" s="75">
        <v>0.1</v>
      </c>
      <c r="J1522" s="77"/>
      <c r="K1522" s="66"/>
      <c r="L1522" s="66"/>
      <c r="M1522" s="79" t="str">
        <f>HYPERLINK("http://www.pristavka.com/catalog/funko/Fun86277/")</f>
        <v>http://www.pristavka.com/catalog/funko/Fun86277/</v>
      </c>
      <c r="N1522" s="71">
        <v>9999</v>
      </c>
      <c r="O1522" s="66" t="s">
        <v>27</v>
      </c>
      <c r="P1522" s="82" t="s">
        <v>6435</v>
      </c>
      <c r="Q1522" s="84" t="s">
        <v>3582</v>
      </c>
      <c r="R1522" s="84" t="s">
        <v>1315</v>
      </c>
      <c r="S1522" s="84">
        <v>0.16500000000000001</v>
      </c>
      <c r="T1522" s="82" t="s">
        <v>4084</v>
      </c>
      <c r="U1522" s="84" t="s">
        <v>3584</v>
      </c>
      <c r="V1522" s="54"/>
    </row>
    <row r="1523" spans="1:22" s="11" customFormat="1" ht="45" customHeight="1" x14ac:dyDescent="0.2">
      <c r="A1523" s="66" t="s">
        <v>3577</v>
      </c>
      <c r="B1523" s="66" t="s">
        <v>1707</v>
      </c>
      <c r="C1523" s="66" t="s">
        <v>3578</v>
      </c>
      <c r="D1523" s="66">
        <v>40102</v>
      </c>
      <c r="E1523" s="68" t="s">
        <v>6436</v>
      </c>
      <c r="F1523" s="66" t="s">
        <v>6437</v>
      </c>
      <c r="G1523" s="71">
        <v>6500</v>
      </c>
      <c r="H1523" s="73"/>
      <c r="I1523" s="75">
        <v>0.1</v>
      </c>
      <c r="J1523" s="77"/>
      <c r="K1523" s="66"/>
      <c r="L1523" s="66"/>
      <c r="M1523" s="79" t="str">
        <f>HYPERLINK("http://www.pristavka.com/catalog/funko/Fun2386/")</f>
        <v>http://www.pristavka.com/catalog/funko/Fun2386/</v>
      </c>
      <c r="N1523" s="71">
        <v>9999</v>
      </c>
      <c r="O1523" s="66" t="s">
        <v>27</v>
      </c>
      <c r="P1523" s="82" t="s">
        <v>6438</v>
      </c>
      <c r="Q1523" s="84" t="s">
        <v>3821</v>
      </c>
      <c r="R1523" s="84" t="s">
        <v>1315</v>
      </c>
      <c r="S1523" s="84">
        <v>0.128</v>
      </c>
      <c r="T1523" s="82" t="s">
        <v>4574</v>
      </c>
      <c r="U1523" s="84" t="s">
        <v>3584</v>
      </c>
      <c r="V1523" s="54"/>
    </row>
    <row r="1524" spans="1:22" s="11" customFormat="1" ht="45" customHeight="1" x14ac:dyDescent="0.2">
      <c r="A1524" s="66" t="s">
        <v>3577</v>
      </c>
      <c r="B1524" s="66" t="s">
        <v>1707</v>
      </c>
      <c r="C1524" s="66" t="s">
        <v>3578</v>
      </c>
      <c r="D1524" s="66">
        <v>40103</v>
      </c>
      <c r="E1524" s="68" t="s">
        <v>6439</v>
      </c>
      <c r="F1524" s="66" t="s">
        <v>6440</v>
      </c>
      <c r="G1524" s="71">
        <v>6500</v>
      </c>
      <c r="H1524" s="73"/>
      <c r="I1524" s="75">
        <v>0.1</v>
      </c>
      <c r="J1524" s="77"/>
      <c r="K1524" s="66"/>
      <c r="L1524" s="66"/>
      <c r="M1524" s="79" t="str">
        <f>HYPERLINK("http://www.pristavka.com/catalog/funko/Fun2387/")</f>
        <v>http://www.pristavka.com/catalog/funko/Fun2387/</v>
      </c>
      <c r="N1524" s="71">
        <v>9999</v>
      </c>
      <c r="O1524" s="66" t="s">
        <v>27</v>
      </c>
      <c r="P1524" s="82" t="s">
        <v>6441</v>
      </c>
      <c r="Q1524" s="84" t="s">
        <v>3821</v>
      </c>
      <c r="R1524" s="84" t="s">
        <v>1315</v>
      </c>
      <c r="S1524" s="84">
        <v>0.19900000000000001</v>
      </c>
      <c r="T1524" s="82" t="s">
        <v>4558</v>
      </c>
      <c r="U1524" s="84" t="s">
        <v>3584</v>
      </c>
      <c r="V1524" s="54"/>
    </row>
    <row r="1525" spans="1:22" s="11" customFormat="1" ht="45" customHeight="1" x14ac:dyDescent="0.2">
      <c r="A1525" s="66" t="s">
        <v>3577</v>
      </c>
      <c r="B1525" s="66" t="s">
        <v>1707</v>
      </c>
      <c r="C1525" s="66" t="s">
        <v>3578</v>
      </c>
      <c r="D1525" s="66">
        <v>70732</v>
      </c>
      <c r="E1525" s="68" t="s">
        <v>6442</v>
      </c>
      <c r="F1525" s="66" t="s">
        <v>6443</v>
      </c>
      <c r="G1525" s="71">
        <v>6500</v>
      </c>
      <c r="H1525" s="73"/>
      <c r="I1525" s="75">
        <v>0.1</v>
      </c>
      <c r="J1525" s="77"/>
      <c r="K1525" s="66"/>
      <c r="L1525" s="66"/>
      <c r="M1525" s="79" t="str">
        <f>HYPERLINK("http://www.pristavka.com/catalog/funko/Fun70732/")</f>
        <v>http://www.pristavka.com/catalog/funko/Fun70732/</v>
      </c>
      <c r="N1525" s="71">
        <v>9999</v>
      </c>
      <c r="O1525" s="66" t="s">
        <v>27</v>
      </c>
      <c r="P1525" s="82" t="s">
        <v>6444</v>
      </c>
      <c r="Q1525" s="84" t="s">
        <v>3821</v>
      </c>
      <c r="R1525" s="84" t="s">
        <v>1315</v>
      </c>
      <c r="S1525" s="84">
        <v>0.13800000000000001</v>
      </c>
      <c r="T1525" s="82" t="s">
        <v>4102</v>
      </c>
      <c r="U1525" s="84" t="s">
        <v>3584</v>
      </c>
      <c r="V1525" s="54"/>
    </row>
    <row r="1526" spans="1:22" s="11" customFormat="1" ht="45" customHeight="1" x14ac:dyDescent="0.2">
      <c r="A1526" s="66" t="s">
        <v>3577</v>
      </c>
      <c r="B1526" s="66" t="s">
        <v>1707</v>
      </c>
      <c r="C1526" s="66" t="s">
        <v>3578</v>
      </c>
      <c r="D1526" s="66">
        <v>70734</v>
      </c>
      <c r="E1526" s="68" t="s">
        <v>6445</v>
      </c>
      <c r="F1526" s="66" t="s">
        <v>6446</v>
      </c>
      <c r="G1526" s="71">
        <v>6500</v>
      </c>
      <c r="H1526" s="73"/>
      <c r="I1526" s="75">
        <v>0.1</v>
      </c>
      <c r="J1526" s="77"/>
      <c r="K1526" s="66"/>
      <c r="L1526" s="66"/>
      <c r="M1526" s="79" t="str">
        <f>HYPERLINK("http://www.pristavka.com/catalog/funko/Fun70734/")</f>
        <v>http://www.pristavka.com/catalog/funko/Fun70734/</v>
      </c>
      <c r="N1526" s="71">
        <v>9999</v>
      </c>
      <c r="O1526" s="66" t="s">
        <v>28</v>
      </c>
      <c r="P1526" s="82" t="s">
        <v>6447</v>
      </c>
      <c r="Q1526" s="84" t="s">
        <v>3821</v>
      </c>
      <c r="R1526" s="84" t="s">
        <v>1315</v>
      </c>
      <c r="S1526" s="84">
        <v>0.13</v>
      </c>
      <c r="T1526" s="82" t="s">
        <v>4370</v>
      </c>
      <c r="U1526" s="84" t="s">
        <v>3584</v>
      </c>
      <c r="V1526" s="54"/>
    </row>
    <row r="1527" spans="1:22" s="11" customFormat="1" ht="45" customHeight="1" x14ac:dyDescent="0.2">
      <c r="A1527" s="66" t="s">
        <v>3577</v>
      </c>
      <c r="B1527" s="66" t="s">
        <v>1707</v>
      </c>
      <c r="C1527" s="66" t="s">
        <v>3578</v>
      </c>
      <c r="D1527" s="66">
        <v>84632</v>
      </c>
      <c r="E1527" s="68" t="s">
        <v>6448</v>
      </c>
      <c r="F1527" s="66" t="s">
        <v>6449</v>
      </c>
      <c r="G1527" s="71">
        <v>6500</v>
      </c>
      <c r="H1527" s="73"/>
      <c r="I1527" s="75">
        <v>0.1</v>
      </c>
      <c r="J1527" s="77"/>
      <c r="K1527" s="66"/>
      <c r="L1527" s="66"/>
      <c r="M1527" s="79" t="str">
        <f>HYPERLINK("http://www.pristavka.com/catalog/funko/Fun84632/")</f>
        <v>http://www.pristavka.com/catalog/funko/Fun84632/</v>
      </c>
      <c r="N1527" s="71">
        <v>9999</v>
      </c>
      <c r="O1527" s="66" t="s">
        <v>27</v>
      </c>
      <c r="P1527" s="82" t="s">
        <v>6450</v>
      </c>
      <c r="Q1527" s="84" t="s">
        <v>1738</v>
      </c>
      <c r="R1527" s="84" t="s">
        <v>1315</v>
      </c>
      <c r="S1527" s="84">
        <v>0.17</v>
      </c>
      <c r="T1527" s="82" t="s">
        <v>4084</v>
      </c>
      <c r="U1527" s="84" t="s">
        <v>3584</v>
      </c>
      <c r="V1527" s="54"/>
    </row>
    <row r="1528" spans="1:22" s="11" customFormat="1" ht="45" customHeight="1" x14ac:dyDescent="0.2">
      <c r="A1528" s="66" t="s">
        <v>3577</v>
      </c>
      <c r="B1528" s="66" t="s">
        <v>1707</v>
      </c>
      <c r="C1528" s="66" t="s">
        <v>3578</v>
      </c>
      <c r="D1528" s="66">
        <v>83982</v>
      </c>
      <c r="E1528" s="68" t="s">
        <v>6451</v>
      </c>
      <c r="F1528" s="66" t="s">
        <v>6452</v>
      </c>
      <c r="G1528" s="71">
        <v>6500</v>
      </c>
      <c r="H1528" s="73"/>
      <c r="I1528" s="75">
        <v>0.1</v>
      </c>
      <c r="J1528" s="77"/>
      <c r="K1528" s="66"/>
      <c r="L1528" s="66"/>
      <c r="M1528" s="79" t="str">
        <f>HYPERLINK("http://www.pristavka.com/catalog/funko/Fun83982/")</f>
        <v>http://www.pristavka.com/catalog/funko/Fun83982/</v>
      </c>
      <c r="N1528" s="71">
        <v>9999</v>
      </c>
      <c r="O1528" s="66" t="s">
        <v>27</v>
      </c>
      <c r="P1528" s="82" t="s">
        <v>6453</v>
      </c>
      <c r="Q1528" s="84" t="s">
        <v>1315</v>
      </c>
      <c r="R1528" s="84" t="s">
        <v>1315</v>
      </c>
      <c r="S1528" s="84">
        <v>0.122</v>
      </c>
      <c r="T1528" s="82" t="s">
        <v>4574</v>
      </c>
      <c r="U1528" s="84" t="s">
        <v>3584</v>
      </c>
      <c r="V1528" s="54"/>
    </row>
    <row r="1529" spans="1:22" s="11" customFormat="1" ht="45" customHeight="1" x14ac:dyDescent="0.2">
      <c r="A1529" s="66" t="s">
        <v>3577</v>
      </c>
      <c r="B1529" s="66" t="s">
        <v>1707</v>
      </c>
      <c r="C1529" s="66" t="s">
        <v>3578</v>
      </c>
      <c r="D1529" s="66">
        <v>83979</v>
      </c>
      <c r="E1529" s="68" t="s">
        <v>6454</v>
      </c>
      <c r="F1529" s="66" t="s">
        <v>6455</v>
      </c>
      <c r="G1529" s="71">
        <v>6500</v>
      </c>
      <c r="H1529" s="73"/>
      <c r="I1529" s="75">
        <v>0.1</v>
      </c>
      <c r="J1529" s="77"/>
      <c r="K1529" s="66"/>
      <c r="L1529" s="66"/>
      <c r="M1529" s="79" t="str">
        <f>HYPERLINK("http://www.pristavka.com/catalog/funko/Fun83979/")</f>
        <v>http://www.pristavka.com/catalog/funko/Fun83979/</v>
      </c>
      <c r="N1529" s="71">
        <v>9999</v>
      </c>
      <c r="O1529" s="66" t="s">
        <v>27</v>
      </c>
      <c r="P1529" s="82" t="s">
        <v>6456</v>
      </c>
      <c r="Q1529" s="84" t="s">
        <v>1738</v>
      </c>
      <c r="R1529" s="84" t="s">
        <v>1315</v>
      </c>
      <c r="S1529" s="84">
        <v>0.128</v>
      </c>
      <c r="T1529" s="82" t="s">
        <v>4113</v>
      </c>
      <c r="U1529" s="84" t="s">
        <v>3584</v>
      </c>
      <c r="V1529" s="54"/>
    </row>
    <row r="1530" spans="1:22" s="11" customFormat="1" ht="45" customHeight="1" x14ac:dyDescent="0.2">
      <c r="A1530" s="66" t="s">
        <v>3577</v>
      </c>
      <c r="B1530" s="66" t="s">
        <v>1707</v>
      </c>
      <c r="C1530" s="66" t="s">
        <v>3578</v>
      </c>
      <c r="D1530" s="66">
        <v>59621</v>
      </c>
      <c r="E1530" s="68" t="s">
        <v>6457</v>
      </c>
      <c r="F1530" s="66" t="s">
        <v>6458</v>
      </c>
      <c r="G1530" s="71">
        <v>6500</v>
      </c>
      <c r="H1530" s="73"/>
      <c r="I1530" s="75">
        <v>0.1</v>
      </c>
      <c r="J1530" s="77"/>
      <c r="K1530" s="66"/>
      <c r="L1530" s="66"/>
      <c r="M1530" s="79" t="str">
        <f>HYPERLINK("http://www.pristavka.com/catalog/funko/Fun59621/")</f>
        <v>http://www.pristavka.com/catalog/funko/Fun59621/</v>
      </c>
      <c r="N1530" s="71">
        <v>9999</v>
      </c>
      <c r="O1530" s="66" t="s">
        <v>27</v>
      </c>
      <c r="P1530" s="82" t="s">
        <v>6459</v>
      </c>
      <c r="Q1530" s="84" t="s">
        <v>1738</v>
      </c>
      <c r="R1530" s="84" t="s">
        <v>1315</v>
      </c>
      <c r="S1530" s="84">
        <v>0.126</v>
      </c>
      <c r="T1530" s="82" t="s">
        <v>4353</v>
      </c>
      <c r="U1530" s="84" t="s">
        <v>3584</v>
      </c>
      <c r="V1530" s="54"/>
    </row>
    <row r="1531" spans="1:22" s="11" customFormat="1" ht="45" customHeight="1" x14ac:dyDescent="0.2">
      <c r="A1531" s="66" t="s">
        <v>3577</v>
      </c>
      <c r="B1531" s="66" t="s">
        <v>1707</v>
      </c>
      <c r="C1531" s="66" t="s">
        <v>3578</v>
      </c>
      <c r="D1531" s="66">
        <v>84635</v>
      </c>
      <c r="E1531" s="68" t="s">
        <v>6460</v>
      </c>
      <c r="F1531" s="66" t="s">
        <v>6461</v>
      </c>
      <c r="G1531" s="71">
        <v>6500</v>
      </c>
      <c r="H1531" s="73"/>
      <c r="I1531" s="75">
        <v>0.1</v>
      </c>
      <c r="J1531" s="77"/>
      <c r="K1531" s="66"/>
      <c r="L1531" s="66"/>
      <c r="M1531" s="79" t="str">
        <f>HYPERLINK("http://www.pristavka.com/catalog/funko/Fun84635/")</f>
        <v>http://www.pristavka.com/catalog/funko/Fun84635/</v>
      </c>
      <c r="N1531" s="71">
        <v>9999</v>
      </c>
      <c r="O1531" s="66" t="s">
        <v>27</v>
      </c>
      <c r="P1531" s="82" t="s">
        <v>6462</v>
      </c>
      <c r="Q1531" s="84" t="s">
        <v>1738</v>
      </c>
      <c r="R1531" s="84" t="s">
        <v>1315</v>
      </c>
      <c r="S1531" s="84">
        <v>0.125</v>
      </c>
      <c r="T1531" s="82" t="s">
        <v>4113</v>
      </c>
      <c r="U1531" s="84" t="s">
        <v>3584</v>
      </c>
      <c r="V1531" s="54"/>
    </row>
    <row r="1532" spans="1:22" s="11" customFormat="1" ht="45" customHeight="1" x14ac:dyDescent="0.2">
      <c r="A1532" s="66" t="s">
        <v>3577</v>
      </c>
      <c r="B1532" s="66" t="s">
        <v>1707</v>
      </c>
      <c r="C1532" s="66" t="s">
        <v>3578</v>
      </c>
      <c r="D1532" s="66">
        <v>83980</v>
      </c>
      <c r="E1532" s="68" t="s">
        <v>6463</v>
      </c>
      <c r="F1532" s="66" t="s">
        <v>6464</v>
      </c>
      <c r="G1532" s="71">
        <v>6500</v>
      </c>
      <c r="H1532" s="73"/>
      <c r="I1532" s="75">
        <v>0.1</v>
      </c>
      <c r="J1532" s="77"/>
      <c r="K1532" s="66"/>
      <c r="L1532" s="66"/>
      <c r="M1532" s="79" t="str">
        <f>HYPERLINK("http://www.pristavka.com/catalog/funko/Fun83980/")</f>
        <v>http://www.pristavka.com/catalog/funko/Fun83980/</v>
      </c>
      <c r="N1532" s="71">
        <v>9999</v>
      </c>
      <c r="O1532" s="66" t="s">
        <v>27</v>
      </c>
      <c r="P1532" s="82" t="s">
        <v>6465</v>
      </c>
      <c r="Q1532" s="84" t="s">
        <v>1738</v>
      </c>
      <c r="R1532" s="84" t="s">
        <v>1315</v>
      </c>
      <c r="S1532" s="84">
        <v>0.11799999999999999</v>
      </c>
      <c r="T1532" s="82" t="s">
        <v>4091</v>
      </c>
      <c r="U1532" s="84" t="s">
        <v>3584</v>
      </c>
      <c r="V1532" s="54"/>
    </row>
    <row r="1533" spans="1:22" s="11" customFormat="1" ht="45" customHeight="1" x14ac:dyDescent="0.2">
      <c r="A1533" s="66" t="s">
        <v>3577</v>
      </c>
      <c r="B1533" s="66" t="s">
        <v>1707</v>
      </c>
      <c r="C1533" s="66" t="s">
        <v>3578</v>
      </c>
      <c r="D1533" s="66">
        <v>83983</v>
      </c>
      <c r="E1533" s="68" t="s">
        <v>6466</v>
      </c>
      <c r="F1533" s="66" t="s">
        <v>6467</v>
      </c>
      <c r="G1533" s="71">
        <v>6500</v>
      </c>
      <c r="H1533" s="73"/>
      <c r="I1533" s="75">
        <v>0.1</v>
      </c>
      <c r="J1533" s="77"/>
      <c r="K1533" s="66"/>
      <c r="L1533" s="66"/>
      <c r="M1533" s="79" t="str">
        <f>HYPERLINK("http://www.pristavka.com/catalog/funko/Fun83983/")</f>
        <v>http://www.pristavka.com/catalog/funko/Fun83983/</v>
      </c>
      <c r="N1533" s="71">
        <v>9999</v>
      </c>
      <c r="O1533" s="66" t="s">
        <v>27</v>
      </c>
      <c r="P1533" s="82" t="s">
        <v>6468</v>
      </c>
      <c r="Q1533" s="84" t="s">
        <v>1315</v>
      </c>
      <c r="R1533" s="84" t="s">
        <v>1315</v>
      </c>
      <c r="S1533" s="84">
        <v>0.15</v>
      </c>
      <c r="T1533" s="82" t="s">
        <v>5191</v>
      </c>
      <c r="U1533" s="84" t="s">
        <v>3584</v>
      </c>
      <c r="V1533" s="54"/>
    </row>
    <row r="1534" spans="1:22" s="11" customFormat="1" ht="45" customHeight="1" x14ac:dyDescent="0.2">
      <c r="A1534" s="66" t="s">
        <v>3577</v>
      </c>
      <c r="B1534" s="66" t="s">
        <v>1707</v>
      </c>
      <c r="C1534" s="66" t="s">
        <v>3578</v>
      </c>
      <c r="D1534" s="66">
        <v>83981</v>
      </c>
      <c r="E1534" s="68" t="s">
        <v>6469</v>
      </c>
      <c r="F1534" s="66" t="s">
        <v>6470</v>
      </c>
      <c r="G1534" s="71">
        <v>6500</v>
      </c>
      <c r="H1534" s="73"/>
      <c r="I1534" s="75">
        <v>0.1</v>
      </c>
      <c r="J1534" s="77"/>
      <c r="K1534" s="66"/>
      <c r="L1534" s="66"/>
      <c r="M1534" s="79" t="str">
        <f>HYPERLINK("http://www.pristavka.com/catalog/funko/Fun83981/")</f>
        <v>http://www.pristavka.com/catalog/funko/Fun83981/</v>
      </c>
      <c r="N1534" s="71">
        <v>9999</v>
      </c>
      <c r="O1534" s="66" t="s">
        <v>27</v>
      </c>
      <c r="P1534" s="82" t="s">
        <v>6471</v>
      </c>
      <c r="Q1534" s="84" t="s">
        <v>1738</v>
      </c>
      <c r="R1534" s="84" t="s">
        <v>1315</v>
      </c>
      <c r="S1534" s="84">
        <v>0.12</v>
      </c>
      <c r="T1534" s="82" t="s">
        <v>4113</v>
      </c>
      <c r="U1534" s="84" t="s">
        <v>3584</v>
      </c>
      <c r="V1534" s="54"/>
    </row>
    <row r="1535" spans="1:22" s="11" customFormat="1" ht="45" customHeight="1" x14ac:dyDescent="0.2">
      <c r="A1535" s="66" t="s">
        <v>3577</v>
      </c>
      <c r="B1535" s="66" t="s">
        <v>1707</v>
      </c>
      <c r="C1535" s="66" t="s">
        <v>3578</v>
      </c>
      <c r="D1535" s="66">
        <v>79905</v>
      </c>
      <c r="E1535" s="68" t="s">
        <v>6472</v>
      </c>
      <c r="F1535" s="66" t="s">
        <v>6473</v>
      </c>
      <c r="G1535" s="71">
        <v>14300</v>
      </c>
      <c r="H1535" s="73"/>
      <c r="I1535" s="75">
        <v>0.1</v>
      </c>
      <c r="J1535" s="77"/>
      <c r="K1535" s="66"/>
      <c r="L1535" s="66"/>
      <c r="M1535" s="79" t="str">
        <f>HYPERLINK("http://www.pristavka.com/catalog/funko/Fun79905/")</f>
        <v>http://www.pristavka.com/catalog/funko/Fun79905/</v>
      </c>
      <c r="N1535" s="71">
        <v>21999</v>
      </c>
      <c r="O1535" s="66" t="s">
        <v>27</v>
      </c>
      <c r="P1535" s="82" t="s">
        <v>6474</v>
      </c>
      <c r="Q1535" s="84" t="s">
        <v>1738</v>
      </c>
      <c r="R1535" s="84" t="s">
        <v>1315</v>
      </c>
      <c r="S1535" s="84">
        <v>0.41199999999999998</v>
      </c>
      <c r="T1535" s="82" t="s">
        <v>6153</v>
      </c>
      <c r="U1535" s="84" t="s">
        <v>3584</v>
      </c>
      <c r="V1535" s="54"/>
    </row>
    <row r="1536" spans="1:22" s="11" customFormat="1" ht="45" customHeight="1" x14ac:dyDescent="0.2">
      <c r="A1536" s="66" t="s">
        <v>3577</v>
      </c>
      <c r="B1536" s="66" t="s">
        <v>1707</v>
      </c>
      <c r="C1536" s="66" t="s">
        <v>3578</v>
      </c>
      <c r="D1536" s="66">
        <v>82688</v>
      </c>
      <c r="E1536" s="68" t="s">
        <v>6475</v>
      </c>
      <c r="F1536" s="66" t="s">
        <v>6476</v>
      </c>
      <c r="G1536" s="71">
        <v>6500</v>
      </c>
      <c r="H1536" s="73"/>
      <c r="I1536" s="75">
        <v>0.1</v>
      </c>
      <c r="J1536" s="77"/>
      <c r="K1536" s="66"/>
      <c r="L1536" s="66"/>
      <c r="M1536" s="79" t="str">
        <f>HYPERLINK("http://www.pristavka.com/catalog/funko/Fun82688/")</f>
        <v>http://www.pristavka.com/catalog/funko/Fun82688/</v>
      </c>
      <c r="N1536" s="71">
        <v>9999</v>
      </c>
      <c r="O1536" s="66" t="s">
        <v>27</v>
      </c>
      <c r="P1536" s="82" t="s">
        <v>6477</v>
      </c>
      <c r="Q1536" s="84" t="s">
        <v>1738</v>
      </c>
      <c r="R1536" s="84" t="s">
        <v>1315</v>
      </c>
      <c r="S1536" s="84">
        <v>0.12</v>
      </c>
      <c r="T1536" s="82" t="s">
        <v>4091</v>
      </c>
      <c r="U1536" s="84" t="s">
        <v>3584</v>
      </c>
      <c r="V1536" s="54"/>
    </row>
    <row r="1537" spans="1:22" s="11" customFormat="1" ht="45" customHeight="1" x14ac:dyDescent="0.2">
      <c r="A1537" s="66" t="s">
        <v>3577</v>
      </c>
      <c r="B1537" s="66" t="s">
        <v>1707</v>
      </c>
      <c r="C1537" s="66" t="s">
        <v>3578</v>
      </c>
      <c r="D1537" s="66">
        <v>82689</v>
      </c>
      <c r="E1537" s="68" t="s">
        <v>6478</v>
      </c>
      <c r="F1537" s="66" t="s">
        <v>6479</v>
      </c>
      <c r="G1537" s="71">
        <v>6500</v>
      </c>
      <c r="H1537" s="73"/>
      <c r="I1537" s="75">
        <v>0.1</v>
      </c>
      <c r="J1537" s="77"/>
      <c r="K1537" s="66"/>
      <c r="L1537" s="66"/>
      <c r="M1537" s="79" t="str">
        <f>HYPERLINK("http://www.pristavka.com/catalog/funko/Fun82689/")</f>
        <v>http://www.pristavka.com/catalog/funko/Fun82689/</v>
      </c>
      <c r="N1537" s="71">
        <v>9999</v>
      </c>
      <c r="O1537" s="66" t="s">
        <v>28</v>
      </c>
      <c r="P1537" s="82" t="s">
        <v>6480</v>
      </c>
      <c r="Q1537" s="84" t="s">
        <v>1738</v>
      </c>
      <c r="R1537" s="84" t="s">
        <v>1315</v>
      </c>
      <c r="S1537" s="84">
        <v>0.11600000000000001</v>
      </c>
      <c r="T1537" s="82" t="s">
        <v>4091</v>
      </c>
      <c r="U1537" s="84" t="s">
        <v>3584</v>
      </c>
      <c r="V1537" s="54"/>
    </row>
    <row r="1538" spans="1:22" s="11" customFormat="1" ht="45" customHeight="1" x14ac:dyDescent="0.2">
      <c r="A1538" s="66" t="s">
        <v>3577</v>
      </c>
      <c r="B1538" s="66" t="s">
        <v>1707</v>
      </c>
      <c r="C1538" s="66" t="s">
        <v>3578</v>
      </c>
      <c r="D1538" s="66">
        <v>79738</v>
      </c>
      <c r="E1538" s="68" t="s">
        <v>6481</v>
      </c>
      <c r="F1538" s="66" t="s">
        <v>6482</v>
      </c>
      <c r="G1538" s="71">
        <v>6500</v>
      </c>
      <c r="H1538" s="73"/>
      <c r="I1538" s="75">
        <v>0.1</v>
      </c>
      <c r="J1538" s="77"/>
      <c r="K1538" s="66"/>
      <c r="L1538" s="66"/>
      <c r="M1538" s="79" t="str">
        <f>HYPERLINK("http://www.pristavka.com/catalog/funko/Fun79738/")</f>
        <v>http://www.pristavka.com/catalog/funko/Fun79738/</v>
      </c>
      <c r="N1538" s="71">
        <v>9999</v>
      </c>
      <c r="O1538" s="66" t="s">
        <v>27</v>
      </c>
      <c r="P1538" s="82" t="s">
        <v>6483</v>
      </c>
      <c r="Q1538" s="84" t="s">
        <v>3816</v>
      </c>
      <c r="R1538" s="84" t="s">
        <v>1315</v>
      </c>
      <c r="S1538" s="84">
        <v>0.17499999999999999</v>
      </c>
      <c r="T1538" s="82" t="s">
        <v>4113</v>
      </c>
      <c r="U1538" s="84" t="s">
        <v>3584</v>
      </c>
      <c r="V1538" s="54"/>
    </row>
    <row r="1539" spans="1:22" s="11" customFormat="1" ht="45" customHeight="1" x14ac:dyDescent="0.2">
      <c r="A1539" s="66" t="s">
        <v>3577</v>
      </c>
      <c r="B1539" s="66" t="s">
        <v>1707</v>
      </c>
      <c r="C1539" s="66" t="s">
        <v>3578</v>
      </c>
      <c r="D1539" s="66">
        <v>79737</v>
      </c>
      <c r="E1539" s="68" t="s">
        <v>6484</v>
      </c>
      <c r="F1539" s="66" t="s">
        <v>6485</v>
      </c>
      <c r="G1539" s="71">
        <v>6500</v>
      </c>
      <c r="H1539" s="73"/>
      <c r="I1539" s="75">
        <v>0.1</v>
      </c>
      <c r="J1539" s="77"/>
      <c r="K1539" s="66"/>
      <c r="L1539" s="66"/>
      <c r="M1539" s="79" t="str">
        <f>HYPERLINK("http://www.pristavka.com/catalog/funko/Fun79737/")</f>
        <v>http://www.pristavka.com/catalog/funko/Fun79737/</v>
      </c>
      <c r="N1539" s="71">
        <v>9999</v>
      </c>
      <c r="O1539" s="66" t="s">
        <v>27</v>
      </c>
      <c r="P1539" s="82" t="s">
        <v>6486</v>
      </c>
      <c r="Q1539" s="84" t="s">
        <v>3816</v>
      </c>
      <c r="R1539" s="84" t="s">
        <v>1315</v>
      </c>
      <c r="S1539" s="84">
        <v>0.254</v>
      </c>
      <c r="T1539" s="82" t="s">
        <v>4084</v>
      </c>
      <c r="U1539" s="84" t="s">
        <v>3584</v>
      </c>
      <c r="V1539" s="54"/>
    </row>
    <row r="1540" spans="1:22" s="11" customFormat="1" ht="45" customHeight="1" x14ac:dyDescent="0.2">
      <c r="A1540" s="66" t="s">
        <v>3577</v>
      </c>
      <c r="B1540" s="66" t="s">
        <v>1707</v>
      </c>
      <c r="C1540" s="66" t="s">
        <v>3578</v>
      </c>
      <c r="D1540" s="66">
        <v>79736</v>
      </c>
      <c r="E1540" s="68" t="s">
        <v>6487</v>
      </c>
      <c r="F1540" s="66" t="s">
        <v>6488</v>
      </c>
      <c r="G1540" s="71">
        <v>6500</v>
      </c>
      <c r="H1540" s="73"/>
      <c r="I1540" s="75">
        <v>0.1</v>
      </c>
      <c r="J1540" s="77"/>
      <c r="K1540" s="66"/>
      <c r="L1540" s="66"/>
      <c r="M1540" s="79" t="str">
        <f>HYPERLINK("http://www.pristavka.com/catalog/funko/Fun79736/")</f>
        <v>http://www.pristavka.com/catalog/funko/Fun79736/</v>
      </c>
      <c r="N1540" s="71">
        <v>9999</v>
      </c>
      <c r="O1540" s="66" t="s">
        <v>27</v>
      </c>
      <c r="P1540" s="82" t="s">
        <v>6489</v>
      </c>
      <c r="Q1540" s="84" t="s">
        <v>3816</v>
      </c>
      <c r="R1540" s="84" t="s">
        <v>1315</v>
      </c>
      <c r="S1540" s="84">
        <v>0.17</v>
      </c>
      <c r="T1540" s="82" t="s">
        <v>4113</v>
      </c>
      <c r="U1540" s="84" t="s">
        <v>3584</v>
      </c>
      <c r="V1540" s="54"/>
    </row>
    <row r="1541" spans="1:22" s="11" customFormat="1" ht="45" customHeight="1" x14ac:dyDescent="0.2">
      <c r="A1541" s="66" t="s">
        <v>3577</v>
      </c>
      <c r="B1541" s="66" t="s">
        <v>1707</v>
      </c>
      <c r="C1541" s="66" t="s">
        <v>3578</v>
      </c>
      <c r="D1541" s="66">
        <v>9927</v>
      </c>
      <c r="E1541" s="68" t="s">
        <v>6490</v>
      </c>
      <c r="F1541" s="66" t="s">
        <v>6491</v>
      </c>
      <c r="G1541" s="71">
        <v>6500</v>
      </c>
      <c r="H1541" s="73"/>
      <c r="I1541" s="75">
        <v>0.1</v>
      </c>
      <c r="J1541" s="77"/>
      <c r="K1541" s="66"/>
      <c r="L1541" s="66"/>
      <c r="M1541" s="79" t="str">
        <f>HYPERLINK("http://www.pristavka.com/catalog/funko/Fun2130/")</f>
        <v>http://www.pristavka.com/catalog/funko/Fun2130/</v>
      </c>
      <c r="N1541" s="71">
        <v>9999</v>
      </c>
      <c r="O1541" s="66" t="s">
        <v>27</v>
      </c>
      <c r="P1541" s="82" t="s">
        <v>6492</v>
      </c>
      <c r="Q1541" s="84" t="s">
        <v>3816</v>
      </c>
      <c r="R1541" s="84" t="s">
        <v>1315</v>
      </c>
      <c r="S1541" s="84">
        <v>0.24299999999999999</v>
      </c>
      <c r="T1541" s="82" t="s">
        <v>4892</v>
      </c>
      <c r="U1541" s="84" t="s">
        <v>3584</v>
      </c>
      <c r="V1541" s="54"/>
    </row>
    <row r="1542" spans="1:22" s="11" customFormat="1" ht="45" customHeight="1" x14ac:dyDescent="0.2">
      <c r="A1542" s="66" t="s">
        <v>3577</v>
      </c>
      <c r="B1542" s="66" t="s">
        <v>1707</v>
      </c>
      <c r="C1542" s="66" t="s">
        <v>3578</v>
      </c>
      <c r="D1542" s="66">
        <v>9926</v>
      </c>
      <c r="E1542" s="68" t="s">
        <v>6493</v>
      </c>
      <c r="F1542" s="66" t="s">
        <v>6494</v>
      </c>
      <c r="G1542" s="71">
        <v>6500</v>
      </c>
      <c r="H1542" s="73"/>
      <c r="I1542" s="75">
        <v>0.1</v>
      </c>
      <c r="J1542" s="77"/>
      <c r="K1542" s="66"/>
      <c r="L1542" s="66"/>
      <c r="M1542" s="79" t="str">
        <f>HYPERLINK("http://www.pristavka.com/catalog/funko/Fun9926/")</f>
        <v>http://www.pristavka.com/catalog/funko/Fun9926/</v>
      </c>
      <c r="N1542" s="71">
        <v>9999</v>
      </c>
      <c r="O1542" s="66" t="s">
        <v>28</v>
      </c>
      <c r="P1542" s="82" t="s">
        <v>6495</v>
      </c>
      <c r="Q1542" s="84" t="s">
        <v>3816</v>
      </c>
      <c r="R1542" s="84" t="s">
        <v>1315</v>
      </c>
      <c r="S1542" s="84">
        <v>0.112</v>
      </c>
      <c r="T1542" s="82" t="s">
        <v>4113</v>
      </c>
      <c r="U1542" s="84" t="s">
        <v>3584</v>
      </c>
      <c r="V1542" s="54"/>
    </row>
    <row r="1543" spans="1:22" s="11" customFormat="1" ht="45" customHeight="1" x14ac:dyDescent="0.2">
      <c r="A1543" s="66" t="s">
        <v>3577</v>
      </c>
      <c r="B1543" s="66" t="s">
        <v>1707</v>
      </c>
      <c r="C1543" s="66" t="s">
        <v>3578</v>
      </c>
      <c r="D1543" s="66">
        <v>77176</v>
      </c>
      <c r="E1543" s="68" t="s">
        <v>6496</v>
      </c>
      <c r="F1543" s="66" t="s">
        <v>6497</v>
      </c>
      <c r="G1543" s="71">
        <v>6500</v>
      </c>
      <c r="H1543" s="73"/>
      <c r="I1543" s="75">
        <v>0.1</v>
      </c>
      <c r="J1543" s="77"/>
      <c r="K1543" s="66"/>
      <c r="L1543" s="66"/>
      <c r="M1543" s="79" t="str">
        <f>HYPERLINK("http://www.pristavka.com/catalog/funko/Fun77176/")</f>
        <v>http://www.pristavka.com/catalog/funko/Fun77176/</v>
      </c>
      <c r="N1543" s="71">
        <v>9999</v>
      </c>
      <c r="O1543" s="66" t="s">
        <v>27</v>
      </c>
      <c r="P1543" s="82" t="s">
        <v>6498</v>
      </c>
      <c r="Q1543" s="84" t="s">
        <v>6499</v>
      </c>
      <c r="R1543" s="84" t="s">
        <v>1315</v>
      </c>
      <c r="S1543" s="84">
        <v>8.5000000000000006E-2</v>
      </c>
      <c r="T1543" s="82" t="s">
        <v>3946</v>
      </c>
      <c r="U1543" s="84" t="s">
        <v>3584</v>
      </c>
      <c r="V1543" s="54"/>
    </row>
    <row r="1544" spans="1:22" s="11" customFormat="1" ht="45" customHeight="1" x14ac:dyDescent="0.2">
      <c r="A1544" s="66" t="s">
        <v>3577</v>
      </c>
      <c r="B1544" s="66" t="s">
        <v>1707</v>
      </c>
      <c r="C1544" s="66" t="s">
        <v>3578</v>
      </c>
      <c r="D1544" s="66">
        <v>76058</v>
      </c>
      <c r="E1544" s="68" t="s">
        <v>6500</v>
      </c>
      <c r="F1544" s="66" t="s">
        <v>6501</v>
      </c>
      <c r="G1544" s="71">
        <v>6500</v>
      </c>
      <c r="H1544" s="73"/>
      <c r="I1544" s="75">
        <v>0.1</v>
      </c>
      <c r="J1544" s="77"/>
      <c r="K1544" s="66"/>
      <c r="L1544" s="66"/>
      <c r="M1544" s="79" t="str">
        <f>HYPERLINK("http://www.pristavka.com/catalog/funko/Fun76058/")</f>
        <v>http://www.pristavka.com/catalog/funko/Fun76058/</v>
      </c>
      <c r="N1544" s="71">
        <v>9999</v>
      </c>
      <c r="O1544" s="66" t="s">
        <v>27</v>
      </c>
      <c r="P1544" s="82" t="s">
        <v>6502</v>
      </c>
      <c r="Q1544" s="84" t="s">
        <v>6503</v>
      </c>
      <c r="R1544" s="84" t="s">
        <v>1315</v>
      </c>
      <c r="S1544" s="84">
        <v>0.13600000000000001</v>
      </c>
      <c r="T1544" s="82" t="s">
        <v>4102</v>
      </c>
      <c r="U1544" s="84" t="s">
        <v>3584</v>
      </c>
      <c r="V1544" s="54"/>
    </row>
    <row r="1545" spans="1:22" s="11" customFormat="1" ht="45" customHeight="1" x14ac:dyDescent="0.2">
      <c r="A1545" s="66" t="s">
        <v>3577</v>
      </c>
      <c r="B1545" s="66" t="s">
        <v>1707</v>
      </c>
      <c r="C1545" s="66" t="s">
        <v>3578</v>
      </c>
      <c r="D1545" s="66">
        <v>76059</v>
      </c>
      <c r="E1545" s="68" t="s">
        <v>6504</v>
      </c>
      <c r="F1545" s="66" t="s">
        <v>6505</v>
      </c>
      <c r="G1545" s="71">
        <v>6500</v>
      </c>
      <c r="H1545" s="73"/>
      <c r="I1545" s="75">
        <v>0.1</v>
      </c>
      <c r="J1545" s="77"/>
      <c r="K1545" s="66"/>
      <c r="L1545" s="66"/>
      <c r="M1545" s="79" t="str">
        <f>HYPERLINK("http://www.pristavka.com/catalog/funko/Fun76059/")</f>
        <v>http://www.pristavka.com/catalog/funko/Fun76059/</v>
      </c>
      <c r="N1545" s="71">
        <v>9999</v>
      </c>
      <c r="O1545" s="66" t="s">
        <v>27</v>
      </c>
      <c r="P1545" s="82" t="s">
        <v>6506</v>
      </c>
      <c r="Q1545" s="84" t="s">
        <v>6503</v>
      </c>
      <c r="R1545" s="84" t="s">
        <v>1315</v>
      </c>
      <c r="S1545" s="84">
        <v>0.124</v>
      </c>
      <c r="T1545" s="82" t="s">
        <v>4102</v>
      </c>
      <c r="U1545" s="84" t="s">
        <v>3584</v>
      </c>
      <c r="V1545" s="54"/>
    </row>
    <row r="1546" spans="1:22" s="11" customFormat="1" ht="45" customHeight="1" x14ac:dyDescent="0.2">
      <c r="A1546" s="66" t="s">
        <v>3577</v>
      </c>
      <c r="B1546" s="66" t="s">
        <v>1707</v>
      </c>
      <c r="C1546" s="66" t="s">
        <v>3578</v>
      </c>
      <c r="D1546" s="66">
        <v>76060</v>
      </c>
      <c r="E1546" s="68" t="s">
        <v>6507</v>
      </c>
      <c r="F1546" s="66" t="s">
        <v>6508</v>
      </c>
      <c r="G1546" s="71">
        <v>6500</v>
      </c>
      <c r="H1546" s="73"/>
      <c r="I1546" s="75">
        <v>0.1</v>
      </c>
      <c r="J1546" s="77"/>
      <c r="K1546" s="66"/>
      <c r="L1546" s="66"/>
      <c r="M1546" s="79" t="str">
        <f>HYPERLINK("http://www.pristavka.com/catalog/funko/Fun76060/")</f>
        <v>http://www.pristavka.com/catalog/funko/Fun76060/</v>
      </c>
      <c r="N1546" s="71">
        <v>9999</v>
      </c>
      <c r="O1546" s="66" t="s">
        <v>27</v>
      </c>
      <c r="P1546" s="82" t="s">
        <v>6509</v>
      </c>
      <c r="Q1546" s="84" t="s">
        <v>6503</v>
      </c>
      <c r="R1546" s="84" t="s">
        <v>1315</v>
      </c>
      <c r="S1546" s="84">
        <v>0.12</v>
      </c>
      <c r="T1546" s="82" t="s">
        <v>4102</v>
      </c>
      <c r="U1546" s="84" t="s">
        <v>3584</v>
      </c>
      <c r="V1546" s="54"/>
    </row>
    <row r="1547" spans="1:22" s="11" customFormat="1" ht="45" customHeight="1" x14ac:dyDescent="0.2">
      <c r="A1547" s="66" t="s">
        <v>3577</v>
      </c>
      <c r="B1547" s="66" t="s">
        <v>1707</v>
      </c>
      <c r="C1547" s="66" t="s">
        <v>3578</v>
      </c>
      <c r="D1547" s="66">
        <v>70696</v>
      </c>
      <c r="E1547" s="68" t="s">
        <v>6510</v>
      </c>
      <c r="F1547" s="66" t="s">
        <v>6511</v>
      </c>
      <c r="G1547" s="71">
        <v>6500</v>
      </c>
      <c r="H1547" s="73"/>
      <c r="I1547" s="75">
        <v>0.1</v>
      </c>
      <c r="J1547" s="77"/>
      <c r="K1547" s="66"/>
      <c r="L1547" s="66"/>
      <c r="M1547" s="79" t="str">
        <f>HYPERLINK("http://www.pristavka.com/catalog/funko/Fun70696/")</f>
        <v>http://www.pristavka.com/catalog/funko/Fun70696/</v>
      </c>
      <c r="N1547" s="71">
        <v>9999</v>
      </c>
      <c r="O1547" s="66" t="s">
        <v>27</v>
      </c>
      <c r="P1547" s="82" t="s">
        <v>6512</v>
      </c>
      <c r="Q1547" s="84" t="s">
        <v>6513</v>
      </c>
      <c r="R1547" s="84" t="s">
        <v>1315</v>
      </c>
      <c r="S1547" s="84">
        <v>0.192</v>
      </c>
      <c r="T1547" s="82" t="s">
        <v>4084</v>
      </c>
      <c r="U1547" s="84" t="s">
        <v>3584</v>
      </c>
      <c r="V1547" s="54"/>
    </row>
    <row r="1548" spans="1:22" s="11" customFormat="1" ht="45" customHeight="1" x14ac:dyDescent="0.2">
      <c r="A1548" s="66" t="s">
        <v>3577</v>
      </c>
      <c r="B1548" s="66" t="s">
        <v>1707</v>
      </c>
      <c r="C1548" s="66" t="s">
        <v>3578</v>
      </c>
      <c r="D1548" s="66">
        <v>80941</v>
      </c>
      <c r="E1548" s="68" t="s">
        <v>6514</v>
      </c>
      <c r="F1548" s="66" t="s">
        <v>6515</v>
      </c>
      <c r="G1548" s="71">
        <v>6500</v>
      </c>
      <c r="H1548" s="73"/>
      <c r="I1548" s="75">
        <v>0.1</v>
      </c>
      <c r="J1548" s="77"/>
      <c r="K1548" s="66"/>
      <c r="L1548" s="66"/>
      <c r="M1548" s="79" t="str">
        <f>HYPERLINK("http://www.pristavka.com/catalog/funko/Fun80941/")</f>
        <v>http://www.pristavka.com/catalog/funko/Fun80941/</v>
      </c>
      <c r="N1548" s="71">
        <v>9999</v>
      </c>
      <c r="O1548" s="66" t="s">
        <v>27</v>
      </c>
      <c r="P1548" s="82" t="s">
        <v>6516</v>
      </c>
      <c r="Q1548" s="84" t="s">
        <v>6517</v>
      </c>
      <c r="R1548" s="84" t="s">
        <v>1315</v>
      </c>
      <c r="S1548" s="84">
        <v>0.17799999999999999</v>
      </c>
      <c r="T1548" s="82" t="s">
        <v>4084</v>
      </c>
      <c r="U1548" s="84" t="s">
        <v>3584</v>
      </c>
      <c r="V1548" s="54"/>
    </row>
    <row r="1549" spans="1:22" s="11" customFormat="1" ht="45" customHeight="1" x14ac:dyDescent="0.2">
      <c r="A1549" s="66" t="s">
        <v>3577</v>
      </c>
      <c r="B1549" s="66" t="s">
        <v>1707</v>
      </c>
      <c r="C1549" s="66" t="s">
        <v>3578</v>
      </c>
      <c r="D1549" s="66">
        <v>80858</v>
      </c>
      <c r="E1549" s="68" t="s">
        <v>6518</v>
      </c>
      <c r="F1549" s="66" t="s">
        <v>6519</v>
      </c>
      <c r="G1549" s="71">
        <v>6500</v>
      </c>
      <c r="H1549" s="73"/>
      <c r="I1549" s="75">
        <v>0.1</v>
      </c>
      <c r="J1549" s="77"/>
      <c r="K1549" s="66"/>
      <c r="L1549" s="66"/>
      <c r="M1549" s="79" t="str">
        <f>HYPERLINK("http://www.pristavka.com/catalog/funko/Fun80858/")</f>
        <v>http://www.pristavka.com/catalog/funko/Fun80858/</v>
      </c>
      <c r="N1549" s="71">
        <v>9999</v>
      </c>
      <c r="O1549" s="66" t="s">
        <v>28</v>
      </c>
      <c r="P1549" s="82" t="s">
        <v>6520</v>
      </c>
      <c r="Q1549" s="84" t="s">
        <v>3811</v>
      </c>
      <c r="R1549" s="84" t="s">
        <v>1315</v>
      </c>
      <c r="S1549" s="84">
        <v>0.24399999999999999</v>
      </c>
      <c r="T1549" s="82" t="s">
        <v>4091</v>
      </c>
      <c r="U1549" s="84" t="s">
        <v>3584</v>
      </c>
      <c r="V1549" s="54"/>
    </row>
    <row r="1550" spans="1:22" s="11" customFormat="1" ht="45" customHeight="1" x14ac:dyDescent="0.2">
      <c r="A1550" s="66" t="s">
        <v>3577</v>
      </c>
      <c r="B1550" s="66" t="s">
        <v>1707</v>
      </c>
      <c r="C1550" s="66" t="s">
        <v>3578</v>
      </c>
      <c r="D1550" s="66">
        <v>82764</v>
      </c>
      <c r="E1550" s="68" t="s">
        <v>6521</v>
      </c>
      <c r="F1550" s="66" t="s">
        <v>6522</v>
      </c>
      <c r="G1550" s="71">
        <v>0</v>
      </c>
      <c r="H1550" s="73"/>
      <c r="I1550" s="75">
        <v>0.1</v>
      </c>
      <c r="J1550" s="77"/>
      <c r="K1550" s="66"/>
      <c r="L1550" s="66"/>
      <c r="M1550" s="79" t="str">
        <f>HYPERLINK("http://www.pristavka.com/catalog/funko/Fun82764/")</f>
        <v>http://www.pristavka.com/catalog/funko/Fun82764/</v>
      </c>
      <c r="N1550" s="71"/>
      <c r="O1550" s="66" t="s">
        <v>27</v>
      </c>
      <c r="P1550" s="82" t="s">
        <v>6523</v>
      </c>
      <c r="Q1550" s="84" t="s">
        <v>6524</v>
      </c>
      <c r="R1550" s="84" t="s">
        <v>1315</v>
      </c>
      <c r="S1550" s="84">
        <v>0.14799999999999999</v>
      </c>
      <c r="T1550" s="82" t="s">
        <v>4084</v>
      </c>
      <c r="U1550" s="84" t="s">
        <v>3584</v>
      </c>
      <c r="V1550" s="54"/>
    </row>
    <row r="1551" spans="1:22" s="11" customFormat="1" ht="45" customHeight="1" x14ac:dyDescent="0.2">
      <c r="A1551" s="66" t="s">
        <v>3577</v>
      </c>
      <c r="B1551" s="66" t="s">
        <v>1707</v>
      </c>
      <c r="C1551" s="66" t="s">
        <v>3578</v>
      </c>
      <c r="D1551" s="66">
        <v>75910</v>
      </c>
      <c r="E1551" s="68" t="s">
        <v>6525</v>
      </c>
      <c r="F1551" s="66" t="s">
        <v>6526</v>
      </c>
      <c r="G1551" s="71">
        <v>6500</v>
      </c>
      <c r="H1551" s="73"/>
      <c r="I1551" s="75">
        <v>0.1</v>
      </c>
      <c r="J1551" s="77"/>
      <c r="K1551" s="66"/>
      <c r="L1551" s="66"/>
      <c r="M1551" s="79" t="str">
        <f>HYPERLINK("http://www.pristavka.com/catalog/funko/Fun75910/")</f>
        <v>http://www.pristavka.com/catalog/funko/Fun75910/</v>
      </c>
      <c r="N1551" s="71">
        <v>9999</v>
      </c>
      <c r="O1551" s="66" t="s">
        <v>28</v>
      </c>
      <c r="P1551" s="82" t="s">
        <v>6527</v>
      </c>
      <c r="Q1551" s="84" t="s">
        <v>6524</v>
      </c>
      <c r="R1551" s="84" t="s">
        <v>1315</v>
      </c>
      <c r="S1551" s="84">
        <v>0.14699999999999999</v>
      </c>
      <c r="T1551" s="82" t="s">
        <v>4091</v>
      </c>
      <c r="U1551" s="84" t="s">
        <v>3584</v>
      </c>
      <c r="V1551" s="54"/>
    </row>
    <row r="1552" spans="1:22" s="11" customFormat="1" ht="45" customHeight="1" x14ac:dyDescent="0.2">
      <c r="A1552" s="66" t="s">
        <v>3577</v>
      </c>
      <c r="B1552" s="66" t="s">
        <v>1707</v>
      </c>
      <c r="C1552" s="66" t="s">
        <v>3578</v>
      </c>
      <c r="D1552" s="66">
        <v>75911</v>
      </c>
      <c r="E1552" s="68" t="s">
        <v>6528</v>
      </c>
      <c r="F1552" s="66" t="s">
        <v>6529</v>
      </c>
      <c r="G1552" s="71">
        <v>6500</v>
      </c>
      <c r="H1552" s="73"/>
      <c r="I1552" s="75">
        <v>0.1</v>
      </c>
      <c r="J1552" s="77"/>
      <c r="K1552" s="66"/>
      <c r="L1552" s="66"/>
      <c r="M1552" s="79" t="str">
        <f>HYPERLINK("http://www.pristavka.com/catalog/funko/Fun75911/")</f>
        <v>http://www.pristavka.com/catalog/funko/Fun75911/</v>
      </c>
      <c r="N1552" s="71">
        <v>9999</v>
      </c>
      <c r="O1552" s="66" t="s">
        <v>27</v>
      </c>
      <c r="P1552" s="82" t="s">
        <v>6530</v>
      </c>
      <c r="Q1552" s="84" t="s">
        <v>6524</v>
      </c>
      <c r="R1552" s="84" t="s">
        <v>1315</v>
      </c>
      <c r="S1552" s="84">
        <v>0.152</v>
      </c>
      <c r="T1552" s="82" t="s">
        <v>4091</v>
      </c>
      <c r="U1552" s="84" t="s">
        <v>3584</v>
      </c>
      <c r="V1552" s="54"/>
    </row>
    <row r="1553" spans="1:22" s="11" customFormat="1" ht="45" customHeight="1" x14ac:dyDescent="0.2">
      <c r="A1553" s="66" t="s">
        <v>3577</v>
      </c>
      <c r="B1553" s="66" t="s">
        <v>1707</v>
      </c>
      <c r="C1553" s="66" t="s">
        <v>3578</v>
      </c>
      <c r="D1553" s="66">
        <v>75915</v>
      </c>
      <c r="E1553" s="68" t="s">
        <v>6531</v>
      </c>
      <c r="F1553" s="66" t="s">
        <v>6532</v>
      </c>
      <c r="G1553" s="71">
        <v>6500</v>
      </c>
      <c r="H1553" s="73"/>
      <c r="I1553" s="75">
        <v>0.1</v>
      </c>
      <c r="J1553" s="77"/>
      <c r="K1553" s="66"/>
      <c r="L1553" s="66"/>
      <c r="M1553" s="79" t="str">
        <f>HYPERLINK("http://www.pristavka.com/catalog/funko/Fun75915/")</f>
        <v>http://www.pristavka.com/catalog/funko/Fun75915/</v>
      </c>
      <c r="N1553" s="71">
        <v>9999</v>
      </c>
      <c r="O1553" s="66" t="s">
        <v>27</v>
      </c>
      <c r="P1553" s="82" t="s">
        <v>6533</v>
      </c>
      <c r="Q1553" s="84" t="s">
        <v>6524</v>
      </c>
      <c r="R1553" s="84" t="s">
        <v>1315</v>
      </c>
      <c r="S1553" s="84">
        <v>0.16</v>
      </c>
      <c r="T1553" s="82" t="s">
        <v>4091</v>
      </c>
      <c r="U1553" s="84" t="s">
        <v>3584</v>
      </c>
      <c r="V1553" s="54"/>
    </row>
    <row r="1554" spans="1:22" s="11" customFormat="1" ht="45" customHeight="1" x14ac:dyDescent="0.2">
      <c r="A1554" s="66" t="s">
        <v>3577</v>
      </c>
      <c r="B1554" s="66" t="s">
        <v>1707</v>
      </c>
      <c r="C1554" s="66" t="s">
        <v>3578</v>
      </c>
      <c r="D1554" s="66">
        <v>78181</v>
      </c>
      <c r="E1554" s="68" t="s">
        <v>6534</v>
      </c>
      <c r="F1554" s="66" t="s">
        <v>6535</v>
      </c>
      <c r="G1554" s="71">
        <v>6500</v>
      </c>
      <c r="H1554" s="73"/>
      <c r="I1554" s="75">
        <v>0.1</v>
      </c>
      <c r="J1554" s="77"/>
      <c r="K1554" s="66"/>
      <c r="L1554" s="66"/>
      <c r="M1554" s="79" t="str">
        <f>HYPERLINK("http://www.pristavka.com/catalog/funko/Fun78181/")</f>
        <v>http://www.pristavka.com/catalog/funko/Fun78181/</v>
      </c>
      <c r="N1554" s="71">
        <v>9999</v>
      </c>
      <c r="O1554" s="66" t="s">
        <v>27</v>
      </c>
      <c r="P1554" s="82" t="s">
        <v>6536</v>
      </c>
      <c r="Q1554" s="84" t="s">
        <v>6100</v>
      </c>
      <c r="R1554" s="84" t="s">
        <v>1315</v>
      </c>
      <c r="S1554" s="84">
        <v>0.13500000000000001</v>
      </c>
      <c r="T1554" s="82" t="s">
        <v>4084</v>
      </c>
      <c r="U1554" s="84" t="s">
        <v>3584</v>
      </c>
      <c r="V1554" s="54"/>
    </row>
    <row r="1555" spans="1:22" s="11" customFormat="1" ht="45" customHeight="1" x14ac:dyDescent="0.2">
      <c r="A1555" s="66" t="s">
        <v>3577</v>
      </c>
      <c r="B1555" s="66" t="s">
        <v>1707</v>
      </c>
      <c r="C1555" s="66" t="s">
        <v>3578</v>
      </c>
      <c r="D1555" s="66">
        <v>78182</v>
      </c>
      <c r="E1555" s="68" t="s">
        <v>6537</v>
      </c>
      <c r="F1555" s="66" t="s">
        <v>6538</v>
      </c>
      <c r="G1555" s="71">
        <v>6500</v>
      </c>
      <c r="H1555" s="73"/>
      <c r="I1555" s="75">
        <v>0.1</v>
      </c>
      <c r="J1555" s="77"/>
      <c r="K1555" s="66"/>
      <c r="L1555" s="66"/>
      <c r="M1555" s="79" t="str">
        <f>HYPERLINK("http://www.pristavka.com/catalog/funko/Fun78182/")</f>
        <v>http://www.pristavka.com/catalog/funko/Fun78182/</v>
      </c>
      <c r="N1555" s="71">
        <v>9999</v>
      </c>
      <c r="O1555" s="66" t="s">
        <v>27</v>
      </c>
      <c r="P1555" s="82" t="s">
        <v>6539</v>
      </c>
      <c r="Q1555" s="84" t="s">
        <v>6100</v>
      </c>
      <c r="R1555" s="84" t="s">
        <v>1315</v>
      </c>
      <c r="S1555" s="84">
        <v>0.124</v>
      </c>
      <c r="T1555" s="82" t="s">
        <v>4102</v>
      </c>
      <c r="U1555" s="84" t="s">
        <v>3584</v>
      </c>
      <c r="V1555" s="54"/>
    </row>
    <row r="1556" spans="1:22" s="11" customFormat="1" ht="45" customHeight="1" x14ac:dyDescent="0.2">
      <c r="A1556" s="66" t="s">
        <v>3577</v>
      </c>
      <c r="B1556" s="66" t="s">
        <v>1707</v>
      </c>
      <c r="C1556" s="66" t="s">
        <v>3578</v>
      </c>
      <c r="D1556" s="66">
        <v>78183</v>
      </c>
      <c r="E1556" s="68" t="s">
        <v>6540</v>
      </c>
      <c r="F1556" s="66" t="s">
        <v>6541</v>
      </c>
      <c r="G1556" s="71">
        <v>6500</v>
      </c>
      <c r="H1556" s="73"/>
      <c r="I1556" s="75">
        <v>0.1</v>
      </c>
      <c r="J1556" s="77"/>
      <c r="K1556" s="66"/>
      <c r="L1556" s="66"/>
      <c r="M1556" s="79" t="str">
        <f>HYPERLINK("http://www.pristavka.com/catalog/funko/Fun78183/")</f>
        <v>http://www.pristavka.com/catalog/funko/Fun78183/</v>
      </c>
      <c r="N1556" s="71">
        <v>9999</v>
      </c>
      <c r="O1556" s="66" t="s">
        <v>27</v>
      </c>
      <c r="P1556" s="82" t="s">
        <v>6542</v>
      </c>
      <c r="Q1556" s="84" t="s">
        <v>6100</v>
      </c>
      <c r="R1556" s="84" t="s">
        <v>1315</v>
      </c>
      <c r="S1556" s="84">
        <v>0.106</v>
      </c>
      <c r="T1556" s="82" t="s">
        <v>4102</v>
      </c>
      <c r="U1556" s="84" t="s">
        <v>3584</v>
      </c>
      <c r="V1556" s="54"/>
    </row>
    <row r="1557" spans="1:22" s="11" customFormat="1" ht="45" customHeight="1" x14ac:dyDescent="0.2">
      <c r="A1557" s="66" t="s">
        <v>3577</v>
      </c>
      <c r="B1557" s="66" t="s">
        <v>1707</v>
      </c>
      <c r="C1557" s="66" t="s">
        <v>3578</v>
      </c>
      <c r="D1557" s="66">
        <v>78185</v>
      </c>
      <c r="E1557" s="68" t="s">
        <v>6543</v>
      </c>
      <c r="F1557" s="66" t="s">
        <v>6544</v>
      </c>
      <c r="G1557" s="71">
        <v>6500</v>
      </c>
      <c r="H1557" s="73"/>
      <c r="I1557" s="75">
        <v>0.1</v>
      </c>
      <c r="J1557" s="77"/>
      <c r="K1557" s="66"/>
      <c r="L1557" s="66"/>
      <c r="M1557" s="79" t="str">
        <f>HYPERLINK("http://www.pristavka.com/catalog/funko/Fun78185/")</f>
        <v>http://www.pristavka.com/catalog/funko/Fun78185/</v>
      </c>
      <c r="N1557" s="71">
        <v>9999</v>
      </c>
      <c r="O1557" s="66" t="s">
        <v>27</v>
      </c>
      <c r="P1557" s="82" t="s">
        <v>6545</v>
      </c>
      <c r="Q1557" s="84" t="s">
        <v>6100</v>
      </c>
      <c r="R1557" s="84" t="s">
        <v>1315</v>
      </c>
      <c r="S1557" s="84">
        <v>0.13200000000000001</v>
      </c>
      <c r="T1557" s="82" t="s">
        <v>4997</v>
      </c>
      <c r="U1557" s="84" t="s">
        <v>3584</v>
      </c>
      <c r="V1557" s="54"/>
    </row>
    <row r="1558" spans="1:22" s="11" customFormat="1" ht="45" customHeight="1" x14ac:dyDescent="0.2">
      <c r="A1558" s="66" t="s">
        <v>3577</v>
      </c>
      <c r="B1558" s="66" t="s">
        <v>1707</v>
      </c>
      <c r="C1558" s="66" t="s">
        <v>3578</v>
      </c>
      <c r="D1558" s="66">
        <v>78184</v>
      </c>
      <c r="E1558" s="68" t="s">
        <v>6546</v>
      </c>
      <c r="F1558" s="66" t="s">
        <v>6547</v>
      </c>
      <c r="G1558" s="71">
        <v>6500</v>
      </c>
      <c r="H1558" s="73"/>
      <c r="I1558" s="75">
        <v>0.1</v>
      </c>
      <c r="J1558" s="77"/>
      <c r="K1558" s="66"/>
      <c r="L1558" s="66"/>
      <c r="M1558" s="79" t="str">
        <f>HYPERLINK("http://www.pristavka.com/catalog/funko/Fun78184/")</f>
        <v>http://www.pristavka.com/catalog/funko/Fun78184/</v>
      </c>
      <c r="N1558" s="71">
        <v>9999</v>
      </c>
      <c r="O1558" s="66" t="s">
        <v>27</v>
      </c>
      <c r="P1558" s="82" t="s">
        <v>6548</v>
      </c>
      <c r="Q1558" s="84" t="s">
        <v>6100</v>
      </c>
      <c r="R1558" s="84" t="s">
        <v>1315</v>
      </c>
      <c r="S1558" s="84">
        <v>0.125</v>
      </c>
      <c r="T1558" s="82" t="s">
        <v>4084</v>
      </c>
      <c r="U1558" s="84" t="s">
        <v>3584</v>
      </c>
      <c r="V1558" s="54"/>
    </row>
    <row r="1559" spans="1:22" s="11" customFormat="1" ht="45" customHeight="1" x14ac:dyDescent="0.2">
      <c r="A1559" s="66" t="s">
        <v>3577</v>
      </c>
      <c r="B1559" s="66" t="s">
        <v>1707</v>
      </c>
      <c r="C1559" s="66" t="s">
        <v>3578</v>
      </c>
      <c r="D1559" s="66">
        <v>82113</v>
      </c>
      <c r="E1559" s="68" t="s">
        <v>6549</v>
      </c>
      <c r="F1559" s="66" t="s">
        <v>6550</v>
      </c>
      <c r="G1559" s="71">
        <v>6890</v>
      </c>
      <c r="H1559" s="73"/>
      <c r="I1559" s="75">
        <v>0.1</v>
      </c>
      <c r="J1559" s="77"/>
      <c r="K1559" s="66"/>
      <c r="L1559" s="66"/>
      <c r="M1559" s="79" t="str">
        <f>HYPERLINK("http://www.pristavka.com/catalog/funko/Fun82113/")</f>
        <v>http://www.pristavka.com/catalog/funko/Fun82113/</v>
      </c>
      <c r="N1559" s="71">
        <v>10599</v>
      </c>
      <c r="O1559" s="66" t="s">
        <v>27</v>
      </c>
      <c r="P1559" s="82" t="s">
        <v>6551</v>
      </c>
      <c r="Q1559" s="84" t="s">
        <v>6100</v>
      </c>
      <c r="R1559" s="84" t="s">
        <v>1315</v>
      </c>
      <c r="S1559" s="84">
        <v>0.20499999999999999</v>
      </c>
      <c r="T1559" s="82" t="s">
        <v>4084</v>
      </c>
      <c r="U1559" s="84" t="s">
        <v>3584</v>
      </c>
      <c r="V1559" s="54"/>
    </row>
    <row r="1560" spans="1:22" s="11" customFormat="1" ht="45" customHeight="1" x14ac:dyDescent="0.2">
      <c r="A1560" s="66" t="s">
        <v>3577</v>
      </c>
      <c r="B1560" s="66" t="s">
        <v>1707</v>
      </c>
      <c r="C1560" s="66" t="s">
        <v>3578</v>
      </c>
      <c r="D1560" s="66">
        <v>21718</v>
      </c>
      <c r="E1560" s="68" t="s">
        <v>6552</v>
      </c>
      <c r="F1560" s="66" t="s">
        <v>6553</v>
      </c>
      <c r="G1560" s="71">
        <v>6500</v>
      </c>
      <c r="H1560" s="73"/>
      <c r="I1560" s="75">
        <v>0.1</v>
      </c>
      <c r="J1560" s="77"/>
      <c r="K1560" s="66"/>
      <c r="L1560" s="66"/>
      <c r="M1560" s="79" t="str">
        <f>HYPERLINK("http://www.pristavka.com/catalog/funko/Fun2282/")</f>
        <v>http://www.pristavka.com/catalog/funko/Fun2282/</v>
      </c>
      <c r="N1560" s="71">
        <v>9999</v>
      </c>
      <c r="O1560" s="66" t="s">
        <v>27</v>
      </c>
      <c r="P1560" s="82" t="s">
        <v>6554</v>
      </c>
      <c r="Q1560" s="84" t="s">
        <v>6555</v>
      </c>
      <c r="R1560" s="84" t="s">
        <v>1315</v>
      </c>
      <c r="S1560" s="84">
        <v>0.14000000000000001</v>
      </c>
      <c r="T1560" s="82" t="s">
        <v>4574</v>
      </c>
      <c r="U1560" s="84" t="s">
        <v>3584</v>
      </c>
      <c r="V1560" s="54"/>
    </row>
    <row r="1561" spans="1:22" s="11" customFormat="1" ht="45" customHeight="1" x14ac:dyDescent="0.2">
      <c r="A1561" s="66" t="s">
        <v>3577</v>
      </c>
      <c r="B1561" s="66" t="s">
        <v>1707</v>
      </c>
      <c r="C1561" s="66" t="s">
        <v>3578</v>
      </c>
      <c r="D1561" s="66">
        <v>21727</v>
      </c>
      <c r="E1561" s="68" t="s">
        <v>6556</v>
      </c>
      <c r="F1561" s="66" t="s">
        <v>6557</v>
      </c>
      <c r="G1561" s="71">
        <v>6500</v>
      </c>
      <c r="H1561" s="73"/>
      <c r="I1561" s="75">
        <v>0.1</v>
      </c>
      <c r="J1561" s="77"/>
      <c r="K1561" s="66"/>
      <c r="L1561" s="66"/>
      <c r="M1561" s="79" t="str">
        <f>HYPERLINK("http://www.pristavka.com/catalog/funko/Fun905/")</f>
        <v>http://www.pristavka.com/catalog/funko/Fun905/</v>
      </c>
      <c r="N1561" s="71">
        <v>9999</v>
      </c>
      <c r="O1561" s="66" t="s">
        <v>27</v>
      </c>
      <c r="P1561" s="82" t="s">
        <v>6558</v>
      </c>
      <c r="Q1561" s="84" t="s">
        <v>6555</v>
      </c>
      <c r="R1561" s="84" t="s">
        <v>1315</v>
      </c>
      <c r="S1561" s="84">
        <v>0.13400000000000001</v>
      </c>
      <c r="T1561" s="82" t="s">
        <v>4558</v>
      </c>
      <c r="U1561" s="84" t="s">
        <v>3584</v>
      </c>
      <c r="V1561" s="54"/>
    </row>
    <row r="1562" spans="1:22" s="11" customFormat="1" ht="45" customHeight="1" x14ac:dyDescent="0.2">
      <c r="A1562" s="66" t="s">
        <v>3577</v>
      </c>
      <c r="B1562" s="66" t="s">
        <v>1707</v>
      </c>
      <c r="C1562" s="66" t="s">
        <v>3578</v>
      </c>
      <c r="D1562" s="66">
        <v>75947</v>
      </c>
      <c r="E1562" s="68" t="s">
        <v>6559</v>
      </c>
      <c r="F1562" s="66" t="s">
        <v>6560</v>
      </c>
      <c r="G1562" s="71">
        <v>6500</v>
      </c>
      <c r="H1562" s="73"/>
      <c r="I1562" s="75">
        <v>0.1</v>
      </c>
      <c r="J1562" s="77"/>
      <c r="K1562" s="66"/>
      <c r="L1562" s="66"/>
      <c r="M1562" s="79" t="str">
        <f>HYPERLINK("http://www.pristavka.com/catalog/funko/Fun75947/")</f>
        <v>http://www.pristavka.com/catalog/funko/Fun75947/</v>
      </c>
      <c r="N1562" s="71">
        <v>9999</v>
      </c>
      <c r="O1562" s="66" t="s">
        <v>27</v>
      </c>
      <c r="P1562" s="82" t="s">
        <v>6561</v>
      </c>
      <c r="Q1562" s="84" t="s">
        <v>6555</v>
      </c>
      <c r="R1562" s="84" t="s">
        <v>1315</v>
      </c>
      <c r="S1562" s="84">
        <v>0.14499999999999999</v>
      </c>
      <c r="T1562" s="82" t="s">
        <v>4113</v>
      </c>
      <c r="U1562" s="84" t="s">
        <v>3584</v>
      </c>
      <c r="V1562" s="54"/>
    </row>
    <row r="1563" spans="1:22" s="11" customFormat="1" ht="45" customHeight="1" x14ac:dyDescent="0.2">
      <c r="A1563" s="66" t="s">
        <v>3577</v>
      </c>
      <c r="B1563" s="66" t="s">
        <v>1707</v>
      </c>
      <c r="C1563" s="66" t="s">
        <v>3578</v>
      </c>
      <c r="D1563" s="66">
        <v>75948</v>
      </c>
      <c r="E1563" s="68" t="s">
        <v>6562</v>
      </c>
      <c r="F1563" s="66" t="s">
        <v>6563</v>
      </c>
      <c r="G1563" s="71">
        <v>6500</v>
      </c>
      <c r="H1563" s="73"/>
      <c r="I1563" s="75">
        <v>0.1</v>
      </c>
      <c r="J1563" s="77"/>
      <c r="K1563" s="66"/>
      <c r="L1563" s="66"/>
      <c r="M1563" s="79" t="str">
        <f>HYPERLINK("http://www.pristavka.com/catalog/funko/Fun75948/")</f>
        <v>http://www.pristavka.com/catalog/funko/Fun75948/</v>
      </c>
      <c r="N1563" s="71">
        <v>9999</v>
      </c>
      <c r="O1563" s="66" t="s">
        <v>27</v>
      </c>
      <c r="P1563" s="82" t="s">
        <v>6564</v>
      </c>
      <c r="Q1563" s="84" t="s">
        <v>6555</v>
      </c>
      <c r="R1563" s="84" t="s">
        <v>1315</v>
      </c>
      <c r="S1563" s="84">
        <v>0.158</v>
      </c>
      <c r="T1563" s="82" t="s">
        <v>4091</v>
      </c>
      <c r="U1563" s="84" t="s">
        <v>3584</v>
      </c>
      <c r="V1563" s="54"/>
    </row>
    <row r="1564" spans="1:22" s="11" customFormat="1" ht="45" customHeight="1" x14ac:dyDescent="0.2">
      <c r="A1564" s="66" t="s">
        <v>3577</v>
      </c>
      <c r="B1564" s="66" t="s">
        <v>1707</v>
      </c>
      <c r="C1564" s="66" t="s">
        <v>3578</v>
      </c>
      <c r="D1564" s="66">
        <v>75949</v>
      </c>
      <c r="E1564" s="68" t="s">
        <v>6565</v>
      </c>
      <c r="F1564" s="66" t="s">
        <v>6566</v>
      </c>
      <c r="G1564" s="71">
        <v>6500</v>
      </c>
      <c r="H1564" s="73"/>
      <c r="I1564" s="75">
        <v>0.1</v>
      </c>
      <c r="J1564" s="77"/>
      <c r="K1564" s="66"/>
      <c r="L1564" s="66"/>
      <c r="M1564" s="79" t="str">
        <f>HYPERLINK("http://www.pristavka.com/catalog/funko/Fun75949/")</f>
        <v>http://www.pristavka.com/catalog/funko/Fun75949/</v>
      </c>
      <c r="N1564" s="71">
        <v>9999</v>
      </c>
      <c r="O1564" s="66" t="s">
        <v>27</v>
      </c>
      <c r="P1564" s="82" t="s">
        <v>6567</v>
      </c>
      <c r="Q1564" s="84" t="s">
        <v>6555</v>
      </c>
      <c r="R1564" s="84" t="s">
        <v>1315</v>
      </c>
      <c r="S1564" s="84">
        <v>0.13500000000000001</v>
      </c>
      <c r="T1564" s="82" t="s">
        <v>4091</v>
      </c>
      <c r="U1564" s="84" t="s">
        <v>3584</v>
      </c>
      <c r="V1564" s="54"/>
    </row>
    <row r="1565" spans="1:22" s="11" customFormat="1" ht="45" customHeight="1" x14ac:dyDescent="0.2">
      <c r="A1565" s="66" t="s">
        <v>3577</v>
      </c>
      <c r="B1565" s="66" t="s">
        <v>1707</v>
      </c>
      <c r="C1565" s="66" t="s">
        <v>3578</v>
      </c>
      <c r="D1565" s="66">
        <v>75950</v>
      </c>
      <c r="E1565" s="68" t="s">
        <v>6568</v>
      </c>
      <c r="F1565" s="66" t="s">
        <v>6569</v>
      </c>
      <c r="G1565" s="71">
        <v>6500</v>
      </c>
      <c r="H1565" s="73"/>
      <c r="I1565" s="75">
        <v>0.1</v>
      </c>
      <c r="J1565" s="77"/>
      <c r="K1565" s="66"/>
      <c r="L1565" s="66"/>
      <c r="M1565" s="79" t="str">
        <f>HYPERLINK("http://www.pristavka.com/catalog/funko/Fun75950/")</f>
        <v>http://www.pristavka.com/catalog/funko/Fun75950/</v>
      </c>
      <c r="N1565" s="71">
        <v>9999</v>
      </c>
      <c r="O1565" s="66" t="s">
        <v>27</v>
      </c>
      <c r="P1565" s="82" t="s">
        <v>6570</v>
      </c>
      <c r="Q1565" s="84" t="s">
        <v>6555</v>
      </c>
      <c r="R1565" s="84" t="s">
        <v>1315</v>
      </c>
      <c r="S1565" s="84">
        <v>0.13400000000000001</v>
      </c>
      <c r="T1565" s="82" t="s">
        <v>4091</v>
      </c>
      <c r="U1565" s="84" t="s">
        <v>3584</v>
      </c>
      <c r="V1565" s="54"/>
    </row>
    <row r="1566" spans="1:22" s="11" customFormat="1" ht="45" customHeight="1" x14ac:dyDescent="0.2">
      <c r="A1566" s="66" t="s">
        <v>3577</v>
      </c>
      <c r="B1566" s="66" t="s">
        <v>1707</v>
      </c>
      <c r="C1566" s="66" t="s">
        <v>3578</v>
      </c>
      <c r="D1566" s="66">
        <v>21724</v>
      </c>
      <c r="E1566" s="68" t="s">
        <v>6571</v>
      </c>
      <c r="F1566" s="66" t="s">
        <v>6572</v>
      </c>
      <c r="G1566" s="71">
        <v>6500</v>
      </c>
      <c r="H1566" s="73"/>
      <c r="I1566" s="75">
        <v>0.1</v>
      </c>
      <c r="J1566" s="77"/>
      <c r="K1566" s="66"/>
      <c r="L1566" s="66"/>
      <c r="M1566" s="79" t="str">
        <f>HYPERLINK("http://www.pristavka.com/catalog/funko/Fun25492148/")</f>
        <v>http://www.pristavka.com/catalog/funko/Fun25492148/</v>
      </c>
      <c r="N1566" s="71">
        <v>9999</v>
      </c>
      <c r="O1566" s="66" t="s">
        <v>27</v>
      </c>
      <c r="P1566" s="82" t="s">
        <v>6573</v>
      </c>
      <c r="Q1566" s="84" t="s">
        <v>6555</v>
      </c>
      <c r="R1566" s="84" t="s">
        <v>1315</v>
      </c>
      <c r="S1566" s="84">
        <v>0.14000000000000001</v>
      </c>
      <c r="T1566" s="82" t="s">
        <v>4102</v>
      </c>
      <c r="U1566" s="84" t="s">
        <v>3584</v>
      </c>
      <c r="V1566" s="54"/>
    </row>
    <row r="1567" spans="1:22" s="11" customFormat="1" ht="45" customHeight="1" x14ac:dyDescent="0.2">
      <c r="A1567" s="66" t="s">
        <v>3577</v>
      </c>
      <c r="B1567" s="66" t="s">
        <v>1707</v>
      </c>
      <c r="C1567" s="66" t="s">
        <v>3578</v>
      </c>
      <c r="D1567" s="66">
        <v>21716</v>
      </c>
      <c r="E1567" s="68" t="s">
        <v>6574</v>
      </c>
      <c r="F1567" s="66" t="s">
        <v>6575</v>
      </c>
      <c r="G1567" s="71">
        <v>6500</v>
      </c>
      <c r="H1567" s="73"/>
      <c r="I1567" s="75">
        <v>0.1</v>
      </c>
      <c r="J1567" s="77"/>
      <c r="K1567" s="66"/>
      <c r="L1567" s="66"/>
      <c r="M1567" s="79" t="str">
        <f>HYPERLINK("http://www.pristavka.com/catalog/funko/Fun21716/")</f>
        <v>http://www.pristavka.com/catalog/funko/Fun21716/</v>
      </c>
      <c r="N1567" s="71">
        <v>9999</v>
      </c>
      <c r="O1567" s="66" t="s">
        <v>27</v>
      </c>
      <c r="P1567" s="82" t="s">
        <v>6576</v>
      </c>
      <c r="Q1567" s="84" t="s">
        <v>6555</v>
      </c>
      <c r="R1567" s="84" t="s">
        <v>1315</v>
      </c>
      <c r="S1567" s="84">
        <v>0.13600000000000001</v>
      </c>
      <c r="T1567" s="82" t="s">
        <v>4113</v>
      </c>
      <c r="U1567" s="84" t="s">
        <v>3584</v>
      </c>
      <c r="V1567" s="54"/>
    </row>
    <row r="1568" spans="1:22" s="11" customFormat="1" ht="45" customHeight="1" x14ac:dyDescent="0.2">
      <c r="A1568" s="66" t="s">
        <v>3577</v>
      </c>
      <c r="B1568" s="66" t="s">
        <v>1707</v>
      </c>
      <c r="C1568" s="66" t="s">
        <v>3578</v>
      </c>
      <c r="D1568" s="66">
        <v>80945</v>
      </c>
      <c r="E1568" s="68" t="s">
        <v>6577</v>
      </c>
      <c r="F1568" s="66" t="s">
        <v>6578</v>
      </c>
      <c r="G1568" s="71">
        <v>6500</v>
      </c>
      <c r="H1568" s="73"/>
      <c r="I1568" s="75">
        <v>0.1</v>
      </c>
      <c r="J1568" s="77"/>
      <c r="K1568" s="66"/>
      <c r="L1568" s="66"/>
      <c r="M1568" s="79" t="str">
        <f>HYPERLINK("http://www.pristavka.com/catalog/funko/Fun80945/")</f>
        <v>http://www.pristavka.com/catalog/funko/Fun80945/</v>
      </c>
      <c r="N1568" s="71">
        <v>9999</v>
      </c>
      <c r="O1568" s="66" t="s">
        <v>27</v>
      </c>
      <c r="P1568" s="82" t="s">
        <v>6579</v>
      </c>
      <c r="Q1568" s="84" t="s">
        <v>6555</v>
      </c>
      <c r="R1568" s="84" t="s">
        <v>1315</v>
      </c>
      <c r="S1568" s="84">
        <v>0.14599999999999999</v>
      </c>
      <c r="T1568" s="82" t="s">
        <v>4084</v>
      </c>
      <c r="U1568" s="84" t="s">
        <v>3584</v>
      </c>
      <c r="V1568" s="54"/>
    </row>
    <row r="1569" spans="1:22" s="11" customFormat="1" ht="45" customHeight="1" x14ac:dyDescent="0.2">
      <c r="A1569" s="66" t="s">
        <v>3577</v>
      </c>
      <c r="B1569" s="66" t="s">
        <v>1707</v>
      </c>
      <c r="C1569" s="66" t="s">
        <v>3578</v>
      </c>
      <c r="D1569" s="66">
        <v>77207</v>
      </c>
      <c r="E1569" s="68" t="s">
        <v>6580</v>
      </c>
      <c r="F1569" s="66" t="s">
        <v>6581</v>
      </c>
      <c r="G1569" s="71">
        <v>29900</v>
      </c>
      <c r="H1569" s="73"/>
      <c r="I1569" s="75">
        <v>0.1</v>
      </c>
      <c r="J1569" s="77"/>
      <c r="K1569" s="66"/>
      <c r="L1569" s="66"/>
      <c r="M1569" s="79" t="str">
        <f>HYPERLINK("http://www.pristavka.com/catalog/funko/Fun77207/")</f>
        <v>http://www.pristavka.com/catalog/funko/Fun77207/</v>
      </c>
      <c r="N1569" s="71">
        <v>45999</v>
      </c>
      <c r="O1569" s="66" t="s">
        <v>27</v>
      </c>
      <c r="P1569" s="82" t="s">
        <v>6582</v>
      </c>
      <c r="Q1569" s="84" t="s">
        <v>6555</v>
      </c>
      <c r="R1569" s="84" t="s">
        <v>1315</v>
      </c>
      <c r="S1569" s="84">
        <v>0.49399999999999999</v>
      </c>
      <c r="T1569" s="82" t="s">
        <v>6583</v>
      </c>
      <c r="U1569" s="84" t="s">
        <v>3584</v>
      </c>
      <c r="V1569" s="54"/>
    </row>
    <row r="1570" spans="1:22" s="11" customFormat="1" ht="45" customHeight="1" x14ac:dyDescent="0.2">
      <c r="A1570" s="66" t="s">
        <v>3577</v>
      </c>
      <c r="B1570" s="66" t="s">
        <v>1707</v>
      </c>
      <c r="C1570" s="66" t="s">
        <v>3578</v>
      </c>
      <c r="D1570" s="66">
        <v>80993</v>
      </c>
      <c r="E1570" s="68" t="s">
        <v>6584</v>
      </c>
      <c r="F1570" s="66" t="s">
        <v>6585</v>
      </c>
      <c r="G1570" s="71">
        <v>6500</v>
      </c>
      <c r="H1570" s="73"/>
      <c r="I1570" s="75">
        <v>0.1</v>
      </c>
      <c r="J1570" s="77"/>
      <c r="K1570" s="66"/>
      <c r="L1570" s="66"/>
      <c r="M1570" s="79" t="str">
        <f>HYPERLINK("http://www.pristavka.com/catalog/funko/Fun80993/")</f>
        <v>http://www.pristavka.com/catalog/funko/Fun80993/</v>
      </c>
      <c r="N1570" s="71">
        <v>9999</v>
      </c>
      <c r="O1570" s="66" t="s">
        <v>27</v>
      </c>
      <c r="P1570" s="82" t="s">
        <v>6586</v>
      </c>
      <c r="Q1570" s="84" t="s">
        <v>6587</v>
      </c>
      <c r="R1570" s="84" t="s">
        <v>1315</v>
      </c>
      <c r="S1570" s="84">
        <v>0.14000000000000001</v>
      </c>
      <c r="T1570" s="82" t="s">
        <v>4084</v>
      </c>
      <c r="U1570" s="84" t="s">
        <v>3584</v>
      </c>
      <c r="V1570" s="54"/>
    </row>
    <row r="1571" spans="1:22" s="11" customFormat="1" ht="45" customHeight="1" x14ac:dyDescent="0.2">
      <c r="A1571" s="66" t="s">
        <v>3577</v>
      </c>
      <c r="B1571" s="66" t="s">
        <v>1707</v>
      </c>
      <c r="C1571" s="66" t="s">
        <v>3578</v>
      </c>
      <c r="D1571" s="66">
        <v>78901</v>
      </c>
      <c r="E1571" s="68" t="s">
        <v>6588</v>
      </c>
      <c r="F1571" s="66" t="s">
        <v>6589</v>
      </c>
      <c r="G1571" s="71">
        <v>0</v>
      </c>
      <c r="H1571" s="73"/>
      <c r="I1571" s="75">
        <v>0.1</v>
      </c>
      <c r="J1571" s="77"/>
      <c r="K1571" s="66"/>
      <c r="L1571" s="66"/>
      <c r="M1571" s="79" t="str">
        <f>HYPERLINK("https://pristavka.com/catalog/funko_figures/Fun78901/")</f>
        <v>https://pristavka.com/catalog/funko_figures/Fun78901/</v>
      </c>
      <c r="N1571" s="71"/>
      <c r="O1571" s="66" t="s">
        <v>27</v>
      </c>
      <c r="P1571" s="82" t="s">
        <v>6590</v>
      </c>
      <c r="Q1571" s="84"/>
      <c r="R1571" s="84" t="s">
        <v>1315</v>
      </c>
      <c r="S1571" s="84">
        <v>0.125</v>
      </c>
      <c r="T1571" s="82" t="s">
        <v>4113</v>
      </c>
      <c r="U1571" s="84" t="s">
        <v>3584</v>
      </c>
      <c r="V1571" s="54"/>
    </row>
    <row r="1572" spans="1:22" s="11" customFormat="1" ht="45" customHeight="1" x14ac:dyDescent="0.2">
      <c r="A1572" s="66" t="s">
        <v>3577</v>
      </c>
      <c r="B1572" s="66" t="s">
        <v>1707</v>
      </c>
      <c r="C1572" s="66" t="s">
        <v>3578</v>
      </c>
      <c r="D1572" s="66">
        <v>80786</v>
      </c>
      <c r="E1572" s="68" t="s">
        <v>6591</v>
      </c>
      <c r="F1572" s="66" t="s">
        <v>6592</v>
      </c>
      <c r="G1572" s="71">
        <v>6500</v>
      </c>
      <c r="H1572" s="73"/>
      <c r="I1572" s="75">
        <v>0.1</v>
      </c>
      <c r="J1572" s="77"/>
      <c r="K1572" s="66"/>
      <c r="L1572" s="66"/>
      <c r="M1572" s="79" t="str">
        <f>HYPERLINK("http://www.pristavka.com/catalog/funko/Fun80786/")</f>
        <v>http://www.pristavka.com/catalog/funko/Fun80786/</v>
      </c>
      <c r="N1572" s="71">
        <v>9999</v>
      </c>
      <c r="O1572" s="66" t="s">
        <v>27</v>
      </c>
      <c r="P1572" s="82" t="s">
        <v>6593</v>
      </c>
      <c r="Q1572" s="84" t="s">
        <v>6105</v>
      </c>
      <c r="R1572" s="84" t="s">
        <v>1315</v>
      </c>
      <c r="S1572" s="84">
        <v>0.17299999999999999</v>
      </c>
      <c r="T1572" s="82" t="s">
        <v>4091</v>
      </c>
      <c r="U1572" s="84" t="s">
        <v>3584</v>
      </c>
      <c r="V1572" s="54"/>
    </row>
    <row r="1573" spans="1:22" s="11" customFormat="1" ht="45" customHeight="1" x14ac:dyDescent="0.2">
      <c r="A1573" s="66" t="s">
        <v>3577</v>
      </c>
      <c r="B1573" s="66" t="s">
        <v>1707</v>
      </c>
      <c r="C1573" s="66" t="s">
        <v>3578</v>
      </c>
      <c r="D1573" s="66">
        <v>80787</v>
      </c>
      <c r="E1573" s="68" t="s">
        <v>6594</v>
      </c>
      <c r="F1573" s="66" t="s">
        <v>6595</v>
      </c>
      <c r="G1573" s="71">
        <v>6500</v>
      </c>
      <c r="H1573" s="73"/>
      <c r="I1573" s="75">
        <v>0.1</v>
      </c>
      <c r="J1573" s="77"/>
      <c r="K1573" s="66"/>
      <c r="L1573" s="66"/>
      <c r="M1573" s="79" t="str">
        <f>HYPERLINK("http://www.pristavka.com/catalog/funko/Fun80787/")</f>
        <v>http://www.pristavka.com/catalog/funko/Fun80787/</v>
      </c>
      <c r="N1573" s="71">
        <v>9999</v>
      </c>
      <c r="O1573" s="66" t="s">
        <v>27</v>
      </c>
      <c r="P1573" s="82" t="s">
        <v>6596</v>
      </c>
      <c r="Q1573" s="84" t="s">
        <v>6105</v>
      </c>
      <c r="R1573" s="84" t="s">
        <v>1315</v>
      </c>
      <c r="S1573" s="84">
        <v>0.151</v>
      </c>
      <c r="T1573" s="82" t="s">
        <v>4091</v>
      </c>
      <c r="U1573" s="84" t="s">
        <v>3584</v>
      </c>
      <c r="V1573" s="54"/>
    </row>
    <row r="1574" spans="1:22" s="11" customFormat="1" ht="45" customHeight="1" x14ac:dyDescent="0.2">
      <c r="A1574" s="66" t="s">
        <v>3577</v>
      </c>
      <c r="B1574" s="66" t="s">
        <v>1707</v>
      </c>
      <c r="C1574" s="66" t="s">
        <v>3578</v>
      </c>
      <c r="D1574" s="66">
        <v>80788</v>
      </c>
      <c r="E1574" s="68" t="s">
        <v>6597</v>
      </c>
      <c r="F1574" s="66" t="s">
        <v>6598</v>
      </c>
      <c r="G1574" s="71">
        <v>6500</v>
      </c>
      <c r="H1574" s="73"/>
      <c r="I1574" s="75">
        <v>0.1</v>
      </c>
      <c r="J1574" s="77"/>
      <c r="K1574" s="66"/>
      <c r="L1574" s="66"/>
      <c r="M1574" s="79" t="str">
        <f>HYPERLINK("http://www.pristavka.com/catalog/funko/Fun80788/")</f>
        <v>http://www.pristavka.com/catalog/funko/Fun80788/</v>
      </c>
      <c r="N1574" s="71">
        <v>9999</v>
      </c>
      <c r="O1574" s="66" t="s">
        <v>27</v>
      </c>
      <c r="P1574" s="82" t="s">
        <v>6599</v>
      </c>
      <c r="Q1574" s="84" t="s">
        <v>6105</v>
      </c>
      <c r="R1574" s="84" t="s">
        <v>1315</v>
      </c>
      <c r="S1574" s="84">
        <v>0.14399999999999999</v>
      </c>
      <c r="T1574" s="82" t="s">
        <v>4091</v>
      </c>
      <c r="U1574" s="84" t="s">
        <v>3584</v>
      </c>
      <c r="V1574" s="54"/>
    </row>
    <row r="1575" spans="1:22" s="11" customFormat="1" ht="45" customHeight="1" x14ac:dyDescent="0.2">
      <c r="A1575" s="66" t="s">
        <v>3577</v>
      </c>
      <c r="B1575" s="66" t="s">
        <v>1707</v>
      </c>
      <c r="C1575" s="66" t="s">
        <v>3578</v>
      </c>
      <c r="D1575" s="66">
        <v>36395</v>
      </c>
      <c r="E1575" s="68" t="s">
        <v>6600</v>
      </c>
      <c r="F1575" s="66" t="s">
        <v>6601</v>
      </c>
      <c r="G1575" s="71">
        <v>6500</v>
      </c>
      <c r="H1575" s="73"/>
      <c r="I1575" s="75">
        <v>0.1</v>
      </c>
      <c r="J1575" s="77"/>
      <c r="K1575" s="66"/>
      <c r="L1575" s="66"/>
      <c r="M1575" s="79" t="str">
        <f>HYPERLINK("http://www.pristavka.com/catalog/funko/Fun1814/")</f>
        <v>http://www.pristavka.com/catalog/funko/Fun1814/</v>
      </c>
      <c r="N1575" s="71">
        <v>9999</v>
      </c>
      <c r="O1575" s="66" t="s">
        <v>27</v>
      </c>
      <c r="P1575" s="82" t="s">
        <v>6602</v>
      </c>
      <c r="Q1575" s="84" t="s">
        <v>6603</v>
      </c>
      <c r="R1575" s="84" t="s">
        <v>1315</v>
      </c>
      <c r="S1575" s="84">
        <v>0.14199999999999999</v>
      </c>
      <c r="T1575" s="82" t="s">
        <v>4102</v>
      </c>
      <c r="U1575" s="84" t="s">
        <v>3584</v>
      </c>
      <c r="V1575" s="54"/>
    </row>
    <row r="1576" spans="1:22" s="11" customFormat="1" ht="45" customHeight="1" x14ac:dyDescent="0.2">
      <c r="A1576" s="66" t="s">
        <v>3577</v>
      </c>
      <c r="B1576" s="66" t="s">
        <v>1707</v>
      </c>
      <c r="C1576" s="66" t="s">
        <v>3578</v>
      </c>
      <c r="D1576" s="66">
        <v>71123</v>
      </c>
      <c r="E1576" s="68" t="s">
        <v>6604</v>
      </c>
      <c r="F1576" s="66" t="s">
        <v>6605</v>
      </c>
      <c r="G1576" s="71">
        <v>6890</v>
      </c>
      <c r="H1576" s="73"/>
      <c r="I1576" s="75">
        <v>0.1</v>
      </c>
      <c r="J1576" s="77"/>
      <c r="K1576" s="66"/>
      <c r="L1576" s="66"/>
      <c r="M1576" s="79" t="str">
        <f>HYPERLINK("http://www.pristavka.com/catalog/funko/Fun71123/")</f>
        <v>http://www.pristavka.com/catalog/funko/Fun71123/</v>
      </c>
      <c r="N1576" s="71">
        <v>10599</v>
      </c>
      <c r="O1576" s="66" t="s">
        <v>27</v>
      </c>
      <c r="P1576" s="82" t="s">
        <v>6606</v>
      </c>
      <c r="Q1576" s="84" t="s">
        <v>3821</v>
      </c>
      <c r="R1576" s="84" t="s">
        <v>1315</v>
      </c>
      <c r="S1576" s="84">
        <v>0.14399999999999999</v>
      </c>
      <c r="T1576" s="82" t="s">
        <v>4084</v>
      </c>
      <c r="U1576" s="84" t="s">
        <v>3584</v>
      </c>
      <c r="V1576" s="54"/>
    </row>
    <row r="1577" spans="1:22" s="11" customFormat="1" ht="45" customHeight="1" x14ac:dyDescent="0.2">
      <c r="A1577" s="66" t="s">
        <v>3577</v>
      </c>
      <c r="B1577" s="66" t="s">
        <v>1707</v>
      </c>
      <c r="C1577" s="66" t="s">
        <v>3578</v>
      </c>
      <c r="D1577" s="66">
        <v>78692</v>
      </c>
      <c r="E1577" s="68" t="s">
        <v>6607</v>
      </c>
      <c r="F1577" s="66" t="s">
        <v>6608</v>
      </c>
      <c r="G1577" s="71">
        <v>0</v>
      </c>
      <c r="H1577" s="73"/>
      <c r="I1577" s="75">
        <v>0.1</v>
      </c>
      <c r="J1577" s="77"/>
      <c r="K1577" s="66"/>
      <c r="L1577" s="66"/>
      <c r="M1577" s="79" t="str">
        <f>HYPERLINK("https://pristavka.com/catalog/funko_figures/Fun78692/")</f>
        <v>https://pristavka.com/catalog/funko_figures/Fun78692/</v>
      </c>
      <c r="N1577" s="71"/>
      <c r="O1577" s="66" t="s">
        <v>28</v>
      </c>
      <c r="P1577" s="82" t="s">
        <v>6609</v>
      </c>
      <c r="Q1577" s="84" t="s">
        <v>6499</v>
      </c>
      <c r="R1577" s="84" t="s">
        <v>1315</v>
      </c>
      <c r="S1577" s="84">
        <v>0.152</v>
      </c>
      <c r="T1577" s="82" t="s">
        <v>4084</v>
      </c>
      <c r="U1577" s="84" t="s">
        <v>3584</v>
      </c>
      <c r="V1577" s="54"/>
    </row>
    <row r="1578" spans="1:22" s="11" customFormat="1" ht="45" customHeight="1" x14ac:dyDescent="0.2">
      <c r="A1578" s="66" t="s">
        <v>3577</v>
      </c>
      <c r="B1578" s="66" t="s">
        <v>1707</v>
      </c>
      <c r="C1578" s="66" t="s">
        <v>3578</v>
      </c>
      <c r="D1578" s="66">
        <v>72384</v>
      </c>
      <c r="E1578" s="68" t="s">
        <v>6610</v>
      </c>
      <c r="F1578" s="66" t="s">
        <v>6611</v>
      </c>
      <c r="G1578" s="71">
        <v>6500</v>
      </c>
      <c r="H1578" s="73"/>
      <c r="I1578" s="75">
        <v>0.1</v>
      </c>
      <c r="J1578" s="77"/>
      <c r="K1578" s="66"/>
      <c r="L1578" s="66"/>
      <c r="M1578" s="79" t="str">
        <f>HYPERLINK("http://www.pristavka.com/catalog/funko/Fun72384/")</f>
        <v>http://www.pristavka.com/catalog/funko/Fun72384/</v>
      </c>
      <c r="N1578" s="71">
        <v>9999</v>
      </c>
      <c r="O1578" s="66" t="s">
        <v>27</v>
      </c>
      <c r="P1578" s="82" t="s">
        <v>6612</v>
      </c>
      <c r="Q1578" s="84" t="s">
        <v>1314</v>
      </c>
      <c r="R1578" s="84" t="s">
        <v>1315</v>
      </c>
      <c r="S1578" s="84">
        <v>0.13400000000000001</v>
      </c>
      <c r="T1578" s="82" t="s">
        <v>4084</v>
      </c>
      <c r="U1578" s="84" t="s">
        <v>3584</v>
      </c>
      <c r="V1578" s="54"/>
    </row>
    <row r="1579" spans="1:22" s="11" customFormat="1" ht="45" customHeight="1" x14ac:dyDescent="0.2">
      <c r="A1579" s="66" t="s">
        <v>3577</v>
      </c>
      <c r="B1579" s="66" t="s">
        <v>1707</v>
      </c>
      <c r="C1579" s="66" t="s">
        <v>3578</v>
      </c>
      <c r="D1579" s="66">
        <v>72385</v>
      </c>
      <c r="E1579" s="68" t="s">
        <v>6613</v>
      </c>
      <c r="F1579" s="66" t="s">
        <v>6614</v>
      </c>
      <c r="G1579" s="71">
        <v>6500</v>
      </c>
      <c r="H1579" s="73"/>
      <c r="I1579" s="75">
        <v>0.1</v>
      </c>
      <c r="J1579" s="77"/>
      <c r="K1579" s="66"/>
      <c r="L1579" s="66"/>
      <c r="M1579" s="79" t="str">
        <f>HYPERLINK("http://www.pristavka.com/catalog/funko/Fun72385/")</f>
        <v>http://www.pristavka.com/catalog/funko/Fun72385/</v>
      </c>
      <c r="N1579" s="71">
        <v>9999</v>
      </c>
      <c r="O1579" s="66" t="s">
        <v>27</v>
      </c>
      <c r="P1579" s="82" t="s">
        <v>6615</v>
      </c>
      <c r="Q1579" s="84" t="s">
        <v>1314</v>
      </c>
      <c r="R1579" s="84" t="s">
        <v>1315</v>
      </c>
      <c r="S1579" s="84">
        <v>0.16</v>
      </c>
      <c r="T1579" s="82" t="s">
        <v>4084</v>
      </c>
      <c r="U1579" s="84" t="s">
        <v>3584</v>
      </c>
      <c r="V1579" s="54"/>
    </row>
    <row r="1580" spans="1:22" s="11" customFormat="1" ht="45" customHeight="1" x14ac:dyDescent="0.2">
      <c r="A1580" s="66" t="s">
        <v>3577</v>
      </c>
      <c r="B1580" s="66" t="s">
        <v>1707</v>
      </c>
      <c r="C1580" s="66" t="s">
        <v>3578</v>
      </c>
      <c r="D1580" s="66">
        <v>72313</v>
      </c>
      <c r="E1580" s="68" t="s">
        <v>6616</v>
      </c>
      <c r="F1580" s="66" t="s">
        <v>6617</v>
      </c>
      <c r="G1580" s="71">
        <v>0</v>
      </c>
      <c r="H1580" s="73"/>
      <c r="I1580" s="75">
        <v>0.1</v>
      </c>
      <c r="J1580" s="77"/>
      <c r="K1580" s="66"/>
      <c r="L1580" s="66"/>
      <c r="M1580" s="79" t="str">
        <f>HYPERLINK("http://www.pristavka.com/catalog/funko/Fun72313/")</f>
        <v>http://www.pristavka.com/catalog/funko/Fun72313/</v>
      </c>
      <c r="N1580" s="71"/>
      <c r="O1580" s="66" t="s">
        <v>27</v>
      </c>
      <c r="P1580" s="82" t="s">
        <v>6618</v>
      </c>
      <c r="Q1580" s="84" t="s">
        <v>1314</v>
      </c>
      <c r="R1580" s="84" t="s">
        <v>1315</v>
      </c>
      <c r="S1580" s="84">
        <v>0.157</v>
      </c>
      <c r="T1580" s="82" t="s">
        <v>4102</v>
      </c>
      <c r="U1580" s="84" t="s">
        <v>3584</v>
      </c>
      <c r="V1580" s="54"/>
    </row>
    <row r="1581" spans="1:22" s="11" customFormat="1" ht="45" customHeight="1" x14ac:dyDescent="0.2">
      <c r="A1581" s="66" t="s">
        <v>3577</v>
      </c>
      <c r="B1581" s="66" t="s">
        <v>1707</v>
      </c>
      <c r="C1581" s="66" t="s">
        <v>3578</v>
      </c>
      <c r="D1581" s="66">
        <v>72314</v>
      </c>
      <c r="E1581" s="68" t="s">
        <v>6619</v>
      </c>
      <c r="F1581" s="66" t="s">
        <v>6620</v>
      </c>
      <c r="G1581" s="71">
        <v>6500</v>
      </c>
      <c r="H1581" s="73"/>
      <c r="I1581" s="75">
        <v>0.1</v>
      </c>
      <c r="J1581" s="77"/>
      <c r="K1581" s="66"/>
      <c r="L1581" s="66"/>
      <c r="M1581" s="79" t="str">
        <f>HYPERLINK("http://www.pristavka.com/catalog/funko/Fun72314/")</f>
        <v>http://www.pristavka.com/catalog/funko/Fun72314/</v>
      </c>
      <c r="N1581" s="71">
        <v>9999</v>
      </c>
      <c r="O1581" s="66" t="s">
        <v>27</v>
      </c>
      <c r="P1581" s="82" t="s">
        <v>6621</v>
      </c>
      <c r="Q1581" s="84" t="s">
        <v>1314</v>
      </c>
      <c r="R1581" s="84" t="s">
        <v>1315</v>
      </c>
      <c r="S1581" s="84">
        <v>0.14599999999999999</v>
      </c>
      <c r="T1581" s="82" t="s">
        <v>4091</v>
      </c>
      <c r="U1581" s="84" t="s">
        <v>3584</v>
      </c>
      <c r="V1581" s="54"/>
    </row>
    <row r="1582" spans="1:22" s="11" customFormat="1" ht="45" customHeight="1" x14ac:dyDescent="0.2">
      <c r="A1582" s="66" t="s">
        <v>3577</v>
      </c>
      <c r="B1582" s="66" t="s">
        <v>1707</v>
      </c>
      <c r="C1582" s="66" t="s">
        <v>3578</v>
      </c>
      <c r="D1582" s="66">
        <v>79912</v>
      </c>
      <c r="E1582" s="68" t="s">
        <v>6622</v>
      </c>
      <c r="F1582" s="66" t="s">
        <v>6623</v>
      </c>
      <c r="G1582" s="71">
        <v>0</v>
      </c>
      <c r="H1582" s="73"/>
      <c r="I1582" s="75">
        <v>0.1</v>
      </c>
      <c r="J1582" s="77"/>
      <c r="K1582" s="66"/>
      <c r="L1582" s="66"/>
      <c r="M1582" s="79" t="str">
        <f>HYPERLINK("http://www.pristavka.com/catalog/funko/Fun79912/")</f>
        <v>http://www.pristavka.com/catalog/funko/Fun79912/</v>
      </c>
      <c r="N1582" s="71"/>
      <c r="O1582" s="66" t="s">
        <v>27</v>
      </c>
      <c r="P1582" s="82" t="s">
        <v>6624</v>
      </c>
      <c r="Q1582" s="84" t="s">
        <v>1314</v>
      </c>
      <c r="R1582" s="84" t="s">
        <v>1315</v>
      </c>
      <c r="S1582" s="84">
        <v>1.28</v>
      </c>
      <c r="T1582" s="82" t="s">
        <v>6625</v>
      </c>
      <c r="U1582" s="84" t="s">
        <v>3584</v>
      </c>
      <c r="V1582" s="54"/>
    </row>
    <row r="1583" spans="1:22" s="11" customFormat="1" ht="45" customHeight="1" x14ac:dyDescent="0.2">
      <c r="A1583" s="66" t="s">
        <v>3577</v>
      </c>
      <c r="B1583" s="66" t="s">
        <v>1707</v>
      </c>
      <c r="C1583" s="66" t="s">
        <v>3578</v>
      </c>
      <c r="D1583" s="66">
        <v>2468</v>
      </c>
      <c r="E1583" s="68" t="s">
        <v>6626</v>
      </c>
      <c r="F1583" s="66" t="s">
        <v>6627</v>
      </c>
      <c r="G1583" s="71">
        <v>6500</v>
      </c>
      <c r="H1583" s="73"/>
      <c r="I1583" s="75">
        <v>0.1</v>
      </c>
      <c r="J1583" s="77"/>
      <c r="K1583" s="66"/>
      <c r="L1583" s="66"/>
      <c r="M1583" s="79" t="str">
        <f>HYPERLINK("http://www.pristavka.com/catalog/funko/Fun14/")</f>
        <v>http://www.pristavka.com/catalog/funko/Fun14/</v>
      </c>
      <c r="N1583" s="71">
        <v>9999</v>
      </c>
      <c r="O1583" s="66" t="s">
        <v>27</v>
      </c>
      <c r="P1583" s="82" t="s">
        <v>6628</v>
      </c>
      <c r="Q1583" s="84" t="s">
        <v>1314</v>
      </c>
      <c r="R1583" s="84" t="s">
        <v>1315</v>
      </c>
      <c r="S1583" s="84">
        <v>0.122</v>
      </c>
      <c r="T1583" s="82" t="s">
        <v>4091</v>
      </c>
      <c r="U1583" s="84" t="s">
        <v>3584</v>
      </c>
      <c r="V1583" s="54"/>
    </row>
    <row r="1584" spans="1:22" s="11" customFormat="1" ht="45" customHeight="1" x14ac:dyDescent="0.2">
      <c r="A1584" s="66" t="s">
        <v>3577</v>
      </c>
      <c r="B1584" s="66" t="s">
        <v>1707</v>
      </c>
      <c r="C1584" s="66" t="s">
        <v>3578</v>
      </c>
      <c r="D1584" s="66">
        <v>48182</v>
      </c>
      <c r="E1584" s="68" t="s">
        <v>6629</v>
      </c>
      <c r="F1584" s="66" t="s">
        <v>6630</v>
      </c>
      <c r="G1584" s="71">
        <v>6500</v>
      </c>
      <c r="H1584" s="73"/>
      <c r="I1584" s="75">
        <v>0.1</v>
      </c>
      <c r="J1584" s="77"/>
      <c r="K1584" s="66"/>
      <c r="L1584" s="66"/>
      <c r="M1584" s="79" t="str">
        <f>HYPERLINK("http://www.pristavka.com/catalog/funko/Fun48182/")</f>
        <v>http://www.pristavka.com/catalog/funko/Fun48182/</v>
      </c>
      <c r="N1584" s="71">
        <v>9999</v>
      </c>
      <c r="O1584" s="66" t="s">
        <v>28</v>
      </c>
      <c r="P1584" s="82" t="s">
        <v>6631</v>
      </c>
      <c r="Q1584" s="84" t="s">
        <v>1314</v>
      </c>
      <c r="R1584" s="84" t="s">
        <v>1315</v>
      </c>
      <c r="S1584" s="84">
        <v>0.125</v>
      </c>
      <c r="T1584" s="82" t="s">
        <v>4084</v>
      </c>
      <c r="U1584" s="84" t="s">
        <v>3584</v>
      </c>
      <c r="V1584" s="54"/>
    </row>
    <row r="1585" spans="1:22" s="11" customFormat="1" ht="45" customHeight="1" x14ac:dyDescent="0.2">
      <c r="A1585" s="66" t="s">
        <v>3577</v>
      </c>
      <c r="B1585" s="66" t="s">
        <v>1707</v>
      </c>
      <c r="C1585" s="66" t="s">
        <v>3578</v>
      </c>
      <c r="D1585" s="66">
        <v>79913</v>
      </c>
      <c r="E1585" s="68" t="s">
        <v>6632</v>
      </c>
      <c r="F1585" s="66" t="s">
        <v>6633</v>
      </c>
      <c r="G1585" s="71">
        <v>14300</v>
      </c>
      <c r="H1585" s="73"/>
      <c r="I1585" s="75">
        <v>0.1</v>
      </c>
      <c r="J1585" s="77"/>
      <c r="K1585" s="66"/>
      <c r="L1585" s="66"/>
      <c r="M1585" s="79" t="str">
        <f>HYPERLINK("http://www.pristavka.com/catalog/funko/Fun79913/")</f>
        <v>http://www.pristavka.com/catalog/funko/Fun79913/</v>
      </c>
      <c r="N1585" s="71">
        <v>21999</v>
      </c>
      <c r="O1585" s="66" t="s">
        <v>27</v>
      </c>
      <c r="P1585" s="82" t="s">
        <v>6634</v>
      </c>
      <c r="Q1585" s="84" t="s">
        <v>1314</v>
      </c>
      <c r="R1585" s="84" t="s">
        <v>1315</v>
      </c>
      <c r="S1585" s="84">
        <v>0.39200000000000002</v>
      </c>
      <c r="T1585" s="82" t="s">
        <v>6635</v>
      </c>
      <c r="U1585" s="84" t="s">
        <v>3584</v>
      </c>
      <c r="V1585" s="54"/>
    </row>
    <row r="1586" spans="1:22" s="11" customFormat="1" ht="45" customHeight="1" x14ac:dyDescent="0.2">
      <c r="A1586" s="66" t="s">
        <v>3577</v>
      </c>
      <c r="B1586" s="66" t="s">
        <v>1707</v>
      </c>
      <c r="C1586" s="66" t="s">
        <v>3578</v>
      </c>
      <c r="D1586" s="66">
        <v>80598</v>
      </c>
      <c r="E1586" s="68" t="s">
        <v>6636</v>
      </c>
      <c r="F1586" s="66" t="s">
        <v>6637</v>
      </c>
      <c r="G1586" s="71">
        <v>6500</v>
      </c>
      <c r="H1586" s="73"/>
      <c r="I1586" s="75">
        <v>0.1</v>
      </c>
      <c r="J1586" s="77"/>
      <c r="K1586" s="66"/>
      <c r="L1586" s="66"/>
      <c r="M1586" s="79" t="str">
        <f>HYPERLINK("http://www.pristavka.com/catalog/funko/Fun80598/")</f>
        <v>http://www.pristavka.com/catalog/funko/Fun80598/</v>
      </c>
      <c r="N1586" s="71">
        <v>9999</v>
      </c>
      <c r="O1586" s="66" t="s">
        <v>27</v>
      </c>
      <c r="P1586" s="82" t="s">
        <v>6638</v>
      </c>
      <c r="Q1586" s="84" t="s">
        <v>1314</v>
      </c>
      <c r="R1586" s="84" t="s">
        <v>1315</v>
      </c>
      <c r="S1586" s="84">
        <v>0.19600000000000001</v>
      </c>
      <c r="T1586" s="82" t="s">
        <v>4102</v>
      </c>
      <c r="U1586" s="84" t="s">
        <v>3584</v>
      </c>
      <c r="V1586" s="54"/>
    </row>
    <row r="1587" spans="1:22" s="11" customFormat="1" ht="45" customHeight="1" x14ac:dyDescent="0.2">
      <c r="A1587" s="66" t="s">
        <v>3577</v>
      </c>
      <c r="B1587" s="66" t="s">
        <v>1707</v>
      </c>
      <c r="C1587" s="66" t="s">
        <v>3578</v>
      </c>
      <c r="D1587" s="66">
        <v>69146</v>
      </c>
      <c r="E1587" s="68" t="s">
        <v>6639</v>
      </c>
      <c r="F1587" s="66" t="s">
        <v>6640</v>
      </c>
      <c r="G1587" s="71">
        <v>27950</v>
      </c>
      <c r="H1587" s="73"/>
      <c r="I1587" s="75">
        <v>0.1</v>
      </c>
      <c r="J1587" s="77"/>
      <c r="K1587" s="66"/>
      <c r="L1587" s="66"/>
      <c r="M1587" s="79" t="str">
        <f>HYPERLINK("http://www.pristavka.com/catalog/funko/Fun69146/")</f>
        <v>http://www.pristavka.com/catalog/funko/Fun69146/</v>
      </c>
      <c r="N1587" s="71">
        <v>42999</v>
      </c>
      <c r="O1587" s="66" t="s">
        <v>27</v>
      </c>
      <c r="P1587" s="82" t="s">
        <v>6641</v>
      </c>
      <c r="Q1587" s="84" t="s">
        <v>1315</v>
      </c>
      <c r="R1587" s="84" t="s">
        <v>1315</v>
      </c>
      <c r="S1587" s="84">
        <v>0.55500000000000005</v>
      </c>
      <c r="T1587" s="82" t="s">
        <v>6642</v>
      </c>
      <c r="U1587" s="84" t="s">
        <v>3584</v>
      </c>
      <c r="V1587" s="54"/>
    </row>
    <row r="1588" spans="1:22" s="11" customFormat="1" ht="45" customHeight="1" x14ac:dyDescent="0.2">
      <c r="A1588" s="66" t="s">
        <v>3577</v>
      </c>
      <c r="B1588" s="66" t="s">
        <v>1707</v>
      </c>
      <c r="C1588" s="66" t="s">
        <v>3578</v>
      </c>
      <c r="D1588" s="66">
        <v>32838</v>
      </c>
      <c r="E1588" s="68" t="s">
        <v>6643</v>
      </c>
      <c r="F1588" s="66" t="s">
        <v>6644</v>
      </c>
      <c r="G1588" s="71">
        <v>6500</v>
      </c>
      <c r="H1588" s="73"/>
      <c r="I1588" s="75">
        <v>0.1</v>
      </c>
      <c r="J1588" s="77"/>
      <c r="K1588" s="66"/>
      <c r="L1588" s="66"/>
      <c r="M1588" s="79" t="str">
        <f>HYPERLINK("http://www.pristavka.com/catalog/funko/Fun1629/")</f>
        <v>http://www.pristavka.com/catalog/funko/Fun1629/</v>
      </c>
      <c r="N1588" s="71">
        <v>9999</v>
      </c>
      <c r="O1588" s="66" t="s">
        <v>27</v>
      </c>
      <c r="P1588" s="82" t="s">
        <v>6645</v>
      </c>
      <c r="Q1588" s="84" t="s">
        <v>1314</v>
      </c>
      <c r="R1588" s="84" t="s">
        <v>1315</v>
      </c>
      <c r="S1588" s="84">
        <v>0.20799999999999999</v>
      </c>
      <c r="T1588" s="82" t="s">
        <v>4091</v>
      </c>
      <c r="U1588" s="84" t="s">
        <v>3584</v>
      </c>
      <c r="V1588" s="54"/>
    </row>
    <row r="1589" spans="1:22" s="11" customFormat="1" ht="45" customHeight="1" x14ac:dyDescent="0.2">
      <c r="A1589" s="66" t="s">
        <v>3577</v>
      </c>
      <c r="B1589" s="66" t="s">
        <v>1707</v>
      </c>
      <c r="C1589" s="66" t="s">
        <v>3578</v>
      </c>
      <c r="D1589" s="66">
        <v>63963</v>
      </c>
      <c r="E1589" s="68" t="s">
        <v>6646</v>
      </c>
      <c r="F1589" s="66" t="s">
        <v>6647</v>
      </c>
      <c r="G1589" s="71">
        <v>6500</v>
      </c>
      <c r="H1589" s="73"/>
      <c r="I1589" s="75">
        <v>0.1</v>
      </c>
      <c r="J1589" s="77"/>
      <c r="K1589" s="66"/>
      <c r="L1589" s="66"/>
      <c r="M1589" s="79" t="str">
        <f>HYPERLINK("http://www.pristavka.com/catalog/funko/Fun63963/")</f>
        <v>http://www.pristavka.com/catalog/funko/Fun63963/</v>
      </c>
      <c r="N1589" s="71">
        <v>9999</v>
      </c>
      <c r="O1589" s="66" t="s">
        <v>27</v>
      </c>
      <c r="P1589" s="82" t="s">
        <v>6648</v>
      </c>
      <c r="Q1589" s="84" t="s">
        <v>1314</v>
      </c>
      <c r="R1589" s="84" t="s">
        <v>1315</v>
      </c>
      <c r="S1589" s="84">
        <v>0.17799999999999999</v>
      </c>
      <c r="T1589" s="82" t="s">
        <v>4102</v>
      </c>
      <c r="U1589" s="84" t="s">
        <v>3584</v>
      </c>
      <c r="V1589" s="54"/>
    </row>
    <row r="1590" spans="1:22" s="11" customFormat="1" ht="45" customHeight="1" x14ac:dyDescent="0.2">
      <c r="A1590" s="66" t="s">
        <v>3577</v>
      </c>
      <c r="B1590" s="66" t="s">
        <v>1707</v>
      </c>
      <c r="C1590" s="66" t="s">
        <v>3578</v>
      </c>
      <c r="D1590" s="66">
        <v>80597</v>
      </c>
      <c r="E1590" s="68" t="s">
        <v>6649</v>
      </c>
      <c r="F1590" s="66" t="s">
        <v>6650</v>
      </c>
      <c r="G1590" s="71">
        <v>6500</v>
      </c>
      <c r="H1590" s="73"/>
      <c r="I1590" s="75">
        <v>0.1</v>
      </c>
      <c r="J1590" s="77"/>
      <c r="K1590" s="66"/>
      <c r="L1590" s="66"/>
      <c r="M1590" s="79" t="str">
        <f>HYPERLINK("http://www.pristavka.com/catalog/funko/Fun80597/")</f>
        <v>http://www.pristavka.com/catalog/funko/Fun80597/</v>
      </c>
      <c r="N1590" s="71">
        <v>9999</v>
      </c>
      <c r="O1590" s="66" t="s">
        <v>27</v>
      </c>
      <c r="P1590" s="82" t="s">
        <v>6651</v>
      </c>
      <c r="Q1590" s="84" t="s">
        <v>1314</v>
      </c>
      <c r="R1590" s="84" t="s">
        <v>1315</v>
      </c>
      <c r="S1590" s="84">
        <v>0.14799999999999999</v>
      </c>
      <c r="T1590" s="82" t="s">
        <v>4113</v>
      </c>
      <c r="U1590" s="84" t="s">
        <v>3584</v>
      </c>
      <c r="V1590" s="54"/>
    </row>
    <row r="1591" spans="1:22" s="11" customFormat="1" ht="45" customHeight="1" x14ac:dyDescent="0.2">
      <c r="A1591" s="66" t="s">
        <v>3577</v>
      </c>
      <c r="B1591" s="66" t="s">
        <v>1707</v>
      </c>
      <c r="C1591" s="66" t="s">
        <v>3578</v>
      </c>
      <c r="D1591" s="66">
        <v>32837</v>
      </c>
      <c r="E1591" s="68" t="s">
        <v>6652</v>
      </c>
      <c r="F1591" s="66" t="s">
        <v>6653</v>
      </c>
      <c r="G1591" s="71">
        <v>6500</v>
      </c>
      <c r="H1591" s="73"/>
      <c r="I1591" s="75">
        <v>0.1</v>
      </c>
      <c r="J1591" s="77"/>
      <c r="K1591" s="66"/>
      <c r="L1591" s="66"/>
      <c r="M1591" s="79" t="str">
        <f>HYPERLINK("http://www.pristavka.com/catalog/funko/Fun1630/")</f>
        <v>http://www.pristavka.com/catalog/funko/Fun1630/</v>
      </c>
      <c r="N1591" s="71">
        <v>9999</v>
      </c>
      <c r="O1591" s="66" t="s">
        <v>27</v>
      </c>
      <c r="P1591" s="82" t="s">
        <v>6654</v>
      </c>
      <c r="Q1591" s="84" t="s">
        <v>1314</v>
      </c>
      <c r="R1591" s="84" t="s">
        <v>1315</v>
      </c>
      <c r="S1591" s="84">
        <v>0.14000000000000001</v>
      </c>
      <c r="T1591" s="82" t="s">
        <v>4102</v>
      </c>
      <c r="U1591" s="84" t="s">
        <v>3584</v>
      </c>
      <c r="V1591" s="54"/>
    </row>
    <row r="1592" spans="1:22" s="11" customFormat="1" ht="45" customHeight="1" x14ac:dyDescent="0.2">
      <c r="A1592" s="66" t="s">
        <v>3577</v>
      </c>
      <c r="B1592" s="66" t="s">
        <v>1707</v>
      </c>
      <c r="C1592" s="66" t="s">
        <v>3578</v>
      </c>
      <c r="D1592" s="66">
        <v>82861</v>
      </c>
      <c r="E1592" s="68" t="s">
        <v>6655</v>
      </c>
      <c r="F1592" s="66" t="s">
        <v>6656</v>
      </c>
      <c r="G1592" s="71">
        <v>6890</v>
      </c>
      <c r="H1592" s="73"/>
      <c r="I1592" s="75">
        <v>0.1</v>
      </c>
      <c r="J1592" s="77"/>
      <c r="K1592" s="66"/>
      <c r="L1592" s="66"/>
      <c r="M1592" s="79" t="str">
        <f>HYPERLINK("http://www.pristavka.com/catalog/funko/Fun82861/")</f>
        <v>http://www.pristavka.com/catalog/funko/Fun82861/</v>
      </c>
      <c r="N1592" s="71">
        <v>10599</v>
      </c>
      <c r="O1592" s="66" t="s">
        <v>27</v>
      </c>
      <c r="P1592" s="82" t="s">
        <v>6657</v>
      </c>
      <c r="Q1592" s="84" t="s">
        <v>1314</v>
      </c>
      <c r="R1592" s="84" t="s">
        <v>1315</v>
      </c>
      <c r="S1592" s="84">
        <v>0.17</v>
      </c>
      <c r="T1592" s="82" t="s">
        <v>4113</v>
      </c>
      <c r="U1592" s="84" t="s">
        <v>3584</v>
      </c>
      <c r="V1592" s="54"/>
    </row>
    <row r="1593" spans="1:22" s="11" customFormat="1" ht="45" customHeight="1" x14ac:dyDescent="0.2">
      <c r="A1593" s="66" t="s">
        <v>3577</v>
      </c>
      <c r="B1593" s="66" t="s">
        <v>1707</v>
      </c>
      <c r="C1593" s="66" t="s">
        <v>3578</v>
      </c>
      <c r="D1593" s="66">
        <v>3406</v>
      </c>
      <c r="E1593" s="68" t="s">
        <v>6658</v>
      </c>
      <c r="F1593" s="66" t="s">
        <v>6659</v>
      </c>
      <c r="G1593" s="71">
        <v>6500</v>
      </c>
      <c r="H1593" s="73"/>
      <c r="I1593" s="75">
        <v>0.1</v>
      </c>
      <c r="J1593" s="77"/>
      <c r="K1593" s="66"/>
      <c r="L1593" s="66"/>
      <c r="M1593" s="79" t="str">
        <f>HYPERLINK("http://www.pristavka.com/catalog/funko/Fun3406/")</f>
        <v>http://www.pristavka.com/catalog/funko/Fun3406/</v>
      </c>
      <c r="N1593" s="71">
        <v>9999</v>
      </c>
      <c r="O1593" s="66" t="s">
        <v>27</v>
      </c>
      <c r="P1593" s="82" t="s">
        <v>6660</v>
      </c>
      <c r="Q1593" s="84" t="s">
        <v>1314</v>
      </c>
      <c r="R1593" s="84" t="s">
        <v>1315</v>
      </c>
      <c r="S1593" s="84">
        <v>0.11799999999999999</v>
      </c>
      <c r="T1593" s="82" t="s">
        <v>4084</v>
      </c>
      <c r="U1593" s="84" t="s">
        <v>3584</v>
      </c>
      <c r="V1593" s="54"/>
    </row>
    <row r="1594" spans="1:22" s="11" customFormat="1" ht="45" customHeight="1" x14ac:dyDescent="0.2">
      <c r="A1594" s="66" t="s">
        <v>3577</v>
      </c>
      <c r="B1594" s="66" t="s">
        <v>1707</v>
      </c>
      <c r="C1594" s="66" t="s">
        <v>3578</v>
      </c>
      <c r="D1594" s="66">
        <v>37390</v>
      </c>
      <c r="E1594" s="68" t="s">
        <v>6661</v>
      </c>
      <c r="F1594" s="66" t="s">
        <v>6662</v>
      </c>
      <c r="G1594" s="71">
        <v>6500</v>
      </c>
      <c r="H1594" s="73"/>
      <c r="I1594" s="75">
        <v>0.1</v>
      </c>
      <c r="J1594" s="77"/>
      <c r="K1594" s="66"/>
      <c r="L1594" s="66"/>
      <c r="M1594" s="79" t="str">
        <f>HYPERLINK("http://www.pristavka.com/catalog/funko/Fun2066/")</f>
        <v>http://www.pristavka.com/catalog/funko/Fun2066/</v>
      </c>
      <c r="N1594" s="71">
        <v>9999</v>
      </c>
      <c r="O1594" s="66" t="s">
        <v>27</v>
      </c>
      <c r="P1594" s="82" t="s">
        <v>6663</v>
      </c>
      <c r="Q1594" s="84" t="s">
        <v>1328</v>
      </c>
      <c r="R1594" s="84" t="s">
        <v>1315</v>
      </c>
      <c r="S1594" s="84">
        <v>0.14000000000000001</v>
      </c>
      <c r="T1594" s="82" t="s">
        <v>4353</v>
      </c>
      <c r="U1594" s="84" t="s">
        <v>3584</v>
      </c>
      <c r="V1594" s="54"/>
    </row>
    <row r="1595" spans="1:22" s="11" customFormat="1" ht="45" customHeight="1" x14ac:dyDescent="0.2">
      <c r="A1595" s="66" t="s">
        <v>3577</v>
      </c>
      <c r="B1595" s="66" t="s">
        <v>1707</v>
      </c>
      <c r="C1595" s="66" t="s">
        <v>3578</v>
      </c>
      <c r="D1595" s="66">
        <v>37383</v>
      </c>
      <c r="E1595" s="68" t="s">
        <v>6664</v>
      </c>
      <c r="F1595" s="66" t="s">
        <v>6665</v>
      </c>
      <c r="G1595" s="71">
        <v>6500</v>
      </c>
      <c r="H1595" s="73"/>
      <c r="I1595" s="75">
        <v>0.1</v>
      </c>
      <c r="J1595" s="77"/>
      <c r="K1595" s="66"/>
      <c r="L1595" s="66"/>
      <c r="M1595" s="79" t="str">
        <f>HYPERLINK("http://www.pristavka.com/catalog/funko/Fun2061/")</f>
        <v>http://www.pristavka.com/catalog/funko/Fun2061/</v>
      </c>
      <c r="N1595" s="71">
        <v>9999</v>
      </c>
      <c r="O1595" s="66" t="s">
        <v>27</v>
      </c>
      <c r="P1595" s="82" t="s">
        <v>6666</v>
      </c>
      <c r="Q1595" s="84" t="s">
        <v>1328</v>
      </c>
      <c r="R1595" s="84" t="s">
        <v>1315</v>
      </c>
      <c r="S1595" s="84">
        <v>0.15</v>
      </c>
      <c r="T1595" s="82" t="s">
        <v>4353</v>
      </c>
      <c r="U1595" s="84" t="s">
        <v>3584</v>
      </c>
      <c r="V1595" s="54"/>
    </row>
    <row r="1596" spans="1:22" s="11" customFormat="1" ht="45" customHeight="1" x14ac:dyDescent="0.2">
      <c r="A1596" s="66" t="s">
        <v>3577</v>
      </c>
      <c r="B1596" s="66" t="s">
        <v>1707</v>
      </c>
      <c r="C1596" s="66" t="s">
        <v>3578</v>
      </c>
      <c r="D1596" s="66">
        <v>54741</v>
      </c>
      <c r="E1596" s="68" t="s">
        <v>6667</v>
      </c>
      <c r="F1596" s="66" t="s">
        <v>6668</v>
      </c>
      <c r="G1596" s="71">
        <v>6500</v>
      </c>
      <c r="H1596" s="73"/>
      <c r="I1596" s="75">
        <v>0.1</v>
      </c>
      <c r="J1596" s="77"/>
      <c r="K1596" s="66"/>
      <c r="L1596" s="66"/>
      <c r="M1596" s="79" t="str">
        <f>HYPERLINK("http://www.pristavka.com/catalog/funko/Fun54741/")</f>
        <v>http://www.pristavka.com/catalog/funko/Fun54741/</v>
      </c>
      <c r="N1596" s="71">
        <v>9999</v>
      </c>
      <c r="O1596" s="66" t="s">
        <v>27</v>
      </c>
      <c r="P1596" s="82" t="s">
        <v>6669</v>
      </c>
      <c r="Q1596" s="84" t="s">
        <v>6100</v>
      </c>
      <c r="R1596" s="84" t="s">
        <v>1315</v>
      </c>
      <c r="S1596" s="84">
        <v>0.154</v>
      </c>
      <c r="T1596" s="82" t="s">
        <v>4084</v>
      </c>
      <c r="U1596" s="84" t="s">
        <v>3584</v>
      </c>
      <c r="V1596" s="54"/>
    </row>
    <row r="1597" spans="1:22" s="11" customFormat="1" ht="45" customHeight="1" x14ac:dyDescent="0.2">
      <c r="A1597" s="66" t="s">
        <v>3577</v>
      </c>
      <c r="B1597" s="66" t="s">
        <v>1707</v>
      </c>
      <c r="C1597" s="66" t="s">
        <v>3578</v>
      </c>
      <c r="D1597" s="66">
        <v>56349</v>
      </c>
      <c r="E1597" s="68" t="s">
        <v>6670</v>
      </c>
      <c r="F1597" s="66" t="s">
        <v>6671</v>
      </c>
      <c r="G1597" s="71">
        <v>6500</v>
      </c>
      <c r="H1597" s="73"/>
      <c r="I1597" s="75">
        <v>0.1</v>
      </c>
      <c r="J1597" s="77"/>
      <c r="K1597" s="66"/>
      <c r="L1597" s="66"/>
      <c r="M1597" s="79" t="str">
        <f>HYPERLINK("http://www.pristavka.com/catalog/funko/Fun56349/")</f>
        <v>http://www.pristavka.com/catalog/funko/Fun56349/</v>
      </c>
      <c r="N1597" s="71">
        <v>9999</v>
      </c>
      <c r="O1597" s="66" t="s">
        <v>27</v>
      </c>
      <c r="P1597" s="82" t="s">
        <v>6672</v>
      </c>
      <c r="Q1597" s="84" t="s">
        <v>1733</v>
      </c>
      <c r="R1597" s="84" t="s">
        <v>1315</v>
      </c>
      <c r="S1597" s="84">
        <v>0.158</v>
      </c>
      <c r="T1597" s="82" t="s">
        <v>4246</v>
      </c>
      <c r="U1597" s="84" t="s">
        <v>3584</v>
      </c>
      <c r="V1597" s="54"/>
    </row>
    <row r="1598" spans="1:22" s="11" customFormat="1" ht="45" customHeight="1" x14ac:dyDescent="0.2">
      <c r="A1598" s="66" t="s">
        <v>3577</v>
      </c>
      <c r="B1598" s="66" t="s">
        <v>1707</v>
      </c>
      <c r="C1598" s="66" t="s">
        <v>3578</v>
      </c>
      <c r="D1598" s="66">
        <v>55969</v>
      </c>
      <c r="E1598" s="68" t="s">
        <v>6673</v>
      </c>
      <c r="F1598" s="66" t="s">
        <v>6674</v>
      </c>
      <c r="G1598" s="71">
        <v>6500</v>
      </c>
      <c r="H1598" s="73"/>
      <c r="I1598" s="75">
        <v>0.1</v>
      </c>
      <c r="J1598" s="77"/>
      <c r="K1598" s="66"/>
      <c r="L1598" s="66"/>
      <c r="M1598" s="79" t="str">
        <f>HYPERLINK("http://www.pristavka.com/catalog/funko/Fun25491744/")</f>
        <v>http://www.pristavka.com/catalog/funko/Fun25491744/</v>
      </c>
      <c r="N1598" s="71">
        <v>9999</v>
      </c>
      <c r="O1598" s="66" t="s">
        <v>27</v>
      </c>
      <c r="P1598" s="82" t="s">
        <v>6675</v>
      </c>
      <c r="Q1598" s="84" t="s">
        <v>3609</v>
      </c>
      <c r="R1598" s="84" t="s">
        <v>1315</v>
      </c>
      <c r="S1598" s="84">
        <v>0.14000000000000001</v>
      </c>
      <c r="T1598" s="82" t="s">
        <v>4574</v>
      </c>
      <c r="U1598" s="84" t="s">
        <v>3584</v>
      </c>
      <c r="V1598" s="54"/>
    </row>
    <row r="1599" spans="1:22" s="11" customFormat="1" ht="45" customHeight="1" x14ac:dyDescent="0.2">
      <c r="A1599" s="66" t="s">
        <v>3577</v>
      </c>
      <c r="B1599" s="66" t="s">
        <v>1707</v>
      </c>
      <c r="C1599" s="66" t="s">
        <v>3578</v>
      </c>
      <c r="D1599" s="66">
        <v>66647</v>
      </c>
      <c r="E1599" s="68" t="s">
        <v>6676</v>
      </c>
      <c r="F1599" s="66" t="s">
        <v>6677</v>
      </c>
      <c r="G1599" s="71">
        <v>6890</v>
      </c>
      <c r="H1599" s="73"/>
      <c r="I1599" s="75">
        <v>0.1</v>
      </c>
      <c r="J1599" s="77"/>
      <c r="K1599" s="66"/>
      <c r="L1599" s="66"/>
      <c r="M1599" s="79" t="str">
        <f>HYPERLINK("http://www.pristavka.com/catalog/funko/Fun66647/")</f>
        <v>http://www.pristavka.com/catalog/funko/Fun66647/</v>
      </c>
      <c r="N1599" s="71">
        <v>10599</v>
      </c>
      <c r="O1599" s="66" t="s">
        <v>28</v>
      </c>
      <c r="P1599" s="82" t="s">
        <v>6678</v>
      </c>
      <c r="Q1599" s="84" t="s">
        <v>6264</v>
      </c>
      <c r="R1599" s="84" t="s">
        <v>1315</v>
      </c>
      <c r="S1599" s="84">
        <v>0.16300000000000001</v>
      </c>
      <c r="T1599" s="82" t="s">
        <v>4091</v>
      </c>
      <c r="U1599" s="84" t="s">
        <v>3584</v>
      </c>
      <c r="V1599" s="54"/>
    </row>
    <row r="1600" spans="1:22" s="11" customFormat="1" ht="45" customHeight="1" x14ac:dyDescent="0.2">
      <c r="A1600" s="66" t="s">
        <v>3577</v>
      </c>
      <c r="B1600" s="66" t="s">
        <v>1707</v>
      </c>
      <c r="C1600" s="66" t="s">
        <v>3578</v>
      </c>
      <c r="D1600" s="66">
        <v>55972</v>
      </c>
      <c r="E1600" s="68" t="s">
        <v>6679</v>
      </c>
      <c r="F1600" s="66" t="s">
        <v>6680</v>
      </c>
      <c r="G1600" s="71">
        <v>6500</v>
      </c>
      <c r="H1600" s="73"/>
      <c r="I1600" s="75">
        <v>0.1</v>
      </c>
      <c r="J1600" s="77"/>
      <c r="K1600" s="66"/>
      <c r="L1600" s="66"/>
      <c r="M1600" s="79" t="str">
        <f>HYPERLINK("http://www.pristavka.com/catalog/funko/Fun25491745/")</f>
        <v>http://www.pristavka.com/catalog/funko/Fun25491745/</v>
      </c>
      <c r="N1600" s="71">
        <v>9999</v>
      </c>
      <c r="O1600" s="66" t="s">
        <v>27</v>
      </c>
      <c r="P1600" s="82" t="s">
        <v>6681</v>
      </c>
      <c r="Q1600" s="84" t="s">
        <v>6682</v>
      </c>
      <c r="R1600" s="84" t="s">
        <v>1315</v>
      </c>
      <c r="S1600" s="84">
        <v>0.21099999999999999</v>
      </c>
      <c r="T1600" s="82" t="s">
        <v>4102</v>
      </c>
      <c r="U1600" s="84" t="s">
        <v>3584</v>
      </c>
      <c r="V1600" s="54"/>
    </row>
    <row r="1601" spans="1:22" s="11" customFormat="1" ht="45" customHeight="1" x14ac:dyDescent="0.2">
      <c r="A1601" s="66" t="s">
        <v>3577</v>
      </c>
      <c r="B1601" s="66" t="s">
        <v>1707</v>
      </c>
      <c r="C1601" s="66" t="s">
        <v>3578</v>
      </c>
      <c r="D1601" s="66">
        <v>55973</v>
      </c>
      <c r="E1601" s="68" t="s">
        <v>6683</v>
      </c>
      <c r="F1601" s="66" t="s">
        <v>6684</v>
      </c>
      <c r="G1601" s="71">
        <v>6500</v>
      </c>
      <c r="H1601" s="73"/>
      <c r="I1601" s="75">
        <v>0.1</v>
      </c>
      <c r="J1601" s="77"/>
      <c r="K1601" s="66"/>
      <c r="L1601" s="66"/>
      <c r="M1601" s="79" t="str">
        <f>HYPERLINK("http://www.pristavka.com/catalog/funko/Fun25491746/")</f>
        <v>http://www.pristavka.com/catalog/funko/Fun25491746/</v>
      </c>
      <c r="N1601" s="71">
        <v>9999</v>
      </c>
      <c r="O1601" s="66" t="s">
        <v>27</v>
      </c>
      <c r="P1601" s="82" t="s">
        <v>6685</v>
      </c>
      <c r="Q1601" s="84" t="s">
        <v>6555</v>
      </c>
      <c r="R1601" s="84" t="s">
        <v>1315</v>
      </c>
      <c r="S1601" s="84">
        <v>0.14000000000000001</v>
      </c>
      <c r="T1601" s="82" t="s">
        <v>4574</v>
      </c>
      <c r="U1601" s="84" t="s">
        <v>3584</v>
      </c>
      <c r="V1601" s="54"/>
    </row>
    <row r="1602" spans="1:22" s="11" customFormat="1" ht="45" customHeight="1" x14ac:dyDescent="0.2">
      <c r="A1602" s="66" t="s">
        <v>3577</v>
      </c>
      <c r="B1602" s="66" t="s">
        <v>1707</v>
      </c>
      <c r="C1602" s="66" t="s">
        <v>3578</v>
      </c>
      <c r="D1602" s="66">
        <v>54744</v>
      </c>
      <c r="E1602" s="68" t="s">
        <v>6686</v>
      </c>
      <c r="F1602" s="66" t="s">
        <v>6687</v>
      </c>
      <c r="G1602" s="71">
        <v>6500</v>
      </c>
      <c r="H1602" s="73"/>
      <c r="I1602" s="75">
        <v>0.1</v>
      </c>
      <c r="J1602" s="77"/>
      <c r="K1602" s="66"/>
      <c r="L1602" s="66"/>
      <c r="M1602" s="79" t="str">
        <f>HYPERLINK("http://www.pristavka.com/catalog/funko/Fun54744/")</f>
        <v>http://www.pristavka.com/catalog/funko/Fun54744/</v>
      </c>
      <c r="N1602" s="71">
        <v>9999</v>
      </c>
      <c r="O1602" s="66" t="s">
        <v>27</v>
      </c>
      <c r="P1602" s="82" t="s">
        <v>6688</v>
      </c>
      <c r="Q1602" s="84" t="s">
        <v>6689</v>
      </c>
      <c r="R1602" s="84" t="s">
        <v>1315</v>
      </c>
      <c r="S1602" s="84">
        <v>0.13600000000000001</v>
      </c>
      <c r="T1602" s="82" t="s">
        <v>4102</v>
      </c>
      <c r="U1602" s="84" t="s">
        <v>3584</v>
      </c>
      <c r="V1602" s="54"/>
    </row>
    <row r="1603" spans="1:22" s="11" customFormat="1" ht="45" customHeight="1" x14ac:dyDescent="0.2">
      <c r="A1603" s="66" t="s">
        <v>3577</v>
      </c>
      <c r="B1603" s="66" t="s">
        <v>1707</v>
      </c>
      <c r="C1603" s="66" t="s">
        <v>3578</v>
      </c>
      <c r="D1603" s="66">
        <v>79158</v>
      </c>
      <c r="E1603" s="68" t="s">
        <v>6690</v>
      </c>
      <c r="F1603" s="66" t="s">
        <v>6691</v>
      </c>
      <c r="G1603" s="71">
        <v>6890</v>
      </c>
      <c r="H1603" s="73"/>
      <c r="I1603" s="75">
        <v>0.1</v>
      </c>
      <c r="J1603" s="77"/>
      <c r="K1603" s="66"/>
      <c r="L1603" s="66"/>
      <c r="M1603" s="79" t="str">
        <f>HYPERLINK("http://www.pristavka.com/catalog/funko/Fun79158/")</f>
        <v>http://www.pristavka.com/catalog/funko/Fun79158/</v>
      </c>
      <c r="N1603" s="71">
        <v>10599</v>
      </c>
      <c r="O1603" s="66" t="s">
        <v>28</v>
      </c>
      <c r="P1603" s="82" t="s">
        <v>6692</v>
      </c>
      <c r="Q1603" s="84" t="s">
        <v>3945</v>
      </c>
      <c r="R1603" s="84" t="s">
        <v>1315</v>
      </c>
      <c r="S1603" s="84">
        <v>0.128</v>
      </c>
      <c r="T1603" s="82" t="s">
        <v>4091</v>
      </c>
      <c r="U1603" s="84" t="s">
        <v>3584</v>
      </c>
      <c r="V1603" s="54"/>
    </row>
    <row r="1604" spans="1:22" s="11" customFormat="1" ht="45" customHeight="1" x14ac:dyDescent="0.2">
      <c r="A1604" s="66" t="s">
        <v>3577</v>
      </c>
      <c r="B1604" s="66" t="s">
        <v>1707</v>
      </c>
      <c r="C1604" s="66" t="s">
        <v>3578</v>
      </c>
      <c r="D1604" s="66">
        <v>80836</v>
      </c>
      <c r="E1604" s="68" t="s">
        <v>6693</v>
      </c>
      <c r="F1604" s="66" t="s">
        <v>6694</v>
      </c>
      <c r="G1604" s="71">
        <v>6500</v>
      </c>
      <c r="H1604" s="73"/>
      <c r="I1604" s="75">
        <v>0.1</v>
      </c>
      <c r="J1604" s="77"/>
      <c r="K1604" s="66"/>
      <c r="L1604" s="66"/>
      <c r="M1604" s="79" t="str">
        <f>HYPERLINK("http://www.pristavka.com/catalog/funko/Fun80836/")</f>
        <v>http://www.pristavka.com/catalog/funko/Fun80836/</v>
      </c>
      <c r="N1604" s="71">
        <v>9999</v>
      </c>
      <c r="O1604" s="66" t="s">
        <v>27</v>
      </c>
      <c r="P1604" s="82" t="s">
        <v>6695</v>
      </c>
      <c r="Q1604" s="84" t="s">
        <v>3945</v>
      </c>
      <c r="R1604" s="84" t="s">
        <v>1315</v>
      </c>
      <c r="S1604" s="84">
        <v>0.127</v>
      </c>
      <c r="T1604" s="82" t="s">
        <v>4084</v>
      </c>
      <c r="U1604" s="84" t="s">
        <v>3584</v>
      </c>
      <c r="V1604" s="54"/>
    </row>
    <row r="1605" spans="1:22" s="11" customFormat="1" ht="45" customHeight="1" x14ac:dyDescent="0.2">
      <c r="A1605" s="66" t="s">
        <v>3577</v>
      </c>
      <c r="B1605" s="66" t="s">
        <v>1707</v>
      </c>
      <c r="C1605" s="66" t="s">
        <v>3578</v>
      </c>
      <c r="D1605" s="66">
        <v>80837</v>
      </c>
      <c r="E1605" s="68" t="s">
        <v>6696</v>
      </c>
      <c r="F1605" s="66" t="s">
        <v>6697</v>
      </c>
      <c r="G1605" s="71">
        <v>6500</v>
      </c>
      <c r="H1605" s="73"/>
      <c r="I1605" s="75">
        <v>0.1</v>
      </c>
      <c r="J1605" s="77"/>
      <c r="K1605" s="66"/>
      <c r="L1605" s="66"/>
      <c r="M1605" s="79" t="str">
        <f>HYPERLINK("http://www.pristavka.com/catalog/funko/Fun80837/")</f>
        <v>http://www.pristavka.com/catalog/funko/Fun80837/</v>
      </c>
      <c r="N1605" s="71">
        <v>9999</v>
      </c>
      <c r="O1605" s="66" t="s">
        <v>27</v>
      </c>
      <c r="P1605" s="82" t="s">
        <v>6698</v>
      </c>
      <c r="Q1605" s="84" t="s">
        <v>3945</v>
      </c>
      <c r="R1605" s="84" t="s">
        <v>1315</v>
      </c>
      <c r="S1605" s="84">
        <v>0.114</v>
      </c>
      <c r="T1605" s="82" t="s">
        <v>4084</v>
      </c>
      <c r="U1605" s="84" t="s">
        <v>3584</v>
      </c>
      <c r="V1605" s="54"/>
    </row>
    <row r="1606" spans="1:22" s="11" customFormat="1" ht="45" customHeight="1" x14ac:dyDescent="0.2">
      <c r="A1606" s="66" t="s">
        <v>3577</v>
      </c>
      <c r="B1606" s="66" t="s">
        <v>1707</v>
      </c>
      <c r="C1606" s="66" t="s">
        <v>3578</v>
      </c>
      <c r="D1606" s="66">
        <v>80838</v>
      </c>
      <c r="E1606" s="68" t="s">
        <v>6699</v>
      </c>
      <c r="F1606" s="66" t="s">
        <v>6700</v>
      </c>
      <c r="G1606" s="71">
        <v>6500</v>
      </c>
      <c r="H1606" s="73"/>
      <c r="I1606" s="75">
        <v>0.1</v>
      </c>
      <c r="J1606" s="77"/>
      <c r="K1606" s="66"/>
      <c r="L1606" s="66"/>
      <c r="M1606" s="79" t="str">
        <f>HYPERLINK("http://www.pristavka.com/catalog/funko/Fun80838/")</f>
        <v>http://www.pristavka.com/catalog/funko/Fun80838/</v>
      </c>
      <c r="N1606" s="71">
        <v>9999</v>
      </c>
      <c r="O1606" s="66" t="s">
        <v>27</v>
      </c>
      <c r="P1606" s="82" t="s">
        <v>6701</v>
      </c>
      <c r="Q1606" s="84" t="s">
        <v>3945</v>
      </c>
      <c r="R1606" s="84" t="s">
        <v>1315</v>
      </c>
      <c r="S1606" s="84">
        <v>0.128</v>
      </c>
      <c r="T1606" s="82" t="s">
        <v>4084</v>
      </c>
      <c r="U1606" s="84" t="s">
        <v>3584</v>
      </c>
      <c r="V1606" s="54"/>
    </row>
    <row r="1607" spans="1:22" s="11" customFormat="1" ht="45" customHeight="1" x14ac:dyDescent="0.2">
      <c r="A1607" s="66" t="s">
        <v>3577</v>
      </c>
      <c r="B1607" s="66" t="s">
        <v>1707</v>
      </c>
      <c r="C1607" s="66" t="s">
        <v>3578</v>
      </c>
      <c r="D1607" s="66">
        <v>80839</v>
      </c>
      <c r="E1607" s="68" t="s">
        <v>6702</v>
      </c>
      <c r="F1607" s="66" t="s">
        <v>6703</v>
      </c>
      <c r="G1607" s="71">
        <v>6500</v>
      </c>
      <c r="H1607" s="73"/>
      <c r="I1607" s="75">
        <v>0.1</v>
      </c>
      <c r="J1607" s="77"/>
      <c r="K1607" s="66"/>
      <c r="L1607" s="66"/>
      <c r="M1607" s="79" t="str">
        <f>HYPERLINK("http://www.pristavka.com/catalog/funko/Fun80839/")</f>
        <v>http://www.pristavka.com/catalog/funko/Fun80839/</v>
      </c>
      <c r="N1607" s="71">
        <v>9999</v>
      </c>
      <c r="O1607" s="66" t="s">
        <v>27</v>
      </c>
      <c r="P1607" s="82" t="s">
        <v>6704</v>
      </c>
      <c r="Q1607" s="84" t="s">
        <v>3945</v>
      </c>
      <c r="R1607" s="84" t="s">
        <v>1315</v>
      </c>
      <c r="S1607" s="84">
        <v>0.11799999999999999</v>
      </c>
      <c r="T1607" s="82" t="s">
        <v>4084</v>
      </c>
      <c r="U1607" s="84" t="s">
        <v>3584</v>
      </c>
      <c r="V1607" s="54"/>
    </row>
    <row r="1608" spans="1:22" s="11" customFormat="1" ht="45" customHeight="1" x14ac:dyDescent="0.2">
      <c r="A1608" s="66" t="s">
        <v>3577</v>
      </c>
      <c r="B1608" s="66" t="s">
        <v>1707</v>
      </c>
      <c r="C1608" s="66" t="s">
        <v>3578</v>
      </c>
      <c r="D1608" s="66">
        <v>83094</v>
      </c>
      <c r="E1608" s="68" t="s">
        <v>6705</v>
      </c>
      <c r="F1608" s="66" t="s">
        <v>6706</v>
      </c>
      <c r="G1608" s="71">
        <v>6500</v>
      </c>
      <c r="H1608" s="73"/>
      <c r="I1608" s="75">
        <v>0.1</v>
      </c>
      <c r="J1608" s="77"/>
      <c r="K1608" s="66"/>
      <c r="L1608" s="66"/>
      <c r="M1608" s="79" t="str">
        <f>HYPERLINK("http://www.pristavka.com/catalog/funko/Fun83094/")</f>
        <v>http://www.pristavka.com/catalog/funko/Fun83094/</v>
      </c>
      <c r="N1608" s="71">
        <v>9999</v>
      </c>
      <c r="O1608" s="66" t="s">
        <v>27</v>
      </c>
      <c r="P1608" s="82" t="s">
        <v>6707</v>
      </c>
      <c r="Q1608" s="84" t="s">
        <v>6708</v>
      </c>
      <c r="R1608" s="84" t="s">
        <v>1315</v>
      </c>
      <c r="S1608" s="84">
        <v>0.17399999999999999</v>
      </c>
      <c r="T1608" s="82" t="s">
        <v>4084</v>
      </c>
      <c r="U1608" s="84" t="s">
        <v>3584</v>
      </c>
      <c r="V1608" s="54"/>
    </row>
    <row r="1609" spans="1:22" s="11" customFormat="1" ht="45" customHeight="1" x14ac:dyDescent="0.2">
      <c r="A1609" s="66" t="s">
        <v>3577</v>
      </c>
      <c r="B1609" s="66" t="s">
        <v>1707</v>
      </c>
      <c r="C1609" s="66" t="s">
        <v>3578</v>
      </c>
      <c r="D1609" s="66">
        <v>76719</v>
      </c>
      <c r="E1609" s="68" t="s">
        <v>6709</v>
      </c>
      <c r="F1609" s="66" t="s">
        <v>6710</v>
      </c>
      <c r="G1609" s="71">
        <v>6890</v>
      </c>
      <c r="H1609" s="73"/>
      <c r="I1609" s="75">
        <v>0.1</v>
      </c>
      <c r="J1609" s="77"/>
      <c r="K1609" s="66"/>
      <c r="L1609" s="66"/>
      <c r="M1609" s="79" t="str">
        <f>HYPERLINK("http://www.pristavka.com/catalog/funko/Fun76719/")</f>
        <v>http://www.pristavka.com/catalog/funko/Fun76719/</v>
      </c>
      <c r="N1609" s="71">
        <v>10599</v>
      </c>
      <c r="O1609" s="66" t="s">
        <v>27</v>
      </c>
      <c r="P1609" s="82" t="s">
        <v>6711</v>
      </c>
      <c r="Q1609" s="84" t="s">
        <v>6555</v>
      </c>
      <c r="R1609" s="84" t="s">
        <v>1315</v>
      </c>
      <c r="S1609" s="84">
        <v>0.16600000000000001</v>
      </c>
      <c r="T1609" s="82" t="s">
        <v>4997</v>
      </c>
      <c r="U1609" s="84" t="s">
        <v>3584</v>
      </c>
      <c r="V1609" s="54"/>
    </row>
    <row r="1610" spans="1:22" s="11" customFormat="1" ht="45" customHeight="1" x14ac:dyDescent="0.2">
      <c r="A1610" s="66" t="s">
        <v>3577</v>
      </c>
      <c r="B1610" s="66" t="s">
        <v>1707</v>
      </c>
      <c r="C1610" s="66" t="s">
        <v>3578</v>
      </c>
      <c r="D1610" s="66">
        <v>80928</v>
      </c>
      <c r="E1610" s="68" t="s">
        <v>6712</v>
      </c>
      <c r="F1610" s="66" t="s">
        <v>6713</v>
      </c>
      <c r="G1610" s="71">
        <v>6500</v>
      </c>
      <c r="H1610" s="73"/>
      <c r="I1610" s="75">
        <v>0.1</v>
      </c>
      <c r="J1610" s="77"/>
      <c r="K1610" s="66"/>
      <c r="L1610" s="66"/>
      <c r="M1610" s="79" t="str">
        <f>HYPERLINK("http://www.pristavka.com/catalog/funko/Fun80928/")</f>
        <v>http://www.pristavka.com/catalog/funko/Fun80928/</v>
      </c>
      <c r="N1610" s="71">
        <v>9999</v>
      </c>
      <c r="O1610" s="66" t="s">
        <v>27</v>
      </c>
      <c r="P1610" s="82" t="s">
        <v>6714</v>
      </c>
      <c r="Q1610" s="84" t="s">
        <v>1733</v>
      </c>
      <c r="R1610" s="84" t="s">
        <v>1315</v>
      </c>
      <c r="S1610" s="84">
        <v>0.13900000000000001</v>
      </c>
      <c r="T1610" s="82" t="s">
        <v>4091</v>
      </c>
      <c r="U1610" s="84" t="s">
        <v>3584</v>
      </c>
      <c r="V1610" s="54"/>
    </row>
    <row r="1611" spans="1:22" s="11" customFormat="1" ht="45" customHeight="1" x14ac:dyDescent="0.2">
      <c r="A1611" s="66" t="s">
        <v>3577</v>
      </c>
      <c r="B1611" s="66" t="s">
        <v>1707</v>
      </c>
      <c r="C1611" s="66" t="s">
        <v>3578</v>
      </c>
      <c r="D1611" s="66">
        <v>80929</v>
      </c>
      <c r="E1611" s="68" t="s">
        <v>6715</v>
      </c>
      <c r="F1611" s="66" t="s">
        <v>6716</v>
      </c>
      <c r="G1611" s="71">
        <v>6500</v>
      </c>
      <c r="H1611" s="73"/>
      <c r="I1611" s="75">
        <v>0.1</v>
      </c>
      <c r="J1611" s="77"/>
      <c r="K1611" s="66"/>
      <c r="L1611" s="66"/>
      <c r="M1611" s="79" t="str">
        <f>HYPERLINK("http://www.pristavka.com/catalog/funko/Fun80929/")</f>
        <v>http://www.pristavka.com/catalog/funko/Fun80929/</v>
      </c>
      <c r="N1611" s="71">
        <v>9999</v>
      </c>
      <c r="O1611" s="66" t="s">
        <v>27</v>
      </c>
      <c r="P1611" s="82" t="s">
        <v>6717</v>
      </c>
      <c r="Q1611" s="84" t="s">
        <v>6718</v>
      </c>
      <c r="R1611" s="84" t="s">
        <v>1315</v>
      </c>
      <c r="S1611" s="84">
        <v>0.20499999999999999</v>
      </c>
      <c r="T1611" s="82" t="s">
        <v>4113</v>
      </c>
      <c r="U1611" s="84" t="s">
        <v>3584</v>
      </c>
      <c r="V1611" s="54"/>
    </row>
    <row r="1612" spans="1:22" s="11" customFormat="1" ht="45" customHeight="1" x14ac:dyDescent="0.2">
      <c r="A1612" s="66" t="s">
        <v>3577</v>
      </c>
      <c r="B1612" s="66" t="s">
        <v>1707</v>
      </c>
      <c r="C1612" s="66" t="s">
        <v>3578</v>
      </c>
      <c r="D1612" s="66">
        <v>80930</v>
      </c>
      <c r="E1612" s="68" t="s">
        <v>6719</v>
      </c>
      <c r="F1612" s="66" t="s">
        <v>6720</v>
      </c>
      <c r="G1612" s="71">
        <v>6500</v>
      </c>
      <c r="H1612" s="73"/>
      <c r="I1612" s="75">
        <v>0.1</v>
      </c>
      <c r="J1612" s="77"/>
      <c r="K1612" s="66"/>
      <c r="L1612" s="66"/>
      <c r="M1612" s="79" t="str">
        <f>HYPERLINK("http://www.pristavka.com/catalog/funko/Fun80930/")</f>
        <v>http://www.pristavka.com/catalog/funko/Fun80930/</v>
      </c>
      <c r="N1612" s="71">
        <v>9999</v>
      </c>
      <c r="O1612" s="66" t="s">
        <v>27</v>
      </c>
      <c r="P1612" s="82" t="s">
        <v>6721</v>
      </c>
      <c r="Q1612" s="84" t="s">
        <v>6682</v>
      </c>
      <c r="R1612" s="84" t="s">
        <v>1315</v>
      </c>
      <c r="S1612" s="84">
        <v>0.157</v>
      </c>
      <c r="T1612" s="82" t="s">
        <v>4091</v>
      </c>
      <c r="U1612" s="84" t="s">
        <v>3584</v>
      </c>
      <c r="V1612" s="54"/>
    </row>
    <row r="1613" spans="1:22" s="11" customFormat="1" ht="45" customHeight="1" x14ac:dyDescent="0.2">
      <c r="A1613" s="66" t="s">
        <v>3577</v>
      </c>
      <c r="B1613" s="66" t="s">
        <v>1707</v>
      </c>
      <c r="C1613" s="66" t="s">
        <v>3578</v>
      </c>
      <c r="D1613" s="66">
        <v>80931</v>
      </c>
      <c r="E1613" s="68" t="s">
        <v>6722</v>
      </c>
      <c r="F1613" s="66" t="s">
        <v>6723</v>
      </c>
      <c r="G1613" s="71">
        <v>6500</v>
      </c>
      <c r="H1613" s="73"/>
      <c r="I1613" s="75">
        <v>0.1</v>
      </c>
      <c r="J1613" s="77"/>
      <c r="K1613" s="66"/>
      <c r="L1613" s="66"/>
      <c r="M1613" s="79" t="str">
        <f>HYPERLINK("http://www.pristavka.com/catalog/funko/Fun80931/")</f>
        <v>http://www.pristavka.com/catalog/funko/Fun80931/</v>
      </c>
      <c r="N1613" s="71">
        <v>9999</v>
      </c>
      <c r="O1613" s="66" t="s">
        <v>27</v>
      </c>
      <c r="P1613" s="82" t="s">
        <v>6724</v>
      </c>
      <c r="Q1613" s="84" t="s">
        <v>6725</v>
      </c>
      <c r="R1613" s="84" t="s">
        <v>1315</v>
      </c>
      <c r="S1613" s="84">
        <v>0.13500000000000001</v>
      </c>
      <c r="T1613" s="82" t="s">
        <v>4091</v>
      </c>
      <c r="U1613" s="84" t="s">
        <v>3584</v>
      </c>
      <c r="V1613" s="54"/>
    </row>
    <row r="1614" spans="1:22" s="11" customFormat="1" ht="45" customHeight="1" x14ac:dyDescent="0.2">
      <c r="A1614" s="66" t="s">
        <v>3577</v>
      </c>
      <c r="B1614" s="66" t="s">
        <v>1707</v>
      </c>
      <c r="C1614" s="66" t="s">
        <v>3578</v>
      </c>
      <c r="D1614" s="66">
        <v>80237</v>
      </c>
      <c r="E1614" s="68" t="s">
        <v>6726</v>
      </c>
      <c r="F1614" s="66" t="s">
        <v>6727</v>
      </c>
      <c r="G1614" s="71">
        <v>6500</v>
      </c>
      <c r="H1614" s="73"/>
      <c r="I1614" s="75">
        <v>0.1</v>
      </c>
      <c r="J1614" s="77"/>
      <c r="K1614" s="66"/>
      <c r="L1614" s="66"/>
      <c r="M1614" s="79" t="str">
        <f>HYPERLINK("http://www.pristavka.com/catalog/funko/Fun80237/")</f>
        <v>http://www.pristavka.com/catalog/funko/Fun80237/</v>
      </c>
      <c r="N1614" s="71">
        <v>9999</v>
      </c>
      <c r="O1614" s="66" t="s">
        <v>27</v>
      </c>
      <c r="P1614" s="82" t="s">
        <v>6728</v>
      </c>
      <c r="Q1614" s="84" t="s">
        <v>6729</v>
      </c>
      <c r="R1614" s="84" t="s">
        <v>1315</v>
      </c>
      <c r="S1614" s="84">
        <v>0.11799999999999999</v>
      </c>
      <c r="T1614" s="82" t="s">
        <v>4084</v>
      </c>
      <c r="U1614" s="84" t="s">
        <v>3584</v>
      </c>
      <c r="V1614" s="54"/>
    </row>
    <row r="1615" spans="1:22" s="11" customFormat="1" ht="45" customHeight="1" x14ac:dyDescent="0.2">
      <c r="A1615" s="66" t="s">
        <v>3577</v>
      </c>
      <c r="B1615" s="66" t="s">
        <v>1707</v>
      </c>
      <c r="C1615" s="66" t="s">
        <v>3578</v>
      </c>
      <c r="D1615" s="66">
        <v>80238</v>
      </c>
      <c r="E1615" s="68" t="s">
        <v>6730</v>
      </c>
      <c r="F1615" s="66" t="s">
        <v>6731</v>
      </c>
      <c r="G1615" s="71">
        <v>6500</v>
      </c>
      <c r="H1615" s="73"/>
      <c r="I1615" s="75">
        <v>0.1</v>
      </c>
      <c r="J1615" s="77"/>
      <c r="K1615" s="66"/>
      <c r="L1615" s="66"/>
      <c r="M1615" s="79" t="str">
        <f>HYPERLINK("http://www.pristavka.com/catalog/funko/Fun80238/")</f>
        <v>http://www.pristavka.com/catalog/funko/Fun80238/</v>
      </c>
      <c r="N1615" s="71">
        <v>9999</v>
      </c>
      <c r="O1615" s="66" t="s">
        <v>27</v>
      </c>
      <c r="P1615" s="82" t="s">
        <v>6732</v>
      </c>
      <c r="Q1615" s="84" t="s">
        <v>6729</v>
      </c>
      <c r="R1615" s="84" t="s">
        <v>1315</v>
      </c>
      <c r="S1615" s="84">
        <v>0.09</v>
      </c>
      <c r="T1615" s="82" t="s">
        <v>4084</v>
      </c>
      <c r="U1615" s="84" t="s">
        <v>3584</v>
      </c>
      <c r="V1615" s="54"/>
    </row>
    <row r="1616" spans="1:22" s="11" customFormat="1" ht="45" customHeight="1" x14ac:dyDescent="0.2">
      <c r="A1616" s="66" t="s">
        <v>3577</v>
      </c>
      <c r="B1616" s="66" t="s">
        <v>1707</v>
      </c>
      <c r="C1616" s="66" t="s">
        <v>3578</v>
      </c>
      <c r="D1616" s="66">
        <v>80239</v>
      </c>
      <c r="E1616" s="68" t="s">
        <v>6733</v>
      </c>
      <c r="F1616" s="66" t="s">
        <v>6734</v>
      </c>
      <c r="G1616" s="71">
        <v>6500</v>
      </c>
      <c r="H1616" s="73"/>
      <c r="I1616" s="75">
        <v>0.1</v>
      </c>
      <c r="J1616" s="77"/>
      <c r="K1616" s="66"/>
      <c r="L1616" s="66"/>
      <c r="M1616" s="79" t="str">
        <f>HYPERLINK("http://www.pristavka.com/catalog/funko/Fun80239/")</f>
        <v>http://www.pristavka.com/catalog/funko/Fun80239/</v>
      </c>
      <c r="N1616" s="71">
        <v>9999</v>
      </c>
      <c r="O1616" s="66" t="s">
        <v>27</v>
      </c>
      <c r="P1616" s="82" t="s">
        <v>6735</v>
      </c>
      <c r="Q1616" s="84" t="s">
        <v>6729</v>
      </c>
      <c r="R1616" s="84" t="s">
        <v>1315</v>
      </c>
      <c r="S1616" s="84">
        <v>0.10199999999999999</v>
      </c>
      <c r="T1616" s="82" t="s">
        <v>4084</v>
      </c>
      <c r="U1616" s="84" t="s">
        <v>3584</v>
      </c>
      <c r="V1616" s="54"/>
    </row>
    <row r="1617" spans="1:22" s="11" customFormat="1" ht="45" customHeight="1" x14ac:dyDescent="0.2">
      <c r="A1617" s="66" t="s">
        <v>3577</v>
      </c>
      <c r="B1617" s="66" t="s">
        <v>1707</v>
      </c>
      <c r="C1617" s="66" t="s">
        <v>3578</v>
      </c>
      <c r="D1617" s="66">
        <v>80240</v>
      </c>
      <c r="E1617" s="68" t="s">
        <v>6736</v>
      </c>
      <c r="F1617" s="66" t="s">
        <v>6737</v>
      </c>
      <c r="G1617" s="71">
        <v>6500</v>
      </c>
      <c r="H1617" s="73"/>
      <c r="I1617" s="75">
        <v>0.1</v>
      </c>
      <c r="J1617" s="77"/>
      <c r="K1617" s="66"/>
      <c r="L1617" s="66"/>
      <c r="M1617" s="79" t="str">
        <f>HYPERLINK("http://www.pristavka.com/catalog/funko/Fun80240/")</f>
        <v>http://www.pristavka.com/catalog/funko/Fun80240/</v>
      </c>
      <c r="N1617" s="71">
        <v>9999</v>
      </c>
      <c r="O1617" s="66" t="s">
        <v>27</v>
      </c>
      <c r="P1617" s="82" t="s">
        <v>6738</v>
      </c>
      <c r="Q1617" s="84" t="s">
        <v>6729</v>
      </c>
      <c r="R1617" s="84" t="s">
        <v>1315</v>
      </c>
      <c r="S1617" s="84">
        <v>0.108</v>
      </c>
      <c r="T1617" s="82" t="s">
        <v>4084</v>
      </c>
      <c r="U1617" s="84" t="s">
        <v>3584</v>
      </c>
      <c r="V1617" s="54"/>
    </row>
    <row r="1618" spans="1:22" s="11" customFormat="1" ht="45" customHeight="1" x14ac:dyDescent="0.2">
      <c r="A1618" s="66" t="s">
        <v>3577</v>
      </c>
      <c r="B1618" s="66" t="s">
        <v>1707</v>
      </c>
      <c r="C1618" s="66" t="s">
        <v>3578</v>
      </c>
      <c r="D1618" s="66">
        <v>80241</v>
      </c>
      <c r="E1618" s="68" t="s">
        <v>6739</v>
      </c>
      <c r="F1618" s="66" t="s">
        <v>6740</v>
      </c>
      <c r="G1618" s="71">
        <v>6500</v>
      </c>
      <c r="H1618" s="73"/>
      <c r="I1618" s="75">
        <v>0.1</v>
      </c>
      <c r="J1618" s="77"/>
      <c r="K1618" s="66"/>
      <c r="L1618" s="66"/>
      <c r="M1618" s="79" t="str">
        <f>HYPERLINK("http://www.pristavka.com/catalog/funko/Fun80241/")</f>
        <v>http://www.pristavka.com/catalog/funko/Fun80241/</v>
      </c>
      <c r="N1618" s="71">
        <v>9999</v>
      </c>
      <c r="O1618" s="66" t="s">
        <v>27</v>
      </c>
      <c r="P1618" s="82" t="s">
        <v>6741</v>
      </c>
      <c r="Q1618" s="84" t="s">
        <v>6729</v>
      </c>
      <c r="R1618" s="84" t="s">
        <v>1315</v>
      </c>
      <c r="S1618" s="84">
        <v>0.13</v>
      </c>
      <c r="T1618" s="82" t="s">
        <v>4084</v>
      </c>
      <c r="U1618" s="84" t="s">
        <v>3584</v>
      </c>
      <c r="V1618" s="54"/>
    </row>
    <row r="1619" spans="1:22" s="11" customFormat="1" ht="45" customHeight="1" x14ac:dyDescent="0.2">
      <c r="A1619" s="66" t="s">
        <v>3577</v>
      </c>
      <c r="B1619" s="66" t="s">
        <v>1707</v>
      </c>
      <c r="C1619" s="66" t="s">
        <v>3578</v>
      </c>
      <c r="D1619" s="66">
        <v>80236</v>
      </c>
      <c r="E1619" s="68" t="s">
        <v>6742</v>
      </c>
      <c r="F1619" s="66" t="s">
        <v>6743</v>
      </c>
      <c r="G1619" s="71">
        <v>6500</v>
      </c>
      <c r="H1619" s="73"/>
      <c r="I1619" s="75">
        <v>0.1</v>
      </c>
      <c r="J1619" s="77"/>
      <c r="K1619" s="66"/>
      <c r="L1619" s="66"/>
      <c r="M1619" s="79" t="str">
        <f>HYPERLINK("http://www.pristavka.com/catalog/funko/Fun80236/")</f>
        <v>http://www.pristavka.com/catalog/funko/Fun80236/</v>
      </c>
      <c r="N1619" s="71">
        <v>9999</v>
      </c>
      <c r="O1619" s="66" t="s">
        <v>27</v>
      </c>
      <c r="P1619" s="82" t="s">
        <v>6744</v>
      </c>
      <c r="Q1619" s="84" t="s">
        <v>6729</v>
      </c>
      <c r="R1619" s="84" t="s">
        <v>1315</v>
      </c>
      <c r="S1619" s="84">
        <v>0.114</v>
      </c>
      <c r="T1619" s="82" t="s">
        <v>4084</v>
      </c>
      <c r="U1619" s="84" t="s">
        <v>3584</v>
      </c>
      <c r="V1619" s="54"/>
    </row>
    <row r="1620" spans="1:22" s="11" customFormat="1" ht="45" customHeight="1" x14ac:dyDescent="0.2">
      <c r="A1620" s="66" t="s">
        <v>3577</v>
      </c>
      <c r="B1620" s="66" t="s">
        <v>1707</v>
      </c>
      <c r="C1620" s="66" t="s">
        <v>3578</v>
      </c>
      <c r="D1620" s="66">
        <v>60127</v>
      </c>
      <c r="E1620" s="68" t="s">
        <v>6745</v>
      </c>
      <c r="F1620" s="66" t="s">
        <v>6746</v>
      </c>
      <c r="G1620" s="71">
        <v>6890</v>
      </c>
      <c r="H1620" s="73"/>
      <c r="I1620" s="75">
        <v>0.1</v>
      </c>
      <c r="J1620" s="77"/>
      <c r="K1620" s="66"/>
      <c r="L1620" s="66"/>
      <c r="M1620" s="79" t="str">
        <f>HYPERLINK("http://www.pristavka.com/catalog/funko/Fun60127/")</f>
        <v>http://www.pristavka.com/catalog/funko/Fun60127/</v>
      </c>
      <c r="N1620" s="71">
        <v>10599</v>
      </c>
      <c r="O1620" s="66" t="s">
        <v>27</v>
      </c>
      <c r="P1620" s="82" t="s">
        <v>6747</v>
      </c>
      <c r="Q1620" s="84" t="s">
        <v>6729</v>
      </c>
      <c r="R1620" s="84" t="s">
        <v>1315</v>
      </c>
      <c r="S1620" s="84">
        <v>0.152</v>
      </c>
      <c r="T1620" s="82" t="s">
        <v>4102</v>
      </c>
      <c r="U1620" s="84" t="s">
        <v>3584</v>
      </c>
      <c r="V1620" s="54"/>
    </row>
    <row r="1621" spans="1:22" s="11" customFormat="1" ht="45" customHeight="1" x14ac:dyDescent="0.2">
      <c r="A1621" s="66" t="s">
        <v>3577</v>
      </c>
      <c r="B1621" s="66" t="s">
        <v>1707</v>
      </c>
      <c r="C1621" s="66" t="s">
        <v>3578</v>
      </c>
      <c r="D1621" s="66">
        <v>66612</v>
      </c>
      <c r="E1621" s="68" t="s">
        <v>6748</v>
      </c>
      <c r="F1621" s="66" t="s">
        <v>6749</v>
      </c>
      <c r="G1621" s="71">
        <v>6890</v>
      </c>
      <c r="H1621" s="73"/>
      <c r="I1621" s="75">
        <v>0.1</v>
      </c>
      <c r="J1621" s="77"/>
      <c r="K1621" s="66"/>
      <c r="L1621" s="66"/>
      <c r="M1621" s="79" t="str">
        <f>HYPERLINK("http://www.pristavka.com/catalog/funko/Fun66612/")</f>
        <v>http://www.pristavka.com/catalog/funko/Fun66612/</v>
      </c>
      <c r="N1621" s="71">
        <v>10599</v>
      </c>
      <c r="O1621" s="66" t="s">
        <v>27</v>
      </c>
      <c r="P1621" s="82" t="s">
        <v>6750</v>
      </c>
      <c r="Q1621" s="84" t="s">
        <v>6729</v>
      </c>
      <c r="R1621" s="84" t="s">
        <v>1315</v>
      </c>
      <c r="S1621" s="84">
        <v>0.12</v>
      </c>
      <c r="T1621" s="82" t="s">
        <v>4353</v>
      </c>
      <c r="U1621" s="84" t="s">
        <v>3584</v>
      </c>
      <c r="V1621" s="54"/>
    </row>
    <row r="1622" spans="1:22" s="11" customFormat="1" ht="45" customHeight="1" x14ac:dyDescent="0.2">
      <c r="A1622" s="66" t="s">
        <v>3577</v>
      </c>
      <c r="B1622" s="66" t="s">
        <v>1707</v>
      </c>
      <c r="C1622" s="66" t="s">
        <v>3578</v>
      </c>
      <c r="D1622" s="66">
        <v>58234</v>
      </c>
      <c r="E1622" s="68" t="s">
        <v>6751</v>
      </c>
      <c r="F1622" s="66" t="s">
        <v>6752</v>
      </c>
      <c r="G1622" s="71">
        <v>6890</v>
      </c>
      <c r="H1622" s="73"/>
      <c r="I1622" s="75">
        <v>0.1</v>
      </c>
      <c r="J1622" s="77"/>
      <c r="K1622" s="66"/>
      <c r="L1622" s="66"/>
      <c r="M1622" s="79" t="str">
        <f>HYPERLINK("http://www.pristavka.com/catalog/funko/Fun58234/")</f>
        <v>http://www.pristavka.com/catalog/funko/Fun58234/</v>
      </c>
      <c r="N1622" s="71">
        <v>10599</v>
      </c>
      <c r="O1622" s="66" t="s">
        <v>27</v>
      </c>
      <c r="P1622" s="82" t="s">
        <v>6753</v>
      </c>
      <c r="Q1622" s="84" t="s">
        <v>6729</v>
      </c>
      <c r="R1622" s="84" t="s">
        <v>1315</v>
      </c>
      <c r="S1622" s="84">
        <v>0.15</v>
      </c>
      <c r="T1622" s="82" t="s">
        <v>4084</v>
      </c>
      <c r="U1622" s="84" t="s">
        <v>3584</v>
      </c>
      <c r="V1622" s="54"/>
    </row>
    <row r="1623" spans="1:22" s="11" customFormat="1" ht="45" customHeight="1" x14ac:dyDescent="0.2">
      <c r="A1623" s="66" t="s">
        <v>3577</v>
      </c>
      <c r="B1623" s="66" t="s">
        <v>1707</v>
      </c>
      <c r="C1623" s="66" t="s">
        <v>3578</v>
      </c>
      <c r="D1623" s="66">
        <v>72420</v>
      </c>
      <c r="E1623" s="68" t="s">
        <v>6754</v>
      </c>
      <c r="F1623" s="66" t="s">
        <v>6755</v>
      </c>
      <c r="G1623" s="71">
        <v>6500</v>
      </c>
      <c r="H1623" s="73"/>
      <c r="I1623" s="75">
        <v>0.1</v>
      </c>
      <c r="J1623" s="77"/>
      <c r="K1623" s="66"/>
      <c r="L1623" s="66"/>
      <c r="M1623" s="79" t="str">
        <f>HYPERLINK("http://www.pristavka.com/catalog/funko/Fun72420/")</f>
        <v>http://www.pristavka.com/catalog/funko/Fun72420/</v>
      </c>
      <c r="N1623" s="71">
        <v>9999</v>
      </c>
      <c r="O1623" s="66" t="s">
        <v>28</v>
      </c>
      <c r="P1623" s="82" t="s">
        <v>6756</v>
      </c>
      <c r="Q1623" s="84" t="s">
        <v>6757</v>
      </c>
      <c r="R1623" s="84" t="s">
        <v>1315</v>
      </c>
      <c r="S1623" s="84">
        <v>0.125</v>
      </c>
      <c r="T1623" s="82" t="s">
        <v>4084</v>
      </c>
      <c r="U1623" s="84" t="s">
        <v>3584</v>
      </c>
      <c r="V1623" s="54"/>
    </row>
    <row r="1624" spans="1:22" s="11" customFormat="1" ht="45" customHeight="1" x14ac:dyDescent="0.2">
      <c r="A1624" s="66" t="s">
        <v>3577</v>
      </c>
      <c r="B1624" s="66" t="s">
        <v>1707</v>
      </c>
      <c r="C1624" s="66" t="s">
        <v>3578</v>
      </c>
      <c r="D1624" s="66">
        <v>72423</v>
      </c>
      <c r="E1624" s="68" t="s">
        <v>6758</v>
      </c>
      <c r="F1624" s="66" t="s">
        <v>6759</v>
      </c>
      <c r="G1624" s="71">
        <v>6500</v>
      </c>
      <c r="H1624" s="73"/>
      <c r="I1624" s="75">
        <v>0.1</v>
      </c>
      <c r="J1624" s="77"/>
      <c r="K1624" s="66"/>
      <c r="L1624" s="66"/>
      <c r="M1624" s="79" t="str">
        <f>HYPERLINK("http://www.pristavka.com/catalog/funko/Fun72423/")</f>
        <v>http://www.pristavka.com/catalog/funko/Fun72423/</v>
      </c>
      <c r="N1624" s="71">
        <v>9999</v>
      </c>
      <c r="O1624" s="66" t="s">
        <v>28</v>
      </c>
      <c r="P1624" s="82" t="s">
        <v>6760</v>
      </c>
      <c r="Q1624" s="84" t="s">
        <v>6757</v>
      </c>
      <c r="R1624" s="84" t="s">
        <v>1315</v>
      </c>
      <c r="S1624" s="84">
        <v>0.12</v>
      </c>
      <c r="T1624" s="82" t="s">
        <v>4165</v>
      </c>
      <c r="U1624" s="84" t="s">
        <v>3584</v>
      </c>
      <c r="V1624" s="54"/>
    </row>
    <row r="1625" spans="1:22" s="11" customFormat="1" ht="45" customHeight="1" x14ac:dyDescent="0.2">
      <c r="A1625" s="66" t="s">
        <v>3577</v>
      </c>
      <c r="B1625" s="66" t="s">
        <v>1707</v>
      </c>
      <c r="C1625" s="66" t="s">
        <v>3578</v>
      </c>
      <c r="D1625" s="66">
        <v>52173</v>
      </c>
      <c r="E1625" s="68" t="s">
        <v>6761</v>
      </c>
      <c r="F1625" s="66" t="s">
        <v>6762</v>
      </c>
      <c r="G1625" s="71">
        <v>6500</v>
      </c>
      <c r="H1625" s="73"/>
      <c r="I1625" s="75">
        <v>0.1</v>
      </c>
      <c r="J1625" s="77"/>
      <c r="K1625" s="66"/>
      <c r="L1625" s="66"/>
      <c r="M1625" s="79" t="str">
        <f>HYPERLINK("http://www.pristavka.com/catalog/funko/Fun25491191/")</f>
        <v>http://www.pristavka.com/catalog/funko/Fun25491191/</v>
      </c>
      <c r="N1625" s="71">
        <v>9999</v>
      </c>
      <c r="O1625" s="66" t="s">
        <v>27</v>
      </c>
      <c r="P1625" s="82" t="s">
        <v>6763</v>
      </c>
      <c r="Q1625" s="84" t="s">
        <v>6764</v>
      </c>
      <c r="R1625" s="84" t="s">
        <v>6765</v>
      </c>
      <c r="S1625" s="84">
        <v>0.125</v>
      </c>
      <c r="T1625" s="82" t="s">
        <v>4113</v>
      </c>
      <c r="U1625" s="84" t="s">
        <v>3584</v>
      </c>
      <c r="V1625" s="54"/>
    </row>
    <row r="1626" spans="1:22" s="11" customFormat="1" ht="45" customHeight="1" x14ac:dyDescent="0.2">
      <c r="A1626" s="66" t="s">
        <v>3577</v>
      </c>
      <c r="B1626" s="66" t="s">
        <v>1707</v>
      </c>
      <c r="C1626" s="66" t="s">
        <v>3578</v>
      </c>
      <c r="D1626" s="66">
        <v>81942</v>
      </c>
      <c r="E1626" s="68" t="s">
        <v>6766</v>
      </c>
      <c r="F1626" s="66" t="s">
        <v>6767</v>
      </c>
      <c r="G1626" s="71">
        <v>0</v>
      </c>
      <c r="H1626" s="73"/>
      <c r="I1626" s="75">
        <v>0.1</v>
      </c>
      <c r="J1626" s="77"/>
      <c r="K1626" s="66"/>
      <c r="L1626" s="66"/>
      <c r="M1626" s="79" t="str">
        <f>HYPERLINK("http://www.pristavka.com/catalog/funko/Fun81942/")</f>
        <v>http://www.pristavka.com/catalog/funko/Fun81942/</v>
      </c>
      <c r="N1626" s="71"/>
      <c r="O1626" s="66" t="s">
        <v>28</v>
      </c>
      <c r="P1626" s="82" t="s">
        <v>6768</v>
      </c>
      <c r="Q1626" s="84" t="s">
        <v>3578</v>
      </c>
      <c r="R1626" s="84" t="s">
        <v>3578</v>
      </c>
      <c r="S1626" s="84">
        <v>0.127</v>
      </c>
      <c r="T1626" s="82" t="s">
        <v>4084</v>
      </c>
      <c r="U1626" s="84" t="s">
        <v>3584</v>
      </c>
      <c r="V1626" s="54"/>
    </row>
    <row r="1627" spans="1:22" s="11" customFormat="1" ht="45" customHeight="1" x14ac:dyDescent="0.2">
      <c r="A1627" s="66" t="s">
        <v>3577</v>
      </c>
      <c r="B1627" s="66" t="s">
        <v>1707</v>
      </c>
      <c r="C1627" s="66" t="s">
        <v>3578</v>
      </c>
      <c r="D1627" s="66">
        <v>84958</v>
      </c>
      <c r="E1627" s="68" t="s">
        <v>6769</v>
      </c>
      <c r="F1627" s="66" t="s">
        <v>6770</v>
      </c>
      <c r="G1627" s="71">
        <v>6500</v>
      </c>
      <c r="H1627" s="73"/>
      <c r="I1627" s="75">
        <v>0.1</v>
      </c>
      <c r="J1627" s="77"/>
      <c r="K1627" s="66"/>
      <c r="L1627" s="66"/>
      <c r="M1627" s="79" t="str">
        <f>HYPERLINK("http://www.pristavka.com/catalog/funko/Fun84958/")</f>
        <v>http://www.pristavka.com/catalog/funko/Fun84958/</v>
      </c>
      <c r="N1627" s="71">
        <v>9999</v>
      </c>
      <c r="O1627" s="66" t="s">
        <v>27</v>
      </c>
      <c r="P1627" s="82" t="s">
        <v>6771</v>
      </c>
      <c r="Q1627" s="84" t="s">
        <v>6772</v>
      </c>
      <c r="R1627" s="84" t="s">
        <v>1632</v>
      </c>
      <c r="S1627" s="84">
        <v>0.14799999999999999</v>
      </c>
      <c r="T1627" s="82" t="s">
        <v>4091</v>
      </c>
      <c r="U1627" s="84" t="s">
        <v>3584</v>
      </c>
      <c r="V1627" s="54"/>
    </row>
    <row r="1628" spans="1:22" s="11" customFormat="1" ht="45" customHeight="1" x14ac:dyDescent="0.2">
      <c r="A1628" s="66" t="s">
        <v>3577</v>
      </c>
      <c r="B1628" s="66" t="s">
        <v>1707</v>
      </c>
      <c r="C1628" s="66" t="s">
        <v>3578</v>
      </c>
      <c r="D1628" s="66">
        <v>80285</v>
      </c>
      <c r="E1628" s="68" t="s">
        <v>6773</v>
      </c>
      <c r="F1628" s="66" t="s">
        <v>6774</v>
      </c>
      <c r="G1628" s="71">
        <v>6500</v>
      </c>
      <c r="H1628" s="73"/>
      <c r="I1628" s="75">
        <v>0.1</v>
      </c>
      <c r="J1628" s="77"/>
      <c r="K1628" s="66"/>
      <c r="L1628" s="66"/>
      <c r="M1628" s="79" t="str">
        <f>HYPERLINK("http://www.pristavka.com/catalog/funko/Fun80285/")</f>
        <v>http://www.pristavka.com/catalog/funko/Fun80285/</v>
      </c>
      <c r="N1628" s="71">
        <v>9999</v>
      </c>
      <c r="O1628" s="66" t="s">
        <v>27</v>
      </c>
      <c r="P1628" s="82" t="s">
        <v>6775</v>
      </c>
      <c r="Q1628" s="84" t="s">
        <v>6776</v>
      </c>
      <c r="R1628" s="84" t="s">
        <v>1632</v>
      </c>
      <c r="S1628" s="84">
        <v>0.19500000000000001</v>
      </c>
      <c r="T1628" s="82" t="s">
        <v>4091</v>
      </c>
      <c r="U1628" s="84" t="s">
        <v>3584</v>
      </c>
      <c r="V1628" s="54"/>
    </row>
    <row r="1629" spans="1:22" s="11" customFormat="1" ht="45" customHeight="1" x14ac:dyDescent="0.2">
      <c r="A1629" s="66" t="s">
        <v>3577</v>
      </c>
      <c r="B1629" s="66" t="s">
        <v>1707</v>
      </c>
      <c r="C1629" s="66" t="s">
        <v>3578</v>
      </c>
      <c r="D1629" s="66">
        <v>77479</v>
      </c>
      <c r="E1629" s="68" t="s">
        <v>6777</v>
      </c>
      <c r="F1629" s="66" t="s">
        <v>6778</v>
      </c>
      <c r="G1629" s="71">
        <v>14300</v>
      </c>
      <c r="H1629" s="73"/>
      <c r="I1629" s="75">
        <v>0.1</v>
      </c>
      <c r="J1629" s="77"/>
      <c r="K1629" s="66"/>
      <c r="L1629" s="66"/>
      <c r="M1629" s="79" t="str">
        <f>HYPERLINK("http://www.pristavka.com/catalog/funko/Fun77479/")</f>
        <v>http://www.pristavka.com/catalog/funko/Fun77479/</v>
      </c>
      <c r="N1629" s="71">
        <v>21999</v>
      </c>
      <c r="O1629" s="66" t="s">
        <v>27</v>
      </c>
      <c r="P1629" s="82" t="s">
        <v>6779</v>
      </c>
      <c r="Q1629" s="84" t="s">
        <v>6776</v>
      </c>
      <c r="R1629" s="84" t="s">
        <v>1632</v>
      </c>
      <c r="S1629" s="84">
        <v>0.434</v>
      </c>
      <c r="T1629" s="82" t="s">
        <v>6780</v>
      </c>
      <c r="U1629" s="84" t="s">
        <v>3584</v>
      </c>
      <c r="V1629" s="54"/>
    </row>
    <row r="1630" spans="1:22" s="11" customFormat="1" ht="45" customHeight="1" x14ac:dyDescent="0.2">
      <c r="A1630" s="66" t="s">
        <v>3577</v>
      </c>
      <c r="B1630" s="66" t="s">
        <v>1707</v>
      </c>
      <c r="C1630" s="66" t="s">
        <v>3578</v>
      </c>
      <c r="D1630" s="66">
        <v>83721</v>
      </c>
      <c r="E1630" s="68" t="s">
        <v>6781</v>
      </c>
      <c r="F1630" s="66" t="s">
        <v>6782</v>
      </c>
      <c r="G1630" s="71">
        <v>11180</v>
      </c>
      <c r="H1630" s="73"/>
      <c r="I1630" s="75">
        <v>0.1</v>
      </c>
      <c r="J1630" s="77"/>
      <c r="K1630" s="66"/>
      <c r="L1630" s="66"/>
      <c r="M1630" s="79" t="str">
        <f>HYPERLINK("http://www.pristavka.com/catalog/funko/Fun83721/")</f>
        <v>http://www.pristavka.com/catalog/funko/Fun83721/</v>
      </c>
      <c r="N1630" s="71">
        <v>17199</v>
      </c>
      <c r="O1630" s="66" t="s">
        <v>28</v>
      </c>
      <c r="P1630" s="82" t="s">
        <v>6783</v>
      </c>
      <c r="Q1630" s="84" t="s">
        <v>6087</v>
      </c>
      <c r="R1630" s="84" t="s">
        <v>3785</v>
      </c>
      <c r="S1630" s="84">
        <v>0.27600000000000002</v>
      </c>
      <c r="T1630" s="82" t="s">
        <v>4363</v>
      </c>
      <c r="U1630" s="84" t="s">
        <v>3584</v>
      </c>
      <c r="V1630" s="54"/>
    </row>
    <row r="1631" spans="1:22" s="11" customFormat="1" ht="45" customHeight="1" x14ac:dyDescent="0.2">
      <c r="A1631" s="66" t="s">
        <v>3577</v>
      </c>
      <c r="B1631" s="66" t="s">
        <v>1707</v>
      </c>
      <c r="C1631" s="66" t="s">
        <v>3578</v>
      </c>
      <c r="D1631" s="66">
        <v>83722</v>
      </c>
      <c r="E1631" s="68" t="s">
        <v>6784</v>
      </c>
      <c r="F1631" s="66" t="s">
        <v>6785</v>
      </c>
      <c r="G1631" s="71">
        <v>6500</v>
      </c>
      <c r="H1631" s="73"/>
      <c r="I1631" s="75">
        <v>0.1</v>
      </c>
      <c r="J1631" s="77"/>
      <c r="K1631" s="66"/>
      <c r="L1631" s="66"/>
      <c r="M1631" s="79" t="str">
        <f>HYPERLINK("http://www.pristavka.com/catalog/funko/Fun83722/")</f>
        <v>http://www.pristavka.com/catalog/funko/Fun83722/</v>
      </c>
      <c r="N1631" s="71">
        <v>9999</v>
      </c>
      <c r="O1631" s="66" t="s">
        <v>27</v>
      </c>
      <c r="P1631" s="82" t="s">
        <v>6786</v>
      </c>
      <c r="Q1631" s="84" t="s">
        <v>6087</v>
      </c>
      <c r="R1631" s="84" t="s">
        <v>3785</v>
      </c>
      <c r="S1631" s="84">
        <v>0.18</v>
      </c>
      <c r="T1631" s="82" t="s">
        <v>4113</v>
      </c>
      <c r="U1631" s="84" t="s">
        <v>3584</v>
      </c>
      <c r="V1631" s="54"/>
    </row>
    <row r="1632" spans="1:22" s="11" customFormat="1" ht="45" customHeight="1" x14ac:dyDescent="0.2">
      <c r="A1632" s="66" t="s">
        <v>3577</v>
      </c>
      <c r="B1632" s="66" t="s">
        <v>1707</v>
      </c>
      <c r="C1632" s="66" t="s">
        <v>3578</v>
      </c>
      <c r="D1632" s="66">
        <v>56467</v>
      </c>
      <c r="E1632" s="68" t="s">
        <v>6787</v>
      </c>
      <c r="F1632" s="66" t="s">
        <v>6788</v>
      </c>
      <c r="G1632" s="71">
        <v>0</v>
      </c>
      <c r="H1632" s="73"/>
      <c r="I1632" s="75">
        <v>0.1</v>
      </c>
      <c r="J1632" s="77"/>
      <c r="K1632" s="66"/>
      <c r="L1632" s="66"/>
      <c r="M1632" s="79" t="str">
        <f>HYPERLINK("http://www.pristavka.com/catalog/funko/Fun56467/")</f>
        <v>http://www.pristavka.com/catalog/funko/Fun56467/</v>
      </c>
      <c r="N1632" s="71"/>
      <c r="O1632" s="66" t="s">
        <v>27</v>
      </c>
      <c r="P1632" s="82" t="s">
        <v>6789</v>
      </c>
      <c r="Q1632" s="84" t="s">
        <v>6087</v>
      </c>
      <c r="R1632" s="84" t="s">
        <v>3785</v>
      </c>
      <c r="S1632" s="84">
        <v>0.13</v>
      </c>
      <c r="T1632" s="82" t="s">
        <v>4113</v>
      </c>
      <c r="U1632" s="84" t="s">
        <v>3584</v>
      </c>
      <c r="V1632" s="54"/>
    </row>
    <row r="1633" spans="1:22" s="11" customFormat="1" ht="45" customHeight="1" x14ac:dyDescent="0.2">
      <c r="A1633" s="66" t="s">
        <v>3577</v>
      </c>
      <c r="B1633" s="66" t="s">
        <v>1707</v>
      </c>
      <c r="C1633" s="66" t="s">
        <v>3578</v>
      </c>
      <c r="D1633" s="66">
        <v>85449</v>
      </c>
      <c r="E1633" s="68" t="s">
        <v>6790</v>
      </c>
      <c r="F1633" s="66" t="s">
        <v>6791</v>
      </c>
      <c r="G1633" s="71">
        <v>6500</v>
      </c>
      <c r="H1633" s="73"/>
      <c r="I1633" s="75">
        <v>0.1</v>
      </c>
      <c r="J1633" s="77"/>
      <c r="K1633" s="66"/>
      <c r="L1633" s="66"/>
      <c r="M1633" s="79" t="str">
        <f>HYPERLINK("http://www.pristavka.com/catalog/funko/Fun85449/")</f>
        <v>http://www.pristavka.com/catalog/funko/Fun85449/</v>
      </c>
      <c r="N1633" s="71">
        <v>9999</v>
      </c>
      <c r="O1633" s="66" t="s">
        <v>27</v>
      </c>
      <c r="P1633" s="82" t="s">
        <v>6792</v>
      </c>
      <c r="Q1633" s="84" t="s">
        <v>1262</v>
      </c>
      <c r="R1633" s="84" t="s">
        <v>1263</v>
      </c>
      <c r="S1633" s="84">
        <v>0.13200000000000001</v>
      </c>
      <c r="T1633" s="82" t="s">
        <v>4091</v>
      </c>
      <c r="U1633" s="84" t="s">
        <v>3584</v>
      </c>
      <c r="V1633" s="54"/>
    </row>
    <row r="1634" spans="1:22" s="11" customFormat="1" ht="45" customHeight="1" x14ac:dyDescent="0.2">
      <c r="A1634" s="66" t="s">
        <v>3577</v>
      </c>
      <c r="B1634" s="66" t="s">
        <v>1707</v>
      </c>
      <c r="C1634" s="66" t="s">
        <v>3578</v>
      </c>
      <c r="D1634" s="66">
        <v>82372</v>
      </c>
      <c r="E1634" s="68" t="s">
        <v>6793</v>
      </c>
      <c r="F1634" s="66" t="s">
        <v>6794</v>
      </c>
      <c r="G1634" s="71">
        <v>6500</v>
      </c>
      <c r="H1634" s="73"/>
      <c r="I1634" s="75">
        <v>0.1</v>
      </c>
      <c r="J1634" s="77"/>
      <c r="K1634" s="66"/>
      <c r="L1634" s="66"/>
      <c r="M1634" s="79" t="str">
        <f>HYPERLINK("http://www.pristavka.com/catalog/funko/Fun82372/")</f>
        <v>http://www.pristavka.com/catalog/funko/Fun82372/</v>
      </c>
      <c r="N1634" s="71">
        <v>9999</v>
      </c>
      <c r="O1634" s="66" t="s">
        <v>27</v>
      </c>
      <c r="P1634" s="82" t="s">
        <v>6795</v>
      </c>
      <c r="Q1634" s="84" t="s">
        <v>1262</v>
      </c>
      <c r="R1634" s="84" t="s">
        <v>1263</v>
      </c>
      <c r="S1634" s="84">
        <v>0.185</v>
      </c>
      <c r="T1634" s="82" t="s">
        <v>4113</v>
      </c>
      <c r="U1634" s="84" t="s">
        <v>3584</v>
      </c>
      <c r="V1634" s="54"/>
    </row>
    <row r="1635" spans="1:22" s="11" customFormat="1" ht="45" customHeight="1" x14ac:dyDescent="0.2">
      <c r="A1635" s="66" t="s">
        <v>3577</v>
      </c>
      <c r="B1635" s="66" t="s">
        <v>1707</v>
      </c>
      <c r="C1635" s="66" t="s">
        <v>3578</v>
      </c>
      <c r="D1635" s="66">
        <v>82373</v>
      </c>
      <c r="E1635" s="68" t="s">
        <v>6796</v>
      </c>
      <c r="F1635" s="66" t="s">
        <v>6797</v>
      </c>
      <c r="G1635" s="71">
        <v>0</v>
      </c>
      <c r="H1635" s="73"/>
      <c r="I1635" s="75">
        <v>0.1</v>
      </c>
      <c r="J1635" s="77"/>
      <c r="K1635" s="66"/>
      <c r="L1635" s="66"/>
      <c r="M1635" s="79" t="str">
        <f>HYPERLINK("http://www.pristavka.com/catalog/funko/Fun82373/")</f>
        <v>http://www.pristavka.com/catalog/funko/Fun82373/</v>
      </c>
      <c r="N1635" s="71"/>
      <c r="O1635" s="66" t="s">
        <v>27</v>
      </c>
      <c r="P1635" s="82" t="s">
        <v>6798</v>
      </c>
      <c r="Q1635" s="84" t="s">
        <v>1262</v>
      </c>
      <c r="R1635" s="84" t="s">
        <v>1263</v>
      </c>
      <c r="S1635" s="84">
        <v>0.125</v>
      </c>
      <c r="T1635" s="82" t="s">
        <v>4113</v>
      </c>
      <c r="U1635" s="84" t="s">
        <v>3584</v>
      </c>
      <c r="V1635" s="54"/>
    </row>
    <row r="1636" spans="1:22" s="11" customFormat="1" ht="45" customHeight="1" x14ac:dyDescent="0.2">
      <c r="A1636" s="66" t="s">
        <v>3577</v>
      </c>
      <c r="B1636" s="66" t="s">
        <v>1707</v>
      </c>
      <c r="C1636" s="66" t="s">
        <v>3578</v>
      </c>
      <c r="D1636" s="66">
        <v>76532</v>
      </c>
      <c r="E1636" s="68" t="s">
        <v>6799</v>
      </c>
      <c r="F1636" s="66" t="s">
        <v>6800</v>
      </c>
      <c r="G1636" s="71">
        <v>6500</v>
      </c>
      <c r="H1636" s="73"/>
      <c r="I1636" s="75">
        <v>0.1</v>
      </c>
      <c r="J1636" s="77"/>
      <c r="K1636" s="66"/>
      <c r="L1636" s="66"/>
      <c r="M1636" s="79" t="str">
        <f>HYPERLINK("http://www.pristavka.com/catalog/funko/Fun76532/")</f>
        <v>http://www.pristavka.com/catalog/funko/Fun76532/</v>
      </c>
      <c r="N1636" s="71">
        <v>9999</v>
      </c>
      <c r="O1636" s="66" t="s">
        <v>27</v>
      </c>
      <c r="P1636" s="82" t="s">
        <v>6801</v>
      </c>
      <c r="Q1636" s="84" t="s">
        <v>1262</v>
      </c>
      <c r="R1636" s="84" t="s">
        <v>1263</v>
      </c>
      <c r="S1636" s="84">
        <v>0.157</v>
      </c>
      <c r="T1636" s="82" t="s">
        <v>4084</v>
      </c>
      <c r="U1636" s="84" t="s">
        <v>3584</v>
      </c>
      <c r="V1636" s="54"/>
    </row>
    <row r="1637" spans="1:22" s="11" customFormat="1" ht="45" customHeight="1" x14ac:dyDescent="0.2">
      <c r="A1637" s="66" t="s">
        <v>3577</v>
      </c>
      <c r="B1637" s="66" t="s">
        <v>1707</v>
      </c>
      <c r="C1637" s="66" t="s">
        <v>3578</v>
      </c>
      <c r="D1637" s="66">
        <v>72494</v>
      </c>
      <c r="E1637" s="68" t="s">
        <v>6802</v>
      </c>
      <c r="F1637" s="66" t="s">
        <v>6803</v>
      </c>
      <c r="G1637" s="71">
        <v>6500</v>
      </c>
      <c r="H1637" s="73"/>
      <c r="I1637" s="75">
        <v>0.1</v>
      </c>
      <c r="J1637" s="77"/>
      <c r="K1637" s="66"/>
      <c r="L1637" s="66"/>
      <c r="M1637" s="79" t="str">
        <f>HYPERLINK("http://www.pristavka.com/catalog/funko/Fun72494/")</f>
        <v>http://www.pristavka.com/catalog/funko/Fun72494/</v>
      </c>
      <c r="N1637" s="71">
        <v>9999</v>
      </c>
      <c r="O1637" s="66" t="s">
        <v>27</v>
      </c>
      <c r="P1637" s="82" t="s">
        <v>6804</v>
      </c>
      <c r="Q1637" s="84" t="s">
        <v>1262</v>
      </c>
      <c r="R1637" s="84" t="s">
        <v>1263</v>
      </c>
      <c r="S1637" s="84">
        <v>0.19800000000000001</v>
      </c>
      <c r="T1637" s="82" t="s">
        <v>4084</v>
      </c>
      <c r="U1637" s="84" t="s">
        <v>3584</v>
      </c>
      <c r="V1637" s="54"/>
    </row>
    <row r="1638" spans="1:22" s="11" customFormat="1" ht="45" customHeight="1" x14ac:dyDescent="0.2">
      <c r="A1638" s="66" t="s">
        <v>3577</v>
      </c>
      <c r="B1638" s="66" t="s">
        <v>1707</v>
      </c>
      <c r="C1638" s="66" t="s">
        <v>3578</v>
      </c>
      <c r="D1638" s="66">
        <v>87113</v>
      </c>
      <c r="E1638" s="68" t="s">
        <v>6805</v>
      </c>
      <c r="F1638" s="66" t="s">
        <v>6806</v>
      </c>
      <c r="G1638" s="71">
        <v>6500</v>
      </c>
      <c r="H1638" s="73"/>
      <c r="I1638" s="75">
        <v>0.1</v>
      </c>
      <c r="J1638" s="77"/>
      <c r="K1638" s="66"/>
      <c r="L1638" s="66"/>
      <c r="M1638" s="79" t="str">
        <f>HYPERLINK("http://www.pristavka.com/catalog/funko/Fun87113/")</f>
        <v>http://www.pristavka.com/catalog/funko/Fun87113/</v>
      </c>
      <c r="N1638" s="71">
        <v>9999</v>
      </c>
      <c r="O1638" s="66" t="s">
        <v>27</v>
      </c>
      <c r="P1638" s="82" t="s">
        <v>6807</v>
      </c>
      <c r="Q1638" s="84" t="s">
        <v>1419</v>
      </c>
      <c r="R1638" s="84" t="s">
        <v>3630</v>
      </c>
      <c r="S1638" s="84">
        <v>0.17</v>
      </c>
      <c r="T1638" s="82" t="s">
        <v>4084</v>
      </c>
      <c r="U1638" s="84" t="s">
        <v>3584</v>
      </c>
      <c r="V1638" s="54"/>
    </row>
    <row r="1639" spans="1:22" s="11" customFormat="1" ht="45" customHeight="1" x14ac:dyDescent="0.2">
      <c r="A1639" s="66" t="s">
        <v>3577</v>
      </c>
      <c r="B1639" s="66" t="s">
        <v>1707</v>
      </c>
      <c r="C1639" s="66" t="s">
        <v>3578</v>
      </c>
      <c r="D1639" s="66">
        <v>87114</v>
      </c>
      <c r="E1639" s="68" t="s">
        <v>6808</v>
      </c>
      <c r="F1639" s="66" t="s">
        <v>6809</v>
      </c>
      <c r="G1639" s="71">
        <v>6500</v>
      </c>
      <c r="H1639" s="73"/>
      <c r="I1639" s="75">
        <v>0.1</v>
      </c>
      <c r="J1639" s="77"/>
      <c r="K1639" s="66"/>
      <c r="L1639" s="66"/>
      <c r="M1639" s="79" t="str">
        <f>HYPERLINK("http://www.pristavka.com/catalog/funko/Fun87114/")</f>
        <v>http://www.pristavka.com/catalog/funko/Fun87114/</v>
      </c>
      <c r="N1639" s="71">
        <v>9999</v>
      </c>
      <c r="O1639" s="66" t="s">
        <v>27</v>
      </c>
      <c r="P1639" s="82" t="s">
        <v>6810</v>
      </c>
      <c r="Q1639" s="84" t="s">
        <v>1419</v>
      </c>
      <c r="R1639" s="84" t="s">
        <v>3630</v>
      </c>
      <c r="S1639" s="84">
        <v>0.14499999999999999</v>
      </c>
      <c r="T1639" s="82" t="s">
        <v>4091</v>
      </c>
      <c r="U1639" s="84" t="s">
        <v>3584</v>
      </c>
      <c r="V1639" s="54"/>
    </row>
    <row r="1640" spans="1:22" s="11" customFormat="1" ht="45" customHeight="1" x14ac:dyDescent="0.2">
      <c r="A1640" s="66" t="s">
        <v>3577</v>
      </c>
      <c r="B1640" s="66" t="s">
        <v>1707</v>
      </c>
      <c r="C1640" s="66" t="s">
        <v>3578</v>
      </c>
      <c r="D1640" s="66">
        <v>87115</v>
      </c>
      <c r="E1640" s="68" t="s">
        <v>6811</v>
      </c>
      <c r="F1640" s="66" t="s">
        <v>6812</v>
      </c>
      <c r="G1640" s="71">
        <v>6500</v>
      </c>
      <c r="H1640" s="73"/>
      <c r="I1640" s="75">
        <v>0.1</v>
      </c>
      <c r="J1640" s="77"/>
      <c r="K1640" s="66"/>
      <c r="L1640" s="66"/>
      <c r="M1640" s="79" t="str">
        <f>HYPERLINK("http://www.pristavka.com/catalog/funko/Fun87115/")</f>
        <v>http://www.pristavka.com/catalog/funko/Fun87115/</v>
      </c>
      <c r="N1640" s="71">
        <v>9999</v>
      </c>
      <c r="O1640" s="66" t="s">
        <v>27</v>
      </c>
      <c r="P1640" s="82" t="s">
        <v>6813</v>
      </c>
      <c r="Q1640" s="84" t="s">
        <v>1419</v>
      </c>
      <c r="R1640" s="84" t="s">
        <v>3630</v>
      </c>
      <c r="S1640" s="84">
        <v>0.13600000000000001</v>
      </c>
      <c r="T1640" s="82" t="s">
        <v>4113</v>
      </c>
      <c r="U1640" s="84" t="s">
        <v>3584</v>
      </c>
      <c r="V1640" s="54"/>
    </row>
    <row r="1641" spans="1:22" s="11" customFormat="1" ht="45" customHeight="1" x14ac:dyDescent="0.2">
      <c r="A1641" s="66" t="s">
        <v>3577</v>
      </c>
      <c r="B1641" s="66" t="s">
        <v>1707</v>
      </c>
      <c r="C1641" s="66" t="s">
        <v>3578</v>
      </c>
      <c r="D1641" s="66">
        <v>87116</v>
      </c>
      <c r="E1641" s="68" t="s">
        <v>6814</v>
      </c>
      <c r="F1641" s="66" t="s">
        <v>6815</v>
      </c>
      <c r="G1641" s="71">
        <v>6500</v>
      </c>
      <c r="H1641" s="73"/>
      <c r="I1641" s="75">
        <v>0.1</v>
      </c>
      <c r="J1641" s="77"/>
      <c r="K1641" s="66"/>
      <c r="L1641" s="66"/>
      <c r="M1641" s="79" t="str">
        <f>HYPERLINK("http://www.pristavka.com/catalog/funko/Fun87116/")</f>
        <v>http://www.pristavka.com/catalog/funko/Fun87116/</v>
      </c>
      <c r="N1641" s="71">
        <v>9999</v>
      </c>
      <c r="O1641" s="66" t="s">
        <v>27</v>
      </c>
      <c r="P1641" s="82" t="s">
        <v>6816</v>
      </c>
      <c r="Q1641" s="84" t="s">
        <v>1419</v>
      </c>
      <c r="R1641" s="84" t="s">
        <v>3630</v>
      </c>
      <c r="S1641" s="84">
        <v>0.16500000000000001</v>
      </c>
      <c r="T1641" s="82" t="s">
        <v>4113</v>
      </c>
      <c r="U1641" s="84" t="s">
        <v>3584</v>
      </c>
      <c r="V1641" s="54"/>
    </row>
    <row r="1642" spans="1:22" s="11" customFormat="1" ht="45" customHeight="1" x14ac:dyDescent="0.2">
      <c r="A1642" s="66" t="s">
        <v>3577</v>
      </c>
      <c r="B1642" s="66" t="s">
        <v>1707</v>
      </c>
      <c r="C1642" s="66" t="s">
        <v>3578</v>
      </c>
      <c r="D1642" s="66">
        <v>83091</v>
      </c>
      <c r="E1642" s="68" t="s">
        <v>6817</v>
      </c>
      <c r="F1642" s="66" t="s">
        <v>6818</v>
      </c>
      <c r="G1642" s="71">
        <v>6890</v>
      </c>
      <c r="H1642" s="73"/>
      <c r="I1642" s="75">
        <v>0.1</v>
      </c>
      <c r="J1642" s="77"/>
      <c r="K1642" s="66"/>
      <c r="L1642" s="66"/>
      <c r="M1642" s="79" t="str">
        <f>HYPERLINK("http://www.pristavka.com/catalog/funko/Fun83091/")</f>
        <v>http://www.pristavka.com/catalog/funko/Fun83091/</v>
      </c>
      <c r="N1642" s="71">
        <v>10599</v>
      </c>
      <c r="O1642" s="66" t="s">
        <v>28</v>
      </c>
      <c r="P1642" s="82" t="s">
        <v>6819</v>
      </c>
      <c r="Q1642" s="84" t="s">
        <v>1419</v>
      </c>
      <c r="R1642" s="84" t="s">
        <v>3630</v>
      </c>
      <c r="S1642" s="84">
        <v>0.16500000000000001</v>
      </c>
      <c r="T1642" s="82" t="s">
        <v>4113</v>
      </c>
      <c r="U1642" s="84" t="s">
        <v>3584</v>
      </c>
      <c r="V1642" s="54"/>
    </row>
    <row r="1643" spans="1:22" s="11" customFormat="1" ht="45" customHeight="1" x14ac:dyDescent="0.2">
      <c r="A1643" s="66" t="s">
        <v>3577</v>
      </c>
      <c r="B1643" s="66" t="s">
        <v>1707</v>
      </c>
      <c r="C1643" s="66" t="s">
        <v>3578</v>
      </c>
      <c r="D1643" s="66">
        <v>67629</v>
      </c>
      <c r="E1643" s="68" t="s">
        <v>6820</v>
      </c>
      <c r="F1643" s="66" t="s">
        <v>6821</v>
      </c>
      <c r="G1643" s="71">
        <v>6500</v>
      </c>
      <c r="H1643" s="73"/>
      <c r="I1643" s="75">
        <v>0.1</v>
      </c>
      <c r="J1643" s="77"/>
      <c r="K1643" s="66"/>
      <c r="L1643" s="66"/>
      <c r="M1643" s="79" t="str">
        <f>HYPERLINK("http://www.pristavka.com/catalog/funko/Fun67629/")</f>
        <v>http://www.pristavka.com/catalog/funko/Fun67629/</v>
      </c>
      <c r="N1643" s="71">
        <v>9999</v>
      </c>
      <c r="O1643" s="66" t="s">
        <v>27</v>
      </c>
      <c r="P1643" s="82" t="s">
        <v>6822</v>
      </c>
      <c r="Q1643" s="84" t="s">
        <v>1419</v>
      </c>
      <c r="R1643" s="84" t="s">
        <v>3630</v>
      </c>
      <c r="S1643" s="84">
        <v>0.13700000000000001</v>
      </c>
      <c r="T1643" s="82" t="s">
        <v>4091</v>
      </c>
      <c r="U1643" s="84" t="s">
        <v>3691</v>
      </c>
      <c r="V1643" s="54"/>
    </row>
    <row r="1644" spans="1:22" s="11" customFormat="1" ht="45" customHeight="1" x14ac:dyDescent="0.2">
      <c r="A1644" s="66" t="s">
        <v>3577</v>
      </c>
      <c r="B1644" s="66" t="s">
        <v>1707</v>
      </c>
      <c r="C1644" s="66" t="s">
        <v>3578</v>
      </c>
      <c r="D1644" s="66">
        <v>67630</v>
      </c>
      <c r="E1644" s="68" t="s">
        <v>6823</v>
      </c>
      <c r="F1644" s="66" t="s">
        <v>6824</v>
      </c>
      <c r="G1644" s="71">
        <v>6500</v>
      </c>
      <c r="H1644" s="73"/>
      <c r="I1644" s="75">
        <v>0.1</v>
      </c>
      <c r="J1644" s="77"/>
      <c r="K1644" s="66"/>
      <c r="L1644" s="66"/>
      <c r="M1644" s="79" t="str">
        <f>HYPERLINK("http://www.pristavka.com/catalog/funko/Fun67630/")</f>
        <v>http://www.pristavka.com/catalog/funko/Fun67630/</v>
      </c>
      <c r="N1644" s="71">
        <v>9999</v>
      </c>
      <c r="O1644" s="66" t="s">
        <v>27</v>
      </c>
      <c r="P1644" s="82" t="s">
        <v>6825</v>
      </c>
      <c r="Q1644" s="84" t="s">
        <v>1419</v>
      </c>
      <c r="R1644" s="84" t="s">
        <v>3630</v>
      </c>
      <c r="S1644" s="84">
        <v>0.14099999999999999</v>
      </c>
      <c r="T1644" s="82" t="s">
        <v>4091</v>
      </c>
      <c r="U1644" s="84" t="s">
        <v>3691</v>
      </c>
      <c r="V1644" s="54"/>
    </row>
    <row r="1645" spans="1:22" s="11" customFormat="1" ht="45" customHeight="1" x14ac:dyDescent="0.2">
      <c r="A1645" s="66" t="s">
        <v>3577</v>
      </c>
      <c r="B1645" s="66" t="s">
        <v>1707</v>
      </c>
      <c r="C1645" s="66" t="s">
        <v>3578</v>
      </c>
      <c r="D1645" s="66">
        <v>11032</v>
      </c>
      <c r="E1645" s="68" t="s">
        <v>6826</v>
      </c>
      <c r="F1645" s="66" t="s">
        <v>6827</v>
      </c>
      <c r="G1645" s="71">
        <v>6500</v>
      </c>
      <c r="H1645" s="73"/>
      <c r="I1645" s="75">
        <v>0.1</v>
      </c>
      <c r="J1645" s="77"/>
      <c r="K1645" s="66"/>
      <c r="L1645" s="66"/>
      <c r="M1645" s="79" t="str">
        <f>HYPERLINK("http://www.pristavka.com/catalog/funko/Fun742/")</f>
        <v>http://www.pristavka.com/catalog/funko/Fun742/</v>
      </c>
      <c r="N1645" s="71">
        <v>9999</v>
      </c>
      <c r="O1645" s="66" t="s">
        <v>27</v>
      </c>
      <c r="P1645" s="82" t="s">
        <v>6828</v>
      </c>
      <c r="Q1645" s="84" t="s">
        <v>1419</v>
      </c>
      <c r="R1645" s="84" t="s">
        <v>3630</v>
      </c>
      <c r="S1645" s="84">
        <v>0.154</v>
      </c>
      <c r="T1645" s="82" t="s">
        <v>4102</v>
      </c>
      <c r="U1645" s="84" t="s">
        <v>3584</v>
      </c>
      <c r="V1645" s="54"/>
    </row>
    <row r="1646" spans="1:22" s="11" customFormat="1" ht="45" customHeight="1" x14ac:dyDescent="0.2">
      <c r="A1646" s="66" t="s">
        <v>3577</v>
      </c>
      <c r="B1646" s="66" t="s">
        <v>1707</v>
      </c>
      <c r="C1646" s="66" t="s">
        <v>3578</v>
      </c>
      <c r="D1646" s="66">
        <v>72487</v>
      </c>
      <c r="E1646" s="68" t="s">
        <v>6829</v>
      </c>
      <c r="F1646" s="66" t="s">
        <v>6830</v>
      </c>
      <c r="G1646" s="71">
        <v>6500</v>
      </c>
      <c r="H1646" s="73"/>
      <c r="I1646" s="75">
        <v>0.1</v>
      </c>
      <c r="J1646" s="77"/>
      <c r="K1646" s="66"/>
      <c r="L1646" s="66"/>
      <c r="M1646" s="79" t="str">
        <f>HYPERLINK("http://www.pristavka.com/catalog/funko/Fun72487/")</f>
        <v>http://www.pristavka.com/catalog/funko/Fun72487/</v>
      </c>
      <c r="N1646" s="71">
        <v>9999</v>
      </c>
      <c r="O1646" s="66" t="s">
        <v>28</v>
      </c>
      <c r="P1646" s="82" t="s">
        <v>6831</v>
      </c>
      <c r="Q1646" s="84" t="s">
        <v>1419</v>
      </c>
      <c r="R1646" s="84" t="s">
        <v>3630</v>
      </c>
      <c r="S1646" s="84">
        <v>0.122</v>
      </c>
      <c r="T1646" s="82" t="s">
        <v>4084</v>
      </c>
      <c r="U1646" s="84" t="s">
        <v>3584</v>
      </c>
      <c r="V1646" s="54"/>
    </row>
    <row r="1647" spans="1:22" s="11" customFormat="1" ht="45" customHeight="1" x14ac:dyDescent="0.2">
      <c r="A1647" s="66" t="s">
        <v>3577</v>
      </c>
      <c r="B1647" s="66" t="s">
        <v>1707</v>
      </c>
      <c r="C1647" s="66" t="s">
        <v>3578</v>
      </c>
      <c r="D1647" s="66">
        <v>72485</v>
      </c>
      <c r="E1647" s="68" t="s">
        <v>6832</v>
      </c>
      <c r="F1647" s="66" t="s">
        <v>6833</v>
      </c>
      <c r="G1647" s="71">
        <v>6500</v>
      </c>
      <c r="H1647" s="73"/>
      <c r="I1647" s="75">
        <v>0.1</v>
      </c>
      <c r="J1647" s="77"/>
      <c r="K1647" s="66"/>
      <c r="L1647" s="66"/>
      <c r="M1647" s="79" t="str">
        <f>HYPERLINK("http://www.pristavka.com/catalog/funko/Fun72485/")</f>
        <v>http://www.pristavka.com/catalog/funko/Fun72485/</v>
      </c>
      <c r="N1647" s="71">
        <v>9999</v>
      </c>
      <c r="O1647" s="66" t="s">
        <v>27</v>
      </c>
      <c r="P1647" s="82" t="s">
        <v>6834</v>
      </c>
      <c r="Q1647" s="84" t="s">
        <v>1419</v>
      </c>
      <c r="R1647" s="84" t="s">
        <v>3630</v>
      </c>
      <c r="S1647" s="84">
        <v>0.17599999999999999</v>
      </c>
      <c r="T1647" s="82" t="s">
        <v>4084</v>
      </c>
      <c r="U1647" s="84" t="s">
        <v>3584</v>
      </c>
      <c r="V1647" s="54"/>
    </row>
    <row r="1648" spans="1:22" s="11" customFormat="1" ht="45" customHeight="1" x14ac:dyDescent="0.2">
      <c r="A1648" s="66" t="s">
        <v>3577</v>
      </c>
      <c r="B1648" s="66" t="s">
        <v>1707</v>
      </c>
      <c r="C1648" s="66" t="s">
        <v>3578</v>
      </c>
      <c r="D1648" s="66">
        <v>72488</v>
      </c>
      <c r="E1648" s="68" t="s">
        <v>6835</v>
      </c>
      <c r="F1648" s="66" t="s">
        <v>6836</v>
      </c>
      <c r="G1648" s="71">
        <v>6500</v>
      </c>
      <c r="H1648" s="73"/>
      <c r="I1648" s="75">
        <v>0.1</v>
      </c>
      <c r="J1648" s="77"/>
      <c r="K1648" s="66"/>
      <c r="L1648" s="66"/>
      <c r="M1648" s="79" t="str">
        <f>HYPERLINK("http://www.pristavka.com/catalog/funko/Fun72488/")</f>
        <v>http://www.pristavka.com/catalog/funko/Fun72488/</v>
      </c>
      <c r="N1648" s="71">
        <v>9999</v>
      </c>
      <c r="O1648" s="66" t="s">
        <v>27</v>
      </c>
      <c r="P1648" s="82" t="s">
        <v>6837</v>
      </c>
      <c r="Q1648" s="84" t="s">
        <v>1419</v>
      </c>
      <c r="R1648" s="84" t="s">
        <v>3630</v>
      </c>
      <c r="S1648" s="84">
        <v>0.17399999999999999</v>
      </c>
      <c r="T1648" s="82" t="s">
        <v>4084</v>
      </c>
      <c r="U1648" s="84" t="s">
        <v>3584</v>
      </c>
      <c r="V1648" s="54"/>
    </row>
    <row r="1649" spans="1:22" s="11" customFormat="1" ht="45" customHeight="1" x14ac:dyDescent="0.2">
      <c r="A1649" s="66" t="s">
        <v>3577</v>
      </c>
      <c r="B1649" s="66" t="s">
        <v>1707</v>
      </c>
      <c r="C1649" s="66" t="s">
        <v>3578</v>
      </c>
      <c r="D1649" s="66">
        <v>72486</v>
      </c>
      <c r="E1649" s="68" t="s">
        <v>6838</v>
      </c>
      <c r="F1649" s="66" t="s">
        <v>6839</v>
      </c>
      <c r="G1649" s="71">
        <v>6500</v>
      </c>
      <c r="H1649" s="73"/>
      <c r="I1649" s="75">
        <v>0.1</v>
      </c>
      <c r="J1649" s="77"/>
      <c r="K1649" s="66"/>
      <c r="L1649" s="66"/>
      <c r="M1649" s="79" t="str">
        <f>HYPERLINK("http://www.pristavka.com/catalog/funko/Fun72486/")</f>
        <v>http://www.pristavka.com/catalog/funko/Fun72486/</v>
      </c>
      <c r="N1649" s="71">
        <v>9999</v>
      </c>
      <c r="O1649" s="66" t="s">
        <v>27</v>
      </c>
      <c r="P1649" s="82" t="s">
        <v>6840</v>
      </c>
      <c r="Q1649" s="84" t="s">
        <v>1419</v>
      </c>
      <c r="R1649" s="84" t="s">
        <v>3630</v>
      </c>
      <c r="S1649" s="84">
        <v>0.16900000000000001</v>
      </c>
      <c r="T1649" s="82" t="s">
        <v>4084</v>
      </c>
      <c r="U1649" s="84" t="s">
        <v>3584</v>
      </c>
      <c r="V1649" s="54"/>
    </row>
    <row r="1650" spans="1:22" s="11" customFormat="1" ht="45" customHeight="1" x14ac:dyDescent="0.2">
      <c r="A1650" s="66" t="s">
        <v>3577</v>
      </c>
      <c r="B1650" s="66" t="s">
        <v>1707</v>
      </c>
      <c r="C1650" s="66" t="s">
        <v>3578</v>
      </c>
      <c r="D1650" s="66">
        <v>11064</v>
      </c>
      <c r="E1650" s="68" t="s">
        <v>6841</v>
      </c>
      <c r="F1650" s="66" t="s">
        <v>6842</v>
      </c>
      <c r="G1650" s="71">
        <v>6500</v>
      </c>
      <c r="H1650" s="73"/>
      <c r="I1650" s="75">
        <v>0.1</v>
      </c>
      <c r="J1650" s="77"/>
      <c r="K1650" s="66"/>
      <c r="L1650" s="66"/>
      <c r="M1650" s="79" t="str">
        <f>HYPERLINK("http://www.pristavka.com/catalog/funko/Fun410/")</f>
        <v>http://www.pristavka.com/catalog/funko/Fun410/</v>
      </c>
      <c r="N1650" s="71">
        <v>9999</v>
      </c>
      <c r="O1650" s="66" t="s">
        <v>27</v>
      </c>
      <c r="P1650" s="82" t="s">
        <v>6843</v>
      </c>
      <c r="Q1650" s="84" t="s">
        <v>1419</v>
      </c>
      <c r="R1650" s="84" t="s">
        <v>3630</v>
      </c>
      <c r="S1650" s="84">
        <v>0.13</v>
      </c>
      <c r="T1650" s="82" t="s">
        <v>4102</v>
      </c>
      <c r="U1650" s="84" t="s">
        <v>3584</v>
      </c>
      <c r="V1650" s="54"/>
    </row>
    <row r="1651" spans="1:22" s="11" customFormat="1" ht="45" customHeight="1" x14ac:dyDescent="0.2">
      <c r="A1651" s="66" t="s">
        <v>3577</v>
      </c>
      <c r="B1651" s="66" t="s">
        <v>1707</v>
      </c>
      <c r="C1651" s="66" t="s">
        <v>3578</v>
      </c>
      <c r="D1651" s="66">
        <v>72471</v>
      </c>
      <c r="E1651" s="68" t="s">
        <v>6844</v>
      </c>
      <c r="F1651" s="66" t="s">
        <v>6845</v>
      </c>
      <c r="G1651" s="71">
        <v>6500</v>
      </c>
      <c r="H1651" s="73"/>
      <c r="I1651" s="75">
        <v>0.1</v>
      </c>
      <c r="J1651" s="77"/>
      <c r="K1651" s="66"/>
      <c r="L1651" s="66"/>
      <c r="M1651" s="79" t="str">
        <f>HYPERLINK("http://www.pristavka.com/catalog/funko/Fun72471/")</f>
        <v>http://www.pristavka.com/catalog/funko/Fun72471/</v>
      </c>
      <c r="N1651" s="71">
        <v>9999</v>
      </c>
      <c r="O1651" s="66" t="s">
        <v>27</v>
      </c>
      <c r="P1651" s="82" t="s">
        <v>6846</v>
      </c>
      <c r="Q1651" s="84" t="s">
        <v>1419</v>
      </c>
      <c r="R1651" s="84" t="s">
        <v>3630</v>
      </c>
      <c r="S1651" s="84">
        <v>0.11799999999999999</v>
      </c>
      <c r="T1651" s="82" t="s">
        <v>4113</v>
      </c>
      <c r="U1651" s="84" t="s">
        <v>3584</v>
      </c>
      <c r="V1651" s="54"/>
    </row>
    <row r="1652" spans="1:22" s="11" customFormat="1" ht="45" customHeight="1" x14ac:dyDescent="0.2">
      <c r="A1652" s="66" t="s">
        <v>3577</v>
      </c>
      <c r="B1652" s="66" t="s">
        <v>1707</v>
      </c>
      <c r="C1652" s="66" t="s">
        <v>3578</v>
      </c>
      <c r="D1652" s="66">
        <v>72472</v>
      </c>
      <c r="E1652" s="68" t="s">
        <v>6847</v>
      </c>
      <c r="F1652" s="66" t="s">
        <v>6848</v>
      </c>
      <c r="G1652" s="71">
        <v>6500</v>
      </c>
      <c r="H1652" s="73"/>
      <c r="I1652" s="75">
        <v>0.1</v>
      </c>
      <c r="J1652" s="77"/>
      <c r="K1652" s="66"/>
      <c r="L1652" s="66"/>
      <c r="M1652" s="79" t="str">
        <f>HYPERLINK("http://www.pristavka.com/catalog/funko/Fun72472/")</f>
        <v>http://www.pristavka.com/catalog/funko/Fun72472/</v>
      </c>
      <c r="N1652" s="71">
        <v>9999</v>
      </c>
      <c r="O1652" s="66" t="s">
        <v>27</v>
      </c>
      <c r="P1652" s="82" t="s">
        <v>6849</v>
      </c>
      <c r="Q1652" s="84" t="s">
        <v>1419</v>
      </c>
      <c r="R1652" s="84" t="s">
        <v>3630</v>
      </c>
      <c r="S1652" s="84">
        <v>0.16400000000000001</v>
      </c>
      <c r="T1652" s="82" t="s">
        <v>4084</v>
      </c>
      <c r="U1652" s="84" t="s">
        <v>3584</v>
      </c>
      <c r="V1652" s="54"/>
    </row>
    <row r="1653" spans="1:22" s="11" customFormat="1" ht="45" customHeight="1" x14ac:dyDescent="0.2">
      <c r="A1653" s="66" t="s">
        <v>3577</v>
      </c>
      <c r="B1653" s="66" t="s">
        <v>1707</v>
      </c>
      <c r="C1653" s="66" t="s">
        <v>3578</v>
      </c>
      <c r="D1653" s="66">
        <v>83864</v>
      </c>
      <c r="E1653" s="68" t="s">
        <v>6850</v>
      </c>
      <c r="F1653" s="66" t="s">
        <v>6851</v>
      </c>
      <c r="G1653" s="71">
        <v>6500</v>
      </c>
      <c r="H1653" s="73"/>
      <c r="I1653" s="75">
        <v>0.1</v>
      </c>
      <c r="J1653" s="77"/>
      <c r="K1653" s="66"/>
      <c r="L1653" s="66"/>
      <c r="M1653" s="79" t="str">
        <f>HYPERLINK("http://www.pristavka.com/catalog/funko/Fun83864/")</f>
        <v>http://www.pristavka.com/catalog/funko/Fun83864/</v>
      </c>
      <c r="N1653" s="71">
        <v>9999</v>
      </c>
      <c r="O1653" s="66" t="s">
        <v>27</v>
      </c>
      <c r="P1653" s="82" t="s">
        <v>6852</v>
      </c>
      <c r="Q1653" s="84" t="s">
        <v>1419</v>
      </c>
      <c r="R1653" s="84" t="s">
        <v>3630</v>
      </c>
      <c r="S1653" s="84">
        <v>0.14000000000000001</v>
      </c>
      <c r="T1653" s="82" t="s">
        <v>4113</v>
      </c>
      <c r="U1653" s="84" t="s">
        <v>3584</v>
      </c>
      <c r="V1653" s="54"/>
    </row>
    <row r="1654" spans="1:22" s="11" customFormat="1" ht="45" customHeight="1" x14ac:dyDescent="0.2">
      <c r="A1654" s="66" t="s">
        <v>3577</v>
      </c>
      <c r="B1654" s="66" t="s">
        <v>1707</v>
      </c>
      <c r="C1654" s="66" t="s">
        <v>3578</v>
      </c>
      <c r="D1654" s="66">
        <v>83865</v>
      </c>
      <c r="E1654" s="68" t="s">
        <v>6853</v>
      </c>
      <c r="F1654" s="66" t="s">
        <v>6854</v>
      </c>
      <c r="G1654" s="71">
        <v>6500</v>
      </c>
      <c r="H1654" s="73"/>
      <c r="I1654" s="75">
        <v>0.1</v>
      </c>
      <c r="J1654" s="77"/>
      <c r="K1654" s="66"/>
      <c r="L1654" s="66"/>
      <c r="M1654" s="79" t="str">
        <f>HYPERLINK("http://www.pristavka.com/catalog/funko/Fun83865/")</f>
        <v>http://www.pristavka.com/catalog/funko/Fun83865/</v>
      </c>
      <c r="N1654" s="71">
        <v>9999</v>
      </c>
      <c r="O1654" s="66" t="s">
        <v>27</v>
      </c>
      <c r="P1654" s="82" t="s">
        <v>6855</v>
      </c>
      <c r="Q1654" s="84" t="s">
        <v>1419</v>
      </c>
      <c r="R1654" s="84" t="s">
        <v>3630</v>
      </c>
      <c r="S1654" s="84">
        <v>0.14199999999999999</v>
      </c>
      <c r="T1654" s="82" t="s">
        <v>4113</v>
      </c>
      <c r="U1654" s="84" t="s">
        <v>3584</v>
      </c>
      <c r="V1654" s="54"/>
    </row>
    <row r="1655" spans="1:22" s="11" customFormat="1" ht="45" customHeight="1" x14ac:dyDescent="0.2">
      <c r="A1655" s="66" t="s">
        <v>3577</v>
      </c>
      <c r="B1655" s="66" t="s">
        <v>1707</v>
      </c>
      <c r="C1655" s="66" t="s">
        <v>3578</v>
      </c>
      <c r="D1655" s="66">
        <v>83866</v>
      </c>
      <c r="E1655" s="68" t="s">
        <v>6856</v>
      </c>
      <c r="F1655" s="66" t="s">
        <v>6857</v>
      </c>
      <c r="G1655" s="71">
        <v>6500</v>
      </c>
      <c r="H1655" s="73"/>
      <c r="I1655" s="75">
        <v>0.1</v>
      </c>
      <c r="J1655" s="77"/>
      <c r="K1655" s="66"/>
      <c r="L1655" s="66"/>
      <c r="M1655" s="79" t="str">
        <f>HYPERLINK("http://www.pristavka.com/catalog/funko/Fun83866/")</f>
        <v>http://www.pristavka.com/catalog/funko/Fun83866/</v>
      </c>
      <c r="N1655" s="71">
        <v>9999</v>
      </c>
      <c r="O1655" s="66" t="s">
        <v>27</v>
      </c>
      <c r="P1655" s="82" t="s">
        <v>6858</v>
      </c>
      <c r="Q1655" s="84" t="s">
        <v>1419</v>
      </c>
      <c r="R1655" s="84" t="s">
        <v>3630</v>
      </c>
      <c r="S1655" s="84">
        <v>0.11799999999999999</v>
      </c>
      <c r="T1655" s="82" t="s">
        <v>4091</v>
      </c>
      <c r="U1655" s="84" t="s">
        <v>3584</v>
      </c>
      <c r="V1655" s="54"/>
    </row>
    <row r="1656" spans="1:22" s="11" customFormat="1" ht="45" customHeight="1" x14ac:dyDescent="0.2">
      <c r="A1656" s="66" t="s">
        <v>3577</v>
      </c>
      <c r="B1656" s="66" t="s">
        <v>1707</v>
      </c>
      <c r="C1656" s="66" t="s">
        <v>3578</v>
      </c>
      <c r="D1656" s="66">
        <v>83867</v>
      </c>
      <c r="E1656" s="68" t="s">
        <v>6859</v>
      </c>
      <c r="F1656" s="66" t="s">
        <v>6860</v>
      </c>
      <c r="G1656" s="71">
        <v>6500</v>
      </c>
      <c r="H1656" s="73"/>
      <c r="I1656" s="75">
        <v>0.1</v>
      </c>
      <c r="J1656" s="77"/>
      <c r="K1656" s="66"/>
      <c r="L1656" s="66"/>
      <c r="M1656" s="79" t="str">
        <f>HYPERLINK("http://www.pristavka.com/catalog/funko/Fun83867/")</f>
        <v>http://www.pristavka.com/catalog/funko/Fun83867/</v>
      </c>
      <c r="N1656" s="71">
        <v>9999</v>
      </c>
      <c r="O1656" s="66" t="s">
        <v>27</v>
      </c>
      <c r="P1656" s="82" t="s">
        <v>6861</v>
      </c>
      <c r="Q1656" s="84" t="s">
        <v>1419</v>
      </c>
      <c r="R1656" s="84" t="s">
        <v>3630</v>
      </c>
      <c r="S1656" s="84">
        <v>0.14000000000000001</v>
      </c>
      <c r="T1656" s="82" t="s">
        <v>4113</v>
      </c>
      <c r="U1656" s="84" t="s">
        <v>3584</v>
      </c>
      <c r="V1656" s="54"/>
    </row>
    <row r="1657" spans="1:22" s="11" customFormat="1" ht="45" customHeight="1" x14ac:dyDescent="0.2">
      <c r="A1657" s="66" t="s">
        <v>3577</v>
      </c>
      <c r="B1657" s="66" t="s">
        <v>1707</v>
      </c>
      <c r="C1657" s="66" t="s">
        <v>3578</v>
      </c>
      <c r="D1657" s="66">
        <v>80895</v>
      </c>
      <c r="E1657" s="68" t="s">
        <v>6862</v>
      </c>
      <c r="F1657" s="66" t="s">
        <v>6863</v>
      </c>
      <c r="G1657" s="71">
        <v>6500</v>
      </c>
      <c r="H1657" s="73"/>
      <c r="I1657" s="75">
        <v>0.1</v>
      </c>
      <c r="J1657" s="77"/>
      <c r="K1657" s="66"/>
      <c r="L1657" s="66"/>
      <c r="M1657" s="79" t="str">
        <f>HYPERLINK("http://www.pristavka.com/catalog/funko/Fun80895/")</f>
        <v>http://www.pristavka.com/catalog/funko/Fun80895/</v>
      </c>
      <c r="N1657" s="71">
        <v>9999</v>
      </c>
      <c r="O1657" s="66" t="s">
        <v>27</v>
      </c>
      <c r="P1657" s="82" t="s">
        <v>6864</v>
      </c>
      <c r="Q1657" s="84" t="s">
        <v>1963</v>
      </c>
      <c r="R1657" s="84" t="s">
        <v>1632</v>
      </c>
      <c r="S1657" s="84">
        <v>0.19900000000000001</v>
      </c>
      <c r="T1657" s="82" t="s">
        <v>4091</v>
      </c>
      <c r="U1657" s="84" t="s">
        <v>3584</v>
      </c>
      <c r="V1657" s="54"/>
    </row>
    <row r="1658" spans="1:22" s="11" customFormat="1" ht="45" customHeight="1" x14ac:dyDescent="0.2">
      <c r="A1658" s="66" t="s">
        <v>3577</v>
      </c>
      <c r="B1658" s="66" t="s">
        <v>1707</v>
      </c>
      <c r="C1658" s="66" t="s">
        <v>3578</v>
      </c>
      <c r="D1658" s="66">
        <v>80896</v>
      </c>
      <c r="E1658" s="68" t="s">
        <v>6865</v>
      </c>
      <c r="F1658" s="66" t="s">
        <v>6866</v>
      </c>
      <c r="G1658" s="71">
        <v>6500</v>
      </c>
      <c r="H1658" s="73"/>
      <c r="I1658" s="75">
        <v>0.1</v>
      </c>
      <c r="J1658" s="77"/>
      <c r="K1658" s="66"/>
      <c r="L1658" s="66"/>
      <c r="M1658" s="79" t="str">
        <f>HYPERLINK("http://www.pristavka.com/catalog/funko/Fun80896/")</f>
        <v>http://www.pristavka.com/catalog/funko/Fun80896/</v>
      </c>
      <c r="N1658" s="71">
        <v>9999</v>
      </c>
      <c r="O1658" s="66" t="s">
        <v>27</v>
      </c>
      <c r="P1658" s="82" t="s">
        <v>6867</v>
      </c>
      <c r="Q1658" s="84" t="s">
        <v>1963</v>
      </c>
      <c r="R1658" s="84" t="s">
        <v>1632</v>
      </c>
      <c r="S1658" s="84">
        <v>0.19</v>
      </c>
      <c r="T1658" s="82" t="s">
        <v>4084</v>
      </c>
      <c r="U1658" s="84" t="s">
        <v>3584</v>
      </c>
      <c r="V1658" s="54"/>
    </row>
    <row r="1659" spans="1:22" s="11" customFormat="1" ht="45" customHeight="1" x14ac:dyDescent="0.2">
      <c r="A1659" s="66" t="s">
        <v>3577</v>
      </c>
      <c r="B1659" s="66" t="s">
        <v>1707</v>
      </c>
      <c r="C1659" s="66" t="s">
        <v>3578</v>
      </c>
      <c r="D1659" s="66">
        <v>83857</v>
      </c>
      <c r="E1659" s="68" t="s">
        <v>6868</v>
      </c>
      <c r="F1659" s="66" t="s">
        <v>6869</v>
      </c>
      <c r="G1659" s="71">
        <v>6500</v>
      </c>
      <c r="H1659" s="73"/>
      <c r="I1659" s="75">
        <v>0.1</v>
      </c>
      <c r="J1659" s="77"/>
      <c r="K1659" s="66"/>
      <c r="L1659" s="66"/>
      <c r="M1659" s="79" t="str">
        <f>HYPERLINK("http://www.pristavka.com/catalog/funko/Fun83857/")</f>
        <v>http://www.pristavka.com/catalog/funko/Fun83857/</v>
      </c>
      <c r="N1659" s="71">
        <v>9999</v>
      </c>
      <c r="O1659" s="66" t="s">
        <v>27</v>
      </c>
      <c r="P1659" s="82" t="s">
        <v>6870</v>
      </c>
      <c r="Q1659" s="84" t="s">
        <v>1631</v>
      </c>
      <c r="R1659" s="84" t="s">
        <v>1632</v>
      </c>
      <c r="S1659" s="84">
        <v>0.17</v>
      </c>
      <c r="T1659" s="82" t="s">
        <v>4102</v>
      </c>
      <c r="U1659" s="84" t="s">
        <v>3584</v>
      </c>
      <c r="V1659" s="54"/>
    </row>
    <row r="1660" spans="1:22" s="11" customFormat="1" ht="45" customHeight="1" x14ac:dyDescent="0.2">
      <c r="A1660" s="66" t="s">
        <v>3577</v>
      </c>
      <c r="B1660" s="66" t="s">
        <v>1707</v>
      </c>
      <c r="C1660" s="66" t="s">
        <v>3578</v>
      </c>
      <c r="D1660" s="66">
        <v>83858</v>
      </c>
      <c r="E1660" s="68" t="s">
        <v>6871</v>
      </c>
      <c r="F1660" s="66" t="s">
        <v>6872</v>
      </c>
      <c r="G1660" s="71">
        <v>6500</v>
      </c>
      <c r="H1660" s="73"/>
      <c r="I1660" s="75">
        <v>0.1</v>
      </c>
      <c r="J1660" s="77"/>
      <c r="K1660" s="66"/>
      <c r="L1660" s="66"/>
      <c r="M1660" s="79" t="str">
        <f>HYPERLINK("http://www.pristavka.com/catalog/funko/Fun83858/")</f>
        <v>http://www.pristavka.com/catalog/funko/Fun83858/</v>
      </c>
      <c r="N1660" s="71">
        <v>9999</v>
      </c>
      <c r="O1660" s="66" t="s">
        <v>27</v>
      </c>
      <c r="P1660" s="82" t="s">
        <v>6873</v>
      </c>
      <c r="Q1660" s="84" t="s">
        <v>1631</v>
      </c>
      <c r="R1660" s="84" t="s">
        <v>1632</v>
      </c>
      <c r="S1660" s="84">
        <v>0.13500000000000001</v>
      </c>
      <c r="T1660" s="82" t="s">
        <v>4113</v>
      </c>
      <c r="U1660" s="84" t="s">
        <v>3584</v>
      </c>
      <c r="V1660" s="54"/>
    </row>
    <row r="1661" spans="1:22" s="11" customFormat="1" ht="45" customHeight="1" x14ac:dyDescent="0.2">
      <c r="A1661" s="66" t="s">
        <v>3577</v>
      </c>
      <c r="B1661" s="66" t="s">
        <v>1707</v>
      </c>
      <c r="C1661" s="66" t="s">
        <v>3578</v>
      </c>
      <c r="D1661" s="66">
        <v>80301</v>
      </c>
      <c r="E1661" s="68" t="s">
        <v>6874</v>
      </c>
      <c r="F1661" s="66" t="s">
        <v>6875</v>
      </c>
      <c r="G1661" s="71">
        <v>6500</v>
      </c>
      <c r="H1661" s="73"/>
      <c r="I1661" s="75">
        <v>0.1</v>
      </c>
      <c r="J1661" s="77"/>
      <c r="K1661" s="66"/>
      <c r="L1661" s="66"/>
      <c r="M1661" s="79" t="str">
        <f>HYPERLINK("http://www.pristavka.com/catalog/funko/Fun80301/")</f>
        <v>http://www.pristavka.com/catalog/funko/Fun80301/</v>
      </c>
      <c r="N1661" s="71">
        <v>9999</v>
      </c>
      <c r="O1661" s="66" t="s">
        <v>27</v>
      </c>
      <c r="P1661" s="82" t="s">
        <v>6876</v>
      </c>
      <c r="Q1661" s="84" t="s">
        <v>1631</v>
      </c>
      <c r="R1661" s="84" t="s">
        <v>1632</v>
      </c>
      <c r="S1661" s="84">
        <v>0.154</v>
      </c>
      <c r="T1661" s="82" t="s">
        <v>4091</v>
      </c>
      <c r="U1661" s="84" t="s">
        <v>3584</v>
      </c>
      <c r="V1661" s="54"/>
    </row>
    <row r="1662" spans="1:22" s="11" customFormat="1" ht="45" customHeight="1" x14ac:dyDescent="0.2">
      <c r="A1662" s="66" t="s">
        <v>3577</v>
      </c>
      <c r="B1662" s="66" t="s">
        <v>1707</v>
      </c>
      <c r="C1662" s="66" t="s">
        <v>3578</v>
      </c>
      <c r="D1662" s="66">
        <v>80299</v>
      </c>
      <c r="E1662" s="68" t="s">
        <v>6877</v>
      </c>
      <c r="F1662" s="66" t="s">
        <v>6878</v>
      </c>
      <c r="G1662" s="71">
        <v>6500</v>
      </c>
      <c r="H1662" s="73"/>
      <c r="I1662" s="75">
        <v>0.1</v>
      </c>
      <c r="J1662" s="77"/>
      <c r="K1662" s="66"/>
      <c r="L1662" s="66"/>
      <c r="M1662" s="79" t="str">
        <f>HYPERLINK("http://www.pristavka.com/catalog/funko/Fun80299/")</f>
        <v>http://www.pristavka.com/catalog/funko/Fun80299/</v>
      </c>
      <c r="N1662" s="71">
        <v>9999</v>
      </c>
      <c r="O1662" s="66" t="s">
        <v>27</v>
      </c>
      <c r="P1662" s="82" t="s">
        <v>6879</v>
      </c>
      <c r="Q1662" s="84" t="s">
        <v>1631</v>
      </c>
      <c r="R1662" s="84" t="s">
        <v>1632</v>
      </c>
      <c r="S1662" s="84">
        <v>0.13900000000000001</v>
      </c>
      <c r="T1662" s="82" t="s">
        <v>4084</v>
      </c>
      <c r="U1662" s="84" t="s">
        <v>3584</v>
      </c>
      <c r="V1662" s="54"/>
    </row>
    <row r="1663" spans="1:22" s="11" customFormat="1" ht="45" customHeight="1" x14ac:dyDescent="0.2">
      <c r="A1663" s="66" t="s">
        <v>3577</v>
      </c>
      <c r="B1663" s="66" t="s">
        <v>1707</v>
      </c>
      <c r="C1663" s="66" t="s">
        <v>3578</v>
      </c>
      <c r="D1663" s="66">
        <v>80302</v>
      </c>
      <c r="E1663" s="68" t="s">
        <v>6880</v>
      </c>
      <c r="F1663" s="66" t="s">
        <v>6881</v>
      </c>
      <c r="G1663" s="71">
        <v>6500</v>
      </c>
      <c r="H1663" s="73"/>
      <c r="I1663" s="75">
        <v>0.1</v>
      </c>
      <c r="J1663" s="77"/>
      <c r="K1663" s="66"/>
      <c r="L1663" s="66"/>
      <c r="M1663" s="79" t="str">
        <f>HYPERLINK("http://www.pristavka.com/catalog/funko/Fun80302/")</f>
        <v>http://www.pristavka.com/catalog/funko/Fun80302/</v>
      </c>
      <c r="N1663" s="71">
        <v>9999</v>
      </c>
      <c r="O1663" s="66" t="s">
        <v>27</v>
      </c>
      <c r="P1663" s="82" t="s">
        <v>6882</v>
      </c>
      <c r="Q1663" s="84" t="s">
        <v>1631</v>
      </c>
      <c r="R1663" s="84" t="s">
        <v>1632</v>
      </c>
      <c r="S1663" s="84">
        <v>0.20399999999999999</v>
      </c>
      <c r="T1663" s="82" t="s">
        <v>4746</v>
      </c>
      <c r="U1663" s="84" t="s">
        <v>3584</v>
      </c>
      <c r="V1663" s="54"/>
    </row>
    <row r="1664" spans="1:22" s="11" customFormat="1" ht="45" customHeight="1" x14ac:dyDescent="0.2">
      <c r="A1664" s="66" t="s">
        <v>3577</v>
      </c>
      <c r="B1664" s="66" t="s">
        <v>1707</v>
      </c>
      <c r="C1664" s="66" t="s">
        <v>3578</v>
      </c>
      <c r="D1664" s="66">
        <v>80303</v>
      </c>
      <c r="E1664" s="68" t="s">
        <v>6883</v>
      </c>
      <c r="F1664" s="66" t="s">
        <v>6884</v>
      </c>
      <c r="G1664" s="71">
        <v>6500</v>
      </c>
      <c r="H1664" s="73"/>
      <c r="I1664" s="75">
        <v>0.1</v>
      </c>
      <c r="J1664" s="77"/>
      <c r="K1664" s="66"/>
      <c r="L1664" s="66"/>
      <c r="M1664" s="79" t="str">
        <f>HYPERLINK("http://www.pristavka.com/catalog/funko/Fun80303/")</f>
        <v>http://www.pristavka.com/catalog/funko/Fun80303/</v>
      </c>
      <c r="N1664" s="71">
        <v>9999</v>
      </c>
      <c r="O1664" s="66" t="s">
        <v>27</v>
      </c>
      <c r="P1664" s="82" t="s">
        <v>6885</v>
      </c>
      <c r="Q1664" s="84" t="s">
        <v>1631</v>
      </c>
      <c r="R1664" s="84" t="s">
        <v>1632</v>
      </c>
      <c r="S1664" s="84">
        <v>0.14799999999999999</v>
      </c>
      <c r="T1664" s="82" t="s">
        <v>4091</v>
      </c>
      <c r="U1664" s="84" t="s">
        <v>3584</v>
      </c>
      <c r="V1664" s="54"/>
    </row>
    <row r="1665" spans="1:22" s="11" customFormat="1" ht="45" customHeight="1" x14ac:dyDescent="0.2">
      <c r="A1665" s="66" t="s">
        <v>3577</v>
      </c>
      <c r="B1665" s="66" t="s">
        <v>1707</v>
      </c>
      <c r="C1665" s="66" t="s">
        <v>3578</v>
      </c>
      <c r="D1665" s="66">
        <v>83859</v>
      </c>
      <c r="E1665" s="68" t="s">
        <v>6886</v>
      </c>
      <c r="F1665" s="66" t="s">
        <v>6887</v>
      </c>
      <c r="G1665" s="71">
        <v>6500</v>
      </c>
      <c r="H1665" s="73"/>
      <c r="I1665" s="75">
        <v>0.1</v>
      </c>
      <c r="J1665" s="77"/>
      <c r="K1665" s="66"/>
      <c r="L1665" s="66"/>
      <c r="M1665" s="79" t="str">
        <f>HYPERLINK("http://www.pristavka.com/catalog/funko/Fun83859/")</f>
        <v>http://www.pristavka.com/catalog/funko/Fun83859/</v>
      </c>
      <c r="N1665" s="71">
        <v>9999</v>
      </c>
      <c r="O1665" s="66" t="s">
        <v>27</v>
      </c>
      <c r="P1665" s="82" t="s">
        <v>6888</v>
      </c>
      <c r="Q1665" s="84" t="s">
        <v>1631</v>
      </c>
      <c r="R1665" s="84" t="s">
        <v>1632</v>
      </c>
      <c r="S1665" s="84">
        <v>0.17499999999999999</v>
      </c>
      <c r="T1665" s="82" t="s">
        <v>4113</v>
      </c>
      <c r="U1665" s="84" t="s">
        <v>3584</v>
      </c>
      <c r="V1665" s="54"/>
    </row>
    <row r="1666" spans="1:22" s="11" customFormat="1" ht="45" customHeight="1" x14ac:dyDescent="0.2">
      <c r="A1666" s="66" t="s">
        <v>3577</v>
      </c>
      <c r="B1666" s="66" t="s">
        <v>1707</v>
      </c>
      <c r="C1666" s="66" t="s">
        <v>3578</v>
      </c>
      <c r="D1666" s="66">
        <v>84926</v>
      </c>
      <c r="E1666" s="68" t="s">
        <v>6889</v>
      </c>
      <c r="F1666" s="66" t="s">
        <v>6890</v>
      </c>
      <c r="G1666" s="71">
        <v>6500</v>
      </c>
      <c r="H1666" s="73"/>
      <c r="I1666" s="75">
        <v>0.1</v>
      </c>
      <c r="J1666" s="77"/>
      <c r="K1666" s="66"/>
      <c r="L1666" s="66"/>
      <c r="M1666" s="79" t="str">
        <f>HYPERLINK("http://www.pristavka.com/catalog/funko/Fun84926/")</f>
        <v>http://www.pristavka.com/catalog/funko/Fun84926/</v>
      </c>
      <c r="N1666" s="71">
        <v>9999</v>
      </c>
      <c r="O1666" s="66" t="s">
        <v>27</v>
      </c>
      <c r="P1666" s="82" t="s">
        <v>6891</v>
      </c>
      <c r="Q1666" s="84" t="s">
        <v>6892</v>
      </c>
      <c r="R1666" s="84" t="s">
        <v>6893</v>
      </c>
      <c r="S1666" s="84">
        <v>0.13500000000000001</v>
      </c>
      <c r="T1666" s="82" t="s">
        <v>4113</v>
      </c>
      <c r="U1666" s="84" t="s">
        <v>3584</v>
      </c>
      <c r="V1666" s="54"/>
    </row>
    <row r="1667" spans="1:22" s="11" customFormat="1" ht="45" customHeight="1" x14ac:dyDescent="0.2">
      <c r="A1667" s="66" t="s">
        <v>3577</v>
      </c>
      <c r="B1667" s="66" t="s">
        <v>1707</v>
      </c>
      <c r="C1667" s="66" t="s">
        <v>3578</v>
      </c>
      <c r="D1667" s="66">
        <v>84925</v>
      </c>
      <c r="E1667" s="68" t="s">
        <v>6894</v>
      </c>
      <c r="F1667" s="66" t="s">
        <v>6895</v>
      </c>
      <c r="G1667" s="71">
        <v>6500</v>
      </c>
      <c r="H1667" s="73"/>
      <c r="I1667" s="75">
        <v>0.1</v>
      </c>
      <c r="J1667" s="77"/>
      <c r="K1667" s="66"/>
      <c r="L1667" s="66"/>
      <c r="M1667" s="79" t="str">
        <f>HYPERLINK("http://www.pristavka.com/catalog/funko/Fun84925/")</f>
        <v>http://www.pristavka.com/catalog/funko/Fun84925/</v>
      </c>
      <c r="N1667" s="71">
        <v>9999</v>
      </c>
      <c r="O1667" s="66" t="s">
        <v>27</v>
      </c>
      <c r="P1667" s="82" t="s">
        <v>6896</v>
      </c>
      <c r="Q1667" s="84" t="s">
        <v>6892</v>
      </c>
      <c r="R1667" s="84" t="s">
        <v>6893</v>
      </c>
      <c r="S1667" s="84">
        <v>0.124</v>
      </c>
      <c r="T1667" s="82" t="s">
        <v>4102</v>
      </c>
      <c r="U1667" s="84" t="s">
        <v>3584</v>
      </c>
      <c r="V1667" s="54"/>
    </row>
    <row r="1668" spans="1:22" s="11" customFormat="1" ht="45" customHeight="1" x14ac:dyDescent="0.2">
      <c r="A1668" s="66" t="s">
        <v>3577</v>
      </c>
      <c r="B1668" s="66" t="s">
        <v>1707</v>
      </c>
      <c r="C1668" s="66" t="s">
        <v>3578</v>
      </c>
      <c r="D1668" s="66">
        <v>80276</v>
      </c>
      <c r="E1668" s="68" t="s">
        <v>6897</v>
      </c>
      <c r="F1668" s="66" t="s">
        <v>6898</v>
      </c>
      <c r="G1668" s="71">
        <v>0</v>
      </c>
      <c r="H1668" s="73"/>
      <c r="I1668" s="75">
        <v>0.1</v>
      </c>
      <c r="J1668" s="77"/>
      <c r="K1668" s="66"/>
      <c r="L1668" s="66"/>
      <c r="M1668" s="79" t="str">
        <f>HYPERLINK("http://www.pristavka.com/catalog/funko/Fun80276/")</f>
        <v>http://www.pristavka.com/catalog/funko/Fun80276/</v>
      </c>
      <c r="N1668" s="71"/>
      <c r="O1668" s="66" t="s">
        <v>27</v>
      </c>
      <c r="P1668" s="82" t="s">
        <v>6899</v>
      </c>
      <c r="Q1668" s="84" t="s">
        <v>6900</v>
      </c>
      <c r="R1668" s="84" t="s">
        <v>1632</v>
      </c>
      <c r="S1668" s="84">
        <v>0.16500000000000001</v>
      </c>
      <c r="T1668" s="82" t="s">
        <v>4091</v>
      </c>
      <c r="U1668" s="84" t="s">
        <v>3584</v>
      </c>
      <c r="V1668" s="54"/>
    </row>
    <row r="1669" spans="1:22" s="11" customFormat="1" ht="45" customHeight="1" x14ac:dyDescent="0.2">
      <c r="A1669" s="66" t="s">
        <v>3577</v>
      </c>
      <c r="B1669" s="66" t="s">
        <v>1707</v>
      </c>
      <c r="C1669" s="66" t="s">
        <v>3578</v>
      </c>
      <c r="D1669" s="66">
        <v>80274</v>
      </c>
      <c r="E1669" s="68" t="s">
        <v>6901</v>
      </c>
      <c r="F1669" s="66" t="s">
        <v>6902</v>
      </c>
      <c r="G1669" s="71">
        <v>6500</v>
      </c>
      <c r="H1669" s="73"/>
      <c r="I1669" s="75">
        <v>0.1</v>
      </c>
      <c r="J1669" s="77"/>
      <c r="K1669" s="66"/>
      <c r="L1669" s="66"/>
      <c r="M1669" s="79" t="str">
        <f>HYPERLINK("http://www.pristavka.com/catalog/funko/Fun80274/")</f>
        <v>http://www.pristavka.com/catalog/funko/Fun80274/</v>
      </c>
      <c r="N1669" s="71">
        <v>9999</v>
      </c>
      <c r="O1669" s="66" t="s">
        <v>27</v>
      </c>
      <c r="P1669" s="82" t="s">
        <v>6903</v>
      </c>
      <c r="Q1669" s="84" t="s">
        <v>6900</v>
      </c>
      <c r="R1669" s="84" t="s">
        <v>1632</v>
      </c>
      <c r="S1669" s="84">
        <v>0.13</v>
      </c>
      <c r="T1669" s="82" t="s">
        <v>4084</v>
      </c>
      <c r="U1669" s="84" t="s">
        <v>3584</v>
      </c>
      <c r="V1669" s="54"/>
    </row>
    <row r="1670" spans="1:22" s="11" customFormat="1" ht="45" customHeight="1" x14ac:dyDescent="0.2">
      <c r="A1670" s="66" t="s">
        <v>3577</v>
      </c>
      <c r="B1670" s="66" t="s">
        <v>1707</v>
      </c>
      <c r="C1670" s="66" t="s">
        <v>3578</v>
      </c>
      <c r="D1670" s="66">
        <v>80275</v>
      </c>
      <c r="E1670" s="68" t="s">
        <v>6904</v>
      </c>
      <c r="F1670" s="66" t="s">
        <v>6905</v>
      </c>
      <c r="G1670" s="71">
        <v>6500</v>
      </c>
      <c r="H1670" s="73"/>
      <c r="I1670" s="75">
        <v>0.1</v>
      </c>
      <c r="J1670" s="77"/>
      <c r="K1670" s="66"/>
      <c r="L1670" s="66"/>
      <c r="M1670" s="79" t="str">
        <f>HYPERLINK("http://www.pristavka.com/catalog/funko/Fun80275/")</f>
        <v>http://www.pristavka.com/catalog/funko/Fun80275/</v>
      </c>
      <c r="N1670" s="71">
        <v>9999</v>
      </c>
      <c r="O1670" s="66" t="s">
        <v>27</v>
      </c>
      <c r="P1670" s="82" t="s">
        <v>6906</v>
      </c>
      <c r="Q1670" s="84" t="s">
        <v>6900</v>
      </c>
      <c r="R1670" s="84" t="s">
        <v>1632</v>
      </c>
      <c r="S1670" s="84">
        <v>0.13</v>
      </c>
      <c r="T1670" s="82" t="s">
        <v>4084</v>
      </c>
      <c r="U1670" s="84" t="s">
        <v>3584</v>
      </c>
      <c r="V1670" s="54"/>
    </row>
    <row r="1671" spans="1:22" s="11" customFormat="1" ht="45" customHeight="1" x14ac:dyDescent="0.2">
      <c r="A1671" s="66" t="s">
        <v>3577</v>
      </c>
      <c r="B1671" s="66" t="s">
        <v>1707</v>
      </c>
      <c r="C1671" s="66" t="s">
        <v>3578</v>
      </c>
      <c r="D1671" s="66">
        <v>80304</v>
      </c>
      <c r="E1671" s="68" t="s">
        <v>6907</v>
      </c>
      <c r="F1671" s="66" t="s">
        <v>6908</v>
      </c>
      <c r="G1671" s="71">
        <v>6500</v>
      </c>
      <c r="H1671" s="73"/>
      <c r="I1671" s="75">
        <v>0.1</v>
      </c>
      <c r="J1671" s="77"/>
      <c r="K1671" s="66"/>
      <c r="L1671" s="66"/>
      <c r="M1671" s="79" t="str">
        <f>HYPERLINK("http://www.pristavka.com/catalog/funko/Fun80304/")</f>
        <v>http://www.pristavka.com/catalog/funko/Fun80304/</v>
      </c>
      <c r="N1671" s="71">
        <v>9999</v>
      </c>
      <c r="O1671" s="66" t="s">
        <v>27</v>
      </c>
      <c r="P1671" s="82" t="s">
        <v>6909</v>
      </c>
      <c r="Q1671" s="84" t="s">
        <v>6900</v>
      </c>
      <c r="R1671" s="84" t="s">
        <v>1303</v>
      </c>
      <c r="S1671" s="84">
        <v>0.13500000000000001</v>
      </c>
      <c r="T1671" s="82" t="s">
        <v>4113</v>
      </c>
      <c r="U1671" s="84" t="s">
        <v>3584</v>
      </c>
      <c r="V1671" s="54"/>
    </row>
    <row r="1672" spans="1:22" s="11" customFormat="1" ht="45" customHeight="1" x14ac:dyDescent="0.2">
      <c r="A1672" s="66" t="s">
        <v>3577</v>
      </c>
      <c r="B1672" s="66" t="s">
        <v>1707</v>
      </c>
      <c r="C1672" s="66" t="s">
        <v>3578</v>
      </c>
      <c r="D1672" s="66">
        <v>80305</v>
      </c>
      <c r="E1672" s="68" t="s">
        <v>6910</v>
      </c>
      <c r="F1672" s="66" t="s">
        <v>6911</v>
      </c>
      <c r="G1672" s="71">
        <v>6500</v>
      </c>
      <c r="H1672" s="73"/>
      <c r="I1672" s="75">
        <v>0.1</v>
      </c>
      <c r="J1672" s="77"/>
      <c r="K1672" s="66"/>
      <c r="L1672" s="66"/>
      <c r="M1672" s="79" t="str">
        <f>HYPERLINK("http://www.pristavka.com/catalog/funko/Fun80305/")</f>
        <v>http://www.pristavka.com/catalog/funko/Fun80305/</v>
      </c>
      <c r="N1672" s="71">
        <v>9999</v>
      </c>
      <c r="O1672" s="66" t="s">
        <v>27</v>
      </c>
      <c r="P1672" s="82" t="s">
        <v>6912</v>
      </c>
      <c r="Q1672" s="84" t="s">
        <v>6900</v>
      </c>
      <c r="R1672" s="84" t="s">
        <v>1303</v>
      </c>
      <c r="S1672" s="84">
        <v>0.14499999999999999</v>
      </c>
      <c r="T1672" s="82" t="s">
        <v>4113</v>
      </c>
      <c r="U1672" s="84" t="s">
        <v>3584</v>
      </c>
      <c r="V1672" s="54"/>
    </row>
    <row r="1673" spans="1:22" s="11" customFormat="1" ht="45" customHeight="1" x14ac:dyDescent="0.2">
      <c r="A1673" s="66" t="s">
        <v>3577</v>
      </c>
      <c r="B1673" s="66" t="s">
        <v>1707</v>
      </c>
      <c r="C1673" s="66" t="s">
        <v>3578</v>
      </c>
      <c r="D1673" s="66">
        <v>80306</v>
      </c>
      <c r="E1673" s="68" t="s">
        <v>6913</v>
      </c>
      <c r="F1673" s="66" t="s">
        <v>6914</v>
      </c>
      <c r="G1673" s="71">
        <v>6500</v>
      </c>
      <c r="H1673" s="73"/>
      <c r="I1673" s="75">
        <v>0.1</v>
      </c>
      <c r="J1673" s="77"/>
      <c r="K1673" s="66"/>
      <c r="L1673" s="66"/>
      <c r="M1673" s="79" t="str">
        <f>HYPERLINK("http://www.pristavka.com/catalog/funko/Fun80306/")</f>
        <v>http://www.pristavka.com/catalog/funko/Fun80306/</v>
      </c>
      <c r="N1673" s="71">
        <v>9999</v>
      </c>
      <c r="O1673" s="66" t="s">
        <v>27</v>
      </c>
      <c r="P1673" s="82" t="s">
        <v>6915</v>
      </c>
      <c r="Q1673" s="84" t="s">
        <v>6900</v>
      </c>
      <c r="R1673" s="84" t="s">
        <v>1303</v>
      </c>
      <c r="S1673" s="84">
        <v>0.13200000000000001</v>
      </c>
      <c r="T1673" s="82" t="s">
        <v>4091</v>
      </c>
      <c r="U1673" s="84" t="s">
        <v>3584</v>
      </c>
      <c r="V1673" s="54"/>
    </row>
    <row r="1674" spans="1:22" s="11" customFormat="1" ht="45" customHeight="1" x14ac:dyDescent="0.2">
      <c r="A1674" s="66" t="s">
        <v>3577</v>
      </c>
      <c r="B1674" s="66" t="s">
        <v>1707</v>
      </c>
      <c r="C1674" s="66" t="s">
        <v>3578</v>
      </c>
      <c r="D1674" s="66">
        <v>59185</v>
      </c>
      <c r="E1674" s="68" t="s">
        <v>6916</v>
      </c>
      <c r="F1674" s="66" t="s">
        <v>6917</v>
      </c>
      <c r="G1674" s="71">
        <v>6500</v>
      </c>
      <c r="H1674" s="73"/>
      <c r="I1674" s="75">
        <v>0.1</v>
      </c>
      <c r="J1674" s="77"/>
      <c r="K1674" s="66"/>
      <c r="L1674" s="66"/>
      <c r="M1674" s="79" t="str">
        <f>HYPERLINK("http://www.pristavka.com/catalog/funko/Fun59185/")</f>
        <v>http://www.pristavka.com/catalog/funko/Fun59185/</v>
      </c>
      <c r="N1674" s="71">
        <v>9999</v>
      </c>
      <c r="O1674" s="66" t="s">
        <v>27</v>
      </c>
      <c r="P1674" s="82" t="s">
        <v>6918</v>
      </c>
      <c r="Q1674" s="84" t="s">
        <v>6919</v>
      </c>
      <c r="R1674" s="84" t="s">
        <v>1263</v>
      </c>
      <c r="S1674" s="84">
        <v>0.155</v>
      </c>
      <c r="T1674" s="82" t="s">
        <v>4246</v>
      </c>
      <c r="U1674" s="84" t="s">
        <v>3584</v>
      </c>
      <c r="V1674" s="54"/>
    </row>
    <row r="1675" spans="1:22" s="11" customFormat="1" ht="45" customHeight="1" x14ac:dyDescent="0.2">
      <c r="A1675" s="66" t="s">
        <v>3577</v>
      </c>
      <c r="B1675" s="66" t="s">
        <v>1707</v>
      </c>
      <c r="C1675" s="66" t="s">
        <v>3578</v>
      </c>
      <c r="D1675" s="66">
        <v>59190</v>
      </c>
      <c r="E1675" s="68" t="s">
        <v>6920</v>
      </c>
      <c r="F1675" s="66" t="s">
        <v>6921</v>
      </c>
      <c r="G1675" s="71">
        <v>13000</v>
      </c>
      <c r="H1675" s="73"/>
      <c r="I1675" s="75">
        <v>0.1</v>
      </c>
      <c r="J1675" s="77"/>
      <c r="K1675" s="66"/>
      <c r="L1675" s="66"/>
      <c r="M1675" s="79" t="str">
        <f>HYPERLINK("http://www.pristavka.com/catalog/funko/Fun59190/")</f>
        <v>http://www.pristavka.com/catalog/funko/Fun59190/</v>
      </c>
      <c r="N1675" s="71">
        <v>19999</v>
      </c>
      <c r="O1675" s="66" t="s">
        <v>27</v>
      </c>
      <c r="P1675" s="82" t="s">
        <v>6922</v>
      </c>
      <c r="Q1675" s="84" t="s">
        <v>6919</v>
      </c>
      <c r="R1675" s="84" t="s">
        <v>1263</v>
      </c>
      <c r="S1675" s="84">
        <v>0.53200000000000003</v>
      </c>
      <c r="T1675" s="82" t="s">
        <v>4989</v>
      </c>
      <c r="U1675" s="84" t="s">
        <v>3584</v>
      </c>
      <c r="V1675" s="54"/>
    </row>
    <row r="1676" spans="1:22" s="11" customFormat="1" ht="45" customHeight="1" x14ac:dyDescent="0.2">
      <c r="A1676" s="66" t="s">
        <v>3577</v>
      </c>
      <c r="B1676" s="66" t="s">
        <v>1707</v>
      </c>
      <c r="C1676" s="66" t="s">
        <v>3578</v>
      </c>
      <c r="D1676" s="66">
        <v>74216</v>
      </c>
      <c r="E1676" s="68" t="s">
        <v>6923</v>
      </c>
      <c r="F1676" s="66" t="s">
        <v>6924</v>
      </c>
      <c r="G1676" s="71">
        <v>6500</v>
      </c>
      <c r="H1676" s="73"/>
      <c r="I1676" s="75">
        <v>0.1</v>
      </c>
      <c r="J1676" s="77"/>
      <c r="K1676" s="66"/>
      <c r="L1676" s="66"/>
      <c r="M1676" s="79" t="str">
        <f>HYPERLINK("http://www.pristavka.com/catalog/funko/Fun74216/")</f>
        <v>http://www.pristavka.com/catalog/funko/Fun74216/</v>
      </c>
      <c r="N1676" s="71">
        <v>9999</v>
      </c>
      <c r="O1676" s="66" t="s">
        <v>27</v>
      </c>
      <c r="P1676" s="82" t="s">
        <v>6925</v>
      </c>
      <c r="Q1676" s="84" t="s">
        <v>1396</v>
      </c>
      <c r="R1676" s="84" t="s">
        <v>859</v>
      </c>
      <c r="S1676" s="84">
        <v>0.155</v>
      </c>
      <c r="T1676" s="82" t="s">
        <v>4084</v>
      </c>
      <c r="U1676" s="84" t="s">
        <v>3584</v>
      </c>
      <c r="V1676" s="54"/>
    </row>
    <row r="1677" spans="1:22" s="11" customFormat="1" ht="45" customHeight="1" x14ac:dyDescent="0.2">
      <c r="A1677" s="66" t="s">
        <v>3577</v>
      </c>
      <c r="B1677" s="66" t="s">
        <v>1707</v>
      </c>
      <c r="C1677" s="66" t="s">
        <v>3578</v>
      </c>
      <c r="D1677" s="66">
        <v>85800</v>
      </c>
      <c r="E1677" s="68" t="s">
        <v>6926</v>
      </c>
      <c r="F1677" s="66" t="s">
        <v>6927</v>
      </c>
      <c r="G1677" s="71">
        <v>6500</v>
      </c>
      <c r="H1677" s="73"/>
      <c r="I1677" s="75">
        <v>0.1</v>
      </c>
      <c r="J1677" s="77"/>
      <c r="K1677" s="66"/>
      <c r="L1677" s="66"/>
      <c r="M1677" s="79" t="str">
        <f>HYPERLINK("http://www.pristavka.com/catalog/funko/Fun85800/")</f>
        <v>http://www.pristavka.com/catalog/funko/Fun85800/</v>
      </c>
      <c r="N1677" s="71">
        <v>9999</v>
      </c>
      <c r="O1677" s="66" t="s">
        <v>27</v>
      </c>
      <c r="P1677" s="82" t="s">
        <v>6928</v>
      </c>
      <c r="Q1677" s="84" t="s">
        <v>1396</v>
      </c>
      <c r="R1677" s="84" t="s">
        <v>859</v>
      </c>
      <c r="S1677" s="84">
        <v>0.17</v>
      </c>
      <c r="T1677" s="82" t="s">
        <v>4113</v>
      </c>
      <c r="U1677" s="84" t="s">
        <v>3584</v>
      </c>
      <c r="V1677" s="54"/>
    </row>
    <row r="1678" spans="1:22" s="11" customFormat="1" ht="45" customHeight="1" x14ac:dyDescent="0.2">
      <c r="A1678" s="66" t="s">
        <v>3577</v>
      </c>
      <c r="B1678" s="66" t="s">
        <v>1707</v>
      </c>
      <c r="C1678" s="66" t="s">
        <v>3578</v>
      </c>
      <c r="D1678" s="66">
        <v>75189</v>
      </c>
      <c r="E1678" s="68" t="s">
        <v>6929</v>
      </c>
      <c r="F1678" s="66" t="s">
        <v>6930</v>
      </c>
      <c r="G1678" s="71">
        <v>6500</v>
      </c>
      <c r="H1678" s="73"/>
      <c r="I1678" s="75">
        <v>0.1</v>
      </c>
      <c r="J1678" s="77"/>
      <c r="K1678" s="66"/>
      <c r="L1678" s="66"/>
      <c r="M1678" s="79" t="str">
        <f>HYPERLINK("http://www.pristavka.com/catalog/funko/Fun75189/")</f>
        <v>http://www.pristavka.com/catalog/funko/Fun75189/</v>
      </c>
      <c r="N1678" s="71">
        <v>9999</v>
      </c>
      <c r="O1678" s="66" t="s">
        <v>27</v>
      </c>
      <c r="P1678" s="82" t="s">
        <v>6931</v>
      </c>
      <c r="Q1678" s="84" t="s">
        <v>1396</v>
      </c>
      <c r="R1678" s="84" t="s">
        <v>859</v>
      </c>
      <c r="S1678" s="84">
        <v>0.19800000000000001</v>
      </c>
      <c r="T1678" s="82" t="s">
        <v>4084</v>
      </c>
      <c r="U1678" s="84" t="s">
        <v>3584</v>
      </c>
      <c r="V1678" s="54"/>
    </row>
    <row r="1679" spans="1:22" s="11" customFormat="1" ht="45" customHeight="1" x14ac:dyDescent="0.2">
      <c r="A1679" s="66" t="s">
        <v>3577</v>
      </c>
      <c r="B1679" s="66" t="s">
        <v>1707</v>
      </c>
      <c r="C1679" s="66" t="s">
        <v>3578</v>
      </c>
      <c r="D1679" s="66">
        <v>86066</v>
      </c>
      <c r="E1679" s="68" t="s">
        <v>6932</v>
      </c>
      <c r="F1679" s="66" t="s">
        <v>6933</v>
      </c>
      <c r="G1679" s="71">
        <v>6890</v>
      </c>
      <c r="H1679" s="73"/>
      <c r="I1679" s="75">
        <v>0.1</v>
      </c>
      <c r="J1679" s="77"/>
      <c r="K1679" s="66"/>
      <c r="L1679" s="66"/>
      <c r="M1679" s="79" t="str">
        <f>HYPERLINK("http://www.pristavka.com/catalog/funko/Fun86066/")</f>
        <v>http://www.pristavka.com/catalog/funko/Fun86066/</v>
      </c>
      <c r="N1679" s="71">
        <v>10590</v>
      </c>
      <c r="O1679" s="66" t="s">
        <v>27</v>
      </c>
      <c r="P1679" s="82" t="s">
        <v>6934</v>
      </c>
      <c r="Q1679" s="84" t="s">
        <v>1396</v>
      </c>
      <c r="R1679" s="84" t="s">
        <v>859</v>
      </c>
      <c r="S1679" s="84">
        <v>0.11</v>
      </c>
      <c r="T1679" s="82" t="s">
        <v>4113</v>
      </c>
      <c r="U1679" s="84" t="s">
        <v>3584</v>
      </c>
      <c r="V1679" s="54"/>
    </row>
    <row r="1680" spans="1:22" s="11" customFormat="1" ht="45" customHeight="1" x14ac:dyDescent="0.2">
      <c r="A1680" s="66" t="s">
        <v>3577</v>
      </c>
      <c r="B1680" s="66" t="s">
        <v>1707</v>
      </c>
      <c r="C1680" s="66" t="s">
        <v>3578</v>
      </c>
      <c r="D1680" s="66">
        <v>70925</v>
      </c>
      <c r="E1680" s="68" t="s">
        <v>6935</v>
      </c>
      <c r="F1680" s="66" t="s">
        <v>6936</v>
      </c>
      <c r="G1680" s="71">
        <v>6500</v>
      </c>
      <c r="H1680" s="73"/>
      <c r="I1680" s="75">
        <v>0.1</v>
      </c>
      <c r="J1680" s="77"/>
      <c r="K1680" s="66"/>
      <c r="L1680" s="66"/>
      <c r="M1680" s="79" t="str">
        <f>HYPERLINK("http://www.pristavka.com/catalog/funko/Fun70925/")</f>
        <v>http://www.pristavka.com/catalog/funko/Fun70925/</v>
      </c>
      <c r="N1680" s="71">
        <v>9999</v>
      </c>
      <c r="O1680" s="66" t="s">
        <v>27</v>
      </c>
      <c r="P1680" s="82" t="s">
        <v>6937</v>
      </c>
      <c r="Q1680" s="84" t="s">
        <v>1396</v>
      </c>
      <c r="R1680" s="84" t="s">
        <v>859</v>
      </c>
      <c r="S1680" s="84">
        <v>0.128</v>
      </c>
      <c r="T1680" s="82" t="s">
        <v>4997</v>
      </c>
      <c r="U1680" s="84" t="s">
        <v>3584</v>
      </c>
      <c r="V1680" s="54"/>
    </row>
    <row r="1681" spans="1:22" s="11" customFormat="1" ht="45" customHeight="1" x14ac:dyDescent="0.2">
      <c r="A1681" s="66" t="s">
        <v>3577</v>
      </c>
      <c r="B1681" s="66" t="s">
        <v>1707</v>
      </c>
      <c r="C1681" s="66" t="s">
        <v>3578</v>
      </c>
      <c r="D1681" s="66">
        <v>83854</v>
      </c>
      <c r="E1681" s="68" t="s">
        <v>6938</v>
      </c>
      <c r="F1681" s="66" t="s">
        <v>6939</v>
      </c>
      <c r="G1681" s="71">
        <v>6500</v>
      </c>
      <c r="H1681" s="73"/>
      <c r="I1681" s="75">
        <v>0.1</v>
      </c>
      <c r="J1681" s="77"/>
      <c r="K1681" s="66"/>
      <c r="L1681" s="66"/>
      <c r="M1681" s="79" t="str">
        <f>HYPERLINK("http://www.pristavka.com/catalog/funko/Fun83854/")</f>
        <v>http://www.pristavka.com/catalog/funko/Fun83854/</v>
      </c>
      <c r="N1681" s="71">
        <v>9999</v>
      </c>
      <c r="O1681" s="66" t="s">
        <v>27</v>
      </c>
      <c r="P1681" s="82" t="s">
        <v>6940</v>
      </c>
      <c r="Q1681" s="84" t="s">
        <v>1396</v>
      </c>
      <c r="R1681" s="84" t="s">
        <v>859</v>
      </c>
      <c r="S1681" s="84">
        <v>0.16</v>
      </c>
      <c r="T1681" s="82" t="s">
        <v>4113</v>
      </c>
      <c r="U1681" s="84" t="s">
        <v>3584</v>
      </c>
      <c r="V1681" s="54"/>
    </row>
    <row r="1682" spans="1:22" s="11" customFormat="1" ht="45" customHeight="1" x14ac:dyDescent="0.2">
      <c r="A1682" s="66" t="s">
        <v>3577</v>
      </c>
      <c r="B1682" s="66" t="s">
        <v>1707</v>
      </c>
      <c r="C1682" s="66" t="s">
        <v>3578</v>
      </c>
      <c r="D1682" s="66">
        <v>83855</v>
      </c>
      <c r="E1682" s="68" t="s">
        <v>6941</v>
      </c>
      <c r="F1682" s="66" t="s">
        <v>6942</v>
      </c>
      <c r="G1682" s="71">
        <v>6500</v>
      </c>
      <c r="H1682" s="73"/>
      <c r="I1682" s="75">
        <v>0.1</v>
      </c>
      <c r="J1682" s="77"/>
      <c r="K1682" s="66"/>
      <c r="L1682" s="66"/>
      <c r="M1682" s="79" t="str">
        <f>HYPERLINK("http://www.pristavka.com/catalog/funko/Fun83855/")</f>
        <v>http://www.pristavka.com/catalog/funko/Fun83855/</v>
      </c>
      <c r="N1682" s="71">
        <v>9999</v>
      </c>
      <c r="O1682" s="66" t="s">
        <v>27</v>
      </c>
      <c r="P1682" s="82" t="s">
        <v>6943</v>
      </c>
      <c r="Q1682" s="84" t="s">
        <v>1396</v>
      </c>
      <c r="R1682" s="84" t="s">
        <v>859</v>
      </c>
      <c r="S1682" s="84">
        <v>0.17499999999999999</v>
      </c>
      <c r="T1682" s="82" t="s">
        <v>4113</v>
      </c>
      <c r="U1682" s="84" t="s">
        <v>3584</v>
      </c>
      <c r="V1682" s="54"/>
    </row>
    <row r="1683" spans="1:22" s="11" customFormat="1" ht="45" customHeight="1" x14ac:dyDescent="0.2">
      <c r="A1683" s="66" t="s">
        <v>3577</v>
      </c>
      <c r="B1683" s="66" t="s">
        <v>1707</v>
      </c>
      <c r="C1683" s="66" t="s">
        <v>3578</v>
      </c>
      <c r="D1683" s="66">
        <v>80310</v>
      </c>
      <c r="E1683" s="68" t="s">
        <v>6944</v>
      </c>
      <c r="F1683" s="66" t="s">
        <v>6945</v>
      </c>
      <c r="G1683" s="71">
        <v>6500</v>
      </c>
      <c r="H1683" s="73"/>
      <c r="I1683" s="75">
        <v>0.1</v>
      </c>
      <c r="J1683" s="77"/>
      <c r="K1683" s="66"/>
      <c r="L1683" s="66"/>
      <c r="M1683" s="79" t="str">
        <f>HYPERLINK("http://www.pristavka.com/catalog/funko/Fun80310/")</f>
        <v>http://www.pristavka.com/catalog/funko/Fun80310/</v>
      </c>
      <c r="N1683" s="71">
        <v>9999</v>
      </c>
      <c r="O1683" s="66" t="s">
        <v>27</v>
      </c>
      <c r="P1683" s="82" t="s">
        <v>6946</v>
      </c>
      <c r="Q1683" s="84" t="s">
        <v>1396</v>
      </c>
      <c r="R1683" s="84" t="s">
        <v>859</v>
      </c>
      <c r="S1683" s="84">
        <v>0.124</v>
      </c>
      <c r="T1683" s="82" t="s">
        <v>4102</v>
      </c>
      <c r="U1683" s="84" t="s">
        <v>3584</v>
      </c>
      <c r="V1683" s="54"/>
    </row>
    <row r="1684" spans="1:22" s="11" customFormat="1" ht="45" customHeight="1" x14ac:dyDescent="0.2">
      <c r="A1684" s="66" t="s">
        <v>3577</v>
      </c>
      <c r="B1684" s="66" t="s">
        <v>1707</v>
      </c>
      <c r="C1684" s="66" t="s">
        <v>3578</v>
      </c>
      <c r="D1684" s="66">
        <v>83856</v>
      </c>
      <c r="E1684" s="68" t="s">
        <v>6947</v>
      </c>
      <c r="F1684" s="66" t="s">
        <v>6948</v>
      </c>
      <c r="G1684" s="71">
        <v>6500</v>
      </c>
      <c r="H1684" s="73"/>
      <c r="I1684" s="75">
        <v>0.1</v>
      </c>
      <c r="J1684" s="77"/>
      <c r="K1684" s="66"/>
      <c r="L1684" s="66"/>
      <c r="M1684" s="79" t="str">
        <f>HYPERLINK("http://www.pristavka.com/catalog/funko/Fun83856/")</f>
        <v>http://www.pristavka.com/catalog/funko/Fun83856/</v>
      </c>
      <c r="N1684" s="71">
        <v>9999</v>
      </c>
      <c r="O1684" s="66" t="s">
        <v>27</v>
      </c>
      <c r="P1684" s="82" t="s">
        <v>6949</v>
      </c>
      <c r="Q1684" s="84" t="s">
        <v>1396</v>
      </c>
      <c r="R1684" s="84" t="s">
        <v>859</v>
      </c>
      <c r="S1684" s="84">
        <v>0.17</v>
      </c>
      <c r="T1684" s="82" t="s">
        <v>4113</v>
      </c>
      <c r="U1684" s="84" t="s">
        <v>3584</v>
      </c>
      <c r="V1684" s="54"/>
    </row>
    <row r="1685" spans="1:22" s="11" customFormat="1" ht="45" customHeight="1" x14ac:dyDescent="0.2">
      <c r="A1685" s="66" t="s">
        <v>3577</v>
      </c>
      <c r="B1685" s="66" t="s">
        <v>1707</v>
      </c>
      <c r="C1685" s="66" t="s">
        <v>3578</v>
      </c>
      <c r="D1685" s="66">
        <v>84979</v>
      </c>
      <c r="E1685" s="68" t="s">
        <v>6950</v>
      </c>
      <c r="F1685" s="66" t="s">
        <v>6951</v>
      </c>
      <c r="G1685" s="71">
        <v>0</v>
      </c>
      <c r="H1685" s="73"/>
      <c r="I1685" s="75">
        <v>0.1</v>
      </c>
      <c r="J1685" s="77"/>
      <c r="K1685" s="66"/>
      <c r="L1685" s="66"/>
      <c r="M1685" s="79" t="str">
        <f>HYPERLINK("http://www.pristavka.com/catalog/funko/Fun84979/")</f>
        <v>http://www.pristavka.com/catalog/funko/Fun84979/</v>
      </c>
      <c r="N1685" s="71"/>
      <c r="O1685" s="66" t="s">
        <v>27</v>
      </c>
      <c r="P1685" s="82" t="s">
        <v>6952</v>
      </c>
      <c r="Q1685" s="84" t="s">
        <v>1396</v>
      </c>
      <c r="R1685" s="84" t="s">
        <v>859</v>
      </c>
      <c r="S1685" s="84">
        <v>1.07</v>
      </c>
      <c r="T1685" s="82" t="s">
        <v>6953</v>
      </c>
      <c r="U1685" s="84" t="s">
        <v>3584</v>
      </c>
      <c r="V1685" s="54"/>
    </row>
    <row r="1686" spans="1:22" s="11" customFormat="1" ht="45" customHeight="1" x14ac:dyDescent="0.2">
      <c r="A1686" s="66" t="s">
        <v>3577</v>
      </c>
      <c r="B1686" s="66" t="s">
        <v>1707</v>
      </c>
      <c r="C1686" s="66" t="s">
        <v>3578</v>
      </c>
      <c r="D1686" s="66">
        <v>73979</v>
      </c>
      <c r="E1686" s="68" t="s">
        <v>6954</v>
      </c>
      <c r="F1686" s="66" t="s">
        <v>6955</v>
      </c>
      <c r="G1686" s="71">
        <v>22750</v>
      </c>
      <c r="H1686" s="73"/>
      <c r="I1686" s="75">
        <v>0.1</v>
      </c>
      <c r="J1686" s="77"/>
      <c r="K1686" s="66"/>
      <c r="L1686" s="66"/>
      <c r="M1686" s="79" t="str">
        <f>HYPERLINK("http://www.pristavka.com/catalog/funko/Fun73979/")</f>
        <v>http://www.pristavka.com/catalog/funko/Fun73979/</v>
      </c>
      <c r="N1686" s="71">
        <v>34999</v>
      </c>
      <c r="O1686" s="66" t="s">
        <v>27</v>
      </c>
      <c r="P1686" s="82" t="s">
        <v>6956</v>
      </c>
      <c r="Q1686" s="84" t="s">
        <v>1396</v>
      </c>
      <c r="R1686" s="84" t="s">
        <v>859</v>
      </c>
      <c r="S1686" s="84">
        <v>1.32</v>
      </c>
      <c r="T1686" s="82" t="s">
        <v>4654</v>
      </c>
      <c r="U1686" s="84" t="s">
        <v>3584</v>
      </c>
      <c r="V1686" s="54"/>
    </row>
    <row r="1687" spans="1:22" s="11" customFormat="1" ht="45" customHeight="1" x14ac:dyDescent="0.2">
      <c r="A1687" s="66" t="s">
        <v>3577</v>
      </c>
      <c r="B1687" s="66" t="s">
        <v>1707</v>
      </c>
      <c r="C1687" s="66" t="s">
        <v>3578</v>
      </c>
      <c r="D1687" s="66">
        <v>70976</v>
      </c>
      <c r="E1687" s="68" t="s">
        <v>6957</v>
      </c>
      <c r="F1687" s="66" t="s">
        <v>6958</v>
      </c>
      <c r="G1687" s="71">
        <v>6500</v>
      </c>
      <c r="H1687" s="73"/>
      <c r="I1687" s="75">
        <v>0.1</v>
      </c>
      <c r="J1687" s="77"/>
      <c r="K1687" s="66"/>
      <c r="L1687" s="66"/>
      <c r="M1687" s="79" t="str">
        <f>HYPERLINK("http://www.pristavka.com/catalog/funko/Fun70976/")</f>
        <v>http://www.pristavka.com/catalog/funko/Fun70976/</v>
      </c>
      <c r="N1687" s="71">
        <v>9999</v>
      </c>
      <c r="O1687" s="66" t="s">
        <v>27</v>
      </c>
      <c r="P1687" s="82" t="s">
        <v>6959</v>
      </c>
      <c r="Q1687" s="84" t="s">
        <v>1396</v>
      </c>
      <c r="R1687" s="84" t="s">
        <v>859</v>
      </c>
      <c r="S1687" s="84">
        <v>0.13600000000000001</v>
      </c>
      <c r="T1687" s="82" t="s">
        <v>4091</v>
      </c>
      <c r="U1687" s="84" t="s">
        <v>3584</v>
      </c>
      <c r="V1687" s="54"/>
    </row>
    <row r="1688" spans="1:22" s="11" customFormat="1" ht="45" customHeight="1" x14ac:dyDescent="0.2">
      <c r="A1688" s="66" t="s">
        <v>3577</v>
      </c>
      <c r="B1688" s="66" t="s">
        <v>1707</v>
      </c>
      <c r="C1688" s="66" t="s">
        <v>3578</v>
      </c>
      <c r="D1688" s="66">
        <v>48401</v>
      </c>
      <c r="E1688" s="68" t="s">
        <v>6960</v>
      </c>
      <c r="F1688" s="66" t="s">
        <v>6961</v>
      </c>
      <c r="G1688" s="71">
        <v>6500</v>
      </c>
      <c r="H1688" s="73"/>
      <c r="I1688" s="75">
        <v>0.1</v>
      </c>
      <c r="J1688" s="77"/>
      <c r="K1688" s="66"/>
      <c r="L1688" s="66"/>
      <c r="M1688" s="79" t="str">
        <f>HYPERLINK("http://www.pristavka.com/catalog/funko/Fun48401/")</f>
        <v>http://www.pristavka.com/catalog/funko/Fun48401/</v>
      </c>
      <c r="N1688" s="71">
        <v>9999</v>
      </c>
      <c r="O1688" s="66" t="s">
        <v>27</v>
      </c>
      <c r="P1688" s="82" t="s">
        <v>6962</v>
      </c>
      <c r="Q1688" s="84" t="s">
        <v>1396</v>
      </c>
      <c r="R1688" s="84" t="s">
        <v>859</v>
      </c>
      <c r="S1688" s="84">
        <v>0.121</v>
      </c>
      <c r="T1688" s="82" t="s">
        <v>4091</v>
      </c>
      <c r="U1688" s="84" t="s">
        <v>3584</v>
      </c>
      <c r="V1688" s="54"/>
    </row>
    <row r="1689" spans="1:22" s="11" customFormat="1" ht="45" customHeight="1" x14ac:dyDescent="0.2">
      <c r="A1689" s="66" t="s">
        <v>3577</v>
      </c>
      <c r="B1689" s="66" t="s">
        <v>1707</v>
      </c>
      <c r="C1689" s="66" t="s">
        <v>3578</v>
      </c>
      <c r="D1689" s="66">
        <v>74214</v>
      </c>
      <c r="E1689" s="68" t="s">
        <v>6963</v>
      </c>
      <c r="F1689" s="66" t="s">
        <v>6964</v>
      </c>
      <c r="G1689" s="71">
        <v>6500</v>
      </c>
      <c r="H1689" s="73"/>
      <c r="I1689" s="75">
        <v>0.1</v>
      </c>
      <c r="J1689" s="77"/>
      <c r="K1689" s="66"/>
      <c r="L1689" s="66"/>
      <c r="M1689" s="79" t="str">
        <f>HYPERLINK("https://www.pristavka.com/catalog/funko/Fun74214/")</f>
        <v>https://www.pristavka.com/catalog/funko/Fun74214/</v>
      </c>
      <c r="N1689" s="71">
        <v>9999</v>
      </c>
      <c r="O1689" s="66" t="s">
        <v>27</v>
      </c>
      <c r="P1689" s="82" t="s">
        <v>6965</v>
      </c>
      <c r="Q1689" s="84" t="s">
        <v>1396</v>
      </c>
      <c r="R1689" s="84" t="s">
        <v>859</v>
      </c>
      <c r="S1689" s="84">
        <v>0.13500000000000001</v>
      </c>
      <c r="T1689" s="82" t="s">
        <v>4084</v>
      </c>
      <c r="U1689" s="84" t="s">
        <v>3584</v>
      </c>
      <c r="V1689" s="54"/>
    </row>
    <row r="1690" spans="1:22" s="11" customFormat="1" ht="45" customHeight="1" x14ac:dyDescent="0.2">
      <c r="A1690" s="66" t="s">
        <v>3577</v>
      </c>
      <c r="B1690" s="66" t="s">
        <v>1707</v>
      </c>
      <c r="C1690" s="66" t="s">
        <v>3578</v>
      </c>
      <c r="D1690" s="66">
        <v>70977</v>
      </c>
      <c r="E1690" s="68" t="s">
        <v>6966</v>
      </c>
      <c r="F1690" s="66" t="s">
        <v>6967</v>
      </c>
      <c r="G1690" s="71">
        <v>6500</v>
      </c>
      <c r="H1690" s="73"/>
      <c r="I1690" s="75">
        <v>0.1</v>
      </c>
      <c r="J1690" s="77"/>
      <c r="K1690" s="66"/>
      <c r="L1690" s="66"/>
      <c r="M1690" s="79" t="str">
        <f>HYPERLINK("http://www.pristavka.com/catalog/funko/Fun70977/")</f>
        <v>http://www.pristavka.com/catalog/funko/Fun70977/</v>
      </c>
      <c r="N1690" s="71">
        <v>9999</v>
      </c>
      <c r="O1690" s="66" t="s">
        <v>27</v>
      </c>
      <c r="P1690" s="82" t="s">
        <v>6968</v>
      </c>
      <c r="Q1690" s="84" t="s">
        <v>1396</v>
      </c>
      <c r="R1690" s="84" t="s">
        <v>859</v>
      </c>
      <c r="S1690" s="84">
        <v>0.15</v>
      </c>
      <c r="T1690" s="82" t="s">
        <v>4091</v>
      </c>
      <c r="U1690" s="84" t="s">
        <v>3584</v>
      </c>
      <c r="V1690" s="54"/>
    </row>
    <row r="1691" spans="1:22" s="11" customFormat="1" ht="45" customHeight="1" x14ac:dyDescent="0.2">
      <c r="A1691" s="66" t="s">
        <v>3577</v>
      </c>
      <c r="B1691" s="66" t="s">
        <v>1707</v>
      </c>
      <c r="C1691" s="66" t="s">
        <v>3578</v>
      </c>
      <c r="D1691" s="66">
        <v>85798</v>
      </c>
      <c r="E1691" s="68" t="s">
        <v>6969</v>
      </c>
      <c r="F1691" s="66" t="s">
        <v>6970</v>
      </c>
      <c r="G1691" s="71">
        <v>6500</v>
      </c>
      <c r="H1691" s="73"/>
      <c r="I1691" s="75">
        <v>0.1</v>
      </c>
      <c r="J1691" s="77"/>
      <c r="K1691" s="66"/>
      <c r="L1691" s="66"/>
      <c r="M1691" s="79" t="str">
        <f>HYPERLINK("http://www.pristavka.com/catalog/funko/Fun85798/")</f>
        <v>http://www.pristavka.com/catalog/funko/Fun85798/</v>
      </c>
      <c r="N1691" s="71">
        <v>9999</v>
      </c>
      <c r="O1691" s="66" t="s">
        <v>27</v>
      </c>
      <c r="P1691" s="82" t="s">
        <v>6971</v>
      </c>
      <c r="Q1691" s="84" t="s">
        <v>1396</v>
      </c>
      <c r="R1691" s="84" t="s">
        <v>859</v>
      </c>
      <c r="S1691" s="84">
        <v>0.13</v>
      </c>
      <c r="T1691" s="82" t="s">
        <v>4102</v>
      </c>
      <c r="U1691" s="84" t="s">
        <v>3584</v>
      </c>
      <c r="V1691" s="54"/>
    </row>
    <row r="1692" spans="1:22" s="11" customFormat="1" ht="45" customHeight="1" x14ac:dyDescent="0.2">
      <c r="A1692" s="66" t="s">
        <v>3577</v>
      </c>
      <c r="B1692" s="66" t="s">
        <v>1707</v>
      </c>
      <c r="C1692" s="66" t="s">
        <v>3578</v>
      </c>
      <c r="D1692" s="66">
        <v>81703</v>
      </c>
      <c r="E1692" s="68" t="s">
        <v>6972</v>
      </c>
      <c r="F1692" s="66" t="s">
        <v>6973</v>
      </c>
      <c r="G1692" s="71">
        <v>0</v>
      </c>
      <c r="H1692" s="73"/>
      <c r="I1692" s="75">
        <v>0.1</v>
      </c>
      <c r="J1692" s="77"/>
      <c r="K1692" s="66"/>
      <c r="L1692" s="66"/>
      <c r="M1692" s="79" t="str">
        <f>HYPERLINK("http://www.pristavka.com/catalog/funko/Fun81703/")</f>
        <v>http://www.pristavka.com/catalog/funko/Fun81703/</v>
      </c>
      <c r="N1692" s="71"/>
      <c r="O1692" s="66" t="s">
        <v>27</v>
      </c>
      <c r="P1692" s="82" t="s">
        <v>6974</v>
      </c>
      <c r="Q1692" s="84" t="s">
        <v>1396</v>
      </c>
      <c r="R1692" s="84" t="s">
        <v>859</v>
      </c>
      <c r="S1692" s="84">
        <v>0.95</v>
      </c>
      <c r="T1692" s="82" t="s">
        <v>4654</v>
      </c>
      <c r="U1692" s="84" t="s">
        <v>3584</v>
      </c>
      <c r="V1692" s="54"/>
    </row>
    <row r="1693" spans="1:22" s="11" customFormat="1" ht="45" customHeight="1" x14ac:dyDescent="0.2">
      <c r="A1693" s="66" t="s">
        <v>3577</v>
      </c>
      <c r="B1693" s="66" t="s">
        <v>1707</v>
      </c>
      <c r="C1693" s="66" t="s">
        <v>3578</v>
      </c>
      <c r="D1693" s="66">
        <v>69077</v>
      </c>
      <c r="E1693" s="68" t="s">
        <v>6975</v>
      </c>
      <c r="F1693" s="66" t="s">
        <v>6976</v>
      </c>
      <c r="G1693" s="71">
        <v>6500</v>
      </c>
      <c r="H1693" s="73"/>
      <c r="I1693" s="75">
        <v>0.1</v>
      </c>
      <c r="J1693" s="77"/>
      <c r="K1693" s="66"/>
      <c r="L1693" s="66"/>
      <c r="M1693" s="79" t="str">
        <f>HYPERLINK("http://www.pristavka.com/catalog/funko/Fun69077/")</f>
        <v>http://www.pristavka.com/catalog/funko/Fun69077/</v>
      </c>
      <c r="N1693" s="71">
        <v>9999</v>
      </c>
      <c r="O1693" s="66" t="s">
        <v>28</v>
      </c>
      <c r="P1693" s="82" t="s">
        <v>6977</v>
      </c>
      <c r="Q1693" s="84" t="s">
        <v>1396</v>
      </c>
      <c r="R1693" s="84" t="s">
        <v>859</v>
      </c>
      <c r="S1693" s="84">
        <v>0.16900000000000001</v>
      </c>
      <c r="T1693" s="82" t="s">
        <v>4084</v>
      </c>
      <c r="U1693" s="84" t="s">
        <v>3584</v>
      </c>
      <c r="V1693" s="54"/>
    </row>
    <row r="1694" spans="1:22" s="11" customFormat="1" ht="45" customHeight="1" x14ac:dyDescent="0.2">
      <c r="A1694" s="66" t="s">
        <v>3577</v>
      </c>
      <c r="B1694" s="66" t="s">
        <v>1707</v>
      </c>
      <c r="C1694" s="66" t="s">
        <v>3578</v>
      </c>
      <c r="D1694" s="66">
        <v>69087</v>
      </c>
      <c r="E1694" s="68" t="s">
        <v>6978</v>
      </c>
      <c r="F1694" s="66" t="s">
        <v>6979</v>
      </c>
      <c r="G1694" s="71">
        <v>22750</v>
      </c>
      <c r="H1694" s="73"/>
      <c r="I1694" s="75">
        <v>0.1</v>
      </c>
      <c r="J1694" s="77"/>
      <c r="K1694" s="66"/>
      <c r="L1694" s="66"/>
      <c r="M1694" s="79" t="str">
        <f>HYPERLINK("https://www.pristavka.com/catalog/funko/Fun69087/")</f>
        <v>https://www.pristavka.com/catalog/funko/Fun69087/</v>
      </c>
      <c r="N1694" s="71">
        <v>34999</v>
      </c>
      <c r="O1694" s="66" t="s">
        <v>27</v>
      </c>
      <c r="P1694" s="82" t="s">
        <v>6980</v>
      </c>
      <c r="Q1694" s="84" t="s">
        <v>1396</v>
      </c>
      <c r="R1694" s="84" t="s">
        <v>859</v>
      </c>
      <c r="S1694" s="84">
        <v>1.2</v>
      </c>
      <c r="T1694" s="82" t="s">
        <v>6981</v>
      </c>
      <c r="U1694" s="84" t="s">
        <v>3584</v>
      </c>
      <c r="V1694" s="54"/>
    </row>
    <row r="1695" spans="1:22" s="11" customFormat="1" ht="45" customHeight="1" x14ac:dyDescent="0.2">
      <c r="A1695" s="66" t="s">
        <v>3577</v>
      </c>
      <c r="B1695" s="66" t="s">
        <v>1707</v>
      </c>
      <c r="C1695" s="66" t="s">
        <v>3578</v>
      </c>
      <c r="D1695" s="66">
        <v>62268</v>
      </c>
      <c r="E1695" s="68" t="s">
        <v>6982</v>
      </c>
      <c r="F1695" s="66" t="s">
        <v>6983</v>
      </c>
      <c r="G1695" s="71">
        <v>6500</v>
      </c>
      <c r="H1695" s="73"/>
      <c r="I1695" s="75">
        <v>0.1</v>
      </c>
      <c r="J1695" s="77"/>
      <c r="K1695" s="66"/>
      <c r="L1695" s="66"/>
      <c r="M1695" s="79" t="str">
        <f>HYPERLINK("http://www.pristavka.com/catalog/funko/Fun62268/")</f>
        <v>http://www.pristavka.com/catalog/funko/Fun62268/</v>
      </c>
      <c r="N1695" s="71">
        <v>9999</v>
      </c>
      <c r="O1695" s="66" t="s">
        <v>27</v>
      </c>
      <c r="P1695" s="82" t="s">
        <v>6984</v>
      </c>
      <c r="Q1695" s="84" t="s">
        <v>1396</v>
      </c>
      <c r="R1695" s="84" t="s">
        <v>859</v>
      </c>
      <c r="S1695" s="84">
        <v>0.13600000000000001</v>
      </c>
      <c r="T1695" s="82" t="s">
        <v>4084</v>
      </c>
      <c r="U1695" s="84" t="s">
        <v>3584</v>
      </c>
      <c r="V1695" s="54"/>
    </row>
    <row r="1696" spans="1:22" s="11" customFormat="1" ht="45" customHeight="1" x14ac:dyDescent="0.2">
      <c r="A1696" s="66" t="s">
        <v>3577</v>
      </c>
      <c r="B1696" s="66" t="s">
        <v>1707</v>
      </c>
      <c r="C1696" s="66" t="s">
        <v>3578</v>
      </c>
      <c r="D1696" s="66">
        <v>31528</v>
      </c>
      <c r="E1696" s="68" t="s">
        <v>6985</v>
      </c>
      <c r="F1696" s="66" t="s">
        <v>6986</v>
      </c>
      <c r="G1696" s="71">
        <v>6500</v>
      </c>
      <c r="H1696" s="73"/>
      <c r="I1696" s="75">
        <v>0.1</v>
      </c>
      <c r="J1696" s="77"/>
      <c r="K1696" s="66"/>
      <c r="L1696" s="66"/>
      <c r="M1696" s="79" t="str">
        <f>HYPERLINK("https://www.pristavka.com/catalog/funko/Fun25492154/")</f>
        <v>https://www.pristavka.com/catalog/funko/Fun25492154/</v>
      </c>
      <c r="N1696" s="71">
        <v>9999</v>
      </c>
      <c r="O1696" s="66" t="s">
        <v>27</v>
      </c>
      <c r="P1696" s="82" t="s">
        <v>6987</v>
      </c>
      <c r="Q1696" s="84" t="s">
        <v>1396</v>
      </c>
      <c r="R1696" s="84" t="s">
        <v>859</v>
      </c>
      <c r="S1696" s="84">
        <v>0.11700000000000001</v>
      </c>
      <c r="T1696" s="82" t="s">
        <v>4113</v>
      </c>
      <c r="U1696" s="84" t="s">
        <v>3584</v>
      </c>
      <c r="V1696" s="54"/>
    </row>
    <row r="1697" spans="1:22" s="11" customFormat="1" ht="45" customHeight="1" x14ac:dyDescent="0.2">
      <c r="A1697" s="66" t="s">
        <v>3577</v>
      </c>
      <c r="B1697" s="66" t="s">
        <v>1707</v>
      </c>
      <c r="C1697" s="66" t="s">
        <v>3578</v>
      </c>
      <c r="D1697" s="66">
        <v>43263</v>
      </c>
      <c r="E1697" s="68" t="s">
        <v>6988</v>
      </c>
      <c r="F1697" s="66" t="s">
        <v>6989</v>
      </c>
      <c r="G1697" s="71">
        <v>6500</v>
      </c>
      <c r="H1697" s="73"/>
      <c r="I1697" s="75">
        <v>0.1</v>
      </c>
      <c r="J1697" s="77"/>
      <c r="K1697" s="66"/>
      <c r="L1697" s="66"/>
      <c r="M1697" s="79" t="str">
        <f>HYPERLINK("https://www.pristavka.com/catalog/funko/Fun43263/")</f>
        <v>https://www.pristavka.com/catalog/funko/Fun43263/</v>
      </c>
      <c r="N1697" s="71">
        <v>9999</v>
      </c>
      <c r="O1697" s="66" t="s">
        <v>27</v>
      </c>
      <c r="P1697" s="82" t="s">
        <v>6990</v>
      </c>
      <c r="Q1697" s="84" t="s">
        <v>1396</v>
      </c>
      <c r="R1697" s="84" t="s">
        <v>859</v>
      </c>
      <c r="S1697" s="84">
        <v>0.125</v>
      </c>
      <c r="T1697" s="82" t="s">
        <v>4091</v>
      </c>
      <c r="U1697" s="84" t="s">
        <v>3584</v>
      </c>
      <c r="V1697" s="54"/>
    </row>
    <row r="1698" spans="1:22" s="11" customFormat="1" ht="45" customHeight="1" x14ac:dyDescent="0.2">
      <c r="A1698" s="66" t="s">
        <v>3577</v>
      </c>
      <c r="B1698" s="66" t="s">
        <v>1707</v>
      </c>
      <c r="C1698" s="66" t="s">
        <v>3578</v>
      </c>
      <c r="D1698" s="66">
        <v>74213</v>
      </c>
      <c r="E1698" s="68" t="s">
        <v>6991</v>
      </c>
      <c r="F1698" s="66" t="s">
        <v>6992</v>
      </c>
      <c r="G1698" s="71">
        <v>6500</v>
      </c>
      <c r="H1698" s="73"/>
      <c r="I1698" s="75">
        <v>0.1</v>
      </c>
      <c r="J1698" s="77"/>
      <c r="K1698" s="66"/>
      <c r="L1698" s="66"/>
      <c r="M1698" s="79" t="str">
        <f>HYPERLINK("http://www.pristavka.com/catalog/funko/Fun74213/")</f>
        <v>http://www.pristavka.com/catalog/funko/Fun74213/</v>
      </c>
      <c r="N1698" s="71">
        <v>9999</v>
      </c>
      <c r="O1698" s="66" t="s">
        <v>27</v>
      </c>
      <c r="P1698" s="82" t="s">
        <v>6993</v>
      </c>
      <c r="Q1698" s="84" t="s">
        <v>1396</v>
      </c>
      <c r="R1698" s="84" t="s">
        <v>859</v>
      </c>
      <c r="S1698" s="84">
        <v>0.13300000000000001</v>
      </c>
      <c r="T1698" s="82" t="s">
        <v>4084</v>
      </c>
      <c r="U1698" s="84" t="s">
        <v>3584</v>
      </c>
      <c r="V1698" s="54"/>
    </row>
    <row r="1699" spans="1:22" s="11" customFormat="1" ht="45" customHeight="1" x14ac:dyDescent="0.2">
      <c r="A1699" s="66" t="s">
        <v>3577</v>
      </c>
      <c r="B1699" s="66" t="s">
        <v>1707</v>
      </c>
      <c r="C1699" s="66" t="s">
        <v>3578</v>
      </c>
      <c r="D1699" s="66">
        <v>54028</v>
      </c>
      <c r="E1699" s="68" t="s">
        <v>6994</v>
      </c>
      <c r="F1699" s="66" t="s">
        <v>6995</v>
      </c>
      <c r="G1699" s="71">
        <v>6500</v>
      </c>
      <c r="H1699" s="73"/>
      <c r="I1699" s="75">
        <v>0.1</v>
      </c>
      <c r="J1699" s="77"/>
      <c r="K1699" s="66"/>
      <c r="L1699" s="66"/>
      <c r="M1699" s="79" t="str">
        <f>HYPERLINK("http://www.pristavka.com/catalog/funko/Fun25493098/")</f>
        <v>http://www.pristavka.com/catalog/funko/Fun25493098/</v>
      </c>
      <c r="N1699" s="71">
        <v>9999</v>
      </c>
      <c r="O1699" s="66" t="s">
        <v>27</v>
      </c>
      <c r="P1699" s="82" t="s">
        <v>6996</v>
      </c>
      <c r="Q1699" s="84" t="s">
        <v>1396</v>
      </c>
      <c r="R1699" s="84" t="s">
        <v>859</v>
      </c>
      <c r="S1699" s="84">
        <v>0.156</v>
      </c>
      <c r="T1699" s="82" t="s">
        <v>4102</v>
      </c>
      <c r="U1699" s="84" t="s">
        <v>3584</v>
      </c>
      <c r="V1699" s="54"/>
    </row>
    <row r="1700" spans="1:22" s="11" customFormat="1" ht="45" customHeight="1" x14ac:dyDescent="0.2">
      <c r="A1700" s="66" t="s">
        <v>3577</v>
      </c>
      <c r="B1700" s="66" t="s">
        <v>1707</v>
      </c>
      <c r="C1700" s="66" t="s">
        <v>3578</v>
      </c>
      <c r="D1700" s="66">
        <v>85799</v>
      </c>
      <c r="E1700" s="68" t="s">
        <v>6997</v>
      </c>
      <c r="F1700" s="66" t="s">
        <v>6998</v>
      </c>
      <c r="G1700" s="71">
        <v>6500</v>
      </c>
      <c r="H1700" s="73"/>
      <c r="I1700" s="75">
        <v>0.1</v>
      </c>
      <c r="J1700" s="77"/>
      <c r="K1700" s="66"/>
      <c r="L1700" s="66"/>
      <c r="M1700" s="79" t="str">
        <f>HYPERLINK("http://www.pristavka.com/catalog/funko/Fun85799/")</f>
        <v>http://www.pristavka.com/catalog/funko/Fun85799/</v>
      </c>
      <c r="N1700" s="71">
        <v>9999</v>
      </c>
      <c r="O1700" s="66" t="s">
        <v>27</v>
      </c>
      <c r="P1700" s="82" t="s">
        <v>6999</v>
      </c>
      <c r="Q1700" s="84" t="s">
        <v>1396</v>
      </c>
      <c r="R1700" s="84" t="s">
        <v>859</v>
      </c>
      <c r="S1700" s="84">
        <v>0.13400000000000001</v>
      </c>
      <c r="T1700" s="82" t="s">
        <v>4102</v>
      </c>
      <c r="U1700" s="84" t="s">
        <v>3584</v>
      </c>
      <c r="V1700" s="54"/>
    </row>
    <row r="1701" spans="1:22" s="11" customFormat="1" ht="45" customHeight="1" x14ac:dyDescent="0.2">
      <c r="A1701" s="66" t="s">
        <v>3577</v>
      </c>
      <c r="B1701" s="66" t="s">
        <v>1707</v>
      </c>
      <c r="C1701" s="66" t="s">
        <v>3578</v>
      </c>
      <c r="D1701" s="66">
        <v>74230</v>
      </c>
      <c r="E1701" s="68" t="s">
        <v>7000</v>
      </c>
      <c r="F1701" s="66" t="s">
        <v>7001</v>
      </c>
      <c r="G1701" s="71">
        <v>6500</v>
      </c>
      <c r="H1701" s="73"/>
      <c r="I1701" s="75">
        <v>0.1</v>
      </c>
      <c r="J1701" s="77"/>
      <c r="K1701" s="66"/>
      <c r="L1701" s="66"/>
      <c r="M1701" s="79" t="str">
        <f>HYPERLINK("http://www.pristavka.com/catalog/funko/Fun74230/")</f>
        <v>http://www.pristavka.com/catalog/funko/Fun74230/</v>
      </c>
      <c r="N1701" s="71">
        <v>9999</v>
      </c>
      <c r="O1701" s="66" t="s">
        <v>27</v>
      </c>
      <c r="P1701" s="82" t="s">
        <v>7002</v>
      </c>
      <c r="Q1701" s="84" t="s">
        <v>1396</v>
      </c>
      <c r="R1701" s="84" t="s">
        <v>859</v>
      </c>
      <c r="S1701" s="84">
        <v>0.13100000000000001</v>
      </c>
      <c r="T1701" s="82" t="s">
        <v>4102</v>
      </c>
      <c r="U1701" s="84" t="s">
        <v>3584</v>
      </c>
      <c r="V1701" s="54"/>
    </row>
    <row r="1702" spans="1:22" s="11" customFormat="1" ht="45" customHeight="1" x14ac:dyDescent="0.2">
      <c r="A1702" s="66" t="s">
        <v>3577</v>
      </c>
      <c r="B1702" s="66" t="s">
        <v>1707</v>
      </c>
      <c r="C1702" s="66" t="s">
        <v>3578</v>
      </c>
      <c r="D1702" s="66">
        <v>62271</v>
      </c>
      <c r="E1702" s="68" t="s">
        <v>7003</v>
      </c>
      <c r="F1702" s="66" t="s">
        <v>7004</v>
      </c>
      <c r="G1702" s="71">
        <v>6500</v>
      </c>
      <c r="H1702" s="73"/>
      <c r="I1702" s="75">
        <v>0.1</v>
      </c>
      <c r="J1702" s="77"/>
      <c r="K1702" s="66"/>
      <c r="L1702" s="66"/>
      <c r="M1702" s="79" t="str">
        <f>HYPERLINK("http://www.pristavka.com/catalog/funko/Fun62271/")</f>
        <v>http://www.pristavka.com/catalog/funko/Fun62271/</v>
      </c>
      <c r="N1702" s="71">
        <v>9999</v>
      </c>
      <c r="O1702" s="66" t="s">
        <v>27</v>
      </c>
      <c r="P1702" s="82" t="s">
        <v>7005</v>
      </c>
      <c r="Q1702" s="84" t="s">
        <v>1396</v>
      </c>
      <c r="R1702" s="84" t="s">
        <v>859</v>
      </c>
      <c r="S1702" s="84">
        <v>0.13300000000000001</v>
      </c>
      <c r="T1702" s="82" t="s">
        <v>4084</v>
      </c>
      <c r="U1702" s="84" t="s">
        <v>3584</v>
      </c>
      <c r="V1702" s="54"/>
    </row>
    <row r="1703" spans="1:22" s="11" customFormat="1" ht="45" customHeight="1" x14ac:dyDescent="0.2">
      <c r="A1703" s="66" t="s">
        <v>3577</v>
      </c>
      <c r="B1703" s="66" t="s">
        <v>1707</v>
      </c>
      <c r="C1703" s="66" t="s">
        <v>3578</v>
      </c>
      <c r="D1703" s="66">
        <v>70929</v>
      </c>
      <c r="E1703" s="68" t="s">
        <v>7006</v>
      </c>
      <c r="F1703" s="66" t="s">
        <v>7007</v>
      </c>
      <c r="G1703" s="71">
        <v>6500</v>
      </c>
      <c r="H1703" s="73"/>
      <c r="I1703" s="75">
        <v>0.1</v>
      </c>
      <c r="J1703" s="77"/>
      <c r="K1703" s="66"/>
      <c r="L1703" s="66"/>
      <c r="M1703" s="79" t="str">
        <f>HYPERLINK("http://www.pristavka.com/catalog/funko/Fun70929/")</f>
        <v>http://www.pristavka.com/catalog/funko/Fun70929/</v>
      </c>
      <c r="N1703" s="71">
        <v>9999</v>
      </c>
      <c r="O1703" s="66" t="s">
        <v>27</v>
      </c>
      <c r="P1703" s="82" t="s">
        <v>7008</v>
      </c>
      <c r="Q1703" s="84" t="s">
        <v>1396</v>
      </c>
      <c r="R1703" s="84" t="s">
        <v>859</v>
      </c>
      <c r="S1703" s="84">
        <v>0.15</v>
      </c>
      <c r="T1703" s="82" t="s">
        <v>4084</v>
      </c>
      <c r="U1703" s="84" t="s">
        <v>3584</v>
      </c>
      <c r="V1703" s="54"/>
    </row>
    <row r="1704" spans="1:22" s="11" customFormat="1" ht="45" customHeight="1" x14ac:dyDescent="0.2">
      <c r="A1704" s="66" t="s">
        <v>3577</v>
      </c>
      <c r="B1704" s="66" t="s">
        <v>1707</v>
      </c>
      <c r="C1704" s="66" t="s">
        <v>3578</v>
      </c>
      <c r="D1704" s="66">
        <v>71341</v>
      </c>
      <c r="E1704" s="68" t="s">
        <v>7009</v>
      </c>
      <c r="F1704" s="66" t="s">
        <v>7010</v>
      </c>
      <c r="G1704" s="71">
        <v>6500</v>
      </c>
      <c r="H1704" s="73"/>
      <c r="I1704" s="75">
        <v>0.1</v>
      </c>
      <c r="J1704" s="77"/>
      <c r="K1704" s="66"/>
      <c r="L1704" s="66"/>
      <c r="M1704" s="79" t="str">
        <f>HYPERLINK("http://www.pristavka.com/catalog/funko/Fun71341/")</f>
        <v>http://www.pristavka.com/catalog/funko/Fun71341/</v>
      </c>
      <c r="N1704" s="71">
        <v>9999</v>
      </c>
      <c r="O1704" s="66" t="s">
        <v>27</v>
      </c>
      <c r="P1704" s="82" t="s">
        <v>7011</v>
      </c>
      <c r="Q1704" s="84" t="s">
        <v>1396</v>
      </c>
      <c r="R1704" s="84" t="s">
        <v>859</v>
      </c>
      <c r="S1704" s="84">
        <v>0.125</v>
      </c>
      <c r="T1704" s="82" t="s">
        <v>4084</v>
      </c>
      <c r="U1704" s="84" t="s">
        <v>3584</v>
      </c>
      <c r="V1704" s="54"/>
    </row>
    <row r="1705" spans="1:22" s="11" customFormat="1" ht="45" customHeight="1" x14ac:dyDescent="0.2">
      <c r="A1705" s="66" t="s">
        <v>3577</v>
      </c>
      <c r="B1705" s="66" t="s">
        <v>1707</v>
      </c>
      <c r="C1705" s="66" t="s">
        <v>3578</v>
      </c>
      <c r="D1705" s="66">
        <v>75191</v>
      </c>
      <c r="E1705" s="68" t="s">
        <v>7012</v>
      </c>
      <c r="F1705" s="66" t="s">
        <v>7013</v>
      </c>
      <c r="G1705" s="71">
        <v>6500</v>
      </c>
      <c r="H1705" s="73"/>
      <c r="I1705" s="75">
        <v>0.1</v>
      </c>
      <c r="J1705" s="77"/>
      <c r="K1705" s="66"/>
      <c r="L1705" s="66"/>
      <c r="M1705" s="79" t="str">
        <f>HYPERLINK("http://www.pristavka.com/catalog/funko/Fun75191/")</f>
        <v>http://www.pristavka.com/catalog/funko/Fun75191/</v>
      </c>
      <c r="N1705" s="71">
        <v>9999</v>
      </c>
      <c r="O1705" s="66" t="s">
        <v>27</v>
      </c>
      <c r="P1705" s="82" t="s">
        <v>7014</v>
      </c>
      <c r="Q1705" s="84" t="s">
        <v>1396</v>
      </c>
      <c r="R1705" s="84" t="s">
        <v>859</v>
      </c>
      <c r="S1705" s="84">
        <v>0.125</v>
      </c>
      <c r="T1705" s="82" t="s">
        <v>4084</v>
      </c>
      <c r="U1705" s="84" t="s">
        <v>3584</v>
      </c>
      <c r="V1705" s="54"/>
    </row>
    <row r="1706" spans="1:22" s="11" customFormat="1" ht="45" customHeight="1" x14ac:dyDescent="0.2">
      <c r="A1706" s="66" t="s">
        <v>3577</v>
      </c>
      <c r="B1706" s="66" t="s">
        <v>1707</v>
      </c>
      <c r="C1706" s="66" t="s">
        <v>3578</v>
      </c>
      <c r="D1706" s="66">
        <v>77548</v>
      </c>
      <c r="E1706" s="68" t="s">
        <v>7015</v>
      </c>
      <c r="F1706" s="66" t="s">
        <v>7016</v>
      </c>
      <c r="G1706" s="71">
        <v>0</v>
      </c>
      <c r="H1706" s="73"/>
      <c r="I1706" s="75">
        <v>0.1</v>
      </c>
      <c r="J1706" s="77"/>
      <c r="K1706" s="66"/>
      <c r="L1706" s="66"/>
      <c r="M1706" s="79" t="str">
        <f>HYPERLINK("http://www.pristavka.com/catalog/funko/Fun77548/")</f>
        <v>http://www.pristavka.com/catalog/funko/Fun77548/</v>
      </c>
      <c r="N1706" s="71"/>
      <c r="O1706" s="66" t="s">
        <v>27</v>
      </c>
      <c r="P1706" s="82" t="s">
        <v>7017</v>
      </c>
      <c r="Q1706" s="84" t="s">
        <v>1396</v>
      </c>
      <c r="R1706" s="84" t="s">
        <v>859</v>
      </c>
      <c r="S1706" s="84">
        <v>1.06</v>
      </c>
      <c r="T1706" s="82" t="s">
        <v>7018</v>
      </c>
      <c r="U1706" s="84" t="s">
        <v>3584</v>
      </c>
      <c r="V1706" s="54"/>
    </row>
    <row r="1707" spans="1:22" s="11" customFormat="1" ht="45" customHeight="1" x14ac:dyDescent="0.2">
      <c r="A1707" s="66" t="s">
        <v>3577</v>
      </c>
      <c r="B1707" s="66" t="s">
        <v>1707</v>
      </c>
      <c r="C1707" s="66" t="s">
        <v>3578</v>
      </c>
      <c r="D1707" s="66">
        <v>50402</v>
      </c>
      <c r="E1707" s="68" t="s">
        <v>7019</v>
      </c>
      <c r="F1707" s="66" t="s">
        <v>7020</v>
      </c>
      <c r="G1707" s="71">
        <v>6500</v>
      </c>
      <c r="H1707" s="73"/>
      <c r="I1707" s="75">
        <v>0.1</v>
      </c>
      <c r="J1707" s="77"/>
      <c r="K1707" s="66"/>
      <c r="L1707" s="66"/>
      <c r="M1707" s="79" t="str">
        <f>HYPERLINK("https://www.pristavka.com/catalog/funko/Fun25492155/")</f>
        <v>https://www.pristavka.com/catalog/funko/Fun25492155/</v>
      </c>
      <c r="N1707" s="71">
        <v>9999</v>
      </c>
      <c r="O1707" s="66" t="s">
        <v>27</v>
      </c>
      <c r="P1707" s="82" t="s">
        <v>7021</v>
      </c>
      <c r="Q1707" s="84" t="s">
        <v>1396</v>
      </c>
      <c r="R1707" s="84" t="s">
        <v>859</v>
      </c>
      <c r="S1707" s="84">
        <v>0.12</v>
      </c>
      <c r="T1707" s="82" t="s">
        <v>4084</v>
      </c>
      <c r="U1707" s="84" t="s">
        <v>3584</v>
      </c>
      <c r="V1707" s="54"/>
    </row>
    <row r="1708" spans="1:22" s="11" customFormat="1" ht="45" customHeight="1" x14ac:dyDescent="0.2">
      <c r="A1708" s="66" t="s">
        <v>3577</v>
      </c>
      <c r="B1708" s="66" t="s">
        <v>1707</v>
      </c>
      <c r="C1708" s="66" t="s">
        <v>3578</v>
      </c>
      <c r="D1708" s="66">
        <v>74215</v>
      </c>
      <c r="E1708" s="68" t="s">
        <v>7022</v>
      </c>
      <c r="F1708" s="66" t="s">
        <v>7023</v>
      </c>
      <c r="G1708" s="71">
        <v>6500</v>
      </c>
      <c r="H1708" s="73"/>
      <c r="I1708" s="75">
        <v>0.1</v>
      </c>
      <c r="J1708" s="77"/>
      <c r="K1708" s="66"/>
      <c r="L1708" s="66"/>
      <c r="M1708" s="79" t="str">
        <f>HYPERLINK("https://www.pristavka.com/catalog/funko/Fun74215/")</f>
        <v>https://www.pristavka.com/catalog/funko/Fun74215/</v>
      </c>
      <c r="N1708" s="71">
        <v>9999</v>
      </c>
      <c r="O1708" s="66" t="s">
        <v>27</v>
      </c>
      <c r="P1708" s="82" t="s">
        <v>7024</v>
      </c>
      <c r="Q1708" s="84" t="s">
        <v>1396</v>
      </c>
      <c r="R1708" s="84" t="s">
        <v>859</v>
      </c>
      <c r="S1708" s="84">
        <v>0.158</v>
      </c>
      <c r="T1708" s="82" t="s">
        <v>4084</v>
      </c>
      <c r="U1708" s="84" t="s">
        <v>3584</v>
      </c>
      <c r="V1708" s="54"/>
    </row>
    <row r="1709" spans="1:22" s="11" customFormat="1" ht="45" customHeight="1" x14ac:dyDescent="0.2">
      <c r="A1709" s="66" t="s">
        <v>3577</v>
      </c>
      <c r="B1709" s="66" t="s">
        <v>1707</v>
      </c>
      <c r="C1709" s="66" t="s">
        <v>3578</v>
      </c>
      <c r="D1709" s="66">
        <v>70936</v>
      </c>
      <c r="E1709" s="68" t="s">
        <v>7025</v>
      </c>
      <c r="F1709" s="66" t="s">
        <v>7026</v>
      </c>
      <c r="G1709" s="71">
        <v>6500</v>
      </c>
      <c r="H1709" s="73"/>
      <c r="I1709" s="75">
        <v>0.1</v>
      </c>
      <c r="J1709" s="77"/>
      <c r="K1709" s="66"/>
      <c r="L1709" s="66"/>
      <c r="M1709" s="79" t="str">
        <f>HYPERLINK("http://www.pristavka.com/catalog/funko/Fun70936/")</f>
        <v>http://www.pristavka.com/catalog/funko/Fun70936/</v>
      </c>
      <c r="N1709" s="71">
        <v>9999</v>
      </c>
      <c r="O1709" s="66" t="s">
        <v>27</v>
      </c>
      <c r="P1709" s="82" t="s">
        <v>7027</v>
      </c>
      <c r="Q1709" s="84" t="s">
        <v>1396</v>
      </c>
      <c r="R1709" s="84" t="s">
        <v>859</v>
      </c>
      <c r="S1709" s="84">
        <v>0.125</v>
      </c>
      <c r="T1709" s="82" t="s">
        <v>4084</v>
      </c>
      <c r="U1709" s="84" t="s">
        <v>3584</v>
      </c>
      <c r="V1709" s="54"/>
    </row>
    <row r="1710" spans="1:22" s="11" customFormat="1" ht="45" customHeight="1" x14ac:dyDescent="0.2">
      <c r="A1710" s="66" t="s">
        <v>3577</v>
      </c>
      <c r="B1710" s="66" t="s">
        <v>1707</v>
      </c>
      <c r="C1710" s="66" t="s">
        <v>3578</v>
      </c>
      <c r="D1710" s="66">
        <v>70978</v>
      </c>
      <c r="E1710" s="68" t="s">
        <v>7028</v>
      </c>
      <c r="F1710" s="66" t="s">
        <v>7029</v>
      </c>
      <c r="G1710" s="71">
        <v>6500</v>
      </c>
      <c r="H1710" s="73"/>
      <c r="I1710" s="75">
        <v>0.1</v>
      </c>
      <c r="J1710" s="77"/>
      <c r="K1710" s="66"/>
      <c r="L1710" s="66"/>
      <c r="M1710" s="79" t="str">
        <f>HYPERLINK("http://www.pristavka.com/catalog/funko/Fun70978/")</f>
        <v>http://www.pristavka.com/catalog/funko/Fun70978/</v>
      </c>
      <c r="N1710" s="71">
        <v>9999</v>
      </c>
      <c r="O1710" s="66" t="s">
        <v>27</v>
      </c>
      <c r="P1710" s="82" t="s">
        <v>7030</v>
      </c>
      <c r="Q1710" s="84" t="s">
        <v>1396</v>
      </c>
      <c r="R1710" s="84" t="s">
        <v>859</v>
      </c>
      <c r="S1710" s="84">
        <v>0.17399999999999999</v>
      </c>
      <c r="T1710" s="82" t="s">
        <v>4091</v>
      </c>
      <c r="U1710" s="84" t="s">
        <v>3584</v>
      </c>
      <c r="V1710" s="54"/>
    </row>
    <row r="1711" spans="1:22" s="11" customFormat="1" ht="45" customHeight="1" x14ac:dyDescent="0.2">
      <c r="A1711" s="66" t="s">
        <v>3577</v>
      </c>
      <c r="B1711" s="66" t="s">
        <v>1707</v>
      </c>
      <c r="C1711" s="66" t="s">
        <v>3578</v>
      </c>
      <c r="D1711" s="66">
        <v>80312</v>
      </c>
      <c r="E1711" s="68" t="s">
        <v>7031</v>
      </c>
      <c r="F1711" s="66" t="s">
        <v>7032</v>
      </c>
      <c r="G1711" s="71">
        <v>6500</v>
      </c>
      <c r="H1711" s="73"/>
      <c r="I1711" s="75">
        <v>0.1</v>
      </c>
      <c r="J1711" s="77"/>
      <c r="K1711" s="66"/>
      <c r="L1711" s="66"/>
      <c r="M1711" s="79" t="str">
        <f>HYPERLINK("http://www.pristavka.com/catalog/funko/Fun80312/")</f>
        <v>http://www.pristavka.com/catalog/funko/Fun80312/</v>
      </c>
      <c r="N1711" s="71">
        <v>9999</v>
      </c>
      <c r="O1711" s="66" t="s">
        <v>27</v>
      </c>
      <c r="P1711" s="82" t="s">
        <v>7033</v>
      </c>
      <c r="Q1711" s="84" t="s">
        <v>1396</v>
      </c>
      <c r="R1711" s="84" t="s">
        <v>859</v>
      </c>
      <c r="S1711" s="84">
        <v>0.15</v>
      </c>
      <c r="T1711" s="82" t="s">
        <v>4113</v>
      </c>
      <c r="U1711" s="84" t="s">
        <v>3584</v>
      </c>
      <c r="V1711" s="54"/>
    </row>
    <row r="1712" spans="1:22" s="11" customFormat="1" ht="45" customHeight="1" x14ac:dyDescent="0.2">
      <c r="A1712" s="66" t="s">
        <v>3577</v>
      </c>
      <c r="B1712" s="66" t="s">
        <v>1707</v>
      </c>
      <c r="C1712" s="66" t="s">
        <v>3578</v>
      </c>
      <c r="D1712" s="66">
        <v>51964</v>
      </c>
      <c r="E1712" s="68" t="s">
        <v>7034</v>
      </c>
      <c r="F1712" s="66" t="s">
        <v>7035</v>
      </c>
      <c r="G1712" s="71">
        <v>6500</v>
      </c>
      <c r="H1712" s="73"/>
      <c r="I1712" s="75">
        <v>0.1</v>
      </c>
      <c r="J1712" s="77"/>
      <c r="K1712" s="66"/>
      <c r="L1712" s="66"/>
      <c r="M1712" s="79" t="str">
        <f>HYPERLINK("http://www.pristavka.com/catalog/funko/Fun25491293/")</f>
        <v>http://www.pristavka.com/catalog/funko/Fun25491293/</v>
      </c>
      <c r="N1712" s="71">
        <v>9999</v>
      </c>
      <c r="O1712" s="66" t="s">
        <v>27</v>
      </c>
      <c r="P1712" s="82" t="s">
        <v>7036</v>
      </c>
      <c r="Q1712" s="84" t="s">
        <v>1240</v>
      </c>
      <c r="R1712" s="84" t="s">
        <v>70</v>
      </c>
      <c r="S1712" s="84">
        <v>0.15</v>
      </c>
      <c r="T1712" s="82" t="s">
        <v>7037</v>
      </c>
      <c r="U1712" s="84" t="s">
        <v>3584</v>
      </c>
      <c r="V1712" s="54"/>
    </row>
    <row r="1713" spans="1:22" s="11" customFormat="1" ht="45" customHeight="1" x14ac:dyDescent="0.2">
      <c r="A1713" s="66" t="s">
        <v>3577</v>
      </c>
      <c r="B1713" s="66" t="s">
        <v>1707</v>
      </c>
      <c r="C1713" s="66" t="s">
        <v>3578</v>
      </c>
      <c r="D1713" s="66">
        <v>70582</v>
      </c>
      <c r="E1713" s="68" t="s">
        <v>7038</v>
      </c>
      <c r="F1713" s="66" t="s">
        <v>7039</v>
      </c>
      <c r="G1713" s="71">
        <v>6500</v>
      </c>
      <c r="H1713" s="73"/>
      <c r="I1713" s="75">
        <v>0.1</v>
      </c>
      <c r="J1713" s="77"/>
      <c r="K1713" s="66"/>
      <c r="L1713" s="66"/>
      <c r="M1713" s="79" t="str">
        <f>HYPERLINK("http://www.pristavka.com/catalog/funko/Fun70582/")</f>
        <v>http://www.pristavka.com/catalog/funko/Fun70582/</v>
      </c>
      <c r="N1713" s="71">
        <v>9999</v>
      </c>
      <c r="O1713" s="66" t="s">
        <v>28</v>
      </c>
      <c r="P1713" s="82" t="s">
        <v>7040</v>
      </c>
      <c r="Q1713" s="84" t="s">
        <v>1240</v>
      </c>
      <c r="R1713" s="84" t="s">
        <v>70</v>
      </c>
      <c r="S1713" s="84">
        <v>0.155</v>
      </c>
      <c r="T1713" s="82" t="s">
        <v>4084</v>
      </c>
      <c r="U1713" s="84" t="s">
        <v>3584</v>
      </c>
      <c r="V1713" s="54"/>
    </row>
    <row r="1714" spans="1:22" s="11" customFormat="1" ht="45" customHeight="1" x14ac:dyDescent="0.2">
      <c r="A1714" s="66" t="s">
        <v>3577</v>
      </c>
      <c r="B1714" s="66" t="s">
        <v>1707</v>
      </c>
      <c r="C1714" s="66" t="s">
        <v>3578</v>
      </c>
      <c r="D1714" s="66">
        <v>83853</v>
      </c>
      <c r="E1714" s="68" t="s">
        <v>7041</v>
      </c>
      <c r="F1714" s="66" t="s">
        <v>7042</v>
      </c>
      <c r="G1714" s="71">
        <v>11700</v>
      </c>
      <c r="H1714" s="73"/>
      <c r="I1714" s="75">
        <v>0.1</v>
      </c>
      <c r="J1714" s="77"/>
      <c r="K1714" s="66"/>
      <c r="L1714" s="66"/>
      <c r="M1714" s="79" t="str">
        <f>HYPERLINK("http://www.pristavka.com/catalog/funko/Fun83853/")</f>
        <v>http://www.pristavka.com/catalog/funko/Fun83853/</v>
      </c>
      <c r="N1714" s="71">
        <v>17999</v>
      </c>
      <c r="O1714" s="66" t="s">
        <v>28</v>
      </c>
      <c r="P1714" s="82" t="s">
        <v>7043</v>
      </c>
      <c r="Q1714" s="84" t="s">
        <v>1240</v>
      </c>
      <c r="R1714" s="84" t="s">
        <v>70</v>
      </c>
      <c r="S1714" s="84">
        <v>0.48799999999999999</v>
      </c>
      <c r="T1714" s="82" t="s">
        <v>4989</v>
      </c>
      <c r="U1714" s="84" t="s">
        <v>3584</v>
      </c>
      <c r="V1714" s="54"/>
    </row>
    <row r="1715" spans="1:22" s="11" customFormat="1" ht="45" customHeight="1" x14ac:dyDescent="0.2">
      <c r="A1715" s="66" t="s">
        <v>3577</v>
      </c>
      <c r="B1715" s="66" t="s">
        <v>1707</v>
      </c>
      <c r="C1715" s="66" t="s">
        <v>3578</v>
      </c>
      <c r="D1715" s="66">
        <v>80307</v>
      </c>
      <c r="E1715" s="68" t="s">
        <v>7044</v>
      </c>
      <c r="F1715" s="66" t="s">
        <v>7045</v>
      </c>
      <c r="G1715" s="71">
        <v>6500</v>
      </c>
      <c r="H1715" s="73"/>
      <c r="I1715" s="75">
        <v>0.1</v>
      </c>
      <c r="J1715" s="77"/>
      <c r="K1715" s="66"/>
      <c r="L1715" s="66"/>
      <c r="M1715" s="79" t="str">
        <f>HYPERLINK("http://www.pristavka.com/catalog/funko/Fun80307/")</f>
        <v>http://www.pristavka.com/catalog/funko/Fun80307/</v>
      </c>
      <c r="N1715" s="71">
        <v>9999</v>
      </c>
      <c r="O1715" s="66" t="s">
        <v>27</v>
      </c>
      <c r="P1715" s="82" t="s">
        <v>7046</v>
      </c>
      <c r="Q1715" s="84" t="s">
        <v>1240</v>
      </c>
      <c r="R1715" s="84" t="s">
        <v>70</v>
      </c>
      <c r="S1715" s="84">
        <v>0.16200000000000001</v>
      </c>
      <c r="T1715" s="82" t="s">
        <v>4113</v>
      </c>
      <c r="U1715" s="84" t="s">
        <v>3584</v>
      </c>
      <c r="V1715" s="54"/>
    </row>
    <row r="1716" spans="1:22" s="11" customFormat="1" ht="45" customHeight="1" x14ac:dyDescent="0.2">
      <c r="A1716" s="66" t="s">
        <v>3577</v>
      </c>
      <c r="B1716" s="66" t="s">
        <v>1707</v>
      </c>
      <c r="C1716" s="66" t="s">
        <v>3578</v>
      </c>
      <c r="D1716" s="66">
        <v>70583</v>
      </c>
      <c r="E1716" s="68" t="s">
        <v>7047</v>
      </c>
      <c r="F1716" s="66" t="s">
        <v>7048</v>
      </c>
      <c r="G1716" s="71">
        <v>6500</v>
      </c>
      <c r="H1716" s="73"/>
      <c r="I1716" s="75">
        <v>0.1</v>
      </c>
      <c r="J1716" s="77"/>
      <c r="K1716" s="66"/>
      <c r="L1716" s="66"/>
      <c r="M1716" s="79" t="str">
        <f>HYPERLINK("http://www.pristavka.com/catalog/funko/Fun70583/")</f>
        <v>http://www.pristavka.com/catalog/funko/Fun70583/</v>
      </c>
      <c r="N1716" s="71">
        <v>9999</v>
      </c>
      <c r="O1716" s="66" t="s">
        <v>27</v>
      </c>
      <c r="P1716" s="82" t="s">
        <v>7049</v>
      </c>
      <c r="Q1716" s="84" t="s">
        <v>1240</v>
      </c>
      <c r="R1716" s="84" t="s">
        <v>70</v>
      </c>
      <c r="S1716" s="84">
        <v>0.155</v>
      </c>
      <c r="T1716" s="82" t="s">
        <v>4084</v>
      </c>
      <c r="U1716" s="84" t="s">
        <v>3584</v>
      </c>
      <c r="V1716" s="54"/>
    </row>
    <row r="1717" spans="1:22" s="11" customFormat="1" ht="45" customHeight="1" x14ac:dyDescent="0.2">
      <c r="A1717" s="66" t="s">
        <v>3577</v>
      </c>
      <c r="B1717" s="66" t="s">
        <v>1707</v>
      </c>
      <c r="C1717" s="66" t="s">
        <v>3578</v>
      </c>
      <c r="D1717" s="66">
        <v>83852</v>
      </c>
      <c r="E1717" s="68" t="s">
        <v>7050</v>
      </c>
      <c r="F1717" s="66" t="s">
        <v>7051</v>
      </c>
      <c r="G1717" s="71">
        <v>6500</v>
      </c>
      <c r="H1717" s="73"/>
      <c r="I1717" s="75">
        <v>0.1</v>
      </c>
      <c r="J1717" s="77"/>
      <c r="K1717" s="66"/>
      <c r="L1717" s="66"/>
      <c r="M1717" s="79" t="str">
        <f>HYPERLINK("http://www.pristavka.com/catalog/funko/Fun83852/")</f>
        <v>http://www.pristavka.com/catalog/funko/Fun83852/</v>
      </c>
      <c r="N1717" s="71">
        <v>9999</v>
      </c>
      <c r="O1717" s="66" t="s">
        <v>27</v>
      </c>
      <c r="P1717" s="82" t="s">
        <v>7052</v>
      </c>
      <c r="Q1717" s="84" t="s">
        <v>1240</v>
      </c>
      <c r="R1717" s="84" t="s">
        <v>70</v>
      </c>
      <c r="S1717" s="84">
        <v>0.124</v>
      </c>
      <c r="T1717" s="82" t="s">
        <v>4084</v>
      </c>
      <c r="U1717" s="84" t="s">
        <v>3584</v>
      </c>
      <c r="V1717" s="54"/>
    </row>
    <row r="1718" spans="1:22" s="11" customFormat="1" ht="45" customHeight="1" x14ac:dyDescent="0.2">
      <c r="A1718" s="66" t="s">
        <v>3577</v>
      </c>
      <c r="B1718" s="66" t="s">
        <v>1707</v>
      </c>
      <c r="C1718" s="66" t="s">
        <v>3578</v>
      </c>
      <c r="D1718" s="66">
        <v>80308</v>
      </c>
      <c r="E1718" s="68" t="s">
        <v>7053</v>
      </c>
      <c r="F1718" s="66" t="s">
        <v>7054</v>
      </c>
      <c r="G1718" s="71">
        <v>6500</v>
      </c>
      <c r="H1718" s="73"/>
      <c r="I1718" s="75">
        <v>0.1</v>
      </c>
      <c r="J1718" s="77"/>
      <c r="K1718" s="66"/>
      <c r="L1718" s="66"/>
      <c r="M1718" s="79" t="str">
        <f>HYPERLINK("http://www.pristavka.com/catalog/funko/Fun80308/")</f>
        <v>http://www.pristavka.com/catalog/funko/Fun80308/</v>
      </c>
      <c r="N1718" s="71">
        <v>9999</v>
      </c>
      <c r="O1718" s="66" t="s">
        <v>28</v>
      </c>
      <c r="P1718" s="82" t="s">
        <v>7055</v>
      </c>
      <c r="Q1718" s="84" t="s">
        <v>1240</v>
      </c>
      <c r="R1718" s="84" t="s">
        <v>70</v>
      </c>
      <c r="S1718" s="84">
        <v>0.155</v>
      </c>
      <c r="T1718" s="82" t="s">
        <v>4091</v>
      </c>
      <c r="U1718" s="84" t="s">
        <v>3584</v>
      </c>
      <c r="V1718" s="54"/>
    </row>
    <row r="1719" spans="1:22" s="11" customFormat="1" ht="45" customHeight="1" x14ac:dyDescent="0.2">
      <c r="A1719" s="66" t="s">
        <v>3577</v>
      </c>
      <c r="B1719" s="66" t="s">
        <v>1707</v>
      </c>
      <c r="C1719" s="66" t="s">
        <v>3578</v>
      </c>
      <c r="D1719" s="66">
        <v>80309</v>
      </c>
      <c r="E1719" s="68" t="s">
        <v>7056</v>
      </c>
      <c r="F1719" s="66" t="s">
        <v>7057</v>
      </c>
      <c r="G1719" s="71">
        <v>6500</v>
      </c>
      <c r="H1719" s="73"/>
      <c r="I1719" s="75">
        <v>0.1</v>
      </c>
      <c r="J1719" s="77"/>
      <c r="K1719" s="66"/>
      <c r="L1719" s="66"/>
      <c r="M1719" s="79" t="str">
        <f>HYPERLINK("http://www.pristavka.com/catalog/funko/Fun80309/")</f>
        <v>http://www.pristavka.com/catalog/funko/Fun80309/</v>
      </c>
      <c r="N1719" s="71">
        <v>9999</v>
      </c>
      <c r="O1719" s="66" t="s">
        <v>27</v>
      </c>
      <c r="P1719" s="82" t="s">
        <v>7058</v>
      </c>
      <c r="Q1719" s="84" t="s">
        <v>1240</v>
      </c>
      <c r="R1719" s="84" t="s">
        <v>70</v>
      </c>
      <c r="S1719" s="84">
        <v>0.17199999999999999</v>
      </c>
      <c r="T1719" s="82" t="s">
        <v>4102</v>
      </c>
      <c r="U1719" s="84" t="s">
        <v>3584</v>
      </c>
      <c r="V1719" s="54"/>
    </row>
    <row r="1720" spans="1:22" s="11" customFormat="1" ht="45" customHeight="1" x14ac:dyDescent="0.2">
      <c r="A1720" s="66" t="s">
        <v>3577</v>
      </c>
      <c r="B1720" s="66" t="s">
        <v>1707</v>
      </c>
      <c r="C1720" s="66" t="s">
        <v>3578</v>
      </c>
      <c r="D1720" s="66">
        <v>20146</v>
      </c>
      <c r="E1720" s="68" t="s">
        <v>7059</v>
      </c>
      <c r="F1720" s="66" t="s">
        <v>7060</v>
      </c>
      <c r="G1720" s="71">
        <v>6500</v>
      </c>
      <c r="H1720" s="73"/>
      <c r="I1720" s="75">
        <v>0.1</v>
      </c>
      <c r="J1720" s="77"/>
      <c r="K1720" s="66"/>
      <c r="L1720" s="66"/>
      <c r="M1720" s="79" t="str">
        <f>HYPERLINK("http://www.pristavka.com/catalog/funko/Fun918/")</f>
        <v>http://www.pristavka.com/catalog/funko/Fun918/</v>
      </c>
      <c r="N1720" s="71">
        <v>9999</v>
      </c>
      <c r="O1720" s="66" t="s">
        <v>27</v>
      </c>
      <c r="P1720" s="82" t="s">
        <v>7061</v>
      </c>
      <c r="Q1720" s="84" t="s">
        <v>1240</v>
      </c>
      <c r="R1720" s="84" t="s">
        <v>70</v>
      </c>
      <c r="S1720" s="84">
        <v>0.11799999999999999</v>
      </c>
      <c r="T1720" s="82" t="s">
        <v>4746</v>
      </c>
      <c r="U1720" s="84" t="s">
        <v>3584</v>
      </c>
      <c r="V1720" s="54"/>
    </row>
    <row r="1721" spans="1:22" s="11" customFormat="1" ht="45" customHeight="1" x14ac:dyDescent="0.2">
      <c r="A1721" s="66" t="s">
        <v>3577</v>
      </c>
      <c r="B1721" s="66" t="s">
        <v>1707</v>
      </c>
      <c r="C1721" s="66" t="s">
        <v>3578</v>
      </c>
      <c r="D1721" s="66">
        <v>82617</v>
      </c>
      <c r="E1721" s="68" t="s">
        <v>7062</v>
      </c>
      <c r="F1721" s="66" t="s">
        <v>7063</v>
      </c>
      <c r="G1721" s="71">
        <v>6890</v>
      </c>
      <c r="H1721" s="73"/>
      <c r="I1721" s="75">
        <v>0.1</v>
      </c>
      <c r="J1721" s="77"/>
      <c r="K1721" s="66"/>
      <c r="L1721" s="66"/>
      <c r="M1721" s="79" t="str">
        <f>HYPERLINK("http://www.pristavka.com/catalog/funko/Fun82617/")</f>
        <v>http://www.pristavka.com/catalog/funko/Fun82617/</v>
      </c>
      <c r="N1721" s="71">
        <v>10599</v>
      </c>
      <c r="O1721" s="66" t="s">
        <v>27</v>
      </c>
      <c r="P1721" s="82" t="s">
        <v>7064</v>
      </c>
      <c r="Q1721" s="84" t="s">
        <v>1240</v>
      </c>
      <c r="R1721" s="84" t="s">
        <v>70</v>
      </c>
      <c r="S1721" s="84">
        <v>0.16600000000000001</v>
      </c>
      <c r="T1721" s="82" t="s">
        <v>4091</v>
      </c>
      <c r="U1721" s="84" t="s">
        <v>3584</v>
      </c>
      <c r="V1721" s="54"/>
    </row>
    <row r="1722" spans="1:22" s="11" customFormat="1" ht="45" customHeight="1" x14ac:dyDescent="0.2">
      <c r="A1722" s="66" t="s">
        <v>3577</v>
      </c>
      <c r="B1722" s="66" t="s">
        <v>1707</v>
      </c>
      <c r="C1722" s="66" t="s">
        <v>3578</v>
      </c>
      <c r="D1722" s="66">
        <v>83850</v>
      </c>
      <c r="E1722" s="68" t="s">
        <v>7065</v>
      </c>
      <c r="F1722" s="66" t="s">
        <v>7066</v>
      </c>
      <c r="G1722" s="71">
        <v>6500</v>
      </c>
      <c r="H1722" s="73"/>
      <c r="I1722" s="75">
        <v>0.1</v>
      </c>
      <c r="J1722" s="77"/>
      <c r="K1722" s="66"/>
      <c r="L1722" s="66"/>
      <c r="M1722" s="79" t="str">
        <f>HYPERLINK("http://www.pristavka.com/catalog/funko/Fun83850/")</f>
        <v>http://www.pristavka.com/catalog/funko/Fun83850/</v>
      </c>
      <c r="N1722" s="71">
        <v>9999</v>
      </c>
      <c r="O1722" s="66" t="s">
        <v>27</v>
      </c>
      <c r="P1722" s="82" t="s">
        <v>7067</v>
      </c>
      <c r="Q1722" s="84" t="s">
        <v>1240</v>
      </c>
      <c r="R1722" s="84" t="s">
        <v>70</v>
      </c>
      <c r="S1722" s="84">
        <v>0.17899999999999999</v>
      </c>
      <c r="T1722" s="82" t="s">
        <v>4084</v>
      </c>
      <c r="U1722" s="84" t="s">
        <v>3584</v>
      </c>
      <c r="V1722" s="54"/>
    </row>
    <row r="1723" spans="1:22" s="11" customFormat="1" ht="45" customHeight="1" x14ac:dyDescent="0.2">
      <c r="A1723" s="66" t="s">
        <v>3577</v>
      </c>
      <c r="B1723" s="66" t="s">
        <v>1707</v>
      </c>
      <c r="C1723" s="66" t="s">
        <v>3578</v>
      </c>
      <c r="D1723" s="66">
        <v>83849</v>
      </c>
      <c r="E1723" s="68" t="s">
        <v>7068</v>
      </c>
      <c r="F1723" s="66" t="s">
        <v>7069</v>
      </c>
      <c r="G1723" s="71">
        <v>6500</v>
      </c>
      <c r="H1723" s="73"/>
      <c r="I1723" s="75">
        <v>0.1</v>
      </c>
      <c r="J1723" s="77"/>
      <c r="K1723" s="66"/>
      <c r="L1723" s="66"/>
      <c r="M1723" s="79" t="str">
        <f>HYPERLINK("http://www.pristavka.com/catalog/funko/Fun83849/")</f>
        <v>http://www.pristavka.com/catalog/funko/Fun83849/</v>
      </c>
      <c r="N1723" s="71">
        <v>9999</v>
      </c>
      <c r="O1723" s="66" t="s">
        <v>28</v>
      </c>
      <c r="P1723" s="82" t="s">
        <v>7070</v>
      </c>
      <c r="Q1723" s="84" t="s">
        <v>7071</v>
      </c>
      <c r="R1723" s="84" t="s">
        <v>1263</v>
      </c>
      <c r="S1723" s="84">
        <v>0.15</v>
      </c>
      <c r="T1723" s="82" t="s">
        <v>4113</v>
      </c>
      <c r="U1723" s="84" t="s">
        <v>3584</v>
      </c>
      <c r="V1723" s="54"/>
    </row>
    <row r="1724" spans="1:22" s="11" customFormat="1" ht="45" customHeight="1" x14ac:dyDescent="0.2">
      <c r="A1724" s="66" t="s">
        <v>3577</v>
      </c>
      <c r="B1724" s="66" t="s">
        <v>1707</v>
      </c>
      <c r="C1724" s="66" t="s">
        <v>3578</v>
      </c>
      <c r="D1724" s="66">
        <v>80018</v>
      </c>
      <c r="E1724" s="68" t="s">
        <v>7072</v>
      </c>
      <c r="F1724" s="66" t="s">
        <v>7073</v>
      </c>
      <c r="G1724" s="71">
        <v>6500</v>
      </c>
      <c r="H1724" s="73"/>
      <c r="I1724" s="75">
        <v>0.1</v>
      </c>
      <c r="J1724" s="77" t="s">
        <v>18268</v>
      </c>
      <c r="K1724" s="66"/>
      <c r="L1724" s="66"/>
      <c r="M1724" s="79" t="str">
        <f>HYPERLINK("http://www.pristavka.com/catalog/funko/Fun80018/")</f>
        <v>http://www.pristavka.com/catalog/funko/Fun80018/</v>
      </c>
      <c r="N1724" s="71">
        <v>9999</v>
      </c>
      <c r="O1724" s="66" t="s">
        <v>27</v>
      </c>
      <c r="P1724" s="82" t="s">
        <v>7074</v>
      </c>
      <c r="Q1724" s="84" t="s">
        <v>1102</v>
      </c>
      <c r="R1724" s="84" t="s">
        <v>1103</v>
      </c>
      <c r="S1724" s="84">
        <v>0.128</v>
      </c>
      <c r="T1724" s="82" t="s">
        <v>4084</v>
      </c>
      <c r="U1724" s="84" t="s">
        <v>3584</v>
      </c>
      <c r="V1724" s="54"/>
    </row>
    <row r="1725" spans="1:22" s="11" customFormat="1" ht="45" customHeight="1" x14ac:dyDescent="0.2">
      <c r="A1725" s="66" t="s">
        <v>3577</v>
      </c>
      <c r="B1725" s="66" t="s">
        <v>1707</v>
      </c>
      <c r="C1725" s="66" t="s">
        <v>3578</v>
      </c>
      <c r="D1725" s="66">
        <v>80019</v>
      </c>
      <c r="E1725" s="68" t="s">
        <v>7075</v>
      </c>
      <c r="F1725" s="66" t="s">
        <v>7076</v>
      </c>
      <c r="G1725" s="71">
        <v>6500</v>
      </c>
      <c r="H1725" s="73"/>
      <c r="I1725" s="75">
        <v>0.1</v>
      </c>
      <c r="J1725" s="77" t="s">
        <v>18268</v>
      </c>
      <c r="K1725" s="66"/>
      <c r="L1725" s="66"/>
      <c r="M1725" s="79" t="str">
        <f>HYPERLINK("http://www.pristavka.com/catalog/funko/Fun80019/")</f>
        <v>http://www.pristavka.com/catalog/funko/Fun80019/</v>
      </c>
      <c r="N1725" s="71">
        <v>9999</v>
      </c>
      <c r="O1725" s="66" t="s">
        <v>27</v>
      </c>
      <c r="P1725" s="82" t="s">
        <v>7077</v>
      </c>
      <c r="Q1725" s="84" t="s">
        <v>1102</v>
      </c>
      <c r="R1725" s="84" t="s">
        <v>1103</v>
      </c>
      <c r="S1725" s="84">
        <v>0.15</v>
      </c>
      <c r="T1725" s="82" t="s">
        <v>4084</v>
      </c>
      <c r="U1725" s="84" t="s">
        <v>3584</v>
      </c>
      <c r="V1725" s="54"/>
    </row>
    <row r="1726" spans="1:22" s="11" customFormat="1" ht="45" customHeight="1" x14ac:dyDescent="0.2">
      <c r="A1726" s="66" t="s">
        <v>3577</v>
      </c>
      <c r="B1726" s="66" t="s">
        <v>1707</v>
      </c>
      <c r="C1726" s="66" t="s">
        <v>3578</v>
      </c>
      <c r="D1726" s="66">
        <v>80020</v>
      </c>
      <c r="E1726" s="68" t="s">
        <v>7078</v>
      </c>
      <c r="F1726" s="66" t="s">
        <v>7079</v>
      </c>
      <c r="G1726" s="71">
        <v>6500</v>
      </c>
      <c r="H1726" s="73"/>
      <c r="I1726" s="75">
        <v>0.1</v>
      </c>
      <c r="J1726" s="77" t="s">
        <v>18268</v>
      </c>
      <c r="K1726" s="66"/>
      <c r="L1726" s="66"/>
      <c r="M1726" s="79" t="str">
        <f>HYPERLINK("http://www.pristavka.com/catalog/funko/Fun80020/")</f>
        <v>http://www.pristavka.com/catalog/funko/Fun80020/</v>
      </c>
      <c r="N1726" s="71">
        <v>9999</v>
      </c>
      <c r="O1726" s="66" t="s">
        <v>27</v>
      </c>
      <c r="P1726" s="82" t="s">
        <v>7080</v>
      </c>
      <c r="Q1726" s="84" t="s">
        <v>1102</v>
      </c>
      <c r="R1726" s="84" t="s">
        <v>1103</v>
      </c>
      <c r="S1726" s="84">
        <v>0.13200000000000001</v>
      </c>
      <c r="T1726" s="82" t="s">
        <v>4084</v>
      </c>
      <c r="U1726" s="84" t="s">
        <v>3584</v>
      </c>
      <c r="V1726" s="54"/>
    </row>
    <row r="1727" spans="1:22" s="11" customFormat="1" ht="45" customHeight="1" x14ac:dyDescent="0.2">
      <c r="A1727" s="66" t="s">
        <v>3577</v>
      </c>
      <c r="B1727" s="66" t="s">
        <v>1707</v>
      </c>
      <c r="C1727" s="66" t="s">
        <v>3578</v>
      </c>
      <c r="D1727" s="66">
        <v>82808</v>
      </c>
      <c r="E1727" s="68" t="s">
        <v>7081</v>
      </c>
      <c r="F1727" s="66" t="s">
        <v>7082</v>
      </c>
      <c r="G1727" s="71">
        <v>0</v>
      </c>
      <c r="H1727" s="73"/>
      <c r="I1727" s="75">
        <v>0.1</v>
      </c>
      <c r="J1727" s="77"/>
      <c r="K1727" s="66"/>
      <c r="L1727" s="66"/>
      <c r="M1727" s="79" t="str">
        <f>HYPERLINK("https://pristavka.com/catalog/funko_figures/Fun82808/")</f>
        <v>https://pristavka.com/catalog/funko_figures/Fun82808/</v>
      </c>
      <c r="N1727" s="71"/>
      <c r="O1727" s="66" t="s">
        <v>27</v>
      </c>
      <c r="P1727" s="82" t="s">
        <v>7083</v>
      </c>
      <c r="Q1727" s="84" t="s">
        <v>1102</v>
      </c>
      <c r="R1727" s="84" t="s">
        <v>1103</v>
      </c>
      <c r="S1727" s="84">
        <v>0.11799999999999999</v>
      </c>
      <c r="T1727" s="82" t="s">
        <v>4084</v>
      </c>
      <c r="U1727" s="84" t="s">
        <v>3584</v>
      </c>
      <c r="V1727" s="54"/>
    </row>
    <row r="1728" spans="1:22" s="11" customFormat="1" ht="45" customHeight="1" x14ac:dyDescent="0.2">
      <c r="A1728" s="66" t="s">
        <v>3577</v>
      </c>
      <c r="B1728" s="66" t="s">
        <v>1707</v>
      </c>
      <c r="C1728" s="66" t="s">
        <v>3578</v>
      </c>
      <c r="D1728" s="66">
        <v>81695</v>
      </c>
      <c r="E1728" s="68" t="s">
        <v>7084</v>
      </c>
      <c r="F1728" s="66" t="s">
        <v>7085</v>
      </c>
      <c r="G1728" s="71">
        <v>6890</v>
      </c>
      <c r="H1728" s="73"/>
      <c r="I1728" s="75">
        <v>0.1</v>
      </c>
      <c r="J1728" s="77"/>
      <c r="K1728" s="66"/>
      <c r="L1728" s="66"/>
      <c r="M1728" s="79" t="str">
        <f>HYPERLINK("http://www.pristavka.com/catalog/funko/Fun81695/")</f>
        <v>http://www.pristavka.com/catalog/funko/Fun81695/</v>
      </c>
      <c r="N1728" s="71">
        <v>10599</v>
      </c>
      <c r="O1728" s="66" t="s">
        <v>27</v>
      </c>
      <c r="P1728" s="82" t="s">
        <v>7086</v>
      </c>
      <c r="Q1728" s="84" t="s">
        <v>1102</v>
      </c>
      <c r="R1728" s="84" t="s">
        <v>1103</v>
      </c>
      <c r="S1728" s="84">
        <v>0.124</v>
      </c>
      <c r="T1728" s="82" t="s">
        <v>4113</v>
      </c>
      <c r="U1728" s="84" t="s">
        <v>3584</v>
      </c>
      <c r="V1728" s="54"/>
    </row>
    <row r="1729" spans="1:22" s="11" customFormat="1" ht="45" customHeight="1" x14ac:dyDescent="0.2">
      <c r="A1729" s="66" t="s">
        <v>3577</v>
      </c>
      <c r="B1729" s="66" t="s">
        <v>1707</v>
      </c>
      <c r="C1729" s="66" t="s">
        <v>3578</v>
      </c>
      <c r="D1729" s="66">
        <v>53846</v>
      </c>
      <c r="E1729" s="68" t="s">
        <v>7087</v>
      </c>
      <c r="F1729" s="66" t="s">
        <v>7088</v>
      </c>
      <c r="G1729" s="71">
        <v>6500</v>
      </c>
      <c r="H1729" s="73"/>
      <c r="I1729" s="75">
        <v>0.1</v>
      </c>
      <c r="J1729" s="77" t="s">
        <v>18268</v>
      </c>
      <c r="K1729" s="66"/>
      <c r="L1729" s="66"/>
      <c r="M1729" s="79" t="str">
        <f>HYPERLINK("http://www.pristavka.com/catalog/funko/Fun25491774/")</f>
        <v>http://www.pristavka.com/catalog/funko/Fun25491774/</v>
      </c>
      <c r="N1729" s="71">
        <v>9999</v>
      </c>
      <c r="O1729" s="66" t="s">
        <v>27</v>
      </c>
      <c r="P1729" s="82" t="s">
        <v>7089</v>
      </c>
      <c r="Q1729" s="84" t="s">
        <v>1102</v>
      </c>
      <c r="R1729" s="84" t="s">
        <v>1103</v>
      </c>
      <c r="S1729" s="84">
        <v>0.14299999999999999</v>
      </c>
      <c r="T1729" s="82" t="s">
        <v>6386</v>
      </c>
      <c r="U1729" s="84" t="s">
        <v>3584</v>
      </c>
      <c r="V1729" s="54"/>
    </row>
    <row r="1730" spans="1:22" s="11" customFormat="1" ht="45" customHeight="1" x14ac:dyDescent="0.2">
      <c r="A1730" s="66" t="s">
        <v>3577</v>
      </c>
      <c r="B1730" s="66" t="s">
        <v>1707</v>
      </c>
      <c r="C1730" s="66" t="s">
        <v>3578</v>
      </c>
      <c r="D1730" s="66">
        <v>76003</v>
      </c>
      <c r="E1730" s="68" t="s">
        <v>7090</v>
      </c>
      <c r="F1730" s="66" t="s">
        <v>7091</v>
      </c>
      <c r="G1730" s="71">
        <v>6500</v>
      </c>
      <c r="H1730" s="73"/>
      <c r="I1730" s="75">
        <v>0.1</v>
      </c>
      <c r="J1730" s="77" t="s">
        <v>18268</v>
      </c>
      <c r="K1730" s="66"/>
      <c r="L1730" s="66"/>
      <c r="M1730" s="79" t="str">
        <f>HYPERLINK("http://www.pristavka.com/catalog/funko/Fun76003/")</f>
        <v>http://www.pristavka.com/catalog/funko/Fun76003/</v>
      </c>
      <c r="N1730" s="71">
        <v>9999</v>
      </c>
      <c r="O1730" s="66" t="s">
        <v>27</v>
      </c>
      <c r="P1730" s="82" t="s">
        <v>7092</v>
      </c>
      <c r="Q1730" s="84" t="s">
        <v>1102</v>
      </c>
      <c r="R1730" s="84" t="s">
        <v>1103</v>
      </c>
      <c r="S1730" s="84">
        <v>0.14499999999999999</v>
      </c>
      <c r="T1730" s="82" t="s">
        <v>4084</v>
      </c>
      <c r="U1730" s="84" t="s">
        <v>3584</v>
      </c>
      <c r="V1730" s="54"/>
    </row>
    <row r="1731" spans="1:22" s="11" customFormat="1" ht="45" customHeight="1" x14ac:dyDescent="0.2">
      <c r="A1731" s="66" t="s">
        <v>3577</v>
      </c>
      <c r="B1731" s="66" t="s">
        <v>1707</v>
      </c>
      <c r="C1731" s="66" t="s">
        <v>3578</v>
      </c>
      <c r="D1731" s="66">
        <v>76010</v>
      </c>
      <c r="E1731" s="68" t="s">
        <v>7093</v>
      </c>
      <c r="F1731" s="66" t="s">
        <v>7094</v>
      </c>
      <c r="G1731" s="71">
        <v>6500</v>
      </c>
      <c r="H1731" s="73"/>
      <c r="I1731" s="75">
        <v>0.1</v>
      </c>
      <c r="J1731" s="77"/>
      <c r="K1731" s="66"/>
      <c r="L1731" s="66"/>
      <c r="M1731" s="79" t="str">
        <f>HYPERLINK("http://www.pristavka.com/catalog/funko/Fun76010/")</f>
        <v>http://www.pristavka.com/catalog/funko/Fun76010/</v>
      </c>
      <c r="N1731" s="71">
        <v>9999</v>
      </c>
      <c r="O1731" s="66" t="s">
        <v>27</v>
      </c>
      <c r="P1731" s="82" t="s">
        <v>7095</v>
      </c>
      <c r="Q1731" s="84" t="s">
        <v>1102</v>
      </c>
      <c r="R1731" s="84" t="s">
        <v>1103</v>
      </c>
      <c r="S1731" s="84">
        <v>0.12</v>
      </c>
      <c r="T1731" s="82" t="s">
        <v>4084</v>
      </c>
      <c r="U1731" s="84" t="s">
        <v>3584</v>
      </c>
      <c r="V1731" s="54"/>
    </row>
    <row r="1732" spans="1:22" s="11" customFormat="1" ht="45" customHeight="1" x14ac:dyDescent="0.2">
      <c r="A1732" s="66" t="s">
        <v>3577</v>
      </c>
      <c r="B1732" s="66" t="s">
        <v>1707</v>
      </c>
      <c r="C1732" s="66" t="s">
        <v>3578</v>
      </c>
      <c r="D1732" s="66">
        <v>76006</v>
      </c>
      <c r="E1732" s="68" t="s">
        <v>7096</v>
      </c>
      <c r="F1732" s="66" t="s">
        <v>7097</v>
      </c>
      <c r="G1732" s="71">
        <v>6500</v>
      </c>
      <c r="H1732" s="73"/>
      <c r="I1732" s="75">
        <v>0.1</v>
      </c>
      <c r="J1732" s="77"/>
      <c r="K1732" s="66"/>
      <c r="L1732" s="66"/>
      <c r="M1732" s="79" t="str">
        <f>HYPERLINK("http://www.pristavka.com/catalog/funko/Fun76006/")</f>
        <v>http://www.pristavka.com/catalog/funko/Fun76006/</v>
      </c>
      <c r="N1732" s="71">
        <v>9999</v>
      </c>
      <c r="O1732" s="66" t="s">
        <v>27</v>
      </c>
      <c r="P1732" s="82" t="s">
        <v>7098</v>
      </c>
      <c r="Q1732" s="84" t="s">
        <v>1102</v>
      </c>
      <c r="R1732" s="84" t="s">
        <v>1103</v>
      </c>
      <c r="S1732" s="84">
        <v>0.13200000000000001</v>
      </c>
      <c r="T1732" s="82" t="s">
        <v>4353</v>
      </c>
      <c r="U1732" s="84" t="s">
        <v>3584</v>
      </c>
      <c r="V1732" s="54"/>
    </row>
    <row r="1733" spans="1:22" s="11" customFormat="1" ht="45" customHeight="1" x14ac:dyDescent="0.2">
      <c r="A1733" s="66" t="s">
        <v>3577</v>
      </c>
      <c r="B1733" s="66" t="s">
        <v>1707</v>
      </c>
      <c r="C1733" s="66" t="s">
        <v>3578</v>
      </c>
      <c r="D1733" s="66">
        <v>76009</v>
      </c>
      <c r="E1733" s="68" t="s">
        <v>7099</v>
      </c>
      <c r="F1733" s="66" t="s">
        <v>7100</v>
      </c>
      <c r="G1733" s="71">
        <v>10530</v>
      </c>
      <c r="H1733" s="73"/>
      <c r="I1733" s="75">
        <v>0.1</v>
      </c>
      <c r="J1733" s="77" t="s">
        <v>18269</v>
      </c>
      <c r="K1733" s="66"/>
      <c r="L1733" s="66"/>
      <c r="M1733" s="79" t="str">
        <f>HYPERLINK("http://www.pristavka.com/catalog/funko/Fun76009/")</f>
        <v>http://www.pristavka.com/catalog/funko/Fun76009/</v>
      </c>
      <c r="N1733" s="71">
        <v>16199</v>
      </c>
      <c r="O1733" s="66" t="s">
        <v>27</v>
      </c>
      <c r="P1733" s="82" t="s">
        <v>7101</v>
      </c>
      <c r="Q1733" s="84" t="s">
        <v>1102</v>
      </c>
      <c r="R1733" s="84" t="s">
        <v>1103</v>
      </c>
      <c r="S1733" s="84">
        <v>0.39200000000000002</v>
      </c>
      <c r="T1733" s="82" t="s">
        <v>6064</v>
      </c>
      <c r="U1733" s="84" t="s">
        <v>3584</v>
      </c>
      <c r="V1733" s="54"/>
    </row>
    <row r="1734" spans="1:22" s="11" customFormat="1" ht="45" customHeight="1" x14ac:dyDescent="0.2">
      <c r="A1734" s="66" t="s">
        <v>3577</v>
      </c>
      <c r="B1734" s="66" t="s">
        <v>1707</v>
      </c>
      <c r="C1734" s="66" t="s">
        <v>3578</v>
      </c>
      <c r="D1734" s="66">
        <v>76007</v>
      </c>
      <c r="E1734" s="68" t="s">
        <v>7102</v>
      </c>
      <c r="F1734" s="66" t="s">
        <v>7103</v>
      </c>
      <c r="G1734" s="71">
        <v>6500</v>
      </c>
      <c r="H1734" s="73"/>
      <c r="I1734" s="75">
        <v>0.1</v>
      </c>
      <c r="J1734" s="77" t="s">
        <v>18268</v>
      </c>
      <c r="K1734" s="66"/>
      <c r="L1734" s="66"/>
      <c r="M1734" s="79" t="str">
        <f>HYPERLINK("http://www.pristavka.com/catalog/funko/Fun76007/")</f>
        <v>http://www.pristavka.com/catalog/funko/Fun76007/</v>
      </c>
      <c r="N1734" s="71">
        <v>9999</v>
      </c>
      <c r="O1734" s="66" t="s">
        <v>27</v>
      </c>
      <c r="P1734" s="82" t="s">
        <v>7104</v>
      </c>
      <c r="Q1734" s="84" t="s">
        <v>1102</v>
      </c>
      <c r="R1734" s="84" t="s">
        <v>1103</v>
      </c>
      <c r="S1734" s="84">
        <v>0.17399999999999999</v>
      </c>
      <c r="T1734" s="82" t="s">
        <v>4997</v>
      </c>
      <c r="U1734" s="84" t="s">
        <v>3584</v>
      </c>
      <c r="V1734" s="54"/>
    </row>
    <row r="1735" spans="1:22" s="11" customFormat="1" ht="45" customHeight="1" x14ac:dyDescent="0.2">
      <c r="A1735" s="66" t="s">
        <v>3577</v>
      </c>
      <c r="B1735" s="66" t="s">
        <v>1707</v>
      </c>
      <c r="C1735" s="66" t="s">
        <v>3578</v>
      </c>
      <c r="D1735" s="66">
        <v>5863</v>
      </c>
      <c r="E1735" s="68" t="s">
        <v>7105</v>
      </c>
      <c r="F1735" s="66" t="s">
        <v>7106</v>
      </c>
      <c r="G1735" s="71">
        <v>6500</v>
      </c>
      <c r="H1735" s="73"/>
      <c r="I1735" s="75">
        <v>0.1</v>
      </c>
      <c r="J1735" s="77"/>
      <c r="K1735" s="66"/>
      <c r="L1735" s="66"/>
      <c r="M1735" s="79" t="str">
        <f>HYPERLINK("http://www.pristavka.com/catalog/funko/Fun1267/")</f>
        <v>http://www.pristavka.com/catalog/funko/Fun1267/</v>
      </c>
      <c r="N1735" s="71">
        <v>9999</v>
      </c>
      <c r="O1735" s="66" t="s">
        <v>27</v>
      </c>
      <c r="P1735" s="82" t="s">
        <v>7107</v>
      </c>
      <c r="Q1735" s="84" t="s">
        <v>1102</v>
      </c>
      <c r="R1735" s="84" t="s">
        <v>1103</v>
      </c>
      <c r="S1735" s="84">
        <v>0.154</v>
      </c>
      <c r="T1735" s="82" t="s">
        <v>4102</v>
      </c>
      <c r="U1735" s="84" t="s">
        <v>3584</v>
      </c>
      <c r="V1735" s="54"/>
    </row>
    <row r="1736" spans="1:22" s="11" customFormat="1" ht="45" customHeight="1" x14ac:dyDescent="0.2">
      <c r="A1736" s="66" t="s">
        <v>3577</v>
      </c>
      <c r="B1736" s="66" t="s">
        <v>1707</v>
      </c>
      <c r="C1736" s="66" t="s">
        <v>3578</v>
      </c>
      <c r="D1736" s="66">
        <v>5858</v>
      </c>
      <c r="E1736" s="68" t="s">
        <v>7108</v>
      </c>
      <c r="F1736" s="66" t="s">
        <v>7109</v>
      </c>
      <c r="G1736" s="71">
        <v>6500</v>
      </c>
      <c r="H1736" s="73"/>
      <c r="I1736" s="75">
        <v>0.1</v>
      </c>
      <c r="J1736" s="77"/>
      <c r="K1736" s="66"/>
      <c r="L1736" s="66"/>
      <c r="M1736" s="79" t="str">
        <f>HYPERLINK("http://www.pristavka.com/catalog/funko/Fun482/")</f>
        <v>http://www.pristavka.com/catalog/funko/Fun482/</v>
      </c>
      <c r="N1736" s="71">
        <v>9999</v>
      </c>
      <c r="O1736" s="66" t="s">
        <v>27</v>
      </c>
      <c r="P1736" s="82" t="s">
        <v>7110</v>
      </c>
      <c r="Q1736" s="84" t="s">
        <v>1102</v>
      </c>
      <c r="R1736" s="84" t="s">
        <v>1103</v>
      </c>
      <c r="S1736" s="84">
        <v>0.13</v>
      </c>
      <c r="T1736" s="82" t="s">
        <v>4102</v>
      </c>
      <c r="U1736" s="84" t="s">
        <v>3584</v>
      </c>
      <c r="V1736" s="54"/>
    </row>
    <row r="1737" spans="1:22" s="11" customFormat="1" ht="45" customHeight="1" x14ac:dyDescent="0.2">
      <c r="A1737" s="66" t="s">
        <v>3577</v>
      </c>
      <c r="B1737" s="66" t="s">
        <v>1707</v>
      </c>
      <c r="C1737" s="66" t="s">
        <v>3578</v>
      </c>
      <c r="D1737" s="66">
        <v>5860</v>
      </c>
      <c r="E1737" s="68" t="s">
        <v>7111</v>
      </c>
      <c r="F1737" s="66" t="s">
        <v>7112</v>
      </c>
      <c r="G1737" s="71">
        <v>6500</v>
      </c>
      <c r="H1737" s="73"/>
      <c r="I1737" s="75">
        <v>0.1</v>
      </c>
      <c r="J1737" s="77"/>
      <c r="K1737" s="66"/>
      <c r="L1737" s="66"/>
      <c r="M1737" s="79" t="str">
        <f>HYPERLINK("http://www.pristavka.com/catalog/funko/Fun1268/")</f>
        <v>http://www.pristavka.com/catalog/funko/Fun1268/</v>
      </c>
      <c r="N1737" s="71">
        <v>9999</v>
      </c>
      <c r="O1737" s="66" t="s">
        <v>27</v>
      </c>
      <c r="P1737" s="82" t="s">
        <v>7113</v>
      </c>
      <c r="Q1737" s="84" t="s">
        <v>1102</v>
      </c>
      <c r="R1737" s="84" t="s">
        <v>1103</v>
      </c>
      <c r="S1737" s="84">
        <v>0.154</v>
      </c>
      <c r="T1737" s="82" t="s">
        <v>4102</v>
      </c>
      <c r="U1737" s="84" t="s">
        <v>3584</v>
      </c>
      <c r="V1737" s="54"/>
    </row>
    <row r="1738" spans="1:22" s="11" customFormat="1" ht="45" customHeight="1" x14ac:dyDescent="0.2">
      <c r="A1738" s="66" t="s">
        <v>3577</v>
      </c>
      <c r="B1738" s="66" t="s">
        <v>1707</v>
      </c>
      <c r="C1738" s="66" t="s">
        <v>3578</v>
      </c>
      <c r="D1738" s="66">
        <v>5859</v>
      </c>
      <c r="E1738" s="68" t="s">
        <v>7114</v>
      </c>
      <c r="F1738" s="66" t="s">
        <v>7115</v>
      </c>
      <c r="G1738" s="71">
        <v>6500</v>
      </c>
      <c r="H1738" s="73"/>
      <c r="I1738" s="75">
        <v>0.1</v>
      </c>
      <c r="J1738" s="77"/>
      <c r="K1738" s="66"/>
      <c r="L1738" s="66"/>
      <c r="M1738" s="79" t="str">
        <f>HYPERLINK("http://www.pristavka.com/catalog/funko/Fun483/")</f>
        <v>http://www.pristavka.com/catalog/funko/Fun483/</v>
      </c>
      <c r="N1738" s="71">
        <v>9999</v>
      </c>
      <c r="O1738" s="66" t="s">
        <v>27</v>
      </c>
      <c r="P1738" s="82" t="s">
        <v>7116</v>
      </c>
      <c r="Q1738" s="84" t="s">
        <v>1102</v>
      </c>
      <c r="R1738" s="84" t="s">
        <v>1103</v>
      </c>
      <c r="S1738" s="84">
        <v>0.13</v>
      </c>
      <c r="T1738" s="82" t="s">
        <v>4102</v>
      </c>
      <c r="U1738" s="84" t="s">
        <v>3584</v>
      </c>
      <c r="V1738" s="54"/>
    </row>
    <row r="1739" spans="1:22" s="11" customFormat="1" ht="45" customHeight="1" x14ac:dyDescent="0.2">
      <c r="A1739" s="66" t="s">
        <v>3577</v>
      </c>
      <c r="B1739" s="66" t="s">
        <v>1707</v>
      </c>
      <c r="C1739" s="66" t="s">
        <v>3578</v>
      </c>
      <c r="D1739" s="66">
        <v>5861</v>
      </c>
      <c r="E1739" s="68" t="s">
        <v>7117</v>
      </c>
      <c r="F1739" s="66" t="s">
        <v>7118</v>
      </c>
      <c r="G1739" s="71">
        <v>6500</v>
      </c>
      <c r="H1739" s="73"/>
      <c r="I1739" s="75">
        <v>0.1</v>
      </c>
      <c r="J1739" s="77"/>
      <c r="K1739" s="66"/>
      <c r="L1739" s="66"/>
      <c r="M1739" s="79" t="str">
        <f>HYPERLINK("http://www.pristavka.com/catalog/funko/Fun666/")</f>
        <v>http://www.pristavka.com/catalog/funko/Fun666/</v>
      </c>
      <c r="N1739" s="71">
        <v>9999</v>
      </c>
      <c r="O1739" s="66" t="s">
        <v>27</v>
      </c>
      <c r="P1739" s="82" t="s">
        <v>7119</v>
      </c>
      <c r="Q1739" s="84" t="s">
        <v>1102</v>
      </c>
      <c r="R1739" s="84" t="s">
        <v>1103</v>
      </c>
      <c r="S1739" s="84">
        <v>0.12</v>
      </c>
      <c r="T1739" s="82" t="s">
        <v>4102</v>
      </c>
      <c r="U1739" s="84" t="s">
        <v>3584</v>
      </c>
      <c r="V1739" s="54"/>
    </row>
    <row r="1740" spans="1:22" s="11" customFormat="1" ht="45" customHeight="1" x14ac:dyDescent="0.2">
      <c r="A1740" s="66" t="s">
        <v>3577</v>
      </c>
      <c r="B1740" s="66" t="s">
        <v>1707</v>
      </c>
      <c r="C1740" s="66" t="s">
        <v>3578</v>
      </c>
      <c r="D1740" s="66">
        <v>48067</v>
      </c>
      <c r="E1740" s="68" t="s">
        <v>7120</v>
      </c>
      <c r="F1740" s="66" t="s">
        <v>7121</v>
      </c>
      <c r="G1740" s="71">
        <v>6500</v>
      </c>
      <c r="H1740" s="73"/>
      <c r="I1740" s="75">
        <v>0.1</v>
      </c>
      <c r="J1740" s="77" t="s">
        <v>18268</v>
      </c>
      <c r="K1740" s="66"/>
      <c r="L1740" s="66"/>
      <c r="M1740" s="79" t="str">
        <f>HYPERLINK("http://www.pristavka.com/catalog/funko/Fun2549558/")</f>
        <v>http://www.pristavka.com/catalog/funko/Fun2549558/</v>
      </c>
      <c r="N1740" s="71">
        <v>9999</v>
      </c>
      <c r="O1740" s="66" t="s">
        <v>27</v>
      </c>
      <c r="P1740" s="82" t="s">
        <v>7122</v>
      </c>
      <c r="Q1740" s="84" t="s">
        <v>1102</v>
      </c>
      <c r="R1740" s="84" t="s">
        <v>1103</v>
      </c>
      <c r="S1740" s="84">
        <v>0.17799999999999999</v>
      </c>
      <c r="T1740" s="82" t="s">
        <v>4091</v>
      </c>
      <c r="U1740" s="84" t="s">
        <v>3584</v>
      </c>
      <c r="V1740" s="54"/>
    </row>
    <row r="1741" spans="1:22" s="11" customFormat="1" ht="45" customHeight="1" x14ac:dyDescent="0.2">
      <c r="A1741" s="66" t="s">
        <v>3577</v>
      </c>
      <c r="B1741" s="66" t="s">
        <v>1707</v>
      </c>
      <c r="C1741" s="66" t="s">
        <v>3578</v>
      </c>
      <c r="D1741" s="66">
        <v>48063</v>
      </c>
      <c r="E1741" s="68" t="s">
        <v>7123</v>
      </c>
      <c r="F1741" s="66" t="s">
        <v>7124</v>
      </c>
      <c r="G1741" s="71">
        <v>6500</v>
      </c>
      <c r="H1741" s="73"/>
      <c r="I1741" s="75">
        <v>0.1</v>
      </c>
      <c r="J1741" s="77"/>
      <c r="K1741" s="66"/>
      <c r="L1741" s="66"/>
      <c r="M1741" s="79" t="str">
        <f>HYPERLINK("http://www.pristavka.com/catalog/funko/Fun2549561/")</f>
        <v>http://www.pristavka.com/catalog/funko/Fun2549561/</v>
      </c>
      <c r="N1741" s="71">
        <v>9999</v>
      </c>
      <c r="O1741" s="66" t="s">
        <v>27</v>
      </c>
      <c r="P1741" s="82" t="s">
        <v>7125</v>
      </c>
      <c r="Q1741" s="84" t="s">
        <v>1102</v>
      </c>
      <c r="R1741" s="84" t="s">
        <v>1103</v>
      </c>
      <c r="S1741" s="84">
        <v>0.125</v>
      </c>
      <c r="T1741" s="82" t="s">
        <v>7126</v>
      </c>
      <c r="U1741" s="84" t="s">
        <v>3584</v>
      </c>
      <c r="V1741" s="54"/>
    </row>
    <row r="1742" spans="1:22" s="11" customFormat="1" ht="45" customHeight="1" x14ac:dyDescent="0.2">
      <c r="A1742" s="66" t="s">
        <v>3577</v>
      </c>
      <c r="B1742" s="66" t="s">
        <v>1707</v>
      </c>
      <c r="C1742" s="66" t="s">
        <v>3578</v>
      </c>
      <c r="D1742" s="66">
        <v>48066</v>
      </c>
      <c r="E1742" s="68" t="s">
        <v>7127</v>
      </c>
      <c r="F1742" s="66" t="s">
        <v>7128</v>
      </c>
      <c r="G1742" s="71">
        <v>6500</v>
      </c>
      <c r="H1742" s="73"/>
      <c r="I1742" s="75">
        <v>0.1</v>
      </c>
      <c r="J1742" s="77" t="s">
        <v>18268</v>
      </c>
      <c r="K1742" s="66"/>
      <c r="L1742" s="66"/>
      <c r="M1742" s="79" t="str">
        <f>HYPERLINK("http://www.pristavka.com/catalog/funko/Fun2549565/")</f>
        <v>http://www.pristavka.com/catalog/funko/Fun2549565/</v>
      </c>
      <c r="N1742" s="71">
        <v>9999</v>
      </c>
      <c r="O1742" s="66" t="s">
        <v>27</v>
      </c>
      <c r="P1742" s="82" t="s">
        <v>7129</v>
      </c>
      <c r="Q1742" s="84" t="s">
        <v>1102</v>
      </c>
      <c r="R1742" s="84" t="s">
        <v>1103</v>
      </c>
      <c r="S1742" s="84">
        <v>0.22600000000000001</v>
      </c>
      <c r="T1742" s="82" t="s">
        <v>7126</v>
      </c>
      <c r="U1742" s="84" t="s">
        <v>3584</v>
      </c>
      <c r="V1742" s="54"/>
    </row>
    <row r="1743" spans="1:22" s="11" customFormat="1" ht="45" customHeight="1" x14ac:dyDescent="0.2">
      <c r="A1743" s="66" t="s">
        <v>3577</v>
      </c>
      <c r="B1743" s="66" t="s">
        <v>1707</v>
      </c>
      <c r="C1743" s="66" t="s">
        <v>3578</v>
      </c>
      <c r="D1743" s="66">
        <v>11915</v>
      </c>
      <c r="E1743" s="68" t="s">
        <v>7130</v>
      </c>
      <c r="F1743" s="66" t="s">
        <v>7131</v>
      </c>
      <c r="G1743" s="71">
        <v>6500</v>
      </c>
      <c r="H1743" s="73"/>
      <c r="I1743" s="75">
        <v>0.1</v>
      </c>
      <c r="J1743" s="77"/>
      <c r="K1743" s="66"/>
      <c r="L1743" s="66"/>
      <c r="M1743" s="79" t="str">
        <f>HYPERLINK("http://www.pristavka.com/catalog/funko/Fun260/")</f>
        <v>http://www.pristavka.com/catalog/funko/Fun260/</v>
      </c>
      <c r="N1743" s="71">
        <v>9999</v>
      </c>
      <c r="O1743" s="66" t="s">
        <v>27</v>
      </c>
      <c r="P1743" s="82" t="s">
        <v>7132</v>
      </c>
      <c r="Q1743" s="84" t="s">
        <v>1102</v>
      </c>
      <c r="R1743" s="84" t="s">
        <v>1103</v>
      </c>
      <c r="S1743" s="84">
        <v>0.13</v>
      </c>
      <c r="T1743" s="82" t="s">
        <v>4102</v>
      </c>
      <c r="U1743" s="84" t="s">
        <v>3584</v>
      </c>
      <c r="V1743" s="54"/>
    </row>
    <row r="1744" spans="1:22" s="11" customFormat="1" ht="45" customHeight="1" x14ac:dyDescent="0.2">
      <c r="A1744" s="66" t="s">
        <v>3577</v>
      </c>
      <c r="B1744" s="66" t="s">
        <v>1707</v>
      </c>
      <c r="C1744" s="66" t="s">
        <v>3578</v>
      </c>
      <c r="D1744" s="66">
        <v>10988</v>
      </c>
      <c r="E1744" s="68" t="s">
        <v>7133</v>
      </c>
      <c r="F1744" s="66" t="s">
        <v>7134</v>
      </c>
      <c r="G1744" s="71">
        <v>6500</v>
      </c>
      <c r="H1744" s="73"/>
      <c r="I1744" s="75">
        <v>0.1</v>
      </c>
      <c r="J1744" s="77"/>
      <c r="K1744" s="66"/>
      <c r="L1744" s="66"/>
      <c r="M1744" s="79" t="str">
        <f>HYPERLINK("http://www.pristavka.com/catalog/funko/Fun763/")</f>
        <v>http://www.pristavka.com/catalog/funko/Fun763/</v>
      </c>
      <c r="N1744" s="71">
        <v>9999</v>
      </c>
      <c r="O1744" s="66" t="s">
        <v>27</v>
      </c>
      <c r="P1744" s="82" t="s">
        <v>7135</v>
      </c>
      <c r="Q1744" s="84" t="s">
        <v>1102</v>
      </c>
      <c r="R1744" s="84" t="s">
        <v>1103</v>
      </c>
      <c r="S1744" s="84">
        <v>0.126</v>
      </c>
      <c r="T1744" s="82" t="s">
        <v>4574</v>
      </c>
      <c r="U1744" s="84" t="s">
        <v>3584</v>
      </c>
      <c r="V1744" s="54"/>
    </row>
    <row r="1745" spans="1:22" s="11" customFormat="1" ht="45" customHeight="1" x14ac:dyDescent="0.2">
      <c r="A1745" s="66" t="s">
        <v>3577</v>
      </c>
      <c r="B1745" s="66" t="s">
        <v>1707</v>
      </c>
      <c r="C1745" s="66" t="s">
        <v>3578</v>
      </c>
      <c r="D1745" s="66">
        <v>42239</v>
      </c>
      <c r="E1745" s="68" t="s">
        <v>7136</v>
      </c>
      <c r="F1745" s="66" t="s">
        <v>7137</v>
      </c>
      <c r="G1745" s="71">
        <v>6500</v>
      </c>
      <c r="H1745" s="73"/>
      <c r="I1745" s="75">
        <v>0.1</v>
      </c>
      <c r="J1745" s="77"/>
      <c r="K1745" s="66"/>
      <c r="L1745" s="66"/>
      <c r="M1745" s="79" t="str">
        <f>HYPERLINK("http://www.pristavka.com/catalog/funko/Fun2423/")</f>
        <v>http://www.pristavka.com/catalog/funko/Fun2423/</v>
      </c>
      <c r="N1745" s="71">
        <v>9999</v>
      </c>
      <c r="O1745" s="66" t="s">
        <v>27</v>
      </c>
      <c r="P1745" s="82" t="s">
        <v>7138</v>
      </c>
      <c r="Q1745" s="84" t="s">
        <v>1102</v>
      </c>
      <c r="R1745" s="84" t="s">
        <v>1103</v>
      </c>
      <c r="S1745" s="84">
        <v>0.13</v>
      </c>
      <c r="T1745" s="82" t="s">
        <v>4102</v>
      </c>
      <c r="U1745" s="84" t="s">
        <v>3584</v>
      </c>
      <c r="V1745" s="54"/>
    </row>
    <row r="1746" spans="1:22" s="11" customFormat="1" ht="45" customHeight="1" x14ac:dyDescent="0.2">
      <c r="A1746" s="66" t="s">
        <v>3577</v>
      </c>
      <c r="B1746" s="66" t="s">
        <v>1707</v>
      </c>
      <c r="C1746" s="66" t="s">
        <v>3578</v>
      </c>
      <c r="D1746" s="66">
        <v>76089</v>
      </c>
      <c r="E1746" s="68" t="s">
        <v>7139</v>
      </c>
      <c r="F1746" s="66" t="s">
        <v>7140</v>
      </c>
      <c r="G1746" s="71">
        <v>6500</v>
      </c>
      <c r="H1746" s="73"/>
      <c r="I1746" s="75">
        <v>0.1</v>
      </c>
      <c r="J1746" s="77"/>
      <c r="K1746" s="66"/>
      <c r="L1746" s="66"/>
      <c r="M1746" s="79" t="str">
        <f>HYPERLINK("http://www.pristavka.com/catalog/funko/Fun76089/")</f>
        <v>http://www.pristavka.com/catalog/funko/Fun76089/</v>
      </c>
      <c r="N1746" s="71">
        <v>9999</v>
      </c>
      <c r="O1746" s="66" t="s">
        <v>27</v>
      </c>
      <c r="P1746" s="82" t="s">
        <v>7141</v>
      </c>
      <c r="Q1746" s="84" t="s">
        <v>2817</v>
      </c>
      <c r="R1746" s="84" t="s">
        <v>2818</v>
      </c>
      <c r="S1746" s="84">
        <v>0.16</v>
      </c>
      <c r="T1746" s="82" t="s">
        <v>4206</v>
      </c>
      <c r="U1746" s="84" t="s">
        <v>3584</v>
      </c>
      <c r="V1746" s="54"/>
    </row>
    <row r="1747" spans="1:22" s="11" customFormat="1" ht="45" customHeight="1" x14ac:dyDescent="0.2">
      <c r="A1747" s="66" t="s">
        <v>3577</v>
      </c>
      <c r="B1747" s="66" t="s">
        <v>1707</v>
      </c>
      <c r="C1747" s="66" t="s">
        <v>3578</v>
      </c>
      <c r="D1747" s="66">
        <v>76090</v>
      </c>
      <c r="E1747" s="68" t="s">
        <v>7142</v>
      </c>
      <c r="F1747" s="66" t="s">
        <v>7143</v>
      </c>
      <c r="G1747" s="71">
        <v>6500</v>
      </c>
      <c r="H1747" s="73"/>
      <c r="I1747" s="75">
        <v>0.1</v>
      </c>
      <c r="J1747" s="77"/>
      <c r="K1747" s="66"/>
      <c r="L1747" s="66"/>
      <c r="M1747" s="79" t="str">
        <f>HYPERLINK("http://www.pristavka.com/catalog/funko/Fun76090/")</f>
        <v>http://www.pristavka.com/catalog/funko/Fun76090/</v>
      </c>
      <c r="N1747" s="71">
        <v>9999</v>
      </c>
      <c r="O1747" s="66" t="s">
        <v>28</v>
      </c>
      <c r="P1747" s="82" t="s">
        <v>7144</v>
      </c>
      <c r="Q1747" s="84" t="s">
        <v>2817</v>
      </c>
      <c r="R1747" s="84" t="s">
        <v>2818</v>
      </c>
      <c r="S1747" s="84">
        <v>0.11700000000000001</v>
      </c>
      <c r="T1747" s="82" t="s">
        <v>4113</v>
      </c>
      <c r="U1747" s="84" t="s">
        <v>3584</v>
      </c>
      <c r="V1747" s="54"/>
    </row>
    <row r="1748" spans="1:22" s="11" customFormat="1" ht="45" customHeight="1" x14ac:dyDescent="0.2">
      <c r="A1748" s="66" t="s">
        <v>3577</v>
      </c>
      <c r="B1748" s="66" t="s">
        <v>1707</v>
      </c>
      <c r="C1748" s="66" t="s">
        <v>3578</v>
      </c>
      <c r="D1748" s="66">
        <v>83693</v>
      </c>
      <c r="E1748" s="68" t="s">
        <v>7145</v>
      </c>
      <c r="F1748" s="66" t="s">
        <v>7146</v>
      </c>
      <c r="G1748" s="71">
        <v>6500</v>
      </c>
      <c r="H1748" s="73"/>
      <c r="I1748" s="75">
        <v>0.1</v>
      </c>
      <c r="J1748" s="77"/>
      <c r="K1748" s="66"/>
      <c r="L1748" s="66"/>
      <c r="M1748" s="79" t="str">
        <f>HYPERLINK("http://www.pristavka.com/catalog/funko/Fun83693/")</f>
        <v>http://www.pristavka.com/catalog/funko/Fun83693/</v>
      </c>
      <c r="N1748" s="71">
        <v>9999</v>
      </c>
      <c r="O1748" s="66" t="s">
        <v>27</v>
      </c>
      <c r="P1748" s="82" t="s">
        <v>7147</v>
      </c>
      <c r="Q1748" s="84" t="s">
        <v>2817</v>
      </c>
      <c r="R1748" s="84" t="s">
        <v>2818</v>
      </c>
      <c r="S1748" s="84">
        <v>0.128</v>
      </c>
      <c r="T1748" s="82" t="s">
        <v>4084</v>
      </c>
      <c r="U1748" s="84" t="s">
        <v>3584</v>
      </c>
      <c r="V1748" s="54"/>
    </row>
    <row r="1749" spans="1:22" s="11" customFormat="1" ht="45" customHeight="1" x14ac:dyDescent="0.2">
      <c r="A1749" s="66" t="s">
        <v>3577</v>
      </c>
      <c r="B1749" s="66" t="s">
        <v>1707</v>
      </c>
      <c r="C1749" s="66" t="s">
        <v>3578</v>
      </c>
      <c r="D1749" s="66">
        <v>84604</v>
      </c>
      <c r="E1749" s="68" t="s">
        <v>7148</v>
      </c>
      <c r="F1749" s="66" t="s">
        <v>7149</v>
      </c>
      <c r="G1749" s="71">
        <v>6890</v>
      </c>
      <c r="H1749" s="73"/>
      <c r="I1749" s="75">
        <v>0.1</v>
      </c>
      <c r="J1749" s="77"/>
      <c r="K1749" s="66"/>
      <c r="L1749" s="66"/>
      <c r="M1749" s="79" t="str">
        <f>HYPERLINK("http://www.pristavka.com/catalog/funko/Fun84604/")</f>
        <v>http://www.pristavka.com/catalog/funko/Fun84604/</v>
      </c>
      <c r="N1749" s="71">
        <v>10599</v>
      </c>
      <c r="O1749" s="66" t="s">
        <v>27</v>
      </c>
      <c r="P1749" s="82" t="s">
        <v>7150</v>
      </c>
      <c r="Q1749" s="84" t="s">
        <v>2817</v>
      </c>
      <c r="R1749" s="84" t="s">
        <v>2818</v>
      </c>
      <c r="S1749" s="84">
        <v>0.14499999999999999</v>
      </c>
      <c r="T1749" s="82" t="s">
        <v>4113</v>
      </c>
      <c r="U1749" s="84" t="s">
        <v>3584</v>
      </c>
      <c r="V1749" s="54"/>
    </row>
    <row r="1750" spans="1:22" s="11" customFormat="1" ht="45" customHeight="1" x14ac:dyDescent="0.2">
      <c r="A1750" s="66" t="s">
        <v>3577</v>
      </c>
      <c r="B1750" s="66" t="s">
        <v>1707</v>
      </c>
      <c r="C1750" s="66" t="s">
        <v>3578</v>
      </c>
      <c r="D1750" s="66">
        <v>65748</v>
      </c>
      <c r="E1750" s="68" t="s">
        <v>7151</v>
      </c>
      <c r="F1750" s="66" t="s">
        <v>7152</v>
      </c>
      <c r="G1750" s="71">
        <v>6500</v>
      </c>
      <c r="H1750" s="73"/>
      <c r="I1750" s="75">
        <v>0.1</v>
      </c>
      <c r="J1750" s="77"/>
      <c r="K1750" s="66"/>
      <c r="L1750" s="66"/>
      <c r="M1750" s="79" t="str">
        <f>HYPERLINK("http://www.pristavka.com/catalog/funko/Fun65748/")</f>
        <v>http://www.pristavka.com/catalog/funko/Fun65748/</v>
      </c>
      <c r="N1750" s="71">
        <v>9999</v>
      </c>
      <c r="O1750" s="66" t="s">
        <v>27</v>
      </c>
      <c r="P1750" s="82" t="s">
        <v>7153</v>
      </c>
      <c r="Q1750" s="84" t="s">
        <v>2817</v>
      </c>
      <c r="R1750" s="84" t="s">
        <v>2818</v>
      </c>
      <c r="S1750" s="84">
        <v>0.17599999999999999</v>
      </c>
      <c r="T1750" s="82" t="s">
        <v>4370</v>
      </c>
      <c r="U1750" s="84" t="s">
        <v>3584</v>
      </c>
      <c r="V1750" s="54"/>
    </row>
    <row r="1751" spans="1:22" s="11" customFormat="1" ht="45" customHeight="1" x14ac:dyDescent="0.2">
      <c r="A1751" s="66" t="s">
        <v>3577</v>
      </c>
      <c r="B1751" s="66" t="s">
        <v>1707</v>
      </c>
      <c r="C1751" s="66" t="s">
        <v>3578</v>
      </c>
      <c r="D1751" s="66">
        <v>80313</v>
      </c>
      <c r="E1751" s="68" t="s">
        <v>7154</v>
      </c>
      <c r="F1751" s="66" t="s">
        <v>7155</v>
      </c>
      <c r="G1751" s="71">
        <v>6500</v>
      </c>
      <c r="H1751" s="73"/>
      <c r="I1751" s="75">
        <v>0.1</v>
      </c>
      <c r="J1751" s="77"/>
      <c r="K1751" s="66"/>
      <c r="L1751" s="66"/>
      <c r="M1751" s="79" t="str">
        <f>HYPERLINK("http://www.pristavka.com/catalog/funko/Fun80313/")</f>
        <v>http://www.pristavka.com/catalog/funko/Fun80313/</v>
      </c>
      <c r="N1751" s="71">
        <v>9999</v>
      </c>
      <c r="O1751" s="66" t="s">
        <v>27</v>
      </c>
      <c r="P1751" s="82" t="s">
        <v>7156</v>
      </c>
      <c r="Q1751" s="84" t="s">
        <v>2817</v>
      </c>
      <c r="R1751" s="84" t="s">
        <v>2818</v>
      </c>
      <c r="S1751" s="84">
        <v>0.13</v>
      </c>
      <c r="T1751" s="82" t="s">
        <v>4084</v>
      </c>
      <c r="U1751" s="84" t="s">
        <v>3584</v>
      </c>
      <c r="V1751" s="54"/>
    </row>
    <row r="1752" spans="1:22" s="11" customFormat="1" ht="45" customHeight="1" x14ac:dyDescent="0.2">
      <c r="A1752" s="66" t="s">
        <v>3577</v>
      </c>
      <c r="B1752" s="66" t="s">
        <v>1707</v>
      </c>
      <c r="C1752" s="66" t="s">
        <v>3578</v>
      </c>
      <c r="D1752" s="66">
        <v>82146</v>
      </c>
      <c r="E1752" s="68" t="s">
        <v>7157</v>
      </c>
      <c r="F1752" s="66" t="s">
        <v>7158</v>
      </c>
      <c r="G1752" s="71">
        <v>6890</v>
      </c>
      <c r="H1752" s="73"/>
      <c r="I1752" s="75">
        <v>0.1</v>
      </c>
      <c r="J1752" s="77"/>
      <c r="K1752" s="66"/>
      <c r="L1752" s="66"/>
      <c r="M1752" s="79" t="str">
        <f>HYPERLINK("http://www.pristavka.com/catalog/funko/Fun82146/")</f>
        <v>http://www.pristavka.com/catalog/funko/Fun82146/</v>
      </c>
      <c r="N1752" s="71">
        <v>10599</v>
      </c>
      <c r="O1752" s="66" t="s">
        <v>27</v>
      </c>
      <c r="P1752" s="82" t="s">
        <v>7159</v>
      </c>
      <c r="Q1752" s="84" t="s">
        <v>2817</v>
      </c>
      <c r="R1752" s="84" t="s">
        <v>2818</v>
      </c>
      <c r="S1752" s="84">
        <v>0.14000000000000001</v>
      </c>
      <c r="T1752" s="82" t="s">
        <v>4113</v>
      </c>
      <c r="U1752" s="84" t="s">
        <v>3584</v>
      </c>
      <c r="V1752" s="54"/>
    </row>
    <row r="1753" spans="1:22" s="11" customFormat="1" ht="45" customHeight="1" x14ac:dyDescent="0.2">
      <c r="A1753" s="66" t="s">
        <v>3577</v>
      </c>
      <c r="B1753" s="66" t="s">
        <v>1707</v>
      </c>
      <c r="C1753" s="66" t="s">
        <v>3578</v>
      </c>
      <c r="D1753" s="66">
        <v>65749</v>
      </c>
      <c r="E1753" s="68" t="s">
        <v>7160</v>
      </c>
      <c r="F1753" s="66" t="s">
        <v>7161</v>
      </c>
      <c r="G1753" s="71">
        <v>6500</v>
      </c>
      <c r="H1753" s="73"/>
      <c r="I1753" s="75">
        <v>0.1</v>
      </c>
      <c r="J1753" s="77"/>
      <c r="K1753" s="66"/>
      <c r="L1753" s="66"/>
      <c r="M1753" s="79" t="str">
        <f>HYPERLINK("http://www.pristavka.com/catalog/funko/Fun65749/")</f>
        <v>http://www.pristavka.com/catalog/funko/Fun65749/</v>
      </c>
      <c r="N1753" s="71">
        <v>9999</v>
      </c>
      <c r="O1753" s="66" t="s">
        <v>27</v>
      </c>
      <c r="P1753" s="82" t="s">
        <v>7162</v>
      </c>
      <c r="Q1753" s="84" t="s">
        <v>2817</v>
      </c>
      <c r="R1753" s="84" t="s">
        <v>2818</v>
      </c>
      <c r="S1753" s="84">
        <v>0.14499999999999999</v>
      </c>
      <c r="T1753" s="82" t="s">
        <v>4113</v>
      </c>
      <c r="U1753" s="84" t="s">
        <v>3584</v>
      </c>
      <c r="V1753" s="54"/>
    </row>
    <row r="1754" spans="1:22" s="11" customFormat="1" ht="45" customHeight="1" x14ac:dyDescent="0.2">
      <c r="A1754" s="66" t="s">
        <v>3577</v>
      </c>
      <c r="B1754" s="66" t="s">
        <v>1707</v>
      </c>
      <c r="C1754" s="66" t="s">
        <v>3578</v>
      </c>
      <c r="D1754" s="66">
        <v>83694</v>
      </c>
      <c r="E1754" s="68" t="s">
        <v>7163</v>
      </c>
      <c r="F1754" s="66" t="s">
        <v>7164</v>
      </c>
      <c r="G1754" s="71">
        <v>6500</v>
      </c>
      <c r="H1754" s="73"/>
      <c r="I1754" s="75">
        <v>0.1</v>
      </c>
      <c r="J1754" s="77"/>
      <c r="K1754" s="66"/>
      <c r="L1754" s="66"/>
      <c r="M1754" s="79" t="str">
        <f>HYPERLINK("http://www.pristavka.com/catalog/funko/Fun83694/")</f>
        <v>http://www.pristavka.com/catalog/funko/Fun83694/</v>
      </c>
      <c r="N1754" s="71">
        <v>9999</v>
      </c>
      <c r="O1754" s="66" t="s">
        <v>27</v>
      </c>
      <c r="P1754" s="82" t="s">
        <v>7165</v>
      </c>
      <c r="Q1754" s="84" t="s">
        <v>2817</v>
      </c>
      <c r="R1754" s="84" t="s">
        <v>2818</v>
      </c>
      <c r="S1754" s="84">
        <v>0.125</v>
      </c>
      <c r="T1754" s="82" t="s">
        <v>4113</v>
      </c>
      <c r="U1754" s="84" t="s">
        <v>3584</v>
      </c>
      <c r="V1754" s="54"/>
    </row>
    <row r="1755" spans="1:22" s="11" customFormat="1" ht="45" customHeight="1" x14ac:dyDescent="0.2">
      <c r="A1755" s="66" t="s">
        <v>3577</v>
      </c>
      <c r="B1755" s="66" t="s">
        <v>1707</v>
      </c>
      <c r="C1755" s="66" t="s">
        <v>3578</v>
      </c>
      <c r="D1755" s="66">
        <v>80314</v>
      </c>
      <c r="E1755" s="68" t="s">
        <v>7166</v>
      </c>
      <c r="F1755" s="66" t="s">
        <v>7167</v>
      </c>
      <c r="G1755" s="71">
        <v>6500</v>
      </c>
      <c r="H1755" s="73"/>
      <c r="I1755" s="75">
        <v>0.1</v>
      </c>
      <c r="J1755" s="77"/>
      <c r="K1755" s="66"/>
      <c r="L1755" s="66"/>
      <c r="M1755" s="79" t="str">
        <f>HYPERLINK("http://www.pristavka.com/catalog/funko/Fun80314/")</f>
        <v>http://www.pristavka.com/catalog/funko/Fun80314/</v>
      </c>
      <c r="N1755" s="71">
        <v>9999</v>
      </c>
      <c r="O1755" s="66" t="s">
        <v>27</v>
      </c>
      <c r="P1755" s="82" t="s">
        <v>7168</v>
      </c>
      <c r="Q1755" s="84" t="s">
        <v>2817</v>
      </c>
      <c r="R1755" s="84" t="s">
        <v>2818</v>
      </c>
      <c r="S1755" s="84">
        <v>0.114</v>
      </c>
      <c r="T1755" s="82" t="s">
        <v>4084</v>
      </c>
      <c r="U1755" s="84" t="s">
        <v>3584</v>
      </c>
      <c r="V1755" s="54"/>
    </row>
    <row r="1756" spans="1:22" s="11" customFormat="1" ht="45" customHeight="1" x14ac:dyDescent="0.2">
      <c r="A1756" s="66" t="s">
        <v>3577</v>
      </c>
      <c r="B1756" s="66" t="s">
        <v>1707</v>
      </c>
      <c r="C1756" s="66" t="s">
        <v>3578</v>
      </c>
      <c r="D1756" s="66">
        <v>84492</v>
      </c>
      <c r="E1756" s="68" t="s">
        <v>7169</v>
      </c>
      <c r="F1756" s="66" t="s">
        <v>7170</v>
      </c>
      <c r="G1756" s="71">
        <v>6890</v>
      </c>
      <c r="H1756" s="73"/>
      <c r="I1756" s="75">
        <v>0.1</v>
      </c>
      <c r="J1756" s="77"/>
      <c r="K1756" s="66"/>
      <c r="L1756" s="66"/>
      <c r="M1756" s="79" t="str">
        <f>HYPERLINK("http://www.pristavka.com/catalog/funko/Fun84492/")</f>
        <v>http://www.pristavka.com/catalog/funko/Fun84492/</v>
      </c>
      <c r="N1756" s="71">
        <v>10599</v>
      </c>
      <c r="O1756" s="66" t="s">
        <v>27</v>
      </c>
      <c r="P1756" s="82" t="s">
        <v>7171</v>
      </c>
      <c r="Q1756" s="84" t="s">
        <v>2817</v>
      </c>
      <c r="R1756" s="84" t="s">
        <v>2818</v>
      </c>
      <c r="S1756" s="84">
        <v>0.14199999999999999</v>
      </c>
      <c r="T1756" s="82" t="s">
        <v>4084</v>
      </c>
      <c r="U1756" s="84" t="s">
        <v>3584</v>
      </c>
      <c r="V1756" s="54"/>
    </row>
    <row r="1757" spans="1:22" s="11" customFormat="1" ht="45" customHeight="1" x14ac:dyDescent="0.2">
      <c r="A1757" s="66" t="s">
        <v>3577</v>
      </c>
      <c r="B1757" s="66" t="s">
        <v>1707</v>
      </c>
      <c r="C1757" s="66" t="s">
        <v>3578</v>
      </c>
      <c r="D1757" s="66">
        <v>83695</v>
      </c>
      <c r="E1757" s="68" t="s">
        <v>7172</v>
      </c>
      <c r="F1757" s="66" t="s">
        <v>7173</v>
      </c>
      <c r="G1757" s="71">
        <v>6500</v>
      </c>
      <c r="H1757" s="73"/>
      <c r="I1757" s="75">
        <v>0.1</v>
      </c>
      <c r="J1757" s="77"/>
      <c r="K1757" s="66"/>
      <c r="L1757" s="66"/>
      <c r="M1757" s="79" t="str">
        <f>HYPERLINK("http://www.pristavka.com/catalog/funko/Fun83695/")</f>
        <v>http://www.pristavka.com/catalog/funko/Fun83695/</v>
      </c>
      <c r="N1757" s="71">
        <v>9999</v>
      </c>
      <c r="O1757" s="66" t="s">
        <v>27</v>
      </c>
      <c r="P1757" s="82" t="s">
        <v>7174</v>
      </c>
      <c r="Q1757" s="84" t="s">
        <v>2817</v>
      </c>
      <c r="R1757" s="84" t="s">
        <v>2818</v>
      </c>
      <c r="S1757" s="84">
        <v>0.13</v>
      </c>
      <c r="T1757" s="82" t="s">
        <v>4084</v>
      </c>
      <c r="U1757" s="84" t="s">
        <v>3584</v>
      </c>
      <c r="V1757" s="54"/>
    </row>
    <row r="1758" spans="1:22" s="11" customFormat="1" ht="45" customHeight="1" x14ac:dyDescent="0.2">
      <c r="A1758" s="66" t="s">
        <v>3577</v>
      </c>
      <c r="B1758" s="66" t="s">
        <v>1707</v>
      </c>
      <c r="C1758" s="66" t="s">
        <v>3578</v>
      </c>
      <c r="D1758" s="66">
        <v>84593</v>
      </c>
      <c r="E1758" s="68" t="s">
        <v>7175</v>
      </c>
      <c r="F1758" s="66" t="s">
        <v>7176</v>
      </c>
      <c r="G1758" s="71">
        <v>6890</v>
      </c>
      <c r="H1758" s="73"/>
      <c r="I1758" s="75">
        <v>0.1</v>
      </c>
      <c r="J1758" s="77"/>
      <c r="K1758" s="66"/>
      <c r="L1758" s="66"/>
      <c r="M1758" s="79" t="str">
        <f>HYPERLINK("http://www.pristavka.com/catalog/funko/Fun84593/")</f>
        <v>http://www.pristavka.com/catalog/funko/Fun84593/</v>
      </c>
      <c r="N1758" s="71">
        <v>10599</v>
      </c>
      <c r="O1758" s="66" t="s">
        <v>27</v>
      </c>
      <c r="P1758" s="82" t="s">
        <v>7177</v>
      </c>
      <c r="Q1758" s="84" t="s">
        <v>2817</v>
      </c>
      <c r="R1758" s="84" t="s">
        <v>2818</v>
      </c>
      <c r="S1758" s="84">
        <v>0.13</v>
      </c>
      <c r="T1758" s="82" t="s">
        <v>4091</v>
      </c>
      <c r="U1758" s="84" t="s">
        <v>3584</v>
      </c>
      <c r="V1758" s="54"/>
    </row>
    <row r="1759" spans="1:22" s="11" customFormat="1" ht="45" customHeight="1" x14ac:dyDescent="0.2">
      <c r="A1759" s="66" t="s">
        <v>3577</v>
      </c>
      <c r="B1759" s="66" t="s">
        <v>1707</v>
      </c>
      <c r="C1759" s="66" t="s">
        <v>3578</v>
      </c>
      <c r="D1759" s="66">
        <v>83696</v>
      </c>
      <c r="E1759" s="68" t="s">
        <v>7178</v>
      </c>
      <c r="F1759" s="66" t="s">
        <v>7179</v>
      </c>
      <c r="G1759" s="71">
        <v>6500</v>
      </c>
      <c r="H1759" s="73"/>
      <c r="I1759" s="75">
        <v>0.1</v>
      </c>
      <c r="J1759" s="77"/>
      <c r="K1759" s="66"/>
      <c r="L1759" s="66"/>
      <c r="M1759" s="79" t="str">
        <f>HYPERLINK("http://www.pristavka.com/catalog/funko/Fun83696/")</f>
        <v>http://www.pristavka.com/catalog/funko/Fun83696/</v>
      </c>
      <c r="N1759" s="71">
        <v>9999</v>
      </c>
      <c r="O1759" s="66" t="s">
        <v>27</v>
      </c>
      <c r="P1759" s="82" t="s">
        <v>7180</v>
      </c>
      <c r="Q1759" s="84" t="s">
        <v>2817</v>
      </c>
      <c r="R1759" s="84" t="s">
        <v>2818</v>
      </c>
      <c r="S1759" s="84">
        <v>0.13</v>
      </c>
      <c r="T1759" s="82" t="s">
        <v>4113</v>
      </c>
      <c r="U1759" s="84" t="s">
        <v>3584</v>
      </c>
      <c r="V1759" s="54"/>
    </row>
    <row r="1760" spans="1:22" s="11" customFormat="1" ht="45" customHeight="1" x14ac:dyDescent="0.2">
      <c r="A1760" s="66" t="s">
        <v>3577</v>
      </c>
      <c r="B1760" s="66" t="s">
        <v>1707</v>
      </c>
      <c r="C1760" s="66" t="s">
        <v>3578</v>
      </c>
      <c r="D1760" s="66">
        <v>80316</v>
      </c>
      <c r="E1760" s="68" t="s">
        <v>7181</v>
      </c>
      <c r="F1760" s="66" t="s">
        <v>7182</v>
      </c>
      <c r="G1760" s="71">
        <v>6500</v>
      </c>
      <c r="H1760" s="73"/>
      <c r="I1760" s="75">
        <v>0.1</v>
      </c>
      <c r="J1760" s="77"/>
      <c r="K1760" s="66"/>
      <c r="L1760" s="66"/>
      <c r="M1760" s="79" t="str">
        <f>HYPERLINK("http://www.pristavka.com/catalog/funko/Fun80316/")</f>
        <v>http://www.pristavka.com/catalog/funko/Fun80316/</v>
      </c>
      <c r="N1760" s="71">
        <v>9999</v>
      </c>
      <c r="O1760" s="66" t="s">
        <v>27</v>
      </c>
      <c r="P1760" s="82" t="s">
        <v>7183</v>
      </c>
      <c r="Q1760" s="84" t="s">
        <v>2817</v>
      </c>
      <c r="R1760" s="84" t="s">
        <v>2818</v>
      </c>
      <c r="S1760" s="84">
        <v>0.13400000000000001</v>
      </c>
      <c r="T1760" s="82" t="s">
        <v>4091</v>
      </c>
      <c r="U1760" s="84" t="s">
        <v>3584</v>
      </c>
      <c r="V1760" s="54"/>
    </row>
    <row r="1761" spans="1:22" s="11" customFormat="1" ht="45" customHeight="1" x14ac:dyDescent="0.2">
      <c r="A1761" s="66" t="s">
        <v>3577</v>
      </c>
      <c r="B1761" s="66" t="s">
        <v>1707</v>
      </c>
      <c r="C1761" s="66" t="s">
        <v>3578</v>
      </c>
      <c r="D1761" s="66">
        <v>83697</v>
      </c>
      <c r="E1761" s="68" t="s">
        <v>7184</v>
      </c>
      <c r="F1761" s="66" t="s">
        <v>7185</v>
      </c>
      <c r="G1761" s="71">
        <v>6500</v>
      </c>
      <c r="H1761" s="73"/>
      <c r="I1761" s="75">
        <v>0.1</v>
      </c>
      <c r="J1761" s="77"/>
      <c r="K1761" s="66"/>
      <c r="L1761" s="66"/>
      <c r="M1761" s="79" t="str">
        <f>HYPERLINK("http://www.pristavka.com/catalog/funko/Fun83697/")</f>
        <v>http://www.pristavka.com/catalog/funko/Fun83697/</v>
      </c>
      <c r="N1761" s="71">
        <v>9999</v>
      </c>
      <c r="O1761" s="66" t="s">
        <v>27</v>
      </c>
      <c r="P1761" s="82" t="s">
        <v>7186</v>
      </c>
      <c r="Q1761" s="84" t="s">
        <v>2817</v>
      </c>
      <c r="R1761" s="84" t="s">
        <v>2818</v>
      </c>
      <c r="S1761" s="84">
        <v>0.17</v>
      </c>
      <c r="T1761" s="82" t="s">
        <v>4113</v>
      </c>
      <c r="U1761" s="84" t="s">
        <v>3584</v>
      </c>
      <c r="V1761" s="54"/>
    </row>
    <row r="1762" spans="1:22" s="11" customFormat="1" ht="45" customHeight="1" x14ac:dyDescent="0.2">
      <c r="A1762" s="66" t="s">
        <v>3577</v>
      </c>
      <c r="B1762" s="66" t="s">
        <v>1707</v>
      </c>
      <c r="C1762" s="66" t="s">
        <v>3578</v>
      </c>
      <c r="D1762" s="66">
        <v>43461</v>
      </c>
      <c r="E1762" s="68" t="s">
        <v>7187</v>
      </c>
      <c r="F1762" s="66" t="s">
        <v>7188</v>
      </c>
      <c r="G1762" s="71">
        <v>6500</v>
      </c>
      <c r="H1762" s="73"/>
      <c r="I1762" s="75">
        <v>0.1</v>
      </c>
      <c r="J1762" s="77"/>
      <c r="K1762" s="66"/>
      <c r="L1762" s="66"/>
      <c r="M1762" s="79" t="str">
        <f>HYPERLINK("http://www.pristavka.com/catalog/funko/Fun2533/")</f>
        <v>http://www.pristavka.com/catalog/funko/Fun2533/</v>
      </c>
      <c r="N1762" s="71">
        <v>9999</v>
      </c>
      <c r="O1762" s="66" t="s">
        <v>27</v>
      </c>
      <c r="P1762" s="82" t="s">
        <v>7189</v>
      </c>
      <c r="Q1762" s="84" t="s">
        <v>2817</v>
      </c>
      <c r="R1762" s="84" t="s">
        <v>2818</v>
      </c>
      <c r="S1762" s="84">
        <v>0.15</v>
      </c>
      <c r="T1762" s="82" t="s">
        <v>4246</v>
      </c>
      <c r="U1762" s="84" t="s">
        <v>3584</v>
      </c>
      <c r="V1762" s="54"/>
    </row>
    <row r="1763" spans="1:22" s="11" customFormat="1" ht="45" customHeight="1" x14ac:dyDescent="0.2">
      <c r="A1763" s="66" t="s">
        <v>3577</v>
      </c>
      <c r="B1763" s="66" t="s">
        <v>1707</v>
      </c>
      <c r="C1763" s="66" t="s">
        <v>3578</v>
      </c>
      <c r="D1763" s="66">
        <v>49833</v>
      </c>
      <c r="E1763" s="68" t="s">
        <v>7190</v>
      </c>
      <c r="F1763" s="66" t="s">
        <v>7191</v>
      </c>
      <c r="G1763" s="71">
        <v>6500</v>
      </c>
      <c r="H1763" s="73"/>
      <c r="I1763" s="75">
        <v>0.1</v>
      </c>
      <c r="J1763" s="77"/>
      <c r="K1763" s="66"/>
      <c r="L1763" s="66"/>
      <c r="M1763" s="79" t="str">
        <f>HYPERLINK("http://www.pristavka.com/catalog/funko/Fun49833/")</f>
        <v>http://www.pristavka.com/catalog/funko/Fun49833/</v>
      </c>
      <c r="N1763" s="71">
        <v>9999</v>
      </c>
      <c r="O1763" s="66" t="s">
        <v>27</v>
      </c>
      <c r="P1763" s="82" t="s">
        <v>7192</v>
      </c>
      <c r="Q1763" s="84" t="s">
        <v>2817</v>
      </c>
      <c r="R1763" s="84" t="s">
        <v>2818</v>
      </c>
      <c r="S1763" s="84">
        <v>0.17</v>
      </c>
      <c r="T1763" s="82" t="s">
        <v>4084</v>
      </c>
      <c r="U1763" s="84" t="s">
        <v>3584</v>
      </c>
      <c r="V1763" s="54"/>
    </row>
    <row r="1764" spans="1:22" s="11" customFormat="1" ht="45" customHeight="1" x14ac:dyDescent="0.2">
      <c r="A1764" s="66" t="s">
        <v>3577</v>
      </c>
      <c r="B1764" s="66" t="s">
        <v>1707</v>
      </c>
      <c r="C1764" s="66" t="s">
        <v>3578</v>
      </c>
      <c r="D1764" s="66">
        <v>87170</v>
      </c>
      <c r="E1764" s="68" t="s">
        <v>7193</v>
      </c>
      <c r="F1764" s="66" t="s">
        <v>7194</v>
      </c>
      <c r="G1764" s="71">
        <v>6890</v>
      </c>
      <c r="H1764" s="73"/>
      <c r="I1764" s="75">
        <v>0.1</v>
      </c>
      <c r="J1764" s="77"/>
      <c r="K1764" s="66"/>
      <c r="L1764" s="66"/>
      <c r="M1764" s="79" t="str">
        <f>HYPERLINK("http://www.pristavka.com/catalog/funko/Fun87170/")</f>
        <v>http://www.pristavka.com/catalog/funko/Fun87170/</v>
      </c>
      <c r="N1764" s="71">
        <v>10599</v>
      </c>
      <c r="O1764" s="66" t="s">
        <v>27</v>
      </c>
      <c r="P1764" s="82" t="s">
        <v>7195</v>
      </c>
      <c r="Q1764" s="84" t="s">
        <v>2817</v>
      </c>
      <c r="R1764" s="84" t="s">
        <v>2818</v>
      </c>
      <c r="S1764" s="84">
        <v>0.125</v>
      </c>
      <c r="T1764" s="82" t="s">
        <v>4113</v>
      </c>
      <c r="U1764" s="84" t="s">
        <v>3584</v>
      </c>
      <c r="V1764" s="54"/>
    </row>
    <row r="1765" spans="1:22" s="11" customFormat="1" ht="45" customHeight="1" x14ac:dyDescent="0.2">
      <c r="A1765" s="66" t="s">
        <v>3577</v>
      </c>
      <c r="B1765" s="66" t="s">
        <v>1707</v>
      </c>
      <c r="C1765" s="66" t="s">
        <v>3578</v>
      </c>
      <c r="D1765" s="66">
        <v>80700</v>
      </c>
      <c r="E1765" s="68" t="s">
        <v>7196</v>
      </c>
      <c r="F1765" s="66" t="s">
        <v>7197</v>
      </c>
      <c r="G1765" s="71">
        <v>6500</v>
      </c>
      <c r="H1765" s="73"/>
      <c r="I1765" s="75">
        <v>0.1</v>
      </c>
      <c r="J1765" s="77"/>
      <c r="K1765" s="66"/>
      <c r="L1765" s="66"/>
      <c r="M1765" s="79" t="str">
        <f>HYPERLINK("http://www.pristavka.com/catalog/funko/Fun80700/")</f>
        <v>http://www.pristavka.com/catalog/funko/Fun80700/</v>
      </c>
      <c r="N1765" s="71">
        <v>9999</v>
      </c>
      <c r="O1765" s="66" t="s">
        <v>27</v>
      </c>
      <c r="P1765" s="82" t="s">
        <v>7198</v>
      </c>
      <c r="Q1765" s="84" t="s">
        <v>3604</v>
      </c>
      <c r="R1765" s="84" t="s">
        <v>3566</v>
      </c>
      <c r="S1765" s="84">
        <v>0.17499999999999999</v>
      </c>
      <c r="T1765" s="82" t="s">
        <v>4084</v>
      </c>
      <c r="U1765" s="84" t="s">
        <v>3584</v>
      </c>
      <c r="V1765" s="54"/>
    </row>
    <row r="1766" spans="1:22" s="11" customFormat="1" ht="45" customHeight="1" x14ac:dyDescent="0.2">
      <c r="A1766" s="66" t="s">
        <v>3577</v>
      </c>
      <c r="B1766" s="66" t="s">
        <v>1707</v>
      </c>
      <c r="C1766" s="66" t="s">
        <v>3578</v>
      </c>
      <c r="D1766" s="66">
        <v>82095</v>
      </c>
      <c r="E1766" s="68" t="s">
        <v>7199</v>
      </c>
      <c r="F1766" s="66" t="s">
        <v>7200</v>
      </c>
      <c r="G1766" s="71">
        <v>6890</v>
      </c>
      <c r="H1766" s="73"/>
      <c r="I1766" s="75">
        <v>0.1</v>
      </c>
      <c r="J1766" s="77"/>
      <c r="K1766" s="66"/>
      <c r="L1766" s="66"/>
      <c r="M1766" s="79" t="str">
        <f>HYPERLINK("http://www.pristavka.com/catalog/funko/Fun82095/")</f>
        <v>http://www.pristavka.com/catalog/funko/Fun82095/</v>
      </c>
      <c r="N1766" s="71">
        <v>10599</v>
      </c>
      <c r="O1766" s="66" t="s">
        <v>28</v>
      </c>
      <c r="P1766" s="82" t="s">
        <v>7201</v>
      </c>
      <c r="Q1766" s="84" t="s">
        <v>3604</v>
      </c>
      <c r="R1766" s="84" t="s">
        <v>3566</v>
      </c>
      <c r="S1766" s="84">
        <v>0.15</v>
      </c>
      <c r="T1766" s="82" t="s">
        <v>4084</v>
      </c>
      <c r="U1766" s="84" t="s">
        <v>3584</v>
      </c>
      <c r="V1766" s="54"/>
    </row>
    <row r="1767" spans="1:22" s="11" customFormat="1" ht="45" customHeight="1" x14ac:dyDescent="0.2">
      <c r="A1767" s="66" t="s">
        <v>3577</v>
      </c>
      <c r="B1767" s="66" t="s">
        <v>1707</v>
      </c>
      <c r="C1767" s="66" t="s">
        <v>3578</v>
      </c>
      <c r="D1767" s="66">
        <v>80686</v>
      </c>
      <c r="E1767" s="68" t="s">
        <v>7202</v>
      </c>
      <c r="F1767" s="66" t="s">
        <v>7203</v>
      </c>
      <c r="G1767" s="71">
        <v>6500</v>
      </c>
      <c r="H1767" s="73"/>
      <c r="I1767" s="75">
        <v>0.1</v>
      </c>
      <c r="J1767" s="77"/>
      <c r="K1767" s="66"/>
      <c r="L1767" s="66"/>
      <c r="M1767" s="79" t="str">
        <f>HYPERLINK("http://www.pristavka.com/catalog/funko/Fun80686/")</f>
        <v>http://www.pristavka.com/catalog/funko/Fun80686/</v>
      </c>
      <c r="N1767" s="71">
        <v>9999</v>
      </c>
      <c r="O1767" s="66" t="s">
        <v>27</v>
      </c>
      <c r="P1767" s="82" t="s">
        <v>7204</v>
      </c>
      <c r="Q1767" s="84" t="s">
        <v>3604</v>
      </c>
      <c r="R1767" s="84" t="s">
        <v>3566</v>
      </c>
      <c r="S1767" s="84">
        <v>0.14599999999999999</v>
      </c>
      <c r="T1767" s="82" t="s">
        <v>4084</v>
      </c>
      <c r="U1767" s="84" t="s">
        <v>3584</v>
      </c>
      <c r="V1767" s="54"/>
    </row>
    <row r="1768" spans="1:22" s="11" customFormat="1" ht="45" customHeight="1" x14ac:dyDescent="0.2">
      <c r="A1768" s="66" t="s">
        <v>3577</v>
      </c>
      <c r="B1768" s="66" t="s">
        <v>1707</v>
      </c>
      <c r="C1768" s="66" t="s">
        <v>3578</v>
      </c>
      <c r="D1768" s="66">
        <v>80699</v>
      </c>
      <c r="E1768" s="68" t="s">
        <v>7205</v>
      </c>
      <c r="F1768" s="66" t="s">
        <v>7206</v>
      </c>
      <c r="G1768" s="71">
        <v>6500</v>
      </c>
      <c r="H1768" s="73"/>
      <c r="I1768" s="75">
        <v>0.1</v>
      </c>
      <c r="J1768" s="77"/>
      <c r="K1768" s="66"/>
      <c r="L1768" s="66"/>
      <c r="M1768" s="79" t="str">
        <f>HYPERLINK("http://www.pristavka.com/catalog/funko/Fun80699/")</f>
        <v>http://www.pristavka.com/catalog/funko/Fun80699/</v>
      </c>
      <c r="N1768" s="71">
        <v>9999</v>
      </c>
      <c r="O1768" s="66" t="s">
        <v>27</v>
      </c>
      <c r="P1768" s="82" t="s">
        <v>7207</v>
      </c>
      <c r="Q1768" s="84" t="s">
        <v>3604</v>
      </c>
      <c r="R1768" s="84" t="s">
        <v>3566</v>
      </c>
      <c r="S1768" s="84">
        <v>0.125</v>
      </c>
      <c r="T1768" s="82" t="s">
        <v>4084</v>
      </c>
      <c r="U1768" s="84" t="s">
        <v>3584</v>
      </c>
      <c r="V1768" s="54"/>
    </row>
    <row r="1769" spans="1:22" s="11" customFormat="1" ht="45" customHeight="1" x14ac:dyDescent="0.2">
      <c r="A1769" s="66" t="s">
        <v>3577</v>
      </c>
      <c r="B1769" s="66" t="s">
        <v>1707</v>
      </c>
      <c r="C1769" s="66" t="s">
        <v>3578</v>
      </c>
      <c r="D1769" s="66">
        <v>80697</v>
      </c>
      <c r="E1769" s="68" t="s">
        <v>7208</v>
      </c>
      <c r="F1769" s="66" t="s">
        <v>7209</v>
      </c>
      <c r="G1769" s="71">
        <v>6500</v>
      </c>
      <c r="H1769" s="73"/>
      <c r="I1769" s="75">
        <v>0.1</v>
      </c>
      <c r="J1769" s="77"/>
      <c r="K1769" s="66"/>
      <c r="L1769" s="66"/>
      <c r="M1769" s="79" t="str">
        <f>HYPERLINK("http://www.pristavka.com/catalog/funko/Fun80697/")</f>
        <v>http://www.pristavka.com/catalog/funko/Fun80697/</v>
      </c>
      <c r="N1769" s="71">
        <v>9999</v>
      </c>
      <c r="O1769" s="66" t="s">
        <v>27</v>
      </c>
      <c r="P1769" s="82" t="s">
        <v>7210</v>
      </c>
      <c r="Q1769" s="84" t="s">
        <v>3604</v>
      </c>
      <c r="R1769" s="84" t="s">
        <v>3566</v>
      </c>
      <c r="S1769" s="84">
        <v>0.152</v>
      </c>
      <c r="T1769" s="82" t="s">
        <v>4091</v>
      </c>
      <c r="U1769" s="84" t="s">
        <v>3584</v>
      </c>
      <c r="V1769" s="54"/>
    </row>
    <row r="1770" spans="1:22" s="11" customFormat="1" ht="45" customHeight="1" x14ac:dyDescent="0.2">
      <c r="A1770" s="66" t="s">
        <v>3577</v>
      </c>
      <c r="B1770" s="66" t="s">
        <v>1707</v>
      </c>
      <c r="C1770" s="66" t="s">
        <v>3578</v>
      </c>
      <c r="D1770" s="66">
        <v>80698</v>
      </c>
      <c r="E1770" s="68" t="s">
        <v>7211</v>
      </c>
      <c r="F1770" s="66" t="s">
        <v>7212</v>
      </c>
      <c r="G1770" s="71">
        <v>6500</v>
      </c>
      <c r="H1770" s="73"/>
      <c r="I1770" s="75">
        <v>0.1</v>
      </c>
      <c r="J1770" s="77"/>
      <c r="K1770" s="66"/>
      <c r="L1770" s="66"/>
      <c r="M1770" s="79" t="str">
        <f>HYPERLINK("http://www.pristavka.com/catalog/funko/Fun80698/")</f>
        <v>http://www.pristavka.com/catalog/funko/Fun80698/</v>
      </c>
      <c r="N1770" s="71">
        <v>9999</v>
      </c>
      <c r="O1770" s="66" t="s">
        <v>27</v>
      </c>
      <c r="P1770" s="82" t="s">
        <v>7213</v>
      </c>
      <c r="Q1770" s="84" t="s">
        <v>3604</v>
      </c>
      <c r="R1770" s="84" t="s">
        <v>3566</v>
      </c>
      <c r="S1770" s="84">
        <v>0.20200000000000001</v>
      </c>
      <c r="T1770" s="82" t="s">
        <v>4084</v>
      </c>
      <c r="U1770" s="84" t="s">
        <v>3584</v>
      </c>
      <c r="V1770" s="54"/>
    </row>
    <row r="1771" spans="1:22" s="11" customFormat="1" ht="45" customHeight="1" x14ac:dyDescent="0.2">
      <c r="A1771" s="66" t="s">
        <v>3577</v>
      </c>
      <c r="B1771" s="66" t="s">
        <v>1707</v>
      </c>
      <c r="C1771" s="66" t="s">
        <v>3578</v>
      </c>
      <c r="D1771" s="66">
        <v>80687</v>
      </c>
      <c r="E1771" s="68" t="s">
        <v>7214</v>
      </c>
      <c r="F1771" s="66" t="s">
        <v>7215</v>
      </c>
      <c r="G1771" s="71">
        <v>6500</v>
      </c>
      <c r="H1771" s="73"/>
      <c r="I1771" s="75">
        <v>0.1</v>
      </c>
      <c r="J1771" s="77"/>
      <c r="K1771" s="66"/>
      <c r="L1771" s="66"/>
      <c r="M1771" s="79" t="str">
        <f>HYPERLINK("http://www.pristavka.com/catalog/funko/Fun80687/")</f>
        <v>http://www.pristavka.com/catalog/funko/Fun80687/</v>
      </c>
      <c r="N1771" s="71">
        <v>9999</v>
      </c>
      <c r="O1771" s="66" t="s">
        <v>27</v>
      </c>
      <c r="P1771" s="82" t="s">
        <v>7216</v>
      </c>
      <c r="Q1771" s="84" t="s">
        <v>3604</v>
      </c>
      <c r="R1771" s="84" t="s">
        <v>3566</v>
      </c>
      <c r="S1771" s="84">
        <v>0.13900000000000001</v>
      </c>
      <c r="T1771" s="82" t="s">
        <v>4091</v>
      </c>
      <c r="U1771" s="84" t="s">
        <v>3584</v>
      </c>
      <c r="V1771" s="54"/>
    </row>
    <row r="1772" spans="1:22" s="11" customFormat="1" ht="45" customHeight="1" x14ac:dyDescent="0.2">
      <c r="A1772" s="66" t="s">
        <v>3577</v>
      </c>
      <c r="B1772" s="66" t="s">
        <v>1707</v>
      </c>
      <c r="C1772" s="66" t="s">
        <v>3578</v>
      </c>
      <c r="D1772" s="66">
        <v>80688</v>
      </c>
      <c r="E1772" s="68" t="s">
        <v>7217</v>
      </c>
      <c r="F1772" s="66" t="s">
        <v>7218</v>
      </c>
      <c r="G1772" s="71">
        <v>6500</v>
      </c>
      <c r="H1772" s="73"/>
      <c r="I1772" s="75">
        <v>0.1</v>
      </c>
      <c r="J1772" s="77"/>
      <c r="K1772" s="66"/>
      <c r="L1772" s="66"/>
      <c r="M1772" s="79" t="str">
        <f>HYPERLINK("http://www.pristavka.com/catalog/funko/Fun80688/")</f>
        <v>http://www.pristavka.com/catalog/funko/Fun80688/</v>
      </c>
      <c r="N1772" s="71">
        <v>9999</v>
      </c>
      <c r="O1772" s="66" t="s">
        <v>27</v>
      </c>
      <c r="P1772" s="82" t="s">
        <v>7219</v>
      </c>
      <c r="Q1772" s="84" t="s">
        <v>3604</v>
      </c>
      <c r="R1772" s="84" t="s">
        <v>3566</v>
      </c>
      <c r="S1772" s="84">
        <v>0.19</v>
      </c>
      <c r="T1772" s="82" t="s">
        <v>4084</v>
      </c>
      <c r="U1772" s="84" t="s">
        <v>3584</v>
      </c>
      <c r="V1772" s="54"/>
    </row>
    <row r="1773" spans="1:22" s="11" customFormat="1" ht="45" customHeight="1" x14ac:dyDescent="0.2">
      <c r="A1773" s="66" t="s">
        <v>3577</v>
      </c>
      <c r="B1773" s="66" t="s">
        <v>1707</v>
      </c>
      <c r="C1773" s="66" t="s">
        <v>3578</v>
      </c>
      <c r="D1773" s="66">
        <v>76070</v>
      </c>
      <c r="E1773" s="68" t="s">
        <v>7220</v>
      </c>
      <c r="F1773" s="66" t="s">
        <v>7221</v>
      </c>
      <c r="G1773" s="71">
        <v>6500</v>
      </c>
      <c r="H1773" s="73"/>
      <c r="I1773" s="75">
        <v>0.1</v>
      </c>
      <c r="J1773" s="77"/>
      <c r="K1773" s="66"/>
      <c r="L1773" s="66"/>
      <c r="M1773" s="79" t="str">
        <f>HYPERLINK("http://www.pristavka.com/catalog/funko/Fun76070/")</f>
        <v>http://www.pristavka.com/catalog/funko/Fun76070/</v>
      </c>
      <c r="N1773" s="71">
        <v>9999</v>
      </c>
      <c r="O1773" s="66" t="s">
        <v>27</v>
      </c>
      <c r="P1773" s="82" t="s">
        <v>7222</v>
      </c>
      <c r="Q1773" s="84" t="s">
        <v>3604</v>
      </c>
      <c r="R1773" s="84" t="s">
        <v>3566</v>
      </c>
      <c r="S1773" s="84">
        <v>0.115</v>
      </c>
      <c r="T1773" s="82" t="s">
        <v>4084</v>
      </c>
      <c r="U1773" s="84" t="s">
        <v>3584</v>
      </c>
      <c r="V1773" s="54"/>
    </row>
    <row r="1774" spans="1:22" s="11" customFormat="1" ht="45" customHeight="1" x14ac:dyDescent="0.2">
      <c r="A1774" s="66" t="s">
        <v>3577</v>
      </c>
      <c r="B1774" s="66" t="s">
        <v>1707</v>
      </c>
      <c r="C1774" s="66" t="s">
        <v>3578</v>
      </c>
      <c r="D1774" s="66">
        <v>76069</v>
      </c>
      <c r="E1774" s="68" t="s">
        <v>7223</v>
      </c>
      <c r="F1774" s="66" t="s">
        <v>7224</v>
      </c>
      <c r="G1774" s="71">
        <v>6500</v>
      </c>
      <c r="H1774" s="73"/>
      <c r="I1774" s="75">
        <v>0.1</v>
      </c>
      <c r="J1774" s="77"/>
      <c r="K1774" s="66"/>
      <c r="L1774" s="66"/>
      <c r="M1774" s="79" t="str">
        <f>HYPERLINK("http://www.pristavka.com/catalog/funko/Fun76069/")</f>
        <v>http://www.pristavka.com/catalog/funko/Fun76069/</v>
      </c>
      <c r="N1774" s="71">
        <v>9999</v>
      </c>
      <c r="O1774" s="66" t="s">
        <v>27</v>
      </c>
      <c r="P1774" s="82" t="s">
        <v>7225</v>
      </c>
      <c r="Q1774" s="84" t="s">
        <v>3604</v>
      </c>
      <c r="R1774" s="84" t="s">
        <v>3566</v>
      </c>
      <c r="S1774" s="84">
        <v>0.115</v>
      </c>
      <c r="T1774" s="82" t="s">
        <v>4084</v>
      </c>
      <c r="U1774" s="84" t="s">
        <v>3584</v>
      </c>
      <c r="V1774" s="54"/>
    </row>
    <row r="1775" spans="1:22" s="11" customFormat="1" ht="45" customHeight="1" x14ac:dyDescent="0.2">
      <c r="A1775" s="66" t="s">
        <v>3577</v>
      </c>
      <c r="B1775" s="66" t="s">
        <v>1707</v>
      </c>
      <c r="C1775" s="66" t="s">
        <v>3578</v>
      </c>
      <c r="D1775" s="66">
        <v>76071</v>
      </c>
      <c r="E1775" s="68" t="s">
        <v>7226</v>
      </c>
      <c r="F1775" s="66" t="s">
        <v>7227</v>
      </c>
      <c r="G1775" s="71">
        <v>6500</v>
      </c>
      <c r="H1775" s="73"/>
      <c r="I1775" s="75">
        <v>0.1</v>
      </c>
      <c r="J1775" s="77"/>
      <c r="K1775" s="66"/>
      <c r="L1775" s="66"/>
      <c r="M1775" s="79" t="str">
        <f>HYPERLINK("http://www.pristavka.com/catalog/funko/Fun76071/")</f>
        <v>http://www.pristavka.com/catalog/funko/Fun76071/</v>
      </c>
      <c r="N1775" s="71">
        <v>9999</v>
      </c>
      <c r="O1775" s="66" t="s">
        <v>27</v>
      </c>
      <c r="P1775" s="82" t="s">
        <v>7228</v>
      </c>
      <c r="Q1775" s="84" t="s">
        <v>3604</v>
      </c>
      <c r="R1775" s="84" t="s">
        <v>3566</v>
      </c>
      <c r="S1775" s="84">
        <v>0.14000000000000001</v>
      </c>
      <c r="T1775" s="82" t="s">
        <v>4084</v>
      </c>
      <c r="U1775" s="84" t="s">
        <v>3584</v>
      </c>
      <c r="V1775" s="54"/>
    </row>
    <row r="1776" spans="1:22" s="11" customFormat="1" ht="45" customHeight="1" x14ac:dyDescent="0.2">
      <c r="A1776" s="66" t="s">
        <v>3577</v>
      </c>
      <c r="B1776" s="66" t="s">
        <v>1707</v>
      </c>
      <c r="C1776" s="66" t="s">
        <v>3578</v>
      </c>
      <c r="D1776" s="66">
        <v>76073</v>
      </c>
      <c r="E1776" s="68" t="s">
        <v>7229</v>
      </c>
      <c r="F1776" s="66" t="s">
        <v>7230</v>
      </c>
      <c r="G1776" s="71">
        <v>6500</v>
      </c>
      <c r="H1776" s="73"/>
      <c r="I1776" s="75">
        <v>0.1</v>
      </c>
      <c r="J1776" s="77"/>
      <c r="K1776" s="66"/>
      <c r="L1776" s="66"/>
      <c r="M1776" s="79" t="str">
        <f>HYPERLINK("http://www.pristavka.com/catalog/funko/Fun76073/")</f>
        <v>http://www.pristavka.com/catalog/funko/Fun76073/</v>
      </c>
      <c r="N1776" s="71">
        <v>9999</v>
      </c>
      <c r="O1776" s="66" t="s">
        <v>27</v>
      </c>
      <c r="P1776" s="82" t="s">
        <v>7231</v>
      </c>
      <c r="Q1776" s="84" t="s">
        <v>3604</v>
      </c>
      <c r="R1776" s="84" t="s">
        <v>3566</v>
      </c>
      <c r="S1776" s="84">
        <v>0.125</v>
      </c>
      <c r="T1776" s="82" t="s">
        <v>4084</v>
      </c>
      <c r="U1776" s="84" t="s">
        <v>3584</v>
      </c>
      <c r="V1776" s="54"/>
    </row>
    <row r="1777" spans="1:22" s="11" customFormat="1" ht="45" customHeight="1" x14ac:dyDescent="0.2">
      <c r="A1777" s="66" t="s">
        <v>3577</v>
      </c>
      <c r="B1777" s="66" t="s">
        <v>1707</v>
      </c>
      <c r="C1777" s="66" t="s">
        <v>3578</v>
      </c>
      <c r="D1777" s="66">
        <v>76074</v>
      </c>
      <c r="E1777" s="68" t="s">
        <v>7232</v>
      </c>
      <c r="F1777" s="66" t="s">
        <v>7233</v>
      </c>
      <c r="G1777" s="71">
        <v>6500</v>
      </c>
      <c r="H1777" s="73"/>
      <c r="I1777" s="75">
        <v>0.1</v>
      </c>
      <c r="J1777" s="77"/>
      <c r="K1777" s="66"/>
      <c r="L1777" s="66"/>
      <c r="M1777" s="79" t="str">
        <f>HYPERLINK("http://www.pristavka.com/catalog/funko/Fun76074/")</f>
        <v>http://www.pristavka.com/catalog/funko/Fun76074/</v>
      </c>
      <c r="N1777" s="71">
        <v>9999</v>
      </c>
      <c r="O1777" s="66" t="s">
        <v>27</v>
      </c>
      <c r="P1777" s="82" t="s">
        <v>7234</v>
      </c>
      <c r="Q1777" s="84" t="s">
        <v>3604</v>
      </c>
      <c r="R1777" s="84" t="s">
        <v>3566</v>
      </c>
      <c r="S1777" s="84">
        <v>0.14499999999999999</v>
      </c>
      <c r="T1777" s="82" t="s">
        <v>4084</v>
      </c>
      <c r="U1777" s="84" t="s">
        <v>3584</v>
      </c>
      <c r="V1777" s="54"/>
    </row>
    <row r="1778" spans="1:22" s="11" customFormat="1" ht="45" customHeight="1" x14ac:dyDescent="0.2">
      <c r="A1778" s="66" t="s">
        <v>3577</v>
      </c>
      <c r="B1778" s="66" t="s">
        <v>1707</v>
      </c>
      <c r="C1778" s="66" t="s">
        <v>3578</v>
      </c>
      <c r="D1778" s="66">
        <v>76072</v>
      </c>
      <c r="E1778" s="68" t="s">
        <v>7235</v>
      </c>
      <c r="F1778" s="66" t="s">
        <v>7236</v>
      </c>
      <c r="G1778" s="71">
        <v>6500</v>
      </c>
      <c r="H1778" s="73"/>
      <c r="I1778" s="75">
        <v>0.1</v>
      </c>
      <c r="J1778" s="77"/>
      <c r="K1778" s="66"/>
      <c r="L1778" s="66"/>
      <c r="M1778" s="79" t="str">
        <f>HYPERLINK("http://www.pristavka.com/catalog/funko/Fun76072/")</f>
        <v>http://www.pristavka.com/catalog/funko/Fun76072/</v>
      </c>
      <c r="N1778" s="71">
        <v>9999</v>
      </c>
      <c r="O1778" s="66" t="s">
        <v>27</v>
      </c>
      <c r="P1778" s="82" t="s">
        <v>7237</v>
      </c>
      <c r="Q1778" s="84" t="s">
        <v>3604</v>
      </c>
      <c r="R1778" s="84" t="s">
        <v>3566</v>
      </c>
      <c r="S1778" s="84">
        <v>0.12</v>
      </c>
      <c r="T1778" s="82" t="s">
        <v>4084</v>
      </c>
      <c r="U1778" s="84" t="s">
        <v>3584</v>
      </c>
      <c r="V1778" s="54"/>
    </row>
    <row r="1779" spans="1:22" s="11" customFormat="1" ht="45" customHeight="1" x14ac:dyDescent="0.2">
      <c r="A1779" s="66" t="s">
        <v>3577</v>
      </c>
      <c r="B1779" s="66" t="s">
        <v>1707</v>
      </c>
      <c r="C1779" s="66" t="s">
        <v>3578</v>
      </c>
      <c r="D1779" s="66">
        <v>78338</v>
      </c>
      <c r="E1779" s="68" t="s">
        <v>7238</v>
      </c>
      <c r="F1779" s="66" t="s">
        <v>7239</v>
      </c>
      <c r="G1779" s="71">
        <v>9100</v>
      </c>
      <c r="H1779" s="73"/>
      <c r="I1779" s="75">
        <v>0.1</v>
      </c>
      <c r="J1779" s="77"/>
      <c r="K1779" s="66"/>
      <c r="L1779" s="66"/>
      <c r="M1779" s="79" t="str">
        <f>HYPERLINK("http://www.pristavka.com/catalog/funko/Fun78338/")</f>
        <v>http://www.pristavka.com/catalog/funko/Fun78338/</v>
      </c>
      <c r="N1779" s="71">
        <v>13999</v>
      </c>
      <c r="O1779" s="66" t="s">
        <v>27</v>
      </c>
      <c r="P1779" s="82" t="s">
        <v>7240</v>
      </c>
      <c r="Q1779" s="84" t="s">
        <v>3604</v>
      </c>
      <c r="R1779" s="84" t="s">
        <v>3566</v>
      </c>
      <c r="S1779" s="84">
        <v>0.125</v>
      </c>
      <c r="T1779" s="82" t="s">
        <v>4084</v>
      </c>
      <c r="U1779" s="84" t="s">
        <v>3584</v>
      </c>
      <c r="V1779" s="54"/>
    </row>
    <row r="1780" spans="1:22" s="11" customFormat="1" ht="45" customHeight="1" x14ac:dyDescent="0.2">
      <c r="A1780" s="66" t="s">
        <v>3577</v>
      </c>
      <c r="B1780" s="66" t="s">
        <v>1707</v>
      </c>
      <c r="C1780" s="66" t="s">
        <v>3578</v>
      </c>
      <c r="D1780" s="66">
        <v>47709</v>
      </c>
      <c r="E1780" s="68" t="s">
        <v>7241</v>
      </c>
      <c r="F1780" s="66" t="s">
        <v>7242</v>
      </c>
      <c r="G1780" s="71">
        <v>6500</v>
      </c>
      <c r="H1780" s="73"/>
      <c r="I1780" s="75">
        <v>0.1</v>
      </c>
      <c r="J1780" s="77"/>
      <c r="K1780" s="66"/>
      <c r="L1780" s="66"/>
      <c r="M1780" s="79" t="str">
        <f>HYPERLINK("http://www.pristavka.com/catalog/funko/Fun2549587/")</f>
        <v>http://www.pristavka.com/catalog/funko/Fun2549587/</v>
      </c>
      <c r="N1780" s="71">
        <v>9999</v>
      </c>
      <c r="O1780" s="66" t="s">
        <v>27</v>
      </c>
      <c r="P1780" s="82" t="s">
        <v>7243</v>
      </c>
      <c r="Q1780" s="84" t="s">
        <v>3604</v>
      </c>
      <c r="R1780" s="84" t="s">
        <v>3566</v>
      </c>
      <c r="S1780" s="84">
        <v>0.11</v>
      </c>
      <c r="T1780" s="82" t="s">
        <v>4102</v>
      </c>
      <c r="U1780" s="84" t="s">
        <v>3584</v>
      </c>
      <c r="V1780" s="54"/>
    </row>
    <row r="1781" spans="1:22" s="11" customFormat="1" ht="45" customHeight="1" x14ac:dyDescent="0.2">
      <c r="A1781" s="66" t="s">
        <v>3577</v>
      </c>
      <c r="B1781" s="66" t="s">
        <v>1707</v>
      </c>
      <c r="C1781" s="66" t="s">
        <v>3578</v>
      </c>
      <c r="D1781" s="66">
        <v>37254</v>
      </c>
      <c r="E1781" s="68" t="s">
        <v>7244</v>
      </c>
      <c r="F1781" s="66" t="s">
        <v>7245</v>
      </c>
      <c r="G1781" s="71">
        <v>6500</v>
      </c>
      <c r="H1781" s="73"/>
      <c r="I1781" s="75">
        <v>0.1</v>
      </c>
      <c r="J1781" s="77"/>
      <c r="K1781" s="66"/>
      <c r="L1781" s="66"/>
      <c r="M1781" s="79" t="str">
        <f>HYPERLINK("http://www.pristavka.com/catalog/funko/Fun2418/")</f>
        <v>http://www.pristavka.com/catalog/funko/Fun2418/</v>
      </c>
      <c r="N1781" s="71">
        <v>9999</v>
      </c>
      <c r="O1781" s="66" t="s">
        <v>27</v>
      </c>
      <c r="P1781" s="82" t="s">
        <v>7246</v>
      </c>
      <c r="Q1781" s="84" t="s">
        <v>3604</v>
      </c>
      <c r="R1781" s="84" t="s">
        <v>3566</v>
      </c>
      <c r="S1781" s="84">
        <v>0.14000000000000001</v>
      </c>
      <c r="T1781" s="82" t="s">
        <v>4102</v>
      </c>
      <c r="U1781" s="84" t="s">
        <v>3584</v>
      </c>
      <c r="V1781" s="54"/>
    </row>
    <row r="1782" spans="1:22" s="11" customFormat="1" ht="45" customHeight="1" x14ac:dyDescent="0.2">
      <c r="A1782" s="66" t="s">
        <v>3577</v>
      </c>
      <c r="B1782" s="66" t="s">
        <v>1707</v>
      </c>
      <c r="C1782" s="66" t="s">
        <v>3578</v>
      </c>
      <c r="D1782" s="66">
        <v>11570</v>
      </c>
      <c r="E1782" s="68" t="s">
        <v>7247</v>
      </c>
      <c r="F1782" s="66" t="s">
        <v>7248</v>
      </c>
      <c r="G1782" s="71">
        <v>6500</v>
      </c>
      <c r="H1782" s="73"/>
      <c r="I1782" s="75">
        <v>0.1</v>
      </c>
      <c r="J1782" s="77"/>
      <c r="K1782" s="66"/>
      <c r="L1782" s="66"/>
      <c r="M1782" s="79" t="str">
        <f>HYPERLINK("http://www.pristavka.com/catalog/funko/Fun132/")</f>
        <v>http://www.pristavka.com/catalog/funko/Fun132/</v>
      </c>
      <c r="N1782" s="71">
        <v>9999</v>
      </c>
      <c r="O1782" s="66" t="s">
        <v>27</v>
      </c>
      <c r="P1782" s="82" t="s">
        <v>7249</v>
      </c>
      <c r="Q1782" s="84" t="s">
        <v>3566</v>
      </c>
      <c r="R1782" s="84" t="s">
        <v>3566</v>
      </c>
      <c r="S1782" s="84">
        <v>0.13</v>
      </c>
      <c r="T1782" s="82" t="s">
        <v>4102</v>
      </c>
      <c r="U1782" s="84" t="s">
        <v>3584</v>
      </c>
      <c r="V1782" s="54"/>
    </row>
    <row r="1783" spans="1:22" s="11" customFormat="1" ht="45" customHeight="1" x14ac:dyDescent="0.2">
      <c r="A1783" s="66" t="s">
        <v>3577</v>
      </c>
      <c r="B1783" s="66" t="s">
        <v>1707</v>
      </c>
      <c r="C1783" s="66" t="s">
        <v>3578</v>
      </c>
      <c r="D1783" s="66">
        <v>82837</v>
      </c>
      <c r="E1783" s="68" t="s">
        <v>7250</v>
      </c>
      <c r="F1783" s="66" t="s">
        <v>7251</v>
      </c>
      <c r="G1783" s="71">
        <v>6890</v>
      </c>
      <c r="H1783" s="73"/>
      <c r="I1783" s="75">
        <v>0.1</v>
      </c>
      <c r="J1783" s="77"/>
      <c r="K1783" s="66"/>
      <c r="L1783" s="66"/>
      <c r="M1783" s="79" t="str">
        <f>HYPERLINK("http://www.pristavka.com/catalog/funko/Fun82837/")</f>
        <v>http://www.pristavka.com/catalog/funko/Fun82837/</v>
      </c>
      <c r="N1783" s="71">
        <v>10599</v>
      </c>
      <c r="O1783" s="66" t="s">
        <v>27</v>
      </c>
      <c r="P1783" s="82" t="s">
        <v>7252</v>
      </c>
      <c r="Q1783" s="84" t="s">
        <v>3604</v>
      </c>
      <c r="R1783" s="84" t="s">
        <v>3566</v>
      </c>
      <c r="S1783" s="84">
        <v>0.155</v>
      </c>
      <c r="T1783" s="82" t="s">
        <v>4113</v>
      </c>
      <c r="U1783" s="84" t="s">
        <v>3584</v>
      </c>
      <c r="V1783" s="54"/>
    </row>
    <row r="1784" spans="1:22" s="11" customFormat="1" ht="45" customHeight="1" x14ac:dyDescent="0.2">
      <c r="A1784" s="66" t="s">
        <v>3577</v>
      </c>
      <c r="B1784" s="66" t="s">
        <v>1707</v>
      </c>
      <c r="C1784" s="66" t="s">
        <v>3578</v>
      </c>
      <c r="D1784" s="66">
        <v>83514</v>
      </c>
      <c r="E1784" s="68" t="s">
        <v>7253</v>
      </c>
      <c r="F1784" s="66" t="s">
        <v>7254</v>
      </c>
      <c r="G1784" s="71">
        <v>6500</v>
      </c>
      <c r="H1784" s="73"/>
      <c r="I1784" s="75">
        <v>0.1</v>
      </c>
      <c r="J1784" s="77"/>
      <c r="K1784" s="66"/>
      <c r="L1784" s="66"/>
      <c r="M1784" s="79" t="str">
        <f>HYPERLINK("http://www.pristavka.com/catalog/funko/Fun83514/")</f>
        <v>http://www.pristavka.com/catalog/funko/Fun83514/</v>
      </c>
      <c r="N1784" s="71">
        <v>9999</v>
      </c>
      <c r="O1784" s="66" t="s">
        <v>27</v>
      </c>
      <c r="P1784" s="82" t="s">
        <v>7255</v>
      </c>
      <c r="Q1784" s="84" t="s">
        <v>3604</v>
      </c>
      <c r="R1784" s="84" t="s">
        <v>3566</v>
      </c>
      <c r="S1784" s="84">
        <v>0.12</v>
      </c>
      <c r="T1784" s="82" t="s">
        <v>4084</v>
      </c>
      <c r="U1784" s="84" t="s">
        <v>3584</v>
      </c>
      <c r="V1784" s="54"/>
    </row>
    <row r="1785" spans="1:22" s="11" customFormat="1" ht="45" customHeight="1" x14ac:dyDescent="0.2">
      <c r="A1785" s="66" t="s">
        <v>3577</v>
      </c>
      <c r="B1785" s="66" t="s">
        <v>1707</v>
      </c>
      <c r="C1785" s="66" t="s">
        <v>3578</v>
      </c>
      <c r="D1785" s="66">
        <v>84875</v>
      </c>
      <c r="E1785" s="68" t="s">
        <v>7256</v>
      </c>
      <c r="F1785" s="66" t="s">
        <v>7257</v>
      </c>
      <c r="G1785" s="71">
        <v>6890</v>
      </c>
      <c r="H1785" s="73"/>
      <c r="I1785" s="75">
        <v>0.1</v>
      </c>
      <c r="J1785" s="77"/>
      <c r="K1785" s="66"/>
      <c r="L1785" s="66"/>
      <c r="M1785" s="79" t="str">
        <f>HYPERLINK("http://www.pristavka.com/catalog/funko/Fun84875/")</f>
        <v>http://www.pristavka.com/catalog/funko/Fun84875/</v>
      </c>
      <c r="N1785" s="71">
        <v>10599</v>
      </c>
      <c r="O1785" s="66" t="s">
        <v>27</v>
      </c>
      <c r="P1785" s="82" t="s">
        <v>7258</v>
      </c>
      <c r="Q1785" s="84" t="s">
        <v>3604</v>
      </c>
      <c r="R1785" s="84" t="s">
        <v>3566</v>
      </c>
      <c r="S1785" s="84">
        <v>0.12</v>
      </c>
      <c r="T1785" s="82" t="s">
        <v>4113</v>
      </c>
      <c r="U1785" s="84" t="s">
        <v>3584</v>
      </c>
      <c r="V1785" s="54"/>
    </row>
    <row r="1786" spans="1:22" s="11" customFormat="1" ht="45" customHeight="1" x14ac:dyDescent="0.2">
      <c r="A1786" s="66" t="s">
        <v>3577</v>
      </c>
      <c r="B1786" s="66" t="s">
        <v>1707</v>
      </c>
      <c r="C1786" s="66" t="s">
        <v>3578</v>
      </c>
      <c r="D1786" s="66">
        <v>85249</v>
      </c>
      <c r="E1786" s="68" t="s">
        <v>7259</v>
      </c>
      <c r="F1786" s="66" t="s">
        <v>7260</v>
      </c>
      <c r="G1786" s="71">
        <v>6890</v>
      </c>
      <c r="H1786" s="73"/>
      <c r="I1786" s="75">
        <v>0.1</v>
      </c>
      <c r="J1786" s="77"/>
      <c r="K1786" s="66"/>
      <c r="L1786" s="66"/>
      <c r="M1786" s="79" t="str">
        <f>HYPERLINK("http://www.pristavka.com/catalog/funko/Fun85249/")</f>
        <v>http://www.pristavka.com/catalog/funko/Fun85249/</v>
      </c>
      <c r="N1786" s="71">
        <v>10599</v>
      </c>
      <c r="O1786" s="66" t="s">
        <v>27</v>
      </c>
      <c r="P1786" s="82" t="s">
        <v>7261</v>
      </c>
      <c r="Q1786" s="84" t="s">
        <v>3604</v>
      </c>
      <c r="R1786" s="84" t="s">
        <v>3566</v>
      </c>
      <c r="S1786" s="84">
        <v>0.115</v>
      </c>
      <c r="T1786" s="82" t="s">
        <v>4113</v>
      </c>
      <c r="U1786" s="84" t="s">
        <v>3584</v>
      </c>
      <c r="V1786" s="54"/>
    </row>
    <row r="1787" spans="1:22" s="11" customFormat="1" ht="45" customHeight="1" x14ac:dyDescent="0.2">
      <c r="A1787" s="66" t="s">
        <v>3577</v>
      </c>
      <c r="B1787" s="66" t="s">
        <v>1707</v>
      </c>
      <c r="C1787" s="66" t="s">
        <v>3578</v>
      </c>
      <c r="D1787" s="66">
        <v>83515</v>
      </c>
      <c r="E1787" s="68" t="s">
        <v>7262</v>
      </c>
      <c r="F1787" s="66" t="s">
        <v>7263</v>
      </c>
      <c r="G1787" s="71">
        <v>6500</v>
      </c>
      <c r="H1787" s="73"/>
      <c r="I1787" s="75">
        <v>0.1</v>
      </c>
      <c r="J1787" s="77"/>
      <c r="K1787" s="66"/>
      <c r="L1787" s="66"/>
      <c r="M1787" s="79" t="str">
        <f>HYPERLINK("http://www.pristavka.com/catalog/funko/Fun83515/")</f>
        <v>http://www.pristavka.com/catalog/funko/Fun83515/</v>
      </c>
      <c r="N1787" s="71">
        <v>9999</v>
      </c>
      <c r="O1787" s="66" t="s">
        <v>27</v>
      </c>
      <c r="P1787" s="82" t="s">
        <v>7264</v>
      </c>
      <c r="Q1787" s="84" t="s">
        <v>3604</v>
      </c>
      <c r="R1787" s="84" t="s">
        <v>3566</v>
      </c>
      <c r="S1787" s="84">
        <v>0.13</v>
      </c>
      <c r="T1787" s="82" t="s">
        <v>4113</v>
      </c>
      <c r="U1787" s="84" t="s">
        <v>3584</v>
      </c>
      <c r="V1787" s="54"/>
    </row>
    <row r="1788" spans="1:22" s="11" customFormat="1" ht="45" customHeight="1" x14ac:dyDescent="0.2">
      <c r="A1788" s="66" t="s">
        <v>3577</v>
      </c>
      <c r="B1788" s="66" t="s">
        <v>1707</v>
      </c>
      <c r="C1788" s="66" t="s">
        <v>3578</v>
      </c>
      <c r="D1788" s="66">
        <v>83516</v>
      </c>
      <c r="E1788" s="68" t="s">
        <v>7265</v>
      </c>
      <c r="F1788" s="66" t="s">
        <v>7266</v>
      </c>
      <c r="G1788" s="71">
        <v>6500</v>
      </c>
      <c r="H1788" s="73"/>
      <c r="I1788" s="75">
        <v>0.1</v>
      </c>
      <c r="J1788" s="77"/>
      <c r="K1788" s="66"/>
      <c r="L1788" s="66"/>
      <c r="M1788" s="79" t="str">
        <f>HYPERLINK("http://www.pristavka.com/catalog/funko/Fun83516/")</f>
        <v>http://www.pristavka.com/catalog/funko/Fun83516/</v>
      </c>
      <c r="N1788" s="71">
        <v>9999</v>
      </c>
      <c r="O1788" s="66" t="s">
        <v>27</v>
      </c>
      <c r="P1788" s="82" t="s">
        <v>7267</v>
      </c>
      <c r="Q1788" s="84" t="s">
        <v>3604</v>
      </c>
      <c r="R1788" s="84" t="s">
        <v>3566</v>
      </c>
      <c r="S1788" s="84">
        <v>0.14499999999999999</v>
      </c>
      <c r="T1788" s="82" t="s">
        <v>4113</v>
      </c>
      <c r="U1788" s="84" t="s">
        <v>3584</v>
      </c>
      <c r="V1788" s="54"/>
    </row>
    <row r="1789" spans="1:22" s="11" customFormat="1" ht="45" customHeight="1" x14ac:dyDescent="0.2">
      <c r="A1789" s="66" t="s">
        <v>3577</v>
      </c>
      <c r="B1789" s="66" t="s">
        <v>1707</v>
      </c>
      <c r="C1789" s="66" t="s">
        <v>3578</v>
      </c>
      <c r="D1789" s="66">
        <v>82776</v>
      </c>
      <c r="E1789" s="68" t="s">
        <v>7268</v>
      </c>
      <c r="F1789" s="66" t="s">
        <v>7269</v>
      </c>
      <c r="G1789" s="71">
        <v>0</v>
      </c>
      <c r="H1789" s="73"/>
      <c r="I1789" s="75">
        <v>0.1</v>
      </c>
      <c r="J1789" s="77"/>
      <c r="K1789" s="66"/>
      <c r="L1789" s="66"/>
      <c r="M1789" s="79" t="str">
        <f>HYPERLINK("http://www.pristavka.com/catalog/funko/Fun82776/")</f>
        <v>http://www.pristavka.com/catalog/funko/Fun82776/</v>
      </c>
      <c r="N1789" s="71"/>
      <c r="O1789" s="66" t="s">
        <v>27</v>
      </c>
      <c r="P1789" s="82" t="s">
        <v>7270</v>
      </c>
      <c r="Q1789" s="84" t="s">
        <v>3604</v>
      </c>
      <c r="R1789" s="84" t="s">
        <v>3566</v>
      </c>
      <c r="S1789" s="84">
        <v>0.48399999999999999</v>
      </c>
      <c r="T1789" s="82" t="s">
        <v>6060</v>
      </c>
      <c r="U1789" s="84" t="s">
        <v>3584</v>
      </c>
      <c r="V1789" s="54"/>
    </row>
    <row r="1790" spans="1:22" s="11" customFormat="1" ht="45" customHeight="1" x14ac:dyDescent="0.2">
      <c r="A1790" s="66" t="s">
        <v>3577</v>
      </c>
      <c r="B1790" s="66" t="s">
        <v>1707</v>
      </c>
      <c r="C1790" s="66" t="s">
        <v>3578</v>
      </c>
      <c r="D1790" s="66">
        <v>47706</v>
      </c>
      <c r="E1790" s="68" t="s">
        <v>7271</v>
      </c>
      <c r="F1790" s="66" t="s">
        <v>7272</v>
      </c>
      <c r="G1790" s="71">
        <v>6500</v>
      </c>
      <c r="H1790" s="73"/>
      <c r="I1790" s="75">
        <v>0.1</v>
      </c>
      <c r="J1790" s="77"/>
      <c r="K1790" s="66"/>
      <c r="L1790" s="66"/>
      <c r="M1790" s="79" t="str">
        <f>HYPERLINK("http://www.pristavka.com/catalog/funko/Fun2549589/")</f>
        <v>http://www.pristavka.com/catalog/funko/Fun2549589/</v>
      </c>
      <c r="N1790" s="71">
        <v>9999</v>
      </c>
      <c r="O1790" s="66" t="s">
        <v>27</v>
      </c>
      <c r="P1790" s="82" t="s">
        <v>7273</v>
      </c>
      <c r="Q1790" s="84" t="s">
        <v>3566</v>
      </c>
      <c r="R1790" s="84" t="s">
        <v>3566</v>
      </c>
      <c r="S1790" s="84">
        <v>0.125</v>
      </c>
      <c r="T1790" s="82" t="s">
        <v>4102</v>
      </c>
      <c r="U1790" s="84" t="s">
        <v>3584</v>
      </c>
      <c r="V1790" s="54"/>
    </row>
    <row r="1791" spans="1:22" s="11" customFormat="1" ht="45" customHeight="1" x14ac:dyDescent="0.2">
      <c r="A1791" s="66" t="s">
        <v>3577</v>
      </c>
      <c r="B1791" s="66" t="s">
        <v>1707</v>
      </c>
      <c r="C1791" s="66" t="s">
        <v>3578</v>
      </c>
      <c r="D1791" s="66">
        <v>47707</v>
      </c>
      <c r="E1791" s="68" t="s">
        <v>7274</v>
      </c>
      <c r="F1791" s="66" t="s">
        <v>7275</v>
      </c>
      <c r="G1791" s="71">
        <v>6500</v>
      </c>
      <c r="H1791" s="73"/>
      <c r="I1791" s="75">
        <v>0.1</v>
      </c>
      <c r="J1791" s="77"/>
      <c r="K1791" s="66"/>
      <c r="L1791" s="66"/>
      <c r="M1791" s="79" t="str">
        <f>HYPERLINK("http://www.pristavka.com/catalog/funko/Fun2549590/")</f>
        <v>http://www.pristavka.com/catalog/funko/Fun2549590/</v>
      </c>
      <c r="N1791" s="71">
        <v>9999</v>
      </c>
      <c r="O1791" s="66" t="s">
        <v>27</v>
      </c>
      <c r="P1791" s="82" t="s">
        <v>7276</v>
      </c>
      <c r="Q1791" s="84" t="s">
        <v>3566</v>
      </c>
      <c r="R1791" s="84" t="s">
        <v>3566</v>
      </c>
      <c r="S1791" s="84">
        <v>0.125</v>
      </c>
      <c r="T1791" s="82" t="s">
        <v>4102</v>
      </c>
      <c r="U1791" s="84" t="s">
        <v>3584</v>
      </c>
      <c r="V1791" s="54"/>
    </row>
    <row r="1792" spans="1:22" s="11" customFormat="1" ht="45" customHeight="1" x14ac:dyDescent="0.2">
      <c r="A1792" s="66" t="s">
        <v>3577</v>
      </c>
      <c r="B1792" s="66" t="s">
        <v>1707</v>
      </c>
      <c r="C1792" s="66" t="s">
        <v>3578</v>
      </c>
      <c r="D1792" s="66">
        <v>11496</v>
      </c>
      <c r="E1792" s="68" t="s">
        <v>7277</v>
      </c>
      <c r="F1792" s="66" t="s">
        <v>7278</v>
      </c>
      <c r="G1792" s="71">
        <v>6500</v>
      </c>
      <c r="H1792" s="73"/>
      <c r="I1792" s="75">
        <v>0.2</v>
      </c>
      <c r="J1792" s="77"/>
      <c r="K1792" s="66"/>
      <c r="L1792" s="66"/>
      <c r="M1792" s="79" t="str">
        <f>HYPERLINK("http://www.pristavka.com/catalog/funko/Fun137/")</f>
        <v>http://www.pristavka.com/catalog/funko/Fun137/</v>
      </c>
      <c r="N1792" s="71">
        <v>9999</v>
      </c>
      <c r="O1792" s="66" t="s">
        <v>27</v>
      </c>
      <c r="P1792" s="82" t="s">
        <v>7279</v>
      </c>
      <c r="Q1792" s="84" t="s">
        <v>3566</v>
      </c>
      <c r="R1792" s="84" t="s">
        <v>3566</v>
      </c>
      <c r="S1792" s="84">
        <v>0.154</v>
      </c>
      <c r="T1792" s="82" t="s">
        <v>4102</v>
      </c>
      <c r="U1792" s="84" t="s">
        <v>3708</v>
      </c>
      <c r="V1792" s="54"/>
    </row>
    <row r="1793" spans="1:22" s="11" customFormat="1" ht="45" customHeight="1" x14ac:dyDescent="0.2">
      <c r="A1793" s="66" t="s">
        <v>3577</v>
      </c>
      <c r="B1793" s="66" t="s">
        <v>1707</v>
      </c>
      <c r="C1793" s="66" t="s">
        <v>3578</v>
      </c>
      <c r="D1793" s="66">
        <v>82765</v>
      </c>
      <c r="E1793" s="68" t="s">
        <v>7280</v>
      </c>
      <c r="F1793" s="66" t="s">
        <v>7281</v>
      </c>
      <c r="G1793" s="71">
        <v>6500</v>
      </c>
      <c r="H1793" s="73"/>
      <c r="I1793" s="75">
        <v>0.1</v>
      </c>
      <c r="J1793" s="77"/>
      <c r="K1793" s="66"/>
      <c r="L1793" s="66"/>
      <c r="M1793" s="79" t="str">
        <f>HYPERLINK("https://pristavka.com/catalog/funko_figures/Fun82765/")</f>
        <v>https://pristavka.com/catalog/funko_figures/Fun82765/</v>
      </c>
      <c r="N1793" s="71">
        <v>9999</v>
      </c>
      <c r="O1793" s="66" t="s">
        <v>27</v>
      </c>
      <c r="P1793" s="82" t="s">
        <v>7282</v>
      </c>
      <c r="Q1793" s="84" t="s">
        <v>3566</v>
      </c>
      <c r="R1793" s="84" t="s">
        <v>3566</v>
      </c>
      <c r="S1793" s="84">
        <v>0.125</v>
      </c>
      <c r="T1793" s="82" t="s">
        <v>4113</v>
      </c>
      <c r="U1793" s="84" t="s">
        <v>3584</v>
      </c>
      <c r="V1793" s="54"/>
    </row>
    <row r="1794" spans="1:22" s="11" customFormat="1" ht="45" customHeight="1" x14ac:dyDescent="0.2">
      <c r="A1794" s="66" t="s">
        <v>3577</v>
      </c>
      <c r="B1794" s="66" t="s">
        <v>1707</v>
      </c>
      <c r="C1794" s="66" t="s">
        <v>3578</v>
      </c>
      <c r="D1794" s="66">
        <v>65613</v>
      </c>
      <c r="E1794" s="68" t="s">
        <v>7283</v>
      </c>
      <c r="F1794" s="66" t="s">
        <v>7284</v>
      </c>
      <c r="G1794" s="71">
        <v>6500</v>
      </c>
      <c r="H1794" s="73"/>
      <c r="I1794" s="75">
        <v>0.1</v>
      </c>
      <c r="J1794" s="77"/>
      <c r="K1794" s="66"/>
      <c r="L1794" s="66"/>
      <c r="M1794" s="79" t="str">
        <f>HYPERLINK("http://www.pristavka.com/catalog/funko/Fun65613/")</f>
        <v>http://www.pristavka.com/catalog/funko/Fun65613/</v>
      </c>
      <c r="N1794" s="71">
        <v>9999</v>
      </c>
      <c r="O1794" s="66" t="s">
        <v>27</v>
      </c>
      <c r="P1794" s="82" t="s">
        <v>7285</v>
      </c>
      <c r="Q1794" s="84" t="s">
        <v>7286</v>
      </c>
      <c r="R1794" s="84" t="s">
        <v>3566</v>
      </c>
      <c r="S1794" s="84">
        <v>0.158</v>
      </c>
      <c r="T1794" s="82" t="s">
        <v>4113</v>
      </c>
      <c r="U1794" s="84" t="s">
        <v>3584</v>
      </c>
      <c r="V1794" s="54"/>
    </row>
    <row r="1795" spans="1:22" s="11" customFormat="1" ht="45" customHeight="1" x14ac:dyDescent="0.2">
      <c r="A1795" s="66" t="s">
        <v>3577</v>
      </c>
      <c r="B1795" s="66" t="s">
        <v>1707</v>
      </c>
      <c r="C1795" s="66" t="s">
        <v>3578</v>
      </c>
      <c r="D1795" s="66">
        <v>65614</v>
      </c>
      <c r="E1795" s="68" t="s">
        <v>7287</v>
      </c>
      <c r="F1795" s="66" t="s">
        <v>7288</v>
      </c>
      <c r="G1795" s="71">
        <v>6500</v>
      </c>
      <c r="H1795" s="73"/>
      <c r="I1795" s="75">
        <v>0.1</v>
      </c>
      <c r="J1795" s="77"/>
      <c r="K1795" s="66"/>
      <c r="L1795" s="66"/>
      <c r="M1795" s="79" t="str">
        <f>HYPERLINK("http://www.pristavka.com/catalog/funko/Fun65614/")</f>
        <v>http://www.pristavka.com/catalog/funko/Fun65614/</v>
      </c>
      <c r="N1795" s="71">
        <v>9999</v>
      </c>
      <c r="O1795" s="66" t="s">
        <v>27</v>
      </c>
      <c r="P1795" s="82" t="s">
        <v>7289</v>
      </c>
      <c r="Q1795" s="84" t="s">
        <v>7286</v>
      </c>
      <c r="R1795" s="84" t="s">
        <v>3566</v>
      </c>
      <c r="S1795" s="84">
        <v>0.14199999999999999</v>
      </c>
      <c r="T1795" s="82" t="s">
        <v>4113</v>
      </c>
      <c r="U1795" s="84" t="s">
        <v>3584</v>
      </c>
      <c r="V1795" s="54"/>
    </row>
    <row r="1796" spans="1:22" s="11" customFormat="1" ht="45" customHeight="1" x14ac:dyDescent="0.2">
      <c r="A1796" s="66" t="s">
        <v>3577</v>
      </c>
      <c r="B1796" s="66" t="s">
        <v>1707</v>
      </c>
      <c r="C1796" s="66" t="s">
        <v>3578</v>
      </c>
      <c r="D1796" s="66">
        <v>65615</v>
      </c>
      <c r="E1796" s="68" t="s">
        <v>7290</v>
      </c>
      <c r="F1796" s="66" t="s">
        <v>7291</v>
      </c>
      <c r="G1796" s="71">
        <v>6500</v>
      </c>
      <c r="H1796" s="73"/>
      <c r="I1796" s="75">
        <v>0.1</v>
      </c>
      <c r="J1796" s="77"/>
      <c r="K1796" s="66"/>
      <c r="L1796" s="66"/>
      <c r="M1796" s="79" t="str">
        <f>HYPERLINK("http://www.pristavka.com/catalog/funko/Fun65615/")</f>
        <v>http://www.pristavka.com/catalog/funko/Fun65615/</v>
      </c>
      <c r="N1796" s="71">
        <v>9999</v>
      </c>
      <c r="O1796" s="66" t="s">
        <v>27</v>
      </c>
      <c r="P1796" s="82" t="s">
        <v>7292</v>
      </c>
      <c r="Q1796" s="84" t="s">
        <v>7286</v>
      </c>
      <c r="R1796" s="84" t="s">
        <v>3566</v>
      </c>
      <c r="S1796" s="84">
        <v>0.14799999999999999</v>
      </c>
      <c r="T1796" s="82" t="s">
        <v>4113</v>
      </c>
      <c r="U1796" s="84" t="s">
        <v>3584</v>
      </c>
      <c r="V1796" s="54"/>
    </row>
    <row r="1797" spans="1:22" s="11" customFormat="1" ht="45" customHeight="1" x14ac:dyDescent="0.2">
      <c r="A1797" s="66" t="s">
        <v>3577</v>
      </c>
      <c r="B1797" s="66" t="s">
        <v>1707</v>
      </c>
      <c r="C1797" s="66" t="s">
        <v>3578</v>
      </c>
      <c r="D1797" s="66">
        <v>75850</v>
      </c>
      <c r="E1797" s="68" t="s">
        <v>7293</v>
      </c>
      <c r="F1797" s="66" t="s">
        <v>7294</v>
      </c>
      <c r="G1797" s="71">
        <v>6500</v>
      </c>
      <c r="H1797" s="73"/>
      <c r="I1797" s="75">
        <v>0.2</v>
      </c>
      <c r="J1797" s="77"/>
      <c r="K1797" s="66"/>
      <c r="L1797" s="66"/>
      <c r="M1797" s="79" t="str">
        <f>HYPERLINK("http://www.pristavka.com/catalog/funko/Fun75850/")</f>
        <v>http://www.pristavka.com/catalog/funko/Fun75850/</v>
      </c>
      <c r="N1797" s="71">
        <v>9999</v>
      </c>
      <c r="O1797" s="66" t="s">
        <v>27</v>
      </c>
      <c r="P1797" s="82" t="s">
        <v>7295</v>
      </c>
      <c r="Q1797" s="84" t="s">
        <v>7286</v>
      </c>
      <c r="R1797" s="84" t="s">
        <v>3566</v>
      </c>
      <c r="S1797" s="84">
        <v>0.15</v>
      </c>
      <c r="T1797" s="82" t="s">
        <v>4113</v>
      </c>
      <c r="U1797" s="84" t="s">
        <v>3593</v>
      </c>
      <c r="V1797" s="54"/>
    </row>
    <row r="1798" spans="1:22" s="11" customFormat="1" ht="45" customHeight="1" x14ac:dyDescent="0.2">
      <c r="A1798" s="66" t="s">
        <v>3577</v>
      </c>
      <c r="B1798" s="66" t="s">
        <v>1707</v>
      </c>
      <c r="C1798" s="66" t="s">
        <v>3578</v>
      </c>
      <c r="D1798" s="66">
        <v>80027</v>
      </c>
      <c r="E1798" s="68" t="s">
        <v>7296</v>
      </c>
      <c r="F1798" s="66" t="s">
        <v>7297</v>
      </c>
      <c r="G1798" s="71">
        <v>6500</v>
      </c>
      <c r="H1798" s="73"/>
      <c r="I1798" s="75">
        <v>0.1</v>
      </c>
      <c r="J1798" s="77"/>
      <c r="K1798" s="66"/>
      <c r="L1798" s="66"/>
      <c r="M1798" s="79" t="str">
        <f>HYPERLINK("http://www.pristavka.com/catalog/funko/Fun80027/")</f>
        <v>http://www.pristavka.com/catalog/funko/Fun80027/</v>
      </c>
      <c r="N1798" s="71">
        <v>9999</v>
      </c>
      <c r="O1798" s="66" t="s">
        <v>27</v>
      </c>
      <c r="P1798" s="82" t="s">
        <v>7298</v>
      </c>
      <c r="Q1798" s="84" t="s">
        <v>3566</v>
      </c>
      <c r="R1798" s="84" t="s">
        <v>3566</v>
      </c>
      <c r="S1798" s="84">
        <v>0.14499999999999999</v>
      </c>
      <c r="T1798" s="82" t="s">
        <v>4084</v>
      </c>
      <c r="U1798" s="84" t="s">
        <v>3584</v>
      </c>
      <c r="V1798" s="54"/>
    </row>
    <row r="1799" spans="1:22" s="11" customFormat="1" ht="45" customHeight="1" x14ac:dyDescent="0.2">
      <c r="A1799" s="66" t="s">
        <v>3577</v>
      </c>
      <c r="B1799" s="66" t="s">
        <v>1707</v>
      </c>
      <c r="C1799" s="66" t="s">
        <v>3578</v>
      </c>
      <c r="D1799" s="66">
        <v>80028</v>
      </c>
      <c r="E1799" s="68" t="s">
        <v>7299</v>
      </c>
      <c r="F1799" s="66" t="s">
        <v>7300</v>
      </c>
      <c r="G1799" s="71">
        <v>6500</v>
      </c>
      <c r="H1799" s="73"/>
      <c r="I1799" s="75">
        <v>0.1</v>
      </c>
      <c r="J1799" s="77"/>
      <c r="K1799" s="66"/>
      <c r="L1799" s="66"/>
      <c r="M1799" s="79" t="str">
        <f>HYPERLINK("http://www.pristavka.com/catalog/funko/Fun80028/")</f>
        <v>http://www.pristavka.com/catalog/funko/Fun80028/</v>
      </c>
      <c r="N1799" s="71">
        <v>9999</v>
      </c>
      <c r="O1799" s="66" t="s">
        <v>27</v>
      </c>
      <c r="P1799" s="82" t="s">
        <v>7301</v>
      </c>
      <c r="Q1799" s="84" t="s">
        <v>3566</v>
      </c>
      <c r="R1799" s="84" t="s">
        <v>3566</v>
      </c>
      <c r="S1799" s="84">
        <v>0.114</v>
      </c>
      <c r="T1799" s="82" t="s">
        <v>4084</v>
      </c>
      <c r="U1799" s="84" t="s">
        <v>3584</v>
      </c>
      <c r="V1799" s="54"/>
    </row>
    <row r="1800" spans="1:22" s="11" customFormat="1" ht="45" customHeight="1" x14ac:dyDescent="0.2">
      <c r="A1800" s="66" t="s">
        <v>3577</v>
      </c>
      <c r="B1800" s="66" t="s">
        <v>1707</v>
      </c>
      <c r="C1800" s="66" t="s">
        <v>3578</v>
      </c>
      <c r="D1800" s="66">
        <v>80029</v>
      </c>
      <c r="E1800" s="68" t="s">
        <v>7302</v>
      </c>
      <c r="F1800" s="66" t="s">
        <v>7303</v>
      </c>
      <c r="G1800" s="71">
        <v>6500</v>
      </c>
      <c r="H1800" s="73"/>
      <c r="I1800" s="75">
        <v>0.1</v>
      </c>
      <c r="J1800" s="77"/>
      <c r="K1800" s="66"/>
      <c r="L1800" s="66"/>
      <c r="M1800" s="79" t="str">
        <f>HYPERLINK("http://www.pristavka.com/catalog/funko/Fun80029/")</f>
        <v>http://www.pristavka.com/catalog/funko/Fun80029/</v>
      </c>
      <c r="N1800" s="71">
        <v>9999</v>
      </c>
      <c r="O1800" s="66" t="s">
        <v>27</v>
      </c>
      <c r="P1800" s="82" t="s">
        <v>7304</v>
      </c>
      <c r="Q1800" s="84" t="s">
        <v>3566</v>
      </c>
      <c r="R1800" s="84" t="s">
        <v>3566</v>
      </c>
      <c r="S1800" s="84">
        <v>0.15</v>
      </c>
      <c r="T1800" s="82" t="s">
        <v>4084</v>
      </c>
      <c r="U1800" s="84" t="s">
        <v>3584</v>
      </c>
      <c r="V1800" s="54"/>
    </row>
    <row r="1801" spans="1:22" s="11" customFormat="1" ht="45" customHeight="1" x14ac:dyDescent="0.2">
      <c r="A1801" s="66" t="s">
        <v>3577</v>
      </c>
      <c r="B1801" s="66" t="s">
        <v>1707</v>
      </c>
      <c r="C1801" s="66" t="s">
        <v>3578</v>
      </c>
      <c r="D1801" s="66">
        <v>80030</v>
      </c>
      <c r="E1801" s="68" t="s">
        <v>7305</v>
      </c>
      <c r="F1801" s="66" t="s">
        <v>7306</v>
      </c>
      <c r="G1801" s="71">
        <v>6500</v>
      </c>
      <c r="H1801" s="73"/>
      <c r="I1801" s="75">
        <v>0.1</v>
      </c>
      <c r="J1801" s="77"/>
      <c r="K1801" s="66"/>
      <c r="L1801" s="66"/>
      <c r="M1801" s="79" t="str">
        <f>HYPERLINK("http://www.pristavka.com/catalog/funko/Fun80030/")</f>
        <v>http://www.pristavka.com/catalog/funko/Fun80030/</v>
      </c>
      <c r="N1801" s="71">
        <v>9999</v>
      </c>
      <c r="O1801" s="66" t="s">
        <v>27</v>
      </c>
      <c r="P1801" s="82" t="s">
        <v>7307</v>
      </c>
      <c r="Q1801" s="84" t="s">
        <v>3566</v>
      </c>
      <c r="R1801" s="84" t="s">
        <v>3566</v>
      </c>
      <c r="S1801" s="84">
        <v>0.16400000000000001</v>
      </c>
      <c r="T1801" s="82" t="s">
        <v>4091</v>
      </c>
      <c r="U1801" s="84" t="s">
        <v>3584</v>
      </c>
      <c r="V1801" s="54"/>
    </row>
    <row r="1802" spans="1:22" s="11" customFormat="1" ht="45" customHeight="1" x14ac:dyDescent="0.2">
      <c r="A1802" s="66" t="s">
        <v>3577</v>
      </c>
      <c r="B1802" s="66" t="s">
        <v>1707</v>
      </c>
      <c r="C1802" s="66" t="s">
        <v>3578</v>
      </c>
      <c r="D1802" s="66">
        <v>80031</v>
      </c>
      <c r="E1802" s="68" t="s">
        <v>7308</v>
      </c>
      <c r="F1802" s="66" t="s">
        <v>7309</v>
      </c>
      <c r="G1802" s="71">
        <v>0</v>
      </c>
      <c r="H1802" s="73"/>
      <c r="I1802" s="75">
        <v>0.1</v>
      </c>
      <c r="J1802" s="77"/>
      <c r="K1802" s="66"/>
      <c r="L1802" s="66"/>
      <c r="M1802" s="79" t="str">
        <f>HYPERLINK("http://www.pristavka.com/catalog/funko/Fun80031/")</f>
        <v>http://www.pristavka.com/catalog/funko/Fun80031/</v>
      </c>
      <c r="N1802" s="71"/>
      <c r="O1802" s="66" t="s">
        <v>27</v>
      </c>
      <c r="P1802" s="82" t="s">
        <v>7310</v>
      </c>
      <c r="Q1802" s="84" t="s">
        <v>3566</v>
      </c>
      <c r="R1802" s="84" t="s">
        <v>3566</v>
      </c>
      <c r="S1802" s="84">
        <v>0.186</v>
      </c>
      <c r="T1802" s="82" t="s">
        <v>4084</v>
      </c>
      <c r="U1802" s="84" t="s">
        <v>3584</v>
      </c>
      <c r="V1802" s="54"/>
    </row>
    <row r="1803" spans="1:22" s="11" customFormat="1" ht="45" customHeight="1" x14ac:dyDescent="0.2">
      <c r="A1803" s="66" t="s">
        <v>3577</v>
      </c>
      <c r="B1803" s="66" t="s">
        <v>1707</v>
      </c>
      <c r="C1803" s="66" t="s">
        <v>3578</v>
      </c>
      <c r="D1803" s="66">
        <v>80903</v>
      </c>
      <c r="E1803" s="68" t="s">
        <v>7311</v>
      </c>
      <c r="F1803" s="66" t="s">
        <v>7312</v>
      </c>
      <c r="G1803" s="71">
        <v>0</v>
      </c>
      <c r="H1803" s="73"/>
      <c r="I1803" s="75">
        <v>0.1</v>
      </c>
      <c r="J1803" s="77"/>
      <c r="K1803" s="66"/>
      <c r="L1803" s="66"/>
      <c r="M1803" s="79" t="str">
        <f>HYPERLINK("http://www.pristavka.com/catalog/funko/Fun80903/")</f>
        <v>http://www.pristavka.com/catalog/funko/Fun80903/</v>
      </c>
      <c r="N1803" s="71"/>
      <c r="O1803" s="66" t="s">
        <v>27</v>
      </c>
      <c r="P1803" s="82" t="s">
        <v>7313</v>
      </c>
      <c r="Q1803" s="84" t="s">
        <v>3566</v>
      </c>
      <c r="R1803" s="84" t="s">
        <v>3566</v>
      </c>
      <c r="S1803" s="84">
        <v>0.14399999999999999</v>
      </c>
      <c r="T1803" s="82" t="s">
        <v>4102</v>
      </c>
      <c r="U1803" s="84" t="s">
        <v>3584</v>
      </c>
      <c r="V1803" s="54"/>
    </row>
    <row r="1804" spans="1:22" s="11" customFormat="1" ht="45" customHeight="1" x14ac:dyDescent="0.2">
      <c r="A1804" s="66" t="s">
        <v>3577</v>
      </c>
      <c r="B1804" s="66" t="s">
        <v>1707</v>
      </c>
      <c r="C1804" s="66" t="s">
        <v>3578</v>
      </c>
      <c r="D1804" s="66">
        <v>80904</v>
      </c>
      <c r="E1804" s="68" t="s">
        <v>7314</v>
      </c>
      <c r="F1804" s="66" t="s">
        <v>7315</v>
      </c>
      <c r="G1804" s="71">
        <v>0</v>
      </c>
      <c r="H1804" s="73"/>
      <c r="I1804" s="75">
        <v>0.1</v>
      </c>
      <c r="J1804" s="77"/>
      <c r="K1804" s="66"/>
      <c r="L1804" s="66"/>
      <c r="M1804" s="79" t="str">
        <f>HYPERLINK("http://www.pristavka.com/catalog/funko/Fun80904/")</f>
        <v>http://www.pristavka.com/catalog/funko/Fun80904/</v>
      </c>
      <c r="N1804" s="71"/>
      <c r="O1804" s="66" t="s">
        <v>27</v>
      </c>
      <c r="P1804" s="82" t="s">
        <v>7316</v>
      </c>
      <c r="Q1804" s="84" t="s">
        <v>3604</v>
      </c>
      <c r="R1804" s="84" t="s">
        <v>3566</v>
      </c>
      <c r="S1804" s="84">
        <v>0.126</v>
      </c>
      <c r="T1804" s="82" t="s">
        <v>4084</v>
      </c>
      <c r="U1804" s="84" t="s">
        <v>3584</v>
      </c>
      <c r="V1804" s="54"/>
    </row>
    <row r="1805" spans="1:22" s="11" customFormat="1" ht="45" customHeight="1" x14ac:dyDescent="0.2">
      <c r="A1805" s="66" t="s">
        <v>3577</v>
      </c>
      <c r="B1805" s="66" t="s">
        <v>1707</v>
      </c>
      <c r="C1805" s="66" t="s">
        <v>3578</v>
      </c>
      <c r="D1805" s="66">
        <v>80905</v>
      </c>
      <c r="E1805" s="68" t="s">
        <v>7317</v>
      </c>
      <c r="F1805" s="66" t="s">
        <v>7318</v>
      </c>
      <c r="G1805" s="71">
        <v>0</v>
      </c>
      <c r="H1805" s="73"/>
      <c r="I1805" s="75">
        <v>0.1</v>
      </c>
      <c r="J1805" s="77"/>
      <c r="K1805" s="66"/>
      <c r="L1805" s="66"/>
      <c r="M1805" s="79" t="str">
        <f>HYPERLINK("http://www.pristavka.com/catalog/funko/Fun80905/")</f>
        <v>http://www.pristavka.com/catalog/funko/Fun80905/</v>
      </c>
      <c r="N1805" s="71"/>
      <c r="O1805" s="66" t="s">
        <v>27</v>
      </c>
      <c r="P1805" s="82" t="s">
        <v>7319</v>
      </c>
      <c r="Q1805" s="84" t="s">
        <v>3566</v>
      </c>
      <c r="R1805" s="84" t="s">
        <v>3566</v>
      </c>
      <c r="S1805" s="84">
        <v>0.126</v>
      </c>
      <c r="T1805" s="82" t="s">
        <v>4113</v>
      </c>
      <c r="U1805" s="84" t="s">
        <v>3584</v>
      </c>
      <c r="V1805" s="54"/>
    </row>
    <row r="1806" spans="1:22" s="11" customFormat="1" ht="45" customHeight="1" x14ac:dyDescent="0.2">
      <c r="A1806" s="66" t="s">
        <v>3577</v>
      </c>
      <c r="B1806" s="66" t="s">
        <v>1707</v>
      </c>
      <c r="C1806" s="66" t="s">
        <v>3578</v>
      </c>
      <c r="D1806" s="66">
        <v>80763</v>
      </c>
      <c r="E1806" s="68" t="s">
        <v>7320</v>
      </c>
      <c r="F1806" s="66" t="s">
        <v>7321</v>
      </c>
      <c r="G1806" s="71">
        <v>6500</v>
      </c>
      <c r="H1806" s="73"/>
      <c r="I1806" s="75">
        <v>0.1</v>
      </c>
      <c r="J1806" s="77"/>
      <c r="K1806" s="66"/>
      <c r="L1806" s="66"/>
      <c r="M1806" s="79" t="str">
        <f>HYPERLINK("http://www.pristavka.com/catalog/funko/Fun80763/")</f>
        <v>http://www.pristavka.com/catalog/funko/Fun80763/</v>
      </c>
      <c r="N1806" s="71">
        <v>9999</v>
      </c>
      <c r="O1806" s="66" t="s">
        <v>27</v>
      </c>
      <c r="P1806" s="82" t="s">
        <v>7322</v>
      </c>
      <c r="Q1806" s="84" t="s">
        <v>3844</v>
      </c>
      <c r="R1806" s="84" t="s">
        <v>3566</v>
      </c>
      <c r="S1806" s="84">
        <v>0.126</v>
      </c>
      <c r="T1806" s="82" t="s">
        <v>4084</v>
      </c>
      <c r="U1806" s="84" t="s">
        <v>3584</v>
      </c>
      <c r="V1806" s="54"/>
    </row>
    <row r="1807" spans="1:22" s="11" customFormat="1" ht="45" customHeight="1" x14ac:dyDescent="0.2">
      <c r="A1807" s="66" t="s">
        <v>3577</v>
      </c>
      <c r="B1807" s="66" t="s">
        <v>1707</v>
      </c>
      <c r="C1807" s="66" t="s">
        <v>3578</v>
      </c>
      <c r="D1807" s="66">
        <v>80765</v>
      </c>
      <c r="E1807" s="68" t="s">
        <v>7323</v>
      </c>
      <c r="F1807" s="66" t="s">
        <v>7324</v>
      </c>
      <c r="G1807" s="71">
        <v>6500</v>
      </c>
      <c r="H1807" s="73"/>
      <c r="I1807" s="75">
        <v>0.1</v>
      </c>
      <c r="J1807" s="77"/>
      <c r="K1807" s="66"/>
      <c r="L1807" s="66"/>
      <c r="M1807" s="79" t="str">
        <f>HYPERLINK("http://www.pristavka.com/catalog/funko/Fun80765/")</f>
        <v>http://www.pristavka.com/catalog/funko/Fun80765/</v>
      </c>
      <c r="N1807" s="71">
        <v>9999</v>
      </c>
      <c r="O1807" s="66" t="s">
        <v>27</v>
      </c>
      <c r="P1807" s="82" t="s">
        <v>7325</v>
      </c>
      <c r="Q1807" s="84" t="s">
        <v>3844</v>
      </c>
      <c r="R1807" s="84" t="s">
        <v>3566</v>
      </c>
      <c r="S1807" s="84">
        <v>0.12</v>
      </c>
      <c r="T1807" s="82" t="s">
        <v>4091</v>
      </c>
      <c r="U1807" s="84" t="s">
        <v>3584</v>
      </c>
      <c r="V1807" s="54"/>
    </row>
    <row r="1808" spans="1:22" s="11" customFormat="1" ht="45" customHeight="1" x14ac:dyDescent="0.2">
      <c r="A1808" s="66" t="s">
        <v>3577</v>
      </c>
      <c r="B1808" s="66" t="s">
        <v>1707</v>
      </c>
      <c r="C1808" s="66" t="s">
        <v>3578</v>
      </c>
      <c r="D1808" s="66">
        <v>80764</v>
      </c>
      <c r="E1808" s="68" t="s">
        <v>7326</v>
      </c>
      <c r="F1808" s="66" t="s">
        <v>7327</v>
      </c>
      <c r="G1808" s="71">
        <v>6500</v>
      </c>
      <c r="H1808" s="73"/>
      <c r="I1808" s="75">
        <v>0.1</v>
      </c>
      <c r="J1808" s="77"/>
      <c r="K1808" s="66"/>
      <c r="L1808" s="66"/>
      <c r="M1808" s="79" t="str">
        <f>HYPERLINK("http://www.pristavka.com/catalog/funko/Fun80764/")</f>
        <v>http://www.pristavka.com/catalog/funko/Fun80764/</v>
      </c>
      <c r="N1808" s="71">
        <v>9999</v>
      </c>
      <c r="O1808" s="66" t="s">
        <v>27</v>
      </c>
      <c r="P1808" s="82" t="s">
        <v>7328</v>
      </c>
      <c r="Q1808" s="84" t="s">
        <v>3844</v>
      </c>
      <c r="R1808" s="84" t="s">
        <v>3566</v>
      </c>
      <c r="S1808" s="84">
        <v>0.112</v>
      </c>
      <c r="T1808" s="82" t="s">
        <v>4091</v>
      </c>
      <c r="U1808" s="84" t="s">
        <v>3584</v>
      </c>
      <c r="V1808" s="54"/>
    </row>
    <row r="1809" spans="1:22" s="11" customFormat="1" ht="45" customHeight="1" x14ac:dyDescent="0.2">
      <c r="A1809" s="66" t="s">
        <v>3577</v>
      </c>
      <c r="B1809" s="66" t="s">
        <v>1707</v>
      </c>
      <c r="C1809" s="66" t="s">
        <v>3578</v>
      </c>
      <c r="D1809" s="66">
        <v>85645</v>
      </c>
      <c r="E1809" s="68" t="s">
        <v>7329</v>
      </c>
      <c r="F1809" s="66" t="s">
        <v>7330</v>
      </c>
      <c r="G1809" s="71">
        <v>6500</v>
      </c>
      <c r="H1809" s="73"/>
      <c r="I1809" s="75">
        <v>0.1</v>
      </c>
      <c r="J1809" s="77"/>
      <c r="K1809" s="66"/>
      <c r="L1809" s="66"/>
      <c r="M1809" s="79" t="str">
        <f>HYPERLINK("http://www.pristavka.com/catalog/funko/Fun85645/")</f>
        <v>http://www.pristavka.com/catalog/funko/Fun85645/</v>
      </c>
      <c r="N1809" s="71">
        <v>9999</v>
      </c>
      <c r="O1809" s="66" t="s">
        <v>27</v>
      </c>
      <c r="P1809" s="82" t="s">
        <v>7331</v>
      </c>
      <c r="Q1809" s="84" t="s">
        <v>3844</v>
      </c>
      <c r="R1809" s="84" t="s">
        <v>3566</v>
      </c>
      <c r="S1809" s="84">
        <v>0.14499999999999999</v>
      </c>
      <c r="T1809" s="82" t="s">
        <v>4113</v>
      </c>
      <c r="U1809" s="84" t="s">
        <v>3584</v>
      </c>
      <c r="V1809" s="54"/>
    </row>
    <row r="1810" spans="1:22" s="11" customFormat="1" ht="45" customHeight="1" x14ac:dyDescent="0.2">
      <c r="A1810" s="66" t="s">
        <v>3577</v>
      </c>
      <c r="B1810" s="66" t="s">
        <v>1707</v>
      </c>
      <c r="C1810" s="66" t="s">
        <v>3578</v>
      </c>
      <c r="D1810" s="66">
        <v>85644</v>
      </c>
      <c r="E1810" s="68" t="s">
        <v>7332</v>
      </c>
      <c r="F1810" s="66" t="s">
        <v>7333</v>
      </c>
      <c r="G1810" s="71">
        <v>6500</v>
      </c>
      <c r="H1810" s="73"/>
      <c r="I1810" s="75">
        <v>0.1</v>
      </c>
      <c r="J1810" s="77"/>
      <c r="K1810" s="66"/>
      <c r="L1810" s="66"/>
      <c r="M1810" s="79" t="str">
        <f>HYPERLINK("http://www.pristavka.com/catalog/funko/Fun85644/")</f>
        <v>http://www.pristavka.com/catalog/funko/Fun85644/</v>
      </c>
      <c r="N1810" s="71">
        <v>9999</v>
      </c>
      <c r="O1810" s="66" t="s">
        <v>27</v>
      </c>
      <c r="P1810" s="82" t="s">
        <v>7334</v>
      </c>
      <c r="Q1810" s="84" t="s">
        <v>3844</v>
      </c>
      <c r="R1810" s="84" t="s">
        <v>3566</v>
      </c>
      <c r="S1810" s="84">
        <v>0.126</v>
      </c>
      <c r="T1810" s="82" t="s">
        <v>4091</v>
      </c>
      <c r="U1810" s="84" t="s">
        <v>3584</v>
      </c>
      <c r="V1810" s="54"/>
    </row>
    <row r="1811" spans="1:22" s="11" customFormat="1" ht="45" customHeight="1" x14ac:dyDescent="0.2">
      <c r="A1811" s="66" t="s">
        <v>3577</v>
      </c>
      <c r="B1811" s="66" t="s">
        <v>1707</v>
      </c>
      <c r="C1811" s="66" t="s">
        <v>3578</v>
      </c>
      <c r="D1811" s="66">
        <v>85643</v>
      </c>
      <c r="E1811" s="68" t="s">
        <v>7335</v>
      </c>
      <c r="F1811" s="66" t="s">
        <v>7336</v>
      </c>
      <c r="G1811" s="71">
        <v>6500</v>
      </c>
      <c r="H1811" s="73"/>
      <c r="I1811" s="75">
        <v>0.1</v>
      </c>
      <c r="J1811" s="77"/>
      <c r="K1811" s="66"/>
      <c r="L1811" s="66"/>
      <c r="M1811" s="79" t="str">
        <f>HYPERLINK("http://www.pristavka.com/catalog/funko/Fun85643/")</f>
        <v>http://www.pristavka.com/catalog/funko/Fun85643/</v>
      </c>
      <c r="N1811" s="71">
        <v>9999</v>
      </c>
      <c r="O1811" s="66" t="s">
        <v>27</v>
      </c>
      <c r="P1811" s="82" t="s">
        <v>7337</v>
      </c>
      <c r="Q1811" s="84" t="s">
        <v>3844</v>
      </c>
      <c r="R1811" s="84" t="s">
        <v>3566</v>
      </c>
      <c r="S1811" s="84">
        <v>0.151</v>
      </c>
      <c r="T1811" s="82" t="s">
        <v>4091</v>
      </c>
      <c r="U1811" s="84" t="s">
        <v>3584</v>
      </c>
      <c r="V1811" s="54"/>
    </row>
    <row r="1812" spans="1:22" s="11" customFormat="1" ht="45" customHeight="1" x14ac:dyDescent="0.2">
      <c r="A1812" s="66" t="s">
        <v>3577</v>
      </c>
      <c r="B1812" s="66" t="s">
        <v>1707</v>
      </c>
      <c r="C1812" s="66" t="s">
        <v>3578</v>
      </c>
      <c r="D1812" s="66">
        <v>85642</v>
      </c>
      <c r="E1812" s="68" t="s">
        <v>7338</v>
      </c>
      <c r="F1812" s="66" t="s">
        <v>7339</v>
      </c>
      <c r="G1812" s="71">
        <v>6500</v>
      </c>
      <c r="H1812" s="73"/>
      <c r="I1812" s="75">
        <v>0.1</v>
      </c>
      <c r="J1812" s="77"/>
      <c r="K1812" s="66"/>
      <c r="L1812" s="66"/>
      <c r="M1812" s="79" t="str">
        <f>HYPERLINK("http://www.pristavka.com/catalog/funko/Fun85642/")</f>
        <v>http://www.pristavka.com/catalog/funko/Fun85642/</v>
      </c>
      <c r="N1812" s="71">
        <v>9999</v>
      </c>
      <c r="O1812" s="66" t="s">
        <v>27</v>
      </c>
      <c r="P1812" s="82" t="s">
        <v>7340</v>
      </c>
      <c r="Q1812" s="84" t="s">
        <v>3844</v>
      </c>
      <c r="R1812" s="84" t="s">
        <v>3566</v>
      </c>
      <c r="S1812" s="84">
        <v>0.14499999999999999</v>
      </c>
      <c r="T1812" s="82" t="s">
        <v>4113</v>
      </c>
      <c r="U1812" s="84" t="s">
        <v>3584</v>
      </c>
      <c r="V1812" s="54"/>
    </row>
    <row r="1813" spans="1:22" s="11" customFormat="1" ht="45" customHeight="1" x14ac:dyDescent="0.2">
      <c r="A1813" s="66" t="s">
        <v>3577</v>
      </c>
      <c r="B1813" s="66" t="s">
        <v>1707</v>
      </c>
      <c r="C1813" s="66" t="s">
        <v>3578</v>
      </c>
      <c r="D1813" s="66">
        <v>85646</v>
      </c>
      <c r="E1813" s="68" t="s">
        <v>7341</v>
      </c>
      <c r="F1813" s="66" t="s">
        <v>7342</v>
      </c>
      <c r="G1813" s="71">
        <v>0</v>
      </c>
      <c r="H1813" s="73"/>
      <c r="I1813" s="75">
        <v>0.1</v>
      </c>
      <c r="J1813" s="77"/>
      <c r="K1813" s="66"/>
      <c r="L1813" s="66"/>
      <c r="M1813" s="79" t="str">
        <f>HYPERLINK("http://www.pristavka.com/catalog/funko/Fun85646/")</f>
        <v>http://www.pristavka.com/catalog/funko/Fun85646/</v>
      </c>
      <c r="N1813" s="71"/>
      <c r="O1813" s="66" t="s">
        <v>27</v>
      </c>
      <c r="P1813" s="82" t="s">
        <v>7343</v>
      </c>
      <c r="Q1813" s="84" t="s">
        <v>3844</v>
      </c>
      <c r="R1813" s="84" t="s">
        <v>3566</v>
      </c>
      <c r="S1813" s="84">
        <v>1.196</v>
      </c>
      <c r="T1813" s="82" t="s">
        <v>7018</v>
      </c>
      <c r="U1813" s="84" t="s">
        <v>3584</v>
      </c>
      <c r="V1813" s="54"/>
    </row>
    <row r="1814" spans="1:22" s="11" customFormat="1" ht="45" customHeight="1" x14ac:dyDescent="0.2">
      <c r="A1814" s="66" t="s">
        <v>3577</v>
      </c>
      <c r="B1814" s="66" t="s">
        <v>1707</v>
      </c>
      <c r="C1814" s="66" t="s">
        <v>3578</v>
      </c>
      <c r="D1814" s="66">
        <v>66618</v>
      </c>
      <c r="E1814" s="68" t="s">
        <v>7344</v>
      </c>
      <c r="F1814" s="66" t="s">
        <v>7345</v>
      </c>
      <c r="G1814" s="71">
        <v>6890</v>
      </c>
      <c r="H1814" s="73"/>
      <c r="I1814" s="75">
        <v>0.1</v>
      </c>
      <c r="J1814" s="77"/>
      <c r="K1814" s="66"/>
      <c r="L1814" s="66"/>
      <c r="M1814" s="79" t="str">
        <f>HYPERLINK("http://www.pristavka.com/catalog/funko/Fun66618/")</f>
        <v>http://www.pristavka.com/catalog/funko/Fun66618/</v>
      </c>
      <c r="N1814" s="71">
        <v>10599</v>
      </c>
      <c r="O1814" s="66" t="s">
        <v>27</v>
      </c>
      <c r="P1814" s="82" t="s">
        <v>7346</v>
      </c>
      <c r="Q1814" s="84" t="s">
        <v>3566</v>
      </c>
      <c r="R1814" s="84" t="s">
        <v>3566</v>
      </c>
      <c r="S1814" s="84">
        <v>0.14099999999999999</v>
      </c>
      <c r="T1814" s="82" t="s">
        <v>4084</v>
      </c>
      <c r="U1814" s="84" t="s">
        <v>3584</v>
      </c>
      <c r="V1814" s="54"/>
    </row>
    <row r="1815" spans="1:22" s="11" customFormat="1" ht="45" customHeight="1" x14ac:dyDescent="0.2">
      <c r="A1815" s="66" t="s">
        <v>3577</v>
      </c>
      <c r="B1815" s="66" t="s">
        <v>1707</v>
      </c>
      <c r="C1815" s="66" t="s">
        <v>3578</v>
      </c>
      <c r="D1815" s="66">
        <v>74262</v>
      </c>
      <c r="E1815" s="68" t="s">
        <v>7347</v>
      </c>
      <c r="F1815" s="66" t="s">
        <v>7348</v>
      </c>
      <c r="G1815" s="71">
        <v>9100</v>
      </c>
      <c r="H1815" s="73"/>
      <c r="I1815" s="75">
        <v>0.1</v>
      </c>
      <c r="J1815" s="77"/>
      <c r="K1815" s="66"/>
      <c r="L1815" s="66"/>
      <c r="M1815" s="79" t="str">
        <f>HYPERLINK("http://www.pristavka.com/catalog/funko/Fun74262")</f>
        <v>http://www.pristavka.com/catalog/funko/Fun74262</v>
      </c>
      <c r="N1815" s="71">
        <v>13999</v>
      </c>
      <c r="O1815" s="66" t="s">
        <v>27</v>
      </c>
      <c r="P1815" s="82" t="s">
        <v>7349</v>
      </c>
      <c r="Q1815" s="84" t="s">
        <v>3566</v>
      </c>
      <c r="R1815" s="84" t="s">
        <v>3566</v>
      </c>
      <c r="S1815" s="84">
        <v>0.13</v>
      </c>
      <c r="T1815" s="82" t="s">
        <v>4084</v>
      </c>
      <c r="U1815" s="84" t="s">
        <v>3584</v>
      </c>
      <c r="V1815" s="54"/>
    </row>
    <row r="1816" spans="1:22" s="11" customFormat="1" ht="45" customHeight="1" x14ac:dyDescent="0.2">
      <c r="A1816" s="66" t="s">
        <v>3577</v>
      </c>
      <c r="B1816" s="66" t="s">
        <v>1707</v>
      </c>
      <c r="C1816" s="66" t="s">
        <v>3578</v>
      </c>
      <c r="D1816" s="66">
        <v>81066</v>
      </c>
      <c r="E1816" s="68" t="s">
        <v>7350</v>
      </c>
      <c r="F1816" s="66" t="s">
        <v>7351</v>
      </c>
      <c r="G1816" s="71">
        <v>0</v>
      </c>
      <c r="H1816" s="73"/>
      <c r="I1816" s="75">
        <v>0.1</v>
      </c>
      <c r="J1816" s="77"/>
      <c r="K1816" s="66"/>
      <c r="L1816" s="66"/>
      <c r="M1816" s="79" t="str">
        <f>HYPERLINK("http://www.pristavka.com/catalog/funko/Fun81066/")</f>
        <v>http://www.pristavka.com/catalog/funko/Fun81066/</v>
      </c>
      <c r="N1816" s="71"/>
      <c r="O1816" s="66" t="s">
        <v>27</v>
      </c>
      <c r="P1816" s="82" t="s">
        <v>7352</v>
      </c>
      <c r="Q1816" s="84" t="s">
        <v>1840</v>
      </c>
      <c r="R1816" s="84" t="s">
        <v>1840</v>
      </c>
      <c r="S1816" s="84">
        <v>0.12</v>
      </c>
      <c r="T1816" s="82" t="s">
        <v>4084</v>
      </c>
      <c r="U1816" s="84" t="s">
        <v>3584</v>
      </c>
      <c r="V1816" s="54"/>
    </row>
    <row r="1817" spans="1:22" s="11" customFormat="1" ht="45" customHeight="1" x14ac:dyDescent="0.2">
      <c r="A1817" s="66" t="s">
        <v>3577</v>
      </c>
      <c r="B1817" s="66" t="s">
        <v>1707</v>
      </c>
      <c r="C1817" s="66" t="s">
        <v>3578</v>
      </c>
      <c r="D1817" s="66">
        <v>81015</v>
      </c>
      <c r="E1817" s="68" t="s">
        <v>7353</v>
      </c>
      <c r="F1817" s="66" t="s">
        <v>7354</v>
      </c>
      <c r="G1817" s="71">
        <v>6500</v>
      </c>
      <c r="H1817" s="73"/>
      <c r="I1817" s="75">
        <v>0.1</v>
      </c>
      <c r="J1817" s="77"/>
      <c r="K1817" s="66"/>
      <c r="L1817" s="66"/>
      <c r="M1817" s="79" t="str">
        <f>HYPERLINK("http://www.pristavka.com/catalog/funko/Fun81015/")</f>
        <v>http://www.pristavka.com/catalog/funko/Fun81015/</v>
      </c>
      <c r="N1817" s="71">
        <v>9999</v>
      </c>
      <c r="O1817" s="66" t="s">
        <v>27</v>
      </c>
      <c r="P1817" s="82" t="s">
        <v>7355</v>
      </c>
      <c r="Q1817" s="84" t="s">
        <v>7356</v>
      </c>
      <c r="R1817" s="84" t="s">
        <v>7356</v>
      </c>
      <c r="S1817" s="84">
        <v>0.12</v>
      </c>
      <c r="T1817" s="82" t="s">
        <v>4084</v>
      </c>
      <c r="U1817" s="84" t="s">
        <v>3584</v>
      </c>
      <c r="V1817" s="54"/>
    </row>
    <row r="1818" spans="1:22" s="11" customFormat="1" ht="45" customHeight="1" x14ac:dyDescent="0.2">
      <c r="A1818" s="66" t="s">
        <v>3577</v>
      </c>
      <c r="B1818" s="66" t="s">
        <v>1707</v>
      </c>
      <c r="C1818" s="66" t="s">
        <v>3578</v>
      </c>
      <c r="D1818" s="66">
        <v>83724</v>
      </c>
      <c r="E1818" s="68" t="s">
        <v>7357</v>
      </c>
      <c r="F1818" s="66" t="s">
        <v>7358</v>
      </c>
      <c r="G1818" s="71">
        <v>6500</v>
      </c>
      <c r="H1818" s="73"/>
      <c r="I1818" s="75">
        <v>0.1</v>
      </c>
      <c r="J1818" s="77"/>
      <c r="K1818" s="66"/>
      <c r="L1818" s="66"/>
      <c r="M1818" s="79" t="str">
        <f>HYPERLINK("http://www.pristavka.com/catalog/funko/Fun83724/")</f>
        <v>http://www.pristavka.com/catalog/funko/Fun83724/</v>
      </c>
      <c r="N1818" s="71">
        <v>9999</v>
      </c>
      <c r="O1818" s="66" t="s">
        <v>27</v>
      </c>
      <c r="P1818" s="82" t="s">
        <v>7359</v>
      </c>
      <c r="Q1818" s="84" t="s">
        <v>3527</v>
      </c>
      <c r="R1818" s="84" t="s">
        <v>3512</v>
      </c>
      <c r="S1818" s="84">
        <v>0.154</v>
      </c>
      <c r="T1818" s="82" t="s">
        <v>4574</v>
      </c>
      <c r="U1818" s="84" t="s">
        <v>3584</v>
      </c>
      <c r="V1818" s="54"/>
    </row>
    <row r="1819" spans="1:22" s="11" customFormat="1" ht="45" customHeight="1" x14ac:dyDescent="0.2">
      <c r="A1819" s="66" t="s">
        <v>3577</v>
      </c>
      <c r="B1819" s="66" t="s">
        <v>1707</v>
      </c>
      <c r="C1819" s="66" t="s">
        <v>3578</v>
      </c>
      <c r="D1819" s="66">
        <v>83726</v>
      </c>
      <c r="E1819" s="68" t="s">
        <v>7360</v>
      </c>
      <c r="F1819" s="66" t="s">
        <v>7361</v>
      </c>
      <c r="G1819" s="71">
        <v>6500</v>
      </c>
      <c r="H1819" s="73"/>
      <c r="I1819" s="75">
        <v>0.1</v>
      </c>
      <c r="J1819" s="77"/>
      <c r="K1819" s="66"/>
      <c r="L1819" s="66"/>
      <c r="M1819" s="79" t="str">
        <f>HYPERLINK("http://www.pristavka.com/catalog/funko/Fun83726/")</f>
        <v>http://www.pristavka.com/catalog/funko/Fun83726/</v>
      </c>
      <c r="N1819" s="71">
        <v>9999</v>
      </c>
      <c r="O1819" s="66" t="s">
        <v>27</v>
      </c>
      <c r="P1819" s="82" t="s">
        <v>7362</v>
      </c>
      <c r="Q1819" s="84" t="s">
        <v>3527</v>
      </c>
      <c r="R1819" s="84" t="s">
        <v>3512</v>
      </c>
      <c r="S1819" s="84">
        <v>0.18</v>
      </c>
      <c r="T1819" s="82" t="s">
        <v>4113</v>
      </c>
      <c r="U1819" s="84" t="s">
        <v>3584</v>
      </c>
      <c r="V1819" s="54"/>
    </row>
    <row r="1820" spans="1:22" s="11" customFormat="1" ht="45" customHeight="1" x14ac:dyDescent="0.2">
      <c r="A1820" s="66" t="s">
        <v>3577</v>
      </c>
      <c r="B1820" s="66" t="s">
        <v>1707</v>
      </c>
      <c r="C1820" s="66" t="s">
        <v>3578</v>
      </c>
      <c r="D1820" s="66">
        <v>83727</v>
      </c>
      <c r="E1820" s="68" t="s">
        <v>7363</v>
      </c>
      <c r="F1820" s="66" t="s">
        <v>7364</v>
      </c>
      <c r="G1820" s="71">
        <v>6500</v>
      </c>
      <c r="H1820" s="73"/>
      <c r="I1820" s="75">
        <v>0.1</v>
      </c>
      <c r="J1820" s="77"/>
      <c r="K1820" s="66"/>
      <c r="L1820" s="66"/>
      <c r="M1820" s="79" t="str">
        <f>HYPERLINK("http://www.pristavka.com/catalog/funko/Fun83727/")</f>
        <v>http://www.pristavka.com/catalog/funko/Fun83727/</v>
      </c>
      <c r="N1820" s="71">
        <v>9999</v>
      </c>
      <c r="O1820" s="66" t="s">
        <v>27</v>
      </c>
      <c r="P1820" s="82" t="s">
        <v>7365</v>
      </c>
      <c r="Q1820" s="84" t="s">
        <v>3527</v>
      </c>
      <c r="R1820" s="84" t="s">
        <v>3512</v>
      </c>
      <c r="S1820" s="84">
        <v>0.17799999999999999</v>
      </c>
      <c r="T1820" s="82" t="s">
        <v>4084</v>
      </c>
      <c r="U1820" s="84" t="s">
        <v>3584</v>
      </c>
      <c r="V1820" s="54"/>
    </row>
    <row r="1821" spans="1:22" s="11" customFormat="1" ht="45" customHeight="1" x14ac:dyDescent="0.2">
      <c r="A1821" s="66" t="s">
        <v>3577</v>
      </c>
      <c r="B1821" s="66" t="s">
        <v>1707</v>
      </c>
      <c r="C1821" s="66" t="s">
        <v>3578</v>
      </c>
      <c r="D1821" s="66">
        <v>83725</v>
      </c>
      <c r="E1821" s="68" t="s">
        <v>7366</v>
      </c>
      <c r="F1821" s="66" t="s">
        <v>7367</v>
      </c>
      <c r="G1821" s="71">
        <v>6500</v>
      </c>
      <c r="H1821" s="73"/>
      <c r="I1821" s="75">
        <v>0.1</v>
      </c>
      <c r="J1821" s="77"/>
      <c r="K1821" s="66"/>
      <c r="L1821" s="66"/>
      <c r="M1821" s="79" t="str">
        <f>HYPERLINK("http://www.pristavka.com/catalog/funko/Fun83725/")</f>
        <v>http://www.pristavka.com/catalog/funko/Fun83725/</v>
      </c>
      <c r="N1821" s="71">
        <v>9999</v>
      </c>
      <c r="O1821" s="66" t="s">
        <v>27</v>
      </c>
      <c r="P1821" s="82" t="s">
        <v>7368</v>
      </c>
      <c r="Q1821" s="84" t="s">
        <v>3527</v>
      </c>
      <c r="R1821" s="84" t="s">
        <v>3512</v>
      </c>
      <c r="S1821" s="84">
        <v>0.14799999999999999</v>
      </c>
      <c r="T1821" s="82" t="s">
        <v>4084</v>
      </c>
      <c r="U1821" s="84" t="s">
        <v>3584</v>
      </c>
      <c r="V1821" s="54"/>
    </row>
    <row r="1822" spans="1:22" s="11" customFormat="1" ht="45" customHeight="1" x14ac:dyDescent="0.2">
      <c r="A1822" s="66" t="s">
        <v>3577</v>
      </c>
      <c r="B1822" s="66" t="s">
        <v>1707</v>
      </c>
      <c r="C1822" s="66" t="s">
        <v>3578</v>
      </c>
      <c r="D1822" s="66">
        <v>88616</v>
      </c>
      <c r="E1822" s="68" t="s">
        <v>7369</v>
      </c>
      <c r="F1822" s="66" t="s">
        <v>7370</v>
      </c>
      <c r="G1822" s="71">
        <v>6500</v>
      </c>
      <c r="H1822" s="73"/>
      <c r="I1822" s="75">
        <v>0.1</v>
      </c>
      <c r="J1822" s="77"/>
      <c r="K1822" s="66"/>
      <c r="L1822" s="66"/>
      <c r="M1822" s="79" t="str">
        <f>HYPERLINK("http://www.pristavka.com/catalog/funko/Fun88616/")</f>
        <v>http://www.pristavka.com/catalog/funko/Fun88616/</v>
      </c>
      <c r="N1822" s="71">
        <v>9999</v>
      </c>
      <c r="O1822" s="66" t="s">
        <v>27</v>
      </c>
      <c r="P1822" s="82" t="s">
        <v>7371</v>
      </c>
      <c r="Q1822" s="84" t="s">
        <v>6765</v>
      </c>
      <c r="R1822" s="84" t="s">
        <v>6765</v>
      </c>
      <c r="S1822" s="84">
        <v>0.13200000000000001</v>
      </c>
      <c r="T1822" s="82" t="s">
        <v>4091</v>
      </c>
      <c r="U1822" s="84" t="s">
        <v>3584</v>
      </c>
      <c r="V1822" s="54"/>
    </row>
    <row r="1823" spans="1:22" s="11" customFormat="1" ht="45" customHeight="1" x14ac:dyDescent="0.2">
      <c r="A1823" s="66" t="s">
        <v>3577</v>
      </c>
      <c r="B1823" s="66" t="s">
        <v>1707</v>
      </c>
      <c r="C1823" s="66" t="s">
        <v>3578</v>
      </c>
      <c r="D1823" s="66">
        <v>88617</v>
      </c>
      <c r="E1823" s="68" t="s">
        <v>7372</v>
      </c>
      <c r="F1823" s="66" t="s">
        <v>7373</v>
      </c>
      <c r="G1823" s="71">
        <v>6500</v>
      </c>
      <c r="H1823" s="73"/>
      <c r="I1823" s="75">
        <v>0.1</v>
      </c>
      <c r="J1823" s="77"/>
      <c r="K1823" s="66"/>
      <c r="L1823" s="66"/>
      <c r="M1823" s="79" t="str">
        <f>HYPERLINK("http://www.pristavka.com/catalog/funko/Fun88617/")</f>
        <v>http://www.pristavka.com/catalog/funko/Fun88617/</v>
      </c>
      <c r="N1823" s="71">
        <v>9999</v>
      </c>
      <c r="O1823" s="66" t="s">
        <v>27</v>
      </c>
      <c r="P1823" s="82" t="s">
        <v>7374</v>
      </c>
      <c r="Q1823" s="84" t="s">
        <v>6764</v>
      </c>
      <c r="R1823" s="84" t="s">
        <v>6765</v>
      </c>
      <c r="S1823" s="84">
        <v>0.128</v>
      </c>
      <c r="T1823" s="82" t="s">
        <v>4084</v>
      </c>
      <c r="U1823" s="84" t="s">
        <v>3584</v>
      </c>
      <c r="V1823" s="54"/>
    </row>
    <row r="1824" spans="1:22" s="11" customFormat="1" ht="45" customHeight="1" x14ac:dyDescent="0.2">
      <c r="A1824" s="66" t="s">
        <v>3577</v>
      </c>
      <c r="B1824" s="66" t="s">
        <v>1707</v>
      </c>
      <c r="C1824" s="66" t="s">
        <v>3578</v>
      </c>
      <c r="D1824" s="66">
        <v>88618</v>
      </c>
      <c r="E1824" s="68" t="s">
        <v>7375</v>
      </c>
      <c r="F1824" s="66" t="s">
        <v>7376</v>
      </c>
      <c r="G1824" s="71">
        <v>6500</v>
      </c>
      <c r="H1824" s="73"/>
      <c r="I1824" s="75">
        <v>0.1</v>
      </c>
      <c r="J1824" s="77"/>
      <c r="K1824" s="66"/>
      <c r="L1824" s="66"/>
      <c r="M1824" s="79" t="str">
        <f>HYPERLINK("http://www.pristavka.com/catalog/funko/Fun88618/")</f>
        <v>http://www.pristavka.com/catalog/funko/Fun88618/</v>
      </c>
      <c r="N1824" s="71">
        <v>9999</v>
      </c>
      <c r="O1824" s="66" t="s">
        <v>27</v>
      </c>
      <c r="P1824" s="82" t="s">
        <v>7377</v>
      </c>
      <c r="Q1824" s="84" t="s">
        <v>6765</v>
      </c>
      <c r="R1824" s="84" t="s">
        <v>6765</v>
      </c>
      <c r="S1824" s="84">
        <v>0.13</v>
      </c>
      <c r="T1824" s="82" t="s">
        <v>4113</v>
      </c>
      <c r="U1824" s="84" t="s">
        <v>3584</v>
      </c>
      <c r="V1824" s="54"/>
    </row>
    <row r="1825" spans="1:22" s="11" customFormat="1" ht="45" customHeight="1" x14ac:dyDescent="0.2">
      <c r="A1825" s="66" t="s">
        <v>3577</v>
      </c>
      <c r="B1825" s="66" t="s">
        <v>1707</v>
      </c>
      <c r="C1825" s="66" t="s">
        <v>3578</v>
      </c>
      <c r="D1825" s="66">
        <v>88619</v>
      </c>
      <c r="E1825" s="68" t="s">
        <v>7378</v>
      </c>
      <c r="F1825" s="66" t="s">
        <v>7379</v>
      </c>
      <c r="G1825" s="71">
        <v>6500</v>
      </c>
      <c r="H1825" s="73"/>
      <c r="I1825" s="75">
        <v>0.1</v>
      </c>
      <c r="J1825" s="77"/>
      <c r="K1825" s="66"/>
      <c r="L1825" s="66"/>
      <c r="M1825" s="79" t="str">
        <f>HYPERLINK("http://www.pristavka.com/catalog/funko/Fun88619/")</f>
        <v>http://www.pristavka.com/catalog/funko/Fun88619/</v>
      </c>
      <c r="N1825" s="71">
        <v>9999</v>
      </c>
      <c r="O1825" s="66" t="s">
        <v>27</v>
      </c>
      <c r="P1825" s="82" t="s">
        <v>7380</v>
      </c>
      <c r="Q1825" s="84" t="s">
        <v>6765</v>
      </c>
      <c r="R1825" s="84" t="s">
        <v>6765</v>
      </c>
      <c r="S1825" s="84">
        <v>0.128</v>
      </c>
      <c r="T1825" s="82" t="s">
        <v>4091</v>
      </c>
      <c r="U1825" s="84" t="s">
        <v>3584</v>
      </c>
      <c r="V1825" s="54"/>
    </row>
    <row r="1826" spans="1:22" s="11" customFormat="1" ht="45" customHeight="1" x14ac:dyDescent="0.2">
      <c r="A1826" s="66" t="s">
        <v>3577</v>
      </c>
      <c r="B1826" s="66" t="s">
        <v>1707</v>
      </c>
      <c r="C1826" s="66" t="s">
        <v>3578</v>
      </c>
      <c r="D1826" s="66">
        <v>79803</v>
      </c>
      <c r="E1826" s="68" t="s">
        <v>7381</v>
      </c>
      <c r="F1826" s="66" t="s">
        <v>7382</v>
      </c>
      <c r="G1826" s="71">
        <v>0</v>
      </c>
      <c r="H1826" s="73"/>
      <c r="I1826" s="75">
        <v>0.1</v>
      </c>
      <c r="J1826" s="77"/>
      <c r="K1826" s="66"/>
      <c r="L1826" s="66"/>
      <c r="M1826" s="79" t="str">
        <f>HYPERLINK("http://www.pristavka.com/catalog/funko/Fun79803/")</f>
        <v>http://www.pristavka.com/catalog/funko/Fun79803/</v>
      </c>
      <c r="N1826" s="71"/>
      <c r="O1826" s="66" t="s">
        <v>27</v>
      </c>
      <c r="P1826" s="82" t="s">
        <v>7383</v>
      </c>
      <c r="Q1826" s="84" t="s">
        <v>1594</v>
      </c>
      <c r="R1826" s="84" t="s">
        <v>1075</v>
      </c>
      <c r="S1826" s="84">
        <v>0.66600000000000004</v>
      </c>
      <c r="T1826" s="82" t="s">
        <v>7384</v>
      </c>
      <c r="U1826" s="84" t="s">
        <v>3584</v>
      </c>
      <c r="V1826" s="54"/>
    </row>
    <row r="1827" spans="1:22" s="11" customFormat="1" ht="45" customHeight="1" x14ac:dyDescent="0.2">
      <c r="A1827" s="66" t="s">
        <v>3577</v>
      </c>
      <c r="B1827" s="66" t="s">
        <v>1707</v>
      </c>
      <c r="C1827" s="66" t="s">
        <v>3578</v>
      </c>
      <c r="D1827" s="66">
        <v>83793</v>
      </c>
      <c r="E1827" s="68" t="s">
        <v>7385</v>
      </c>
      <c r="F1827" s="66" t="s">
        <v>7386</v>
      </c>
      <c r="G1827" s="71">
        <v>0</v>
      </c>
      <c r="H1827" s="73"/>
      <c r="I1827" s="75">
        <v>0.2</v>
      </c>
      <c r="J1827" s="77"/>
      <c r="K1827" s="66"/>
      <c r="L1827" s="66"/>
      <c r="M1827" s="79" t="str">
        <f>HYPERLINK("http://www.pristavka.com/catalog/funko/Fun83793/")</f>
        <v>http://www.pristavka.com/catalog/funko/Fun83793/</v>
      </c>
      <c r="N1827" s="71"/>
      <c r="O1827" s="66" t="s">
        <v>28</v>
      </c>
      <c r="P1827" s="82" t="s">
        <v>7387</v>
      </c>
      <c r="Q1827" s="84" t="s">
        <v>7388</v>
      </c>
      <c r="R1827" s="84" t="s">
        <v>3992</v>
      </c>
      <c r="S1827" s="84">
        <v>0.628</v>
      </c>
      <c r="T1827" s="82" t="s">
        <v>7389</v>
      </c>
      <c r="U1827" s="84" t="s">
        <v>3593</v>
      </c>
      <c r="V1827" s="54"/>
    </row>
    <row r="1828" spans="1:22" s="11" customFormat="1" ht="45" customHeight="1" x14ac:dyDescent="0.2">
      <c r="A1828" s="66" t="s">
        <v>3577</v>
      </c>
      <c r="B1828" s="66" t="s">
        <v>1707</v>
      </c>
      <c r="C1828" s="66" t="s">
        <v>3578</v>
      </c>
      <c r="D1828" s="66">
        <v>70262</v>
      </c>
      <c r="E1828" s="68" t="s">
        <v>7390</v>
      </c>
      <c r="F1828" s="66" t="s">
        <v>7391</v>
      </c>
      <c r="G1828" s="71">
        <v>32435</v>
      </c>
      <c r="H1828" s="73"/>
      <c r="I1828" s="75">
        <v>0.1</v>
      </c>
      <c r="J1828" s="77"/>
      <c r="K1828" s="66"/>
      <c r="L1828" s="66"/>
      <c r="M1828" s="79" t="str">
        <f>HYPERLINK("http://www.pristavka.com/catalog/funko/Fun70262")</f>
        <v>http://www.pristavka.com/catalog/funko/Fun70262</v>
      </c>
      <c r="N1828" s="71">
        <v>49899</v>
      </c>
      <c r="O1828" s="66" t="s">
        <v>27</v>
      </c>
      <c r="P1828" s="82" t="s">
        <v>7392</v>
      </c>
      <c r="Q1828" s="84" t="s">
        <v>5344</v>
      </c>
      <c r="R1828" s="84" t="s">
        <v>3512</v>
      </c>
      <c r="S1828" s="84">
        <v>1.966</v>
      </c>
      <c r="T1828" s="82" t="s">
        <v>7393</v>
      </c>
      <c r="U1828" s="84" t="s">
        <v>3691</v>
      </c>
      <c r="V1828" s="54"/>
    </row>
    <row r="1829" spans="1:22" s="11" customFormat="1" ht="45" customHeight="1" x14ac:dyDescent="0.2">
      <c r="A1829" s="66" t="s">
        <v>3577</v>
      </c>
      <c r="B1829" s="66" t="s">
        <v>1707</v>
      </c>
      <c r="C1829" s="66" t="s">
        <v>3578</v>
      </c>
      <c r="D1829" s="66">
        <v>85182</v>
      </c>
      <c r="E1829" s="68" t="s">
        <v>7394</v>
      </c>
      <c r="F1829" s="66" t="s">
        <v>7395</v>
      </c>
      <c r="G1829" s="71">
        <v>18135</v>
      </c>
      <c r="H1829" s="73"/>
      <c r="I1829" s="75">
        <v>0.1</v>
      </c>
      <c r="J1829" s="77"/>
      <c r="K1829" s="66"/>
      <c r="L1829" s="66"/>
      <c r="M1829" s="79" t="str">
        <f>HYPERLINK("http://www.pristavka.com/catalog/funko/Fun85182/")</f>
        <v>http://www.pristavka.com/catalog/funko/Fun85182/</v>
      </c>
      <c r="N1829" s="71">
        <v>27899</v>
      </c>
      <c r="O1829" s="66" t="s">
        <v>27</v>
      </c>
      <c r="P1829" s="82" t="s">
        <v>7396</v>
      </c>
      <c r="Q1829" s="84" t="s">
        <v>1321</v>
      </c>
      <c r="R1829" s="84" t="s">
        <v>1322</v>
      </c>
      <c r="S1829" s="84">
        <v>0.52</v>
      </c>
      <c r="T1829" s="82" t="s">
        <v>7397</v>
      </c>
      <c r="U1829" s="84" t="s">
        <v>3584</v>
      </c>
      <c r="V1829" s="54"/>
    </row>
    <row r="1830" spans="1:22" s="11" customFormat="1" ht="45" customHeight="1" x14ac:dyDescent="0.2">
      <c r="A1830" s="66" t="s">
        <v>3577</v>
      </c>
      <c r="B1830" s="66" t="s">
        <v>1707</v>
      </c>
      <c r="C1830" s="66" t="s">
        <v>3578</v>
      </c>
      <c r="D1830" s="66">
        <v>74511</v>
      </c>
      <c r="E1830" s="68" t="s">
        <v>7398</v>
      </c>
      <c r="F1830" s="66" t="s">
        <v>7399</v>
      </c>
      <c r="G1830" s="71">
        <v>19500</v>
      </c>
      <c r="H1830" s="73"/>
      <c r="I1830" s="75">
        <v>0.1</v>
      </c>
      <c r="J1830" s="77"/>
      <c r="K1830" s="66"/>
      <c r="L1830" s="66"/>
      <c r="M1830" s="79" t="str">
        <f>HYPERLINK("http://www.pristavka.com/catalog/funko/Fun74511/")</f>
        <v>http://www.pristavka.com/catalog/funko/Fun74511/</v>
      </c>
      <c r="N1830" s="71">
        <v>29999</v>
      </c>
      <c r="O1830" s="66" t="s">
        <v>28</v>
      </c>
      <c r="P1830" s="82" t="s">
        <v>7400</v>
      </c>
      <c r="Q1830" s="84" t="s">
        <v>5344</v>
      </c>
      <c r="R1830" s="84" t="s">
        <v>3512</v>
      </c>
      <c r="S1830" s="84">
        <v>0.52600000000000002</v>
      </c>
      <c r="T1830" s="82" t="s">
        <v>7401</v>
      </c>
      <c r="U1830" s="84" t="s">
        <v>3584</v>
      </c>
      <c r="V1830" s="54"/>
    </row>
    <row r="1831" spans="1:22" s="11" customFormat="1" ht="45" customHeight="1" x14ac:dyDescent="0.2">
      <c r="A1831" s="66" t="s">
        <v>3577</v>
      </c>
      <c r="B1831" s="66" t="s">
        <v>1707</v>
      </c>
      <c r="C1831" s="66" t="s">
        <v>3578</v>
      </c>
      <c r="D1831" s="66">
        <v>81692</v>
      </c>
      <c r="E1831" s="68" t="s">
        <v>7402</v>
      </c>
      <c r="F1831" s="66" t="s">
        <v>7403</v>
      </c>
      <c r="G1831" s="71">
        <v>19500</v>
      </c>
      <c r="H1831" s="73"/>
      <c r="I1831" s="75">
        <v>0.1</v>
      </c>
      <c r="J1831" s="77"/>
      <c r="K1831" s="66"/>
      <c r="L1831" s="66"/>
      <c r="M1831" s="79" t="str">
        <f>HYPERLINK("http://www.pristavka.com/catalog/funko/Fun81692/")</f>
        <v>http://www.pristavka.com/catalog/funko/Fun81692/</v>
      </c>
      <c r="N1831" s="71">
        <v>29999</v>
      </c>
      <c r="O1831" s="66" t="s">
        <v>27</v>
      </c>
      <c r="P1831" s="82" t="s">
        <v>7404</v>
      </c>
      <c r="Q1831" s="84" t="s">
        <v>3681</v>
      </c>
      <c r="R1831" s="84" t="s">
        <v>1212</v>
      </c>
      <c r="S1831" s="84">
        <v>0.59399999999999997</v>
      </c>
      <c r="T1831" s="82" t="s">
        <v>7389</v>
      </c>
      <c r="U1831" s="84" t="s">
        <v>3584</v>
      </c>
      <c r="V1831" s="54"/>
    </row>
    <row r="1832" spans="1:22" s="11" customFormat="1" ht="45" customHeight="1" x14ac:dyDescent="0.2">
      <c r="A1832" s="66" t="s">
        <v>3577</v>
      </c>
      <c r="B1832" s="66" t="s">
        <v>1707</v>
      </c>
      <c r="C1832" s="66" t="s">
        <v>3578</v>
      </c>
      <c r="D1832" s="66">
        <v>76563</v>
      </c>
      <c r="E1832" s="68" t="s">
        <v>7405</v>
      </c>
      <c r="F1832" s="66" t="s">
        <v>7406</v>
      </c>
      <c r="G1832" s="71">
        <v>0</v>
      </c>
      <c r="H1832" s="73"/>
      <c r="I1832" s="75">
        <v>0.1</v>
      </c>
      <c r="J1832" s="77"/>
      <c r="K1832" s="66"/>
      <c r="L1832" s="66"/>
      <c r="M1832" s="79" t="str">
        <f>HYPERLINK("http://www.pristavka.com/catalog/funko/Fun76563/")</f>
        <v>http://www.pristavka.com/catalog/funko/Fun76563/</v>
      </c>
      <c r="N1832" s="71"/>
      <c r="O1832" s="66" t="s">
        <v>27</v>
      </c>
      <c r="P1832" s="82" t="s">
        <v>7407</v>
      </c>
      <c r="Q1832" s="84" t="s">
        <v>1211</v>
      </c>
      <c r="R1832" s="84" t="s">
        <v>1212</v>
      </c>
      <c r="S1832" s="84">
        <v>1.9450000000000001</v>
      </c>
      <c r="T1832" s="82" t="s">
        <v>7408</v>
      </c>
      <c r="U1832" s="84" t="s">
        <v>3584</v>
      </c>
      <c r="V1832" s="54"/>
    </row>
    <row r="1833" spans="1:22" s="11" customFormat="1" ht="45" customHeight="1" x14ac:dyDescent="0.2">
      <c r="A1833" s="66" t="s">
        <v>3577</v>
      </c>
      <c r="B1833" s="66" t="s">
        <v>1707</v>
      </c>
      <c r="C1833" s="66" t="s">
        <v>3578</v>
      </c>
      <c r="D1833" s="66">
        <v>80685</v>
      </c>
      <c r="E1833" s="68" t="s">
        <v>7409</v>
      </c>
      <c r="F1833" s="66" t="s">
        <v>7410</v>
      </c>
      <c r="G1833" s="71">
        <v>0</v>
      </c>
      <c r="H1833" s="73"/>
      <c r="I1833" s="75">
        <v>0.1</v>
      </c>
      <c r="J1833" s="77"/>
      <c r="K1833" s="66"/>
      <c r="L1833" s="66"/>
      <c r="M1833" s="79" t="str">
        <f>HYPERLINK("http://www.pristavka.com/catalog/funko/Fun80685/")</f>
        <v>http://www.pristavka.com/catalog/funko/Fun80685/</v>
      </c>
      <c r="N1833" s="71"/>
      <c r="O1833" s="66" t="s">
        <v>27</v>
      </c>
      <c r="P1833" s="82" t="s">
        <v>7411</v>
      </c>
      <c r="Q1833" s="84" t="s">
        <v>3604</v>
      </c>
      <c r="R1833" s="84" t="s">
        <v>3566</v>
      </c>
      <c r="S1833" s="84">
        <v>0.84599999999999997</v>
      </c>
      <c r="T1833" s="82" t="s">
        <v>7412</v>
      </c>
      <c r="U1833" s="84" t="s">
        <v>3584</v>
      </c>
      <c r="V1833" s="54"/>
    </row>
    <row r="1834" spans="1:22" s="11" customFormat="1" ht="45" customHeight="1" x14ac:dyDescent="0.2">
      <c r="A1834" s="66" t="s">
        <v>3577</v>
      </c>
      <c r="B1834" s="66" t="s">
        <v>1707</v>
      </c>
      <c r="C1834" s="66" t="s">
        <v>3578</v>
      </c>
      <c r="D1834" s="66">
        <v>70265</v>
      </c>
      <c r="E1834" s="68" t="s">
        <v>7413</v>
      </c>
      <c r="F1834" s="66" t="s">
        <v>7414</v>
      </c>
      <c r="G1834" s="71">
        <v>0</v>
      </c>
      <c r="H1834" s="73"/>
      <c r="I1834" s="75">
        <v>0.1</v>
      </c>
      <c r="J1834" s="77"/>
      <c r="K1834" s="66"/>
      <c r="L1834" s="66"/>
      <c r="M1834" s="79" t="str">
        <f>HYPERLINK("http://www.pristavka.com/catalog/funko/Fun70265/")</f>
        <v>http://www.pristavka.com/catalog/funko/Fun70265/</v>
      </c>
      <c r="N1834" s="71"/>
      <c r="O1834" s="66" t="s">
        <v>27</v>
      </c>
      <c r="P1834" s="82" t="s">
        <v>7415</v>
      </c>
      <c r="Q1834" s="84" t="s">
        <v>1117</v>
      </c>
      <c r="R1834" s="84" t="s">
        <v>1068</v>
      </c>
      <c r="S1834" s="84">
        <v>1.885</v>
      </c>
      <c r="T1834" s="82" t="s">
        <v>7408</v>
      </c>
      <c r="U1834" s="84" t="s">
        <v>3691</v>
      </c>
      <c r="V1834" s="54"/>
    </row>
    <row r="1835" spans="1:22" s="11" customFormat="1" ht="45" customHeight="1" x14ac:dyDescent="0.2">
      <c r="A1835" s="66" t="s">
        <v>3577</v>
      </c>
      <c r="B1835" s="66" t="s">
        <v>1707</v>
      </c>
      <c r="C1835" s="66" t="s">
        <v>3578</v>
      </c>
      <c r="D1835" s="66">
        <v>74510</v>
      </c>
      <c r="E1835" s="68" t="s">
        <v>7416</v>
      </c>
      <c r="F1835" s="66" t="s">
        <v>7417</v>
      </c>
      <c r="G1835" s="71">
        <v>18850</v>
      </c>
      <c r="H1835" s="73"/>
      <c r="I1835" s="75">
        <v>0.1</v>
      </c>
      <c r="J1835" s="77"/>
      <c r="K1835" s="66"/>
      <c r="L1835" s="66"/>
      <c r="M1835" s="79" t="str">
        <f>HYPERLINK("http://www.pristavka.com/catalog/funko/Fun74510/")</f>
        <v>http://www.pristavka.com/catalog/funko/Fun74510/</v>
      </c>
      <c r="N1835" s="71">
        <v>28999</v>
      </c>
      <c r="O1835" s="66" t="s">
        <v>27</v>
      </c>
      <c r="P1835" s="82" t="s">
        <v>7418</v>
      </c>
      <c r="Q1835" s="84" t="s">
        <v>1117</v>
      </c>
      <c r="R1835" s="84" t="s">
        <v>1068</v>
      </c>
      <c r="S1835" s="84">
        <v>0.51800000000000002</v>
      </c>
      <c r="T1835" s="82" t="s">
        <v>7419</v>
      </c>
      <c r="U1835" s="84" t="s">
        <v>3584</v>
      </c>
      <c r="V1835" s="54"/>
    </row>
    <row r="1836" spans="1:22" s="11" customFormat="1" ht="45" customHeight="1" x14ac:dyDescent="0.2">
      <c r="A1836" s="66" t="s">
        <v>3577</v>
      </c>
      <c r="B1836" s="66" t="s">
        <v>1707</v>
      </c>
      <c r="C1836" s="66" t="s">
        <v>3578</v>
      </c>
      <c r="D1836" s="66">
        <v>72074</v>
      </c>
      <c r="E1836" s="68" t="s">
        <v>7420</v>
      </c>
      <c r="F1836" s="66" t="s">
        <v>7421</v>
      </c>
      <c r="G1836" s="71">
        <v>16900</v>
      </c>
      <c r="H1836" s="73"/>
      <c r="I1836" s="75">
        <v>0.1</v>
      </c>
      <c r="J1836" s="77"/>
      <c r="K1836" s="66"/>
      <c r="L1836" s="66"/>
      <c r="M1836" s="79" t="str">
        <f>HYPERLINK("http://www.pristavka.com/catalog/funko/Fun72074/")</f>
        <v>http://www.pristavka.com/catalog/funko/Fun72074/</v>
      </c>
      <c r="N1836" s="71">
        <v>25999</v>
      </c>
      <c r="O1836" s="66" t="s">
        <v>27</v>
      </c>
      <c r="P1836" s="82" t="s">
        <v>7422</v>
      </c>
      <c r="Q1836" s="84" t="s">
        <v>1334</v>
      </c>
      <c r="R1836" s="84" t="s">
        <v>1068</v>
      </c>
      <c r="S1836" s="84">
        <v>0.64200000000000002</v>
      </c>
      <c r="T1836" s="82" t="s">
        <v>7423</v>
      </c>
      <c r="U1836" s="84" t="s">
        <v>3584</v>
      </c>
      <c r="V1836" s="54"/>
    </row>
    <row r="1837" spans="1:22" s="11" customFormat="1" ht="45" customHeight="1" x14ac:dyDescent="0.2">
      <c r="A1837" s="66" t="s">
        <v>3577</v>
      </c>
      <c r="B1837" s="66" t="s">
        <v>1707</v>
      </c>
      <c r="C1837" s="66" t="s">
        <v>3578</v>
      </c>
      <c r="D1837" s="66">
        <v>84487</v>
      </c>
      <c r="E1837" s="68" t="s">
        <v>7424</v>
      </c>
      <c r="F1837" s="66" t="s">
        <v>7425</v>
      </c>
      <c r="G1837" s="71">
        <v>18200</v>
      </c>
      <c r="H1837" s="73"/>
      <c r="I1837" s="75">
        <v>0.1</v>
      </c>
      <c r="J1837" s="77"/>
      <c r="K1837" s="66"/>
      <c r="L1837" s="66"/>
      <c r="M1837" s="79" t="str">
        <f>HYPERLINK("http://www.pristavka.com/catalog/funko/Fun84487/")</f>
        <v>http://www.pristavka.com/catalog/funko/Fun84487/</v>
      </c>
      <c r="N1837" s="71">
        <v>27999</v>
      </c>
      <c r="O1837" s="66" t="s">
        <v>28</v>
      </c>
      <c r="P1837" s="82" t="s">
        <v>7426</v>
      </c>
      <c r="Q1837" s="84" t="s">
        <v>1148</v>
      </c>
      <c r="R1837" s="84" t="s">
        <v>1068</v>
      </c>
      <c r="S1837" s="84">
        <v>0.65800000000000003</v>
      </c>
      <c r="T1837" s="82" t="s">
        <v>7427</v>
      </c>
      <c r="U1837" s="84" t="s">
        <v>3584</v>
      </c>
      <c r="V1837" s="54"/>
    </row>
    <row r="1838" spans="1:22" s="11" customFormat="1" ht="45" customHeight="1" x14ac:dyDescent="0.2">
      <c r="A1838" s="66" t="s">
        <v>3577</v>
      </c>
      <c r="B1838" s="66" t="s">
        <v>1707</v>
      </c>
      <c r="C1838" s="66" t="s">
        <v>3578</v>
      </c>
      <c r="D1838" s="66">
        <v>85185</v>
      </c>
      <c r="E1838" s="68" t="s">
        <v>7428</v>
      </c>
      <c r="F1838" s="66" t="s">
        <v>7429</v>
      </c>
      <c r="G1838" s="71">
        <v>18135</v>
      </c>
      <c r="H1838" s="73"/>
      <c r="I1838" s="75">
        <v>0.1</v>
      </c>
      <c r="J1838" s="77"/>
      <c r="K1838" s="66"/>
      <c r="L1838" s="66"/>
      <c r="M1838" s="79" t="str">
        <f>HYPERLINK("http://www.pristavka.com/catalog/funko/Fun85185/")</f>
        <v>http://www.pristavka.com/catalog/funko/Fun85185/</v>
      </c>
      <c r="N1838" s="71">
        <v>27899</v>
      </c>
      <c r="O1838" s="66" t="s">
        <v>27</v>
      </c>
      <c r="P1838" s="82" t="s">
        <v>7430</v>
      </c>
      <c r="Q1838" s="84" t="s">
        <v>6160</v>
      </c>
      <c r="R1838" s="84" t="s">
        <v>1840</v>
      </c>
      <c r="S1838" s="84">
        <v>0.47799999999999998</v>
      </c>
      <c r="T1838" s="82" t="s">
        <v>7431</v>
      </c>
      <c r="U1838" s="84" t="s">
        <v>3584</v>
      </c>
      <c r="V1838" s="54"/>
    </row>
    <row r="1839" spans="1:22" s="11" customFormat="1" ht="45" customHeight="1" x14ac:dyDescent="0.2">
      <c r="A1839" s="66" t="s">
        <v>3577</v>
      </c>
      <c r="B1839" s="66" t="s">
        <v>1707</v>
      </c>
      <c r="C1839" s="66" t="s">
        <v>3578</v>
      </c>
      <c r="D1839" s="66">
        <v>73249</v>
      </c>
      <c r="E1839" s="68" t="s">
        <v>7432</v>
      </c>
      <c r="F1839" s="66" t="s">
        <v>7433</v>
      </c>
      <c r="G1839" s="71">
        <v>18200</v>
      </c>
      <c r="H1839" s="73"/>
      <c r="I1839" s="75">
        <v>0.1</v>
      </c>
      <c r="J1839" s="77"/>
      <c r="K1839" s="66"/>
      <c r="L1839" s="66"/>
      <c r="M1839" s="79" t="str">
        <f>HYPERLINK("http://www.pristavka.com/catalog/funko/Fun73249/")</f>
        <v>http://www.pristavka.com/catalog/funko/Fun73249/</v>
      </c>
      <c r="N1839" s="71">
        <v>27999</v>
      </c>
      <c r="O1839" s="66" t="s">
        <v>28</v>
      </c>
      <c r="P1839" s="82" t="s">
        <v>7434</v>
      </c>
      <c r="Q1839" s="84" t="s">
        <v>1314</v>
      </c>
      <c r="R1839" s="84" t="s">
        <v>1315</v>
      </c>
      <c r="S1839" s="84">
        <v>1.98</v>
      </c>
      <c r="T1839" s="82" t="s">
        <v>7435</v>
      </c>
      <c r="U1839" s="84" t="s">
        <v>3584</v>
      </c>
      <c r="V1839" s="54"/>
    </row>
    <row r="1840" spans="1:22" s="11" customFormat="1" ht="45" customHeight="1" x14ac:dyDescent="0.2">
      <c r="A1840" s="66" t="s">
        <v>3577</v>
      </c>
      <c r="B1840" s="66" t="s">
        <v>1707</v>
      </c>
      <c r="C1840" s="66" t="s">
        <v>3578</v>
      </c>
      <c r="D1840" s="66">
        <v>70143</v>
      </c>
      <c r="E1840" s="68" t="s">
        <v>7436</v>
      </c>
      <c r="F1840" s="66" t="s">
        <v>7437</v>
      </c>
      <c r="G1840" s="71">
        <v>37700</v>
      </c>
      <c r="H1840" s="73"/>
      <c r="I1840" s="75">
        <v>0.1</v>
      </c>
      <c r="J1840" s="77"/>
      <c r="K1840" s="66"/>
      <c r="L1840" s="66"/>
      <c r="M1840" s="79" t="str">
        <f>HYPERLINK("http://www.pristavka.com/catalog/funko/Fun70143/")</f>
        <v>http://www.pristavka.com/catalog/funko/Fun70143/</v>
      </c>
      <c r="N1840" s="71">
        <v>57999</v>
      </c>
      <c r="O1840" s="66" t="s">
        <v>28</v>
      </c>
      <c r="P1840" s="82" t="s">
        <v>7438</v>
      </c>
      <c r="Q1840" s="84" t="s">
        <v>6513</v>
      </c>
      <c r="R1840" s="84" t="s">
        <v>1315</v>
      </c>
      <c r="S1840" s="84">
        <v>1.8979999999999999</v>
      </c>
      <c r="T1840" s="82" t="s">
        <v>7439</v>
      </c>
      <c r="U1840" s="84" t="s">
        <v>3691</v>
      </c>
      <c r="V1840" s="54"/>
    </row>
    <row r="1841" spans="1:22" s="11" customFormat="1" ht="45" customHeight="1" x14ac:dyDescent="0.2">
      <c r="A1841" s="66" t="s">
        <v>3577</v>
      </c>
      <c r="B1841" s="66" t="s">
        <v>1707</v>
      </c>
      <c r="C1841" s="66" t="s">
        <v>3578</v>
      </c>
      <c r="D1841" s="66">
        <v>80882</v>
      </c>
      <c r="E1841" s="68" t="s">
        <v>7440</v>
      </c>
      <c r="F1841" s="66" t="s">
        <v>7441</v>
      </c>
      <c r="G1841" s="71">
        <v>0</v>
      </c>
      <c r="H1841" s="73"/>
      <c r="I1841" s="75">
        <v>0.1</v>
      </c>
      <c r="J1841" s="77"/>
      <c r="K1841" s="66"/>
      <c r="L1841" s="66"/>
      <c r="M1841" s="79" t="str">
        <f>HYPERLINK("http://www.pristavka.com/catalog/funko/Fun80882/")</f>
        <v>http://www.pristavka.com/catalog/funko/Fun80882/</v>
      </c>
      <c r="N1841" s="71"/>
      <c r="O1841" s="66" t="s">
        <v>27</v>
      </c>
      <c r="P1841" s="82" t="s">
        <v>7442</v>
      </c>
      <c r="Q1841" s="84" t="s">
        <v>2372</v>
      </c>
      <c r="R1841" s="84" t="s">
        <v>1840</v>
      </c>
      <c r="S1841" s="84">
        <v>2.3580000000000001</v>
      </c>
      <c r="T1841" s="82" t="s">
        <v>7443</v>
      </c>
      <c r="U1841" s="84" t="s">
        <v>3691</v>
      </c>
      <c r="V1841" s="54"/>
    </row>
    <row r="1842" spans="1:22" s="11" customFormat="1" ht="45" customHeight="1" x14ac:dyDescent="0.2">
      <c r="A1842" s="66" t="s">
        <v>3577</v>
      </c>
      <c r="B1842" s="66" t="s">
        <v>1707</v>
      </c>
      <c r="C1842" s="66" t="s">
        <v>3578</v>
      </c>
      <c r="D1842" s="66">
        <v>82237</v>
      </c>
      <c r="E1842" s="68" t="s">
        <v>7444</v>
      </c>
      <c r="F1842" s="66" t="s">
        <v>7445</v>
      </c>
      <c r="G1842" s="71">
        <v>0</v>
      </c>
      <c r="H1842" s="73"/>
      <c r="I1842" s="75">
        <v>0.1</v>
      </c>
      <c r="J1842" s="77"/>
      <c r="K1842" s="66"/>
      <c r="L1842" s="66"/>
      <c r="M1842" s="79" t="str">
        <f>HYPERLINK("http://www.pristavka.com/catalog/funko/Fun82237/")</f>
        <v>http://www.pristavka.com/catalog/funko/Fun82237/</v>
      </c>
      <c r="N1842" s="71"/>
      <c r="O1842" s="66" t="s">
        <v>27</v>
      </c>
      <c r="P1842" s="82" t="s">
        <v>7446</v>
      </c>
      <c r="Q1842" s="84" t="s">
        <v>7447</v>
      </c>
      <c r="R1842" s="84" t="s">
        <v>1212</v>
      </c>
      <c r="S1842" s="84">
        <v>0.17499999999999999</v>
      </c>
      <c r="T1842" s="82" t="s">
        <v>4113</v>
      </c>
      <c r="U1842" s="84" t="s">
        <v>3584</v>
      </c>
      <c r="V1842" s="54"/>
    </row>
    <row r="1843" spans="1:22" s="11" customFormat="1" ht="45" customHeight="1" x14ac:dyDescent="0.2">
      <c r="A1843" s="66" t="s">
        <v>3577</v>
      </c>
      <c r="B1843" s="66" t="s">
        <v>1707</v>
      </c>
      <c r="C1843" s="66" t="s">
        <v>3578</v>
      </c>
      <c r="D1843" s="66">
        <v>82657</v>
      </c>
      <c r="E1843" s="68" t="s">
        <v>7448</v>
      </c>
      <c r="F1843" s="66" t="s">
        <v>7449</v>
      </c>
      <c r="G1843" s="71">
        <v>6500</v>
      </c>
      <c r="H1843" s="73"/>
      <c r="I1843" s="75">
        <v>0.1</v>
      </c>
      <c r="J1843" s="77"/>
      <c r="K1843" s="66"/>
      <c r="L1843" s="66"/>
      <c r="M1843" s="79" t="str">
        <f>HYPERLINK("http://www.pristavka.com/catalog/funko/Fun82657/")</f>
        <v>http://www.pristavka.com/catalog/funko/Fun82657/</v>
      </c>
      <c r="N1843" s="71">
        <v>9999</v>
      </c>
      <c r="O1843" s="66" t="s">
        <v>27</v>
      </c>
      <c r="P1843" s="82" t="s">
        <v>7450</v>
      </c>
      <c r="Q1843" s="84" t="s">
        <v>7388</v>
      </c>
      <c r="R1843" s="84" t="s">
        <v>3992</v>
      </c>
      <c r="S1843" s="84">
        <v>0.124</v>
      </c>
      <c r="T1843" s="82" t="s">
        <v>4084</v>
      </c>
      <c r="U1843" s="84" t="s">
        <v>3584</v>
      </c>
      <c r="V1843" s="54"/>
    </row>
    <row r="1844" spans="1:22" s="11" customFormat="1" ht="45" customHeight="1" x14ac:dyDescent="0.2">
      <c r="A1844" s="66" t="s">
        <v>3577</v>
      </c>
      <c r="B1844" s="66" t="s">
        <v>1707</v>
      </c>
      <c r="C1844" s="66" t="s">
        <v>3578</v>
      </c>
      <c r="D1844" s="66">
        <v>82656</v>
      </c>
      <c r="E1844" s="68" t="s">
        <v>7451</v>
      </c>
      <c r="F1844" s="66" t="s">
        <v>7452</v>
      </c>
      <c r="G1844" s="71">
        <v>6500</v>
      </c>
      <c r="H1844" s="73"/>
      <c r="I1844" s="75">
        <v>0.1</v>
      </c>
      <c r="J1844" s="77"/>
      <c r="K1844" s="66"/>
      <c r="L1844" s="66"/>
      <c r="M1844" s="79" t="str">
        <f>HYPERLINK("http://www.pristavka.com/catalog/funko/Fun82656/")</f>
        <v>http://www.pristavka.com/catalog/funko/Fun82656/</v>
      </c>
      <c r="N1844" s="71">
        <v>9999</v>
      </c>
      <c r="O1844" s="66" t="s">
        <v>27</v>
      </c>
      <c r="P1844" s="82" t="s">
        <v>7453</v>
      </c>
      <c r="Q1844" s="84" t="s">
        <v>7388</v>
      </c>
      <c r="R1844" s="84" t="s">
        <v>3992</v>
      </c>
      <c r="S1844" s="84">
        <v>0.124</v>
      </c>
      <c r="T1844" s="82" t="s">
        <v>4084</v>
      </c>
      <c r="U1844" s="84" t="s">
        <v>3584</v>
      </c>
      <c r="V1844" s="54"/>
    </row>
    <row r="1845" spans="1:22" s="11" customFormat="1" ht="45" customHeight="1" x14ac:dyDescent="0.2">
      <c r="A1845" s="66" t="s">
        <v>3577</v>
      </c>
      <c r="B1845" s="66" t="s">
        <v>1707</v>
      </c>
      <c r="C1845" s="66" t="s">
        <v>3578</v>
      </c>
      <c r="D1845" s="66">
        <v>81201</v>
      </c>
      <c r="E1845" s="68" t="s">
        <v>7454</v>
      </c>
      <c r="F1845" s="66" t="s">
        <v>7455</v>
      </c>
      <c r="G1845" s="71">
        <v>6500</v>
      </c>
      <c r="H1845" s="73"/>
      <c r="I1845" s="75">
        <v>0.1</v>
      </c>
      <c r="J1845" s="77"/>
      <c r="K1845" s="66"/>
      <c r="L1845" s="66"/>
      <c r="M1845" s="79" t="str">
        <f>HYPERLINK("http://www.pristavka.com/catalog/funko/Fun81201/")</f>
        <v>http://www.pristavka.com/catalog/funko/Fun81201/</v>
      </c>
      <c r="N1845" s="71">
        <v>9999</v>
      </c>
      <c r="O1845" s="66" t="s">
        <v>27</v>
      </c>
      <c r="P1845" s="82" t="s">
        <v>7456</v>
      </c>
      <c r="Q1845" s="84" t="s">
        <v>7457</v>
      </c>
      <c r="R1845" s="84" t="s">
        <v>1212</v>
      </c>
      <c r="S1845" s="84">
        <v>0.13</v>
      </c>
      <c r="T1845" s="82" t="s">
        <v>4084</v>
      </c>
      <c r="U1845" s="84" t="s">
        <v>3584</v>
      </c>
      <c r="V1845" s="54"/>
    </row>
    <row r="1846" spans="1:22" s="11" customFormat="1" ht="45" customHeight="1" x14ac:dyDescent="0.2">
      <c r="A1846" s="66" t="s">
        <v>3577</v>
      </c>
      <c r="B1846" s="66" t="s">
        <v>1707</v>
      </c>
      <c r="C1846" s="66" t="s">
        <v>3578</v>
      </c>
      <c r="D1846" s="66">
        <v>81202</v>
      </c>
      <c r="E1846" s="68" t="s">
        <v>7458</v>
      </c>
      <c r="F1846" s="66" t="s">
        <v>7459</v>
      </c>
      <c r="G1846" s="71">
        <v>6500</v>
      </c>
      <c r="H1846" s="73"/>
      <c r="I1846" s="75">
        <v>0.1</v>
      </c>
      <c r="J1846" s="77"/>
      <c r="K1846" s="66"/>
      <c r="L1846" s="66"/>
      <c r="M1846" s="79" t="str">
        <f>HYPERLINK("http://www.pristavka.com/catalog/funko/Fun81202/")</f>
        <v>http://www.pristavka.com/catalog/funko/Fun81202/</v>
      </c>
      <c r="N1846" s="71">
        <v>9999</v>
      </c>
      <c r="O1846" s="66" t="s">
        <v>27</v>
      </c>
      <c r="P1846" s="82" t="s">
        <v>7460</v>
      </c>
      <c r="Q1846" s="84" t="s">
        <v>7457</v>
      </c>
      <c r="R1846" s="84" t="s">
        <v>1212</v>
      </c>
      <c r="S1846" s="84">
        <v>0.13800000000000001</v>
      </c>
      <c r="T1846" s="82" t="s">
        <v>4084</v>
      </c>
      <c r="U1846" s="84" t="s">
        <v>3584</v>
      </c>
      <c r="V1846" s="54"/>
    </row>
    <row r="1847" spans="1:22" s="11" customFormat="1" ht="45" customHeight="1" x14ac:dyDescent="0.2">
      <c r="A1847" s="66" t="s">
        <v>3577</v>
      </c>
      <c r="B1847" s="66" t="s">
        <v>1707</v>
      </c>
      <c r="C1847" s="66" t="s">
        <v>3578</v>
      </c>
      <c r="D1847" s="66">
        <v>81203</v>
      </c>
      <c r="E1847" s="68" t="s">
        <v>7461</v>
      </c>
      <c r="F1847" s="66" t="s">
        <v>7462</v>
      </c>
      <c r="G1847" s="71">
        <v>6500</v>
      </c>
      <c r="H1847" s="73"/>
      <c r="I1847" s="75">
        <v>0.1</v>
      </c>
      <c r="J1847" s="77"/>
      <c r="K1847" s="66"/>
      <c r="L1847" s="66"/>
      <c r="M1847" s="79" t="str">
        <f>HYPERLINK("http://www.pristavka.com/catalog/funko/Fun81203/")</f>
        <v>http://www.pristavka.com/catalog/funko/Fun81203/</v>
      </c>
      <c r="N1847" s="71">
        <v>9999</v>
      </c>
      <c r="O1847" s="66" t="s">
        <v>27</v>
      </c>
      <c r="P1847" s="82" t="s">
        <v>7463</v>
      </c>
      <c r="Q1847" s="84" t="s">
        <v>7457</v>
      </c>
      <c r="R1847" s="84" t="s">
        <v>1212</v>
      </c>
      <c r="S1847" s="84">
        <v>0.126</v>
      </c>
      <c r="T1847" s="82" t="s">
        <v>4084</v>
      </c>
      <c r="U1847" s="84" t="s">
        <v>3584</v>
      </c>
      <c r="V1847" s="54"/>
    </row>
    <row r="1848" spans="1:22" s="11" customFormat="1" ht="45" customHeight="1" x14ac:dyDescent="0.2">
      <c r="A1848" s="66" t="s">
        <v>3577</v>
      </c>
      <c r="B1848" s="66" t="s">
        <v>1707</v>
      </c>
      <c r="C1848" s="66" t="s">
        <v>3578</v>
      </c>
      <c r="D1848" s="66">
        <v>81204</v>
      </c>
      <c r="E1848" s="68" t="s">
        <v>7464</v>
      </c>
      <c r="F1848" s="66" t="s">
        <v>7465</v>
      </c>
      <c r="G1848" s="71">
        <v>6500</v>
      </c>
      <c r="H1848" s="73"/>
      <c r="I1848" s="75">
        <v>0.1</v>
      </c>
      <c r="J1848" s="77"/>
      <c r="K1848" s="66"/>
      <c r="L1848" s="66"/>
      <c r="M1848" s="79" t="str">
        <f>HYPERLINK("http://www.pristavka.com/catalog/funko/Fun81204/")</f>
        <v>http://www.pristavka.com/catalog/funko/Fun81204/</v>
      </c>
      <c r="N1848" s="71">
        <v>9999</v>
      </c>
      <c r="O1848" s="66" t="s">
        <v>27</v>
      </c>
      <c r="P1848" s="82" t="s">
        <v>7466</v>
      </c>
      <c r="Q1848" s="84" t="s">
        <v>7457</v>
      </c>
      <c r="R1848" s="84" t="s">
        <v>1212</v>
      </c>
      <c r="S1848" s="84">
        <v>0.14000000000000001</v>
      </c>
      <c r="T1848" s="82" t="s">
        <v>4084</v>
      </c>
      <c r="U1848" s="84" t="s">
        <v>3584</v>
      </c>
      <c r="V1848" s="54"/>
    </row>
    <row r="1849" spans="1:22" s="11" customFormat="1" ht="45" customHeight="1" x14ac:dyDescent="0.2">
      <c r="A1849" s="66" t="s">
        <v>3577</v>
      </c>
      <c r="B1849" s="66" t="s">
        <v>1707</v>
      </c>
      <c r="C1849" s="66" t="s">
        <v>3578</v>
      </c>
      <c r="D1849" s="66">
        <v>80708</v>
      </c>
      <c r="E1849" s="68" t="s">
        <v>7467</v>
      </c>
      <c r="F1849" s="66" t="s">
        <v>7468</v>
      </c>
      <c r="G1849" s="71">
        <v>0</v>
      </c>
      <c r="H1849" s="73"/>
      <c r="I1849" s="75">
        <v>0.1</v>
      </c>
      <c r="J1849" s="77"/>
      <c r="K1849" s="66"/>
      <c r="L1849" s="66"/>
      <c r="M1849" s="79" t="str">
        <f>HYPERLINK("http://www.pristavka.com/catalog/funko/Fun80708/")</f>
        <v>http://www.pristavka.com/catalog/funko/Fun80708/</v>
      </c>
      <c r="N1849" s="71"/>
      <c r="O1849" s="66" t="s">
        <v>27</v>
      </c>
      <c r="P1849" s="82" t="s">
        <v>7469</v>
      </c>
      <c r="Q1849" s="84" t="s">
        <v>6166</v>
      </c>
      <c r="R1849" s="84" t="s">
        <v>6166</v>
      </c>
      <c r="S1849" s="84">
        <v>0.13</v>
      </c>
      <c r="T1849" s="82" t="s">
        <v>4113</v>
      </c>
      <c r="U1849" s="84" t="s">
        <v>3584</v>
      </c>
      <c r="V1849" s="54"/>
    </row>
    <row r="1850" spans="1:22" s="11" customFormat="1" ht="45" customHeight="1" x14ac:dyDescent="0.2">
      <c r="A1850" s="66" t="s">
        <v>3577</v>
      </c>
      <c r="B1850" s="66" t="s">
        <v>1707</v>
      </c>
      <c r="C1850" s="66" t="s">
        <v>3578</v>
      </c>
      <c r="D1850" s="66">
        <v>68187</v>
      </c>
      <c r="E1850" s="68" t="s">
        <v>7470</v>
      </c>
      <c r="F1850" s="66" t="s">
        <v>7471</v>
      </c>
      <c r="G1850" s="71">
        <v>6890</v>
      </c>
      <c r="H1850" s="73"/>
      <c r="I1850" s="75">
        <v>0.1</v>
      </c>
      <c r="J1850" s="77"/>
      <c r="K1850" s="66"/>
      <c r="L1850" s="66"/>
      <c r="M1850" s="79" t="str">
        <f>HYPERLINK("http://www.pristavka.com/catalog/funko/Fun68187/")</f>
        <v>http://www.pristavka.com/catalog/funko/Fun68187/</v>
      </c>
      <c r="N1850" s="71">
        <v>10599</v>
      </c>
      <c r="O1850" s="66" t="s">
        <v>28</v>
      </c>
      <c r="P1850" s="82" t="s">
        <v>7472</v>
      </c>
      <c r="Q1850" s="84" t="s">
        <v>7473</v>
      </c>
      <c r="R1850" s="84" t="s">
        <v>3566</v>
      </c>
      <c r="S1850" s="84">
        <v>0.13800000000000001</v>
      </c>
      <c r="T1850" s="82" t="s">
        <v>4084</v>
      </c>
      <c r="U1850" s="84" t="s">
        <v>3584</v>
      </c>
      <c r="V1850" s="54"/>
    </row>
    <row r="1851" spans="1:22" s="11" customFormat="1" ht="45" customHeight="1" x14ac:dyDescent="0.2">
      <c r="A1851" s="66" t="s">
        <v>3577</v>
      </c>
      <c r="B1851" s="66" t="s">
        <v>1707</v>
      </c>
      <c r="C1851" s="66" t="s">
        <v>3578</v>
      </c>
      <c r="D1851" s="66">
        <v>67566</v>
      </c>
      <c r="E1851" s="68" t="s">
        <v>7474</v>
      </c>
      <c r="F1851" s="66" t="s">
        <v>7475</v>
      </c>
      <c r="G1851" s="71">
        <v>6500</v>
      </c>
      <c r="H1851" s="73"/>
      <c r="I1851" s="75">
        <v>0.1</v>
      </c>
      <c r="J1851" s="77"/>
      <c r="K1851" s="66"/>
      <c r="L1851" s="66"/>
      <c r="M1851" s="79" t="str">
        <f>HYPERLINK("http://www.pristavka.com/catalog/funko/Fun67566/")</f>
        <v>http://www.pristavka.com/catalog/funko/Fun67566/</v>
      </c>
      <c r="N1851" s="71">
        <v>9999</v>
      </c>
      <c r="O1851" s="66" t="s">
        <v>28</v>
      </c>
      <c r="P1851" s="82" t="s">
        <v>7476</v>
      </c>
      <c r="Q1851" s="84" t="s">
        <v>7473</v>
      </c>
      <c r="R1851" s="84" t="s">
        <v>3566</v>
      </c>
      <c r="S1851" s="84">
        <v>0.13100000000000001</v>
      </c>
      <c r="T1851" s="82" t="s">
        <v>4113</v>
      </c>
      <c r="U1851" s="84" t="s">
        <v>3584</v>
      </c>
      <c r="V1851" s="54"/>
    </row>
    <row r="1852" spans="1:22" s="11" customFormat="1" ht="45" customHeight="1" x14ac:dyDescent="0.2">
      <c r="A1852" s="66" t="s">
        <v>3577</v>
      </c>
      <c r="B1852" s="66" t="s">
        <v>1707</v>
      </c>
      <c r="C1852" s="66" t="s">
        <v>3578</v>
      </c>
      <c r="D1852" s="66">
        <v>67567</v>
      </c>
      <c r="E1852" s="68" t="s">
        <v>7477</v>
      </c>
      <c r="F1852" s="66" t="s">
        <v>7478</v>
      </c>
      <c r="G1852" s="71">
        <v>6500</v>
      </c>
      <c r="H1852" s="73"/>
      <c r="I1852" s="75">
        <v>0.1</v>
      </c>
      <c r="J1852" s="77"/>
      <c r="K1852" s="66"/>
      <c r="L1852" s="66"/>
      <c r="M1852" s="79" t="str">
        <f>HYPERLINK("http://www.pristavka.com/catalog/funko/Fun67567/")</f>
        <v>http://www.pristavka.com/catalog/funko/Fun67567/</v>
      </c>
      <c r="N1852" s="71">
        <v>9999</v>
      </c>
      <c r="O1852" s="66" t="s">
        <v>27</v>
      </c>
      <c r="P1852" s="82" t="s">
        <v>7479</v>
      </c>
      <c r="Q1852" s="84" t="s">
        <v>7473</v>
      </c>
      <c r="R1852" s="84" t="s">
        <v>3566</v>
      </c>
      <c r="S1852" s="84">
        <v>0.14899999999999999</v>
      </c>
      <c r="T1852" s="82" t="s">
        <v>4113</v>
      </c>
      <c r="U1852" s="84" t="s">
        <v>3584</v>
      </c>
      <c r="V1852" s="54"/>
    </row>
    <row r="1853" spans="1:22" s="11" customFormat="1" ht="45" customHeight="1" x14ac:dyDescent="0.2">
      <c r="A1853" s="66" t="s">
        <v>3577</v>
      </c>
      <c r="B1853" s="66" t="s">
        <v>1707</v>
      </c>
      <c r="C1853" s="66" t="s">
        <v>3578</v>
      </c>
      <c r="D1853" s="66">
        <v>67573</v>
      </c>
      <c r="E1853" s="68" t="s">
        <v>7480</v>
      </c>
      <c r="F1853" s="66" t="s">
        <v>7481</v>
      </c>
      <c r="G1853" s="71">
        <v>6500</v>
      </c>
      <c r="H1853" s="73"/>
      <c r="I1853" s="75">
        <v>0.1</v>
      </c>
      <c r="J1853" s="77"/>
      <c r="K1853" s="66"/>
      <c r="L1853" s="66"/>
      <c r="M1853" s="79" t="str">
        <f>HYPERLINK("http://www.pristavka.com/catalog/funko/Fun67573/")</f>
        <v>http://www.pristavka.com/catalog/funko/Fun67573/</v>
      </c>
      <c r="N1853" s="71">
        <v>9999</v>
      </c>
      <c r="O1853" s="66" t="s">
        <v>28</v>
      </c>
      <c r="P1853" s="82" t="s">
        <v>7482</v>
      </c>
      <c r="Q1853" s="84" t="s">
        <v>7473</v>
      </c>
      <c r="R1853" s="84" t="s">
        <v>3566</v>
      </c>
      <c r="S1853" s="84">
        <v>0.124</v>
      </c>
      <c r="T1853" s="82" t="s">
        <v>4113</v>
      </c>
      <c r="U1853" s="84" t="s">
        <v>3584</v>
      </c>
      <c r="V1853" s="54"/>
    </row>
    <row r="1854" spans="1:22" s="11" customFormat="1" ht="45" customHeight="1" x14ac:dyDescent="0.2">
      <c r="A1854" s="66" t="s">
        <v>3577</v>
      </c>
      <c r="B1854" s="66" t="s">
        <v>1707</v>
      </c>
      <c r="C1854" s="66" t="s">
        <v>3578</v>
      </c>
      <c r="D1854" s="66">
        <v>67570</v>
      </c>
      <c r="E1854" s="68" t="s">
        <v>7483</v>
      </c>
      <c r="F1854" s="66" t="s">
        <v>7484</v>
      </c>
      <c r="G1854" s="71">
        <v>6500</v>
      </c>
      <c r="H1854" s="73"/>
      <c r="I1854" s="75">
        <v>0.1</v>
      </c>
      <c r="J1854" s="77"/>
      <c r="K1854" s="66"/>
      <c r="L1854" s="66"/>
      <c r="M1854" s="79" t="str">
        <f>HYPERLINK("http://www.pristavka.com/catalog/funko/Fun67570/")</f>
        <v>http://www.pristavka.com/catalog/funko/Fun67570/</v>
      </c>
      <c r="N1854" s="71">
        <v>9999</v>
      </c>
      <c r="O1854" s="66" t="s">
        <v>27</v>
      </c>
      <c r="P1854" s="82" t="s">
        <v>7485</v>
      </c>
      <c r="Q1854" s="84" t="s">
        <v>7473</v>
      </c>
      <c r="R1854" s="84" t="s">
        <v>3566</v>
      </c>
      <c r="S1854" s="84">
        <v>0.129</v>
      </c>
      <c r="T1854" s="82" t="s">
        <v>4084</v>
      </c>
      <c r="U1854" s="84" t="s">
        <v>3584</v>
      </c>
      <c r="V1854" s="54"/>
    </row>
    <row r="1855" spans="1:22" s="11" customFormat="1" ht="45" customHeight="1" x14ac:dyDescent="0.2">
      <c r="A1855" s="66" t="s">
        <v>3577</v>
      </c>
      <c r="B1855" s="66" t="s">
        <v>1707</v>
      </c>
      <c r="C1855" s="66" t="s">
        <v>3578</v>
      </c>
      <c r="D1855" s="66">
        <v>67569</v>
      </c>
      <c r="E1855" s="68" t="s">
        <v>7486</v>
      </c>
      <c r="F1855" s="66" t="s">
        <v>7487</v>
      </c>
      <c r="G1855" s="71">
        <v>6500</v>
      </c>
      <c r="H1855" s="73"/>
      <c r="I1855" s="75">
        <v>0.1</v>
      </c>
      <c r="J1855" s="77"/>
      <c r="K1855" s="66"/>
      <c r="L1855" s="66"/>
      <c r="M1855" s="79" t="str">
        <f>HYPERLINK("http://www.pristavka.com/catalog/funko/Fun67569/")</f>
        <v>http://www.pristavka.com/catalog/funko/Fun67569/</v>
      </c>
      <c r="N1855" s="71">
        <v>9999</v>
      </c>
      <c r="O1855" s="66" t="s">
        <v>27</v>
      </c>
      <c r="P1855" s="82" t="s">
        <v>7488</v>
      </c>
      <c r="Q1855" s="84" t="s">
        <v>7473</v>
      </c>
      <c r="R1855" s="84" t="s">
        <v>3566</v>
      </c>
      <c r="S1855" s="84">
        <v>0.19</v>
      </c>
      <c r="T1855" s="82" t="s">
        <v>4084</v>
      </c>
      <c r="U1855" s="84" t="s">
        <v>3584</v>
      </c>
      <c r="V1855" s="54"/>
    </row>
    <row r="1856" spans="1:22" s="11" customFormat="1" ht="45" customHeight="1" x14ac:dyDescent="0.2">
      <c r="A1856" s="66" t="s">
        <v>3577</v>
      </c>
      <c r="B1856" s="66" t="s">
        <v>1707</v>
      </c>
      <c r="C1856" s="66" t="s">
        <v>3578</v>
      </c>
      <c r="D1856" s="66">
        <v>83840</v>
      </c>
      <c r="E1856" s="68" t="s">
        <v>7489</v>
      </c>
      <c r="F1856" s="66" t="s">
        <v>7490</v>
      </c>
      <c r="G1856" s="71">
        <v>6500</v>
      </c>
      <c r="H1856" s="73"/>
      <c r="I1856" s="75">
        <v>0.1</v>
      </c>
      <c r="J1856" s="77"/>
      <c r="K1856" s="66"/>
      <c r="L1856" s="66"/>
      <c r="M1856" s="79" t="str">
        <f>HYPERLINK("http://www.pristavka.com/catalog/funko/Fun83840/")</f>
        <v>http://www.pristavka.com/catalog/funko/Fun83840/</v>
      </c>
      <c r="N1856" s="71">
        <v>9999</v>
      </c>
      <c r="O1856" s="66" t="s">
        <v>27</v>
      </c>
      <c r="P1856" s="82" t="s">
        <v>7491</v>
      </c>
      <c r="Q1856" s="84" t="s">
        <v>1223</v>
      </c>
      <c r="R1856" s="84" t="s">
        <v>1840</v>
      </c>
      <c r="S1856" s="84">
        <v>0.125</v>
      </c>
      <c r="T1856" s="82" t="s">
        <v>4113</v>
      </c>
      <c r="U1856" s="84" t="s">
        <v>3584</v>
      </c>
      <c r="V1856" s="54"/>
    </row>
    <row r="1857" spans="1:22" s="11" customFormat="1" ht="45" customHeight="1" x14ac:dyDescent="0.2">
      <c r="A1857" s="66" t="s">
        <v>3577</v>
      </c>
      <c r="B1857" s="66" t="s">
        <v>1707</v>
      </c>
      <c r="C1857" s="66" t="s">
        <v>3578</v>
      </c>
      <c r="D1857" s="66">
        <v>83842</v>
      </c>
      <c r="E1857" s="68" t="s">
        <v>7492</v>
      </c>
      <c r="F1857" s="66" t="s">
        <v>7493</v>
      </c>
      <c r="G1857" s="71">
        <v>6500</v>
      </c>
      <c r="H1857" s="73"/>
      <c r="I1857" s="75">
        <v>0.1</v>
      </c>
      <c r="J1857" s="77"/>
      <c r="K1857" s="66"/>
      <c r="L1857" s="66"/>
      <c r="M1857" s="79" t="str">
        <f>HYPERLINK("http://www.pristavka.com/catalog/funko/Fun83842/")</f>
        <v>http://www.pristavka.com/catalog/funko/Fun83842/</v>
      </c>
      <c r="N1857" s="71">
        <v>9999</v>
      </c>
      <c r="O1857" s="66" t="s">
        <v>27</v>
      </c>
      <c r="P1857" s="82" t="s">
        <v>7494</v>
      </c>
      <c r="Q1857" s="84" t="s">
        <v>1223</v>
      </c>
      <c r="R1857" s="84" t="s">
        <v>1840</v>
      </c>
      <c r="S1857" s="84">
        <v>0.16500000000000001</v>
      </c>
      <c r="T1857" s="82" t="s">
        <v>4113</v>
      </c>
      <c r="U1857" s="84" t="s">
        <v>3584</v>
      </c>
      <c r="V1857" s="54"/>
    </row>
    <row r="1858" spans="1:22" s="11" customFormat="1" ht="45" customHeight="1" x14ac:dyDescent="0.2">
      <c r="A1858" s="66" t="s">
        <v>3577</v>
      </c>
      <c r="B1858" s="66" t="s">
        <v>1707</v>
      </c>
      <c r="C1858" s="66" t="s">
        <v>3578</v>
      </c>
      <c r="D1858" s="66">
        <v>73087</v>
      </c>
      <c r="E1858" s="68" t="s">
        <v>7495</v>
      </c>
      <c r="F1858" s="66" t="s">
        <v>7496</v>
      </c>
      <c r="G1858" s="71">
        <v>6500</v>
      </c>
      <c r="H1858" s="73"/>
      <c r="I1858" s="75">
        <v>0.2</v>
      </c>
      <c r="J1858" s="77"/>
      <c r="K1858" s="66"/>
      <c r="L1858" s="66"/>
      <c r="M1858" s="79" t="str">
        <f>HYPERLINK("http://www.pristavka.com/catalog/funko/Fun73087/")</f>
        <v>http://www.pristavka.com/catalog/funko/Fun73087/</v>
      </c>
      <c r="N1858" s="71">
        <v>9999</v>
      </c>
      <c r="O1858" s="66" t="s">
        <v>27</v>
      </c>
      <c r="P1858" s="82" t="s">
        <v>7497</v>
      </c>
      <c r="Q1858" s="84" t="s">
        <v>7498</v>
      </c>
      <c r="R1858" s="84" t="s">
        <v>3992</v>
      </c>
      <c r="S1858" s="84">
        <v>0.15</v>
      </c>
      <c r="T1858" s="82" t="s">
        <v>4206</v>
      </c>
      <c r="U1858" s="84" t="s">
        <v>7499</v>
      </c>
      <c r="V1858" s="54"/>
    </row>
    <row r="1859" spans="1:22" s="11" customFormat="1" ht="45" customHeight="1" x14ac:dyDescent="0.2">
      <c r="A1859" s="66" t="s">
        <v>3577</v>
      </c>
      <c r="B1859" s="66" t="s">
        <v>1707</v>
      </c>
      <c r="C1859" s="66" t="s">
        <v>3578</v>
      </c>
      <c r="D1859" s="66">
        <v>72635</v>
      </c>
      <c r="E1859" s="68" t="s">
        <v>7500</v>
      </c>
      <c r="F1859" s="66" t="s">
        <v>7501</v>
      </c>
      <c r="G1859" s="71">
        <v>6500</v>
      </c>
      <c r="H1859" s="73"/>
      <c r="I1859" s="75">
        <v>0.1</v>
      </c>
      <c r="J1859" s="77"/>
      <c r="K1859" s="66"/>
      <c r="L1859" s="66"/>
      <c r="M1859" s="79" t="str">
        <f>HYPERLINK("http://www.pristavka.com/catalog/funko/Fun72635/")</f>
        <v>http://www.pristavka.com/catalog/funko/Fun72635/</v>
      </c>
      <c r="N1859" s="71">
        <v>9999</v>
      </c>
      <c r="O1859" s="66" t="s">
        <v>27</v>
      </c>
      <c r="P1859" s="82" t="s">
        <v>7502</v>
      </c>
      <c r="Q1859" s="84" t="s">
        <v>7503</v>
      </c>
      <c r="R1859" s="84" t="s">
        <v>1840</v>
      </c>
      <c r="S1859" s="84">
        <v>0.184</v>
      </c>
      <c r="T1859" s="82" t="s">
        <v>4102</v>
      </c>
      <c r="U1859" s="84" t="s">
        <v>3584</v>
      </c>
      <c r="V1859" s="54"/>
    </row>
    <row r="1860" spans="1:22" s="11" customFormat="1" ht="45" customHeight="1" x14ac:dyDescent="0.2">
      <c r="A1860" s="66" t="s">
        <v>3577</v>
      </c>
      <c r="B1860" s="66" t="s">
        <v>1707</v>
      </c>
      <c r="C1860" s="66" t="s">
        <v>3578</v>
      </c>
      <c r="D1860" s="66">
        <v>72637</v>
      </c>
      <c r="E1860" s="68" t="s">
        <v>7504</v>
      </c>
      <c r="F1860" s="66" t="s">
        <v>7505</v>
      </c>
      <c r="G1860" s="71">
        <v>6500</v>
      </c>
      <c r="H1860" s="73"/>
      <c r="I1860" s="75">
        <v>0.1</v>
      </c>
      <c r="J1860" s="77"/>
      <c r="K1860" s="66"/>
      <c r="L1860" s="66"/>
      <c r="M1860" s="79" t="str">
        <f>HYPERLINK("http://www.pristavka.com/catalog/funko/Fun72637/")</f>
        <v>http://www.pristavka.com/catalog/funko/Fun72637/</v>
      </c>
      <c r="N1860" s="71">
        <v>9999</v>
      </c>
      <c r="O1860" s="66" t="s">
        <v>27</v>
      </c>
      <c r="P1860" s="82" t="s">
        <v>7506</v>
      </c>
      <c r="Q1860" s="84" t="s">
        <v>7503</v>
      </c>
      <c r="R1860" s="84" t="s">
        <v>1840</v>
      </c>
      <c r="S1860" s="84">
        <v>0.18</v>
      </c>
      <c r="T1860" s="82" t="s">
        <v>4102</v>
      </c>
      <c r="U1860" s="84" t="s">
        <v>3584</v>
      </c>
      <c r="V1860" s="54"/>
    </row>
    <row r="1861" spans="1:22" s="11" customFormat="1" ht="45" customHeight="1" x14ac:dyDescent="0.2">
      <c r="A1861" s="66" t="s">
        <v>3577</v>
      </c>
      <c r="B1861" s="66" t="s">
        <v>1707</v>
      </c>
      <c r="C1861" s="66" t="s">
        <v>3578</v>
      </c>
      <c r="D1861" s="66">
        <v>82653</v>
      </c>
      <c r="E1861" s="68" t="s">
        <v>7507</v>
      </c>
      <c r="F1861" s="66" t="s">
        <v>7508</v>
      </c>
      <c r="G1861" s="71">
        <v>6500</v>
      </c>
      <c r="H1861" s="73"/>
      <c r="I1861" s="75">
        <v>0.1</v>
      </c>
      <c r="J1861" s="77"/>
      <c r="K1861" s="66"/>
      <c r="L1861" s="66"/>
      <c r="M1861" s="79" t="str">
        <f>HYPERLINK("http://www.pristavka.com/catalog/funko/Fun82653/")</f>
        <v>http://www.pristavka.com/catalog/funko/Fun82653/</v>
      </c>
      <c r="N1861" s="71">
        <v>9999</v>
      </c>
      <c r="O1861" s="66" t="s">
        <v>27</v>
      </c>
      <c r="P1861" s="82" t="s">
        <v>7509</v>
      </c>
      <c r="Q1861" s="84" t="s">
        <v>6049</v>
      </c>
      <c r="R1861" s="84" t="s">
        <v>1840</v>
      </c>
      <c r="S1861" s="84">
        <v>0.13900000000000001</v>
      </c>
      <c r="T1861" s="82" t="s">
        <v>4091</v>
      </c>
      <c r="U1861" s="84" t="s">
        <v>3584</v>
      </c>
      <c r="V1861" s="54"/>
    </row>
    <row r="1862" spans="1:22" s="11" customFormat="1" ht="45" customHeight="1" x14ac:dyDescent="0.2">
      <c r="A1862" s="66" t="s">
        <v>3577</v>
      </c>
      <c r="B1862" s="66" t="s">
        <v>1707</v>
      </c>
      <c r="C1862" s="66" t="s">
        <v>3578</v>
      </c>
      <c r="D1862" s="66">
        <v>82654</v>
      </c>
      <c r="E1862" s="68" t="s">
        <v>7510</v>
      </c>
      <c r="F1862" s="66" t="s">
        <v>7511</v>
      </c>
      <c r="G1862" s="71">
        <v>6500</v>
      </c>
      <c r="H1862" s="73"/>
      <c r="I1862" s="75">
        <v>0.1</v>
      </c>
      <c r="J1862" s="77"/>
      <c r="K1862" s="66"/>
      <c r="L1862" s="66"/>
      <c r="M1862" s="79" t="str">
        <f>HYPERLINK("http://www.pristavka.com/catalog/funko/Fun82654/")</f>
        <v>http://www.pristavka.com/catalog/funko/Fun82654/</v>
      </c>
      <c r="N1862" s="71">
        <v>9999</v>
      </c>
      <c r="O1862" s="66" t="s">
        <v>27</v>
      </c>
      <c r="P1862" s="82" t="s">
        <v>7512</v>
      </c>
      <c r="Q1862" s="84" t="s">
        <v>6049</v>
      </c>
      <c r="R1862" s="84" t="s">
        <v>1840</v>
      </c>
      <c r="S1862" s="84">
        <v>0.15</v>
      </c>
      <c r="T1862" s="82" t="s">
        <v>4084</v>
      </c>
      <c r="U1862" s="84" t="s">
        <v>3584</v>
      </c>
      <c r="V1862" s="54"/>
    </row>
    <row r="1863" spans="1:22" s="11" customFormat="1" ht="45" customHeight="1" x14ac:dyDescent="0.2">
      <c r="A1863" s="66" t="s">
        <v>3577</v>
      </c>
      <c r="B1863" s="66" t="s">
        <v>1707</v>
      </c>
      <c r="C1863" s="66" t="s">
        <v>3578</v>
      </c>
      <c r="D1863" s="66">
        <v>84862</v>
      </c>
      <c r="E1863" s="68" t="s">
        <v>7513</v>
      </c>
      <c r="F1863" s="66" t="s">
        <v>7514</v>
      </c>
      <c r="G1863" s="71">
        <v>6890</v>
      </c>
      <c r="H1863" s="73"/>
      <c r="I1863" s="75">
        <v>0.1</v>
      </c>
      <c r="J1863" s="77"/>
      <c r="K1863" s="66"/>
      <c r="L1863" s="66"/>
      <c r="M1863" s="79" t="str">
        <f>HYPERLINK("http://www.pristavka.com/catalog/funko/Fun84862/")</f>
        <v>http://www.pristavka.com/catalog/funko/Fun84862/</v>
      </c>
      <c r="N1863" s="71">
        <v>10599</v>
      </c>
      <c r="O1863" s="66" t="s">
        <v>27</v>
      </c>
      <c r="P1863" s="82" t="s">
        <v>7515</v>
      </c>
      <c r="Q1863" s="84" t="s">
        <v>6049</v>
      </c>
      <c r="R1863" s="84" t="s">
        <v>1303</v>
      </c>
      <c r="S1863" s="84">
        <v>0.125</v>
      </c>
      <c r="T1863" s="82" t="s">
        <v>4113</v>
      </c>
      <c r="U1863" s="84" t="s">
        <v>3584</v>
      </c>
      <c r="V1863" s="54"/>
    </row>
    <row r="1864" spans="1:22" s="11" customFormat="1" ht="45" customHeight="1" x14ac:dyDescent="0.2">
      <c r="A1864" s="66" t="s">
        <v>3577</v>
      </c>
      <c r="B1864" s="66" t="s">
        <v>1707</v>
      </c>
      <c r="C1864" s="66" t="s">
        <v>3578</v>
      </c>
      <c r="D1864" s="66">
        <v>84491</v>
      </c>
      <c r="E1864" s="68" t="s">
        <v>7516</v>
      </c>
      <c r="F1864" s="66" t="s">
        <v>7517</v>
      </c>
      <c r="G1864" s="71">
        <v>6890</v>
      </c>
      <c r="H1864" s="73"/>
      <c r="I1864" s="75">
        <v>0.1</v>
      </c>
      <c r="J1864" s="77"/>
      <c r="K1864" s="66"/>
      <c r="L1864" s="66"/>
      <c r="M1864" s="79" t="str">
        <f>HYPERLINK("http://www.pristavka.com/catalog/funko/Fun84491/")</f>
        <v>http://www.pristavka.com/catalog/funko/Fun84491/</v>
      </c>
      <c r="N1864" s="71">
        <v>10599</v>
      </c>
      <c r="O1864" s="66" t="s">
        <v>27</v>
      </c>
      <c r="P1864" s="82" t="s">
        <v>7518</v>
      </c>
      <c r="Q1864" s="84" t="s">
        <v>6049</v>
      </c>
      <c r="R1864" s="84" t="s">
        <v>1840</v>
      </c>
      <c r="S1864" s="84">
        <v>0.18</v>
      </c>
      <c r="T1864" s="82" t="s">
        <v>4113</v>
      </c>
      <c r="U1864" s="84" t="s">
        <v>3584</v>
      </c>
      <c r="V1864" s="54"/>
    </row>
    <row r="1865" spans="1:22" s="11" customFormat="1" ht="45" customHeight="1" x14ac:dyDescent="0.2">
      <c r="A1865" s="66" t="s">
        <v>3577</v>
      </c>
      <c r="B1865" s="66" t="s">
        <v>1707</v>
      </c>
      <c r="C1865" s="66" t="s">
        <v>3578</v>
      </c>
      <c r="D1865" s="66">
        <v>83563</v>
      </c>
      <c r="E1865" s="68" t="s">
        <v>7519</v>
      </c>
      <c r="F1865" s="66" t="s">
        <v>7520</v>
      </c>
      <c r="G1865" s="71">
        <v>6500</v>
      </c>
      <c r="H1865" s="73"/>
      <c r="I1865" s="75">
        <v>0.1</v>
      </c>
      <c r="J1865" s="77"/>
      <c r="K1865" s="66"/>
      <c r="L1865" s="66"/>
      <c r="M1865" s="79" t="str">
        <f>HYPERLINK("http://www.pristavka.com/catalog/funko/Fun83563/")</f>
        <v>http://www.pristavka.com/catalog/funko/Fun83563/</v>
      </c>
      <c r="N1865" s="71">
        <v>9999</v>
      </c>
      <c r="O1865" s="66" t="s">
        <v>27</v>
      </c>
      <c r="P1865" s="82" t="s">
        <v>7521</v>
      </c>
      <c r="Q1865" s="84" t="s">
        <v>6049</v>
      </c>
      <c r="R1865" s="84" t="s">
        <v>1840</v>
      </c>
      <c r="S1865" s="84">
        <v>0.11</v>
      </c>
      <c r="T1865" s="82" t="s">
        <v>4746</v>
      </c>
      <c r="U1865" s="84" t="s">
        <v>3584</v>
      </c>
      <c r="V1865" s="54"/>
    </row>
    <row r="1866" spans="1:22" s="11" customFormat="1" ht="45" customHeight="1" x14ac:dyDescent="0.2">
      <c r="A1866" s="66" t="s">
        <v>3577</v>
      </c>
      <c r="B1866" s="66" t="s">
        <v>1707</v>
      </c>
      <c r="C1866" s="66" t="s">
        <v>3578</v>
      </c>
      <c r="D1866" s="66">
        <v>83564</v>
      </c>
      <c r="E1866" s="68" t="s">
        <v>7522</v>
      </c>
      <c r="F1866" s="66" t="s">
        <v>7523</v>
      </c>
      <c r="G1866" s="71">
        <v>6500</v>
      </c>
      <c r="H1866" s="73"/>
      <c r="I1866" s="75">
        <v>0.1</v>
      </c>
      <c r="J1866" s="77"/>
      <c r="K1866" s="66"/>
      <c r="L1866" s="66"/>
      <c r="M1866" s="79" t="str">
        <f>HYPERLINK("http://www.pristavka.com/catalog/funko/Fun83564/")</f>
        <v>http://www.pristavka.com/catalog/funko/Fun83564/</v>
      </c>
      <c r="N1866" s="71">
        <v>9999</v>
      </c>
      <c r="O1866" s="66" t="s">
        <v>27</v>
      </c>
      <c r="P1866" s="82" t="s">
        <v>7524</v>
      </c>
      <c r="Q1866" s="84" t="s">
        <v>6049</v>
      </c>
      <c r="R1866" s="84" t="s">
        <v>1840</v>
      </c>
      <c r="S1866" s="84">
        <v>0.13</v>
      </c>
      <c r="T1866" s="82" t="s">
        <v>4113</v>
      </c>
      <c r="U1866" s="84" t="s">
        <v>3584</v>
      </c>
      <c r="V1866" s="54"/>
    </row>
    <row r="1867" spans="1:22" s="11" customFormat="1" ht="45" customHeight="1" x14ac:dyDescent="0.2">
      <c r="A1867" s="66" t="s">
        <v>3577</v>
      </c>
      <c r="B1867" s="66" t="s">
        <v>1707</v>
      </c>
      <c r="C1867" s="66" t="s">
        <v>3578</v>
      </c>
      <c r="D1867" s="66">
        <v>75908</v>
      </c>
      <c r="E1867" s="68" t="s">
        <v>7525</v>
      </c>
      <c r="F1867" s="66" t="s">
        <v>7526</v>
      </c>
      <c r="G1867" s="71">
        <v>6500</v>
      </c>
      <c r="H1867" s="73"/>
      <c r="I1867" s="75">
        <v>0.1</v>
      </c>
      <c r="J1867" s="77"/>
      <c r="K1867" s="66"/>
      <c r="L1867" s="66"/>
      <c r="M1867" s="79" t="str">
        <f>HYPERLINK("http://www.pristavka.com/catalog/funko/Fun75908/")</f>
        <v>http://www.pristavka.com/catalog/funko/Fun75908/</v>
      </c>
      <c r="N1867" s="71">
        <v>9999</v>
      </c>
      <c r="O1867" s="66" t="s">
        <v>27</v>
      </c>
      <c r="P1867" s="82" t="s">
        <v>7527</v>
      </c>
      <c r="Q1867" s="84" t="s">
        <v>7528</v>
      </c>
      <c r="R1867" s="84" t="s">
        <v>6166</v>
      </c>
      <c r="S1867" s="84">
        <v>0.17</v>
      </c>
      <c r="T1867" s="82" t="s">
        <v>4084</v>
      </c>
      <c r="U1867" s="84" t="s">
        <v>3584</v>
      </c>
      <c r="V1867" s="54"/>
    </row>
    <row r="1868" spans="1:22" s="11" customFormat="1" ht="45" customHeight="1" x14ac:dyDescent="0.2">
      <c r="A1868" s="66" t="s">
        <v>3577</v>
      </c>
      <c r="B1868" s="66" t="s">
        <v>1707</v>
      </c>
      <c r="C1868" s="66" t="s">
        <v>3578</v>
      </c>
      <c r="D1868" s="66">
        <v>80779</v>
      </c>
      <c r="E1868" s="68" t="s">
        <v>7529</v>
      </c>
      <c r="F1868" s="66" t="s">
        <v>7530</v>
      </c>
      <c r="G1868" s="71">
        <v>6500</v>
      </c>
      <c r="H1868" s="73"/>
      <c r="I1868" s="75">
        <v>0.1</v>
      </c>
      <c r="J1868" s="77"/>
      <c r="K1868" s="66"/>
      <c r="L1868" s="66"/>
      <c r="M1868" s="79" t="str">
        <f>HYPERLINK("http://www.pristavka.com/catalog/funko/Fun80779/")</f>
        <v>http://www.pristavka.com/catalog/funko/Fun80779/</v>
      </c>
      <c r="N1868" s="71">
        <v>9999</v>
      </c>
      <c r="O1868" s="66" t="s">
        <v>27</v>
      </c>
      <c r="P1868" s="82" t="s">
        <v>7531</v>
      </c>
      <c r="Q1868" s="84" t="s">
        <v>1840</v>
      </c>
      <c r="R1868" s="84" t="s">
        <v>1840</v>
      </c>
      <c r="S1868" s="84">
        <v>0.13400000000000001</v>
      </c>
      <c r="T1868" s="82" t="s">
        <v>4091</v>
      </c>
      <c r="U1868" s="84" t="s">
        <v>3584</v>
      </c>
      <c r="V1868" s="54"/>
    </row>
    <row r="1869" spans="1:22" s="11" customFormat="1" ht="45" customHeight="1" x14ac:dyDescent="0.2">
      <c r="A1869" s="66" t="s">
        <v>3577</v>
      </c>
      <c r="B1869" s="66" t="s">
        <v>1707</v>
      </c>
      <c r="C1869" s="66" t="s">
        <v>3578</v>
      </c>
      <c r="D1869" s="66">
        <v>72352</v>
      </c>
      <c r="E1869" s="68" t="s">
        <v>7532</v>
      </c>
      <c r="F1869" s="66" t="s">
        <v>7533</v>
      </c>
      <c r="G1869" s="71">
        <v>6500</v>
      </c>
      <c r="H1869" s="73"/>
      <c r="I1869" s="75">
        <v>0.1</v>
      </c>
      <c r="J1869" s="77"/>
      <c r="K1869" s="66"/>
      <c r="L1869" s="66"/>
      <c r="M1869" s="79" t="str">
        <f>HYPERLINK("http://www.pristavka.com/catalog/funko/Fun72352/")</f>
        <v>http://www.pristavka.com/catalog/funko/Fun72352/</v>
      </c>
      <c r="N1869" s="71">
        <v>9999</v>
      </c>
      <c r="O1869" s="66" t="s">
        <v>28</v>
      </c>
      <c r="P1869" s="82" t="s">
        <v>7534</v>
      </c>
      <c r="Q1869" s="84" t="s">
        <v>7535</v>
      </c>
      <c r="R1869" s="84" t="s">
        <v>3566</v>
      </c>
      <c r="S1869" s="84">
        <v>0.14099999999999999</v>
      </c>
      <c r="T1869" s="82" t="s">
        <v>4091</v>
      </c>
      <c r="U1869" s="84" t="s">
        <v>3584</v>
      </c>
      <c r="V1869" s="54"/>
    </row>
    <row r="1870" spans="1:22" s="11" customFormat="1" ht="45" customHeight="1" x14ac:dyDescent="0.2">
      <c r="A1870" s="66" t="s">
        <v>3577</v>
      </c>
      <c r="B1870" s="66" t="s">
        <v>1707</v>
      </c>
      <c r="C1870" s="66" t="s">
        <v>3578</v>
      </c>
      <c r="D1870" s="66">
        <v>72351</v>
      </c>
      <c r="E1870" s="68" t="s">
        <v>7536</v>
      </c>
      <c r="F1870" s="66" t="s">
        <v>7537</v>
      </c>
      <c r="G1870" s="71">
        <v>6500</v>
      </c>
      <c r="H1870" s="73"/>
      <c r="I1870" s="75">
        <v>0.1</v>
      </c>
      <c r="J1870" s="77"/>
      <c r="K1870" s="66"/>
      <c r="L1870" s="66"/>
      <c r="M1870" s="79" t="str">
        <f>HYPERLINK("http://www.pristavka.com/catalog/funko/Fun72351/")</f>
        <v>http://www.pristavka.com/catalog/funko/Fun72351/</v>
      </c>
      <c r="N1870" s="71">
        <v>9999</v>
      </c>
      <c r="O1870" s="66" t="s">
        <v>27</v>
      </c>
      <c r="P1870" s="82" t="s">
        <v>7538</v>
      </c>
      <c r="Q1870" s="84" t="s">
        <v>7535</v>
      </c>
      <c r="R1870" s="84" t="s">
        <v>3566</v>
      </c>
      <c r="S1870" s="84">
        <v>0.125</v>
      </c>
      <c r="T1870" s="82" t="s">
        <v>4091</v>
      </c>
      <c r="U1870" s="84" t="s">
        <v>3584</v>
      </c>
      <c r="V1870" s="54"/>
    </row>
    <row r="1871" spans="1:22" s="11" customFormat="1" ht="45" customHeight="1" x14ac:dyDescent="0.2">
      <c r="A1871" s="66" t="s">
        <v>3577</v>
      </c>
      <c r="B1871" s="66" t="s">
        <v>1707</v>
      </c>
      <c r="C1871" s="66" t="s">
        <v>3578</v>
      </c>
      <c r="D1871" s="66">
        <v>20117</v>
      </c>
      <c r="E1871" s="68" t="s">
        <v>7539</v>
      </c>
      <c r="F1871" s="66" t="s">
        <v>7540</v>
      </c>
      <c r="G1871" s="71">
        <v>6500</v>
      </c>
      <c r="H1871" s="73"/>
      <c r="I1871" s="75">
        <v>0.1</v>
      </c>
      <c r="J1871" s="77"/>
      <c r="K1871" s="66"/>
      <c r="L1871" s="66"/>
      <c r="M1871" s="79" t="str">
        <f>HYPERLINK("http://www.pristavka.com/catalog/funko/Fun2459/")</f>
        <v>http://www.pristavka.com/catalog/funko/Fun2459/</v>
      </c>
      <c r="N1871" s="71">
        <v>9999</v>
      </c>
      <c r="O1871" s="66" t="s">
        <v>27</v>
      </c>
      <c r="P1871" s="82" t="s">
        <v>7541</v>
      </c>
      <c r="Q1871" s="84" t="s">
        <v>1223</v>
      </c>
      <c r="R1871" s="84" t="s">
        <v>1212</v>
      </c>
      <c r="S1871" s="84">
        <v>0.13800000000000001</v>
      </c>
      <c r="T1871" s="82" t="s">
        <v>4370</v>
      </c>
      <c r="U1871" s="84" t="s">
        <v>3584</v>
      </c>
      <c r="V1871" s="54"/>
    </row>
    <row r="1872" spans="1:22" s="11" customFormat="1" ht="45" customHeight="1" x14ac:dyDescent="0.2">
      <c r="A1872" s="66" t="s">
        <v>3577</v>
      </c>
      <c r="B1872" s="66" t="s">
        <v>1707</v>
      </c>
      <c r="C1872" s="66" t="s">
        <v>3578</v>
      </c>
      <c r="D1872" s="66">
        <v>46914</v>
      </c>
      <c r="E1872" s="68" t="s">
        <v>7542</v>
      </c>
      <c r="F1872" s="66" t="s">
        <v>7543</v>
      </c>
      <c r="G1872" s="71">
        <v>6500</v>
      </c>
      <c r="H1872" s="73"/>
      <c r="I1872" s="75">
        <v>0.1</v>
      </c>
      <c r="J1872" s="77"/>
      <c r="K1872" s="66"/>
      <c r="L1872" s="66"/>
      <c r="M1872" s="79" t="str">
        <f>HYPERLINK("http://www.pristavka.com/catalog/funko/Fun2549639/")</f>
        <v>http://www.pristavka.com/catalog/funko/Fun2549639/</v>
      </c>
      <c r="N1872" s="71">
        <v>9999</v>
      </c>
      <c r="O1872" s="66" t="s">
        <v>27</v>
      </c>
      <c r="P1872" s="82" t="s">
        <v>7544</v>
      </c>
      <c r="Q1872" s="84" t="s">
        <v>1211</v>
      </c>
      <c r="R1872" s="84" t="s">
        <v>1212</v>
      </c>
      <c r="S1872" s="84">
        <v>0.14000000000000001</v>
      </c>
      <c r="T1872" s="82" t="s">
        <v>4102</v>
      </c>
      <c r="U1872" s="84" t="s">
        <v>3584</v>
      </c>
      <c r="V1872" s="54"/>
    </row>
    <row r="1873" spans="1:22" s="11" customFormat="1" ht="45" customHeight="1" x14ac:dyDescent="0.2">
      <c r="A1873" s="66" t="s">
        <v>3577</v>
      </c>
      <c r="B1873" s="66" t="s">
        <v>1707</v>
      </c>
      <c r="C1873" s="66" t="s">
        <v>3578</v>
      </c>
      <c r="D1873" s="66">
        <v>48705</v>
      </c>
      <c r="E1873" s="68" t="s">
        <v>7545</v>
      </c>
      <c r="F1873" s="66" t="s">
        <v>7546</v>
      </c>
      <c r="G1873" s="71">
        <v>6500</v>
      </c>
      <c r="H1873" s="73"/>
      <c r="I1873" s="75">
        <v>0.1</v>
      </c>
      <c r="J1873" s="77"/>
      <c r="K1873" s="66"/>
      <c r="L1873" s="66"/>
      <c r="M1873" s="79" t="str">
        <f>HYPERLINK("http://www.pristavka.com/catalog/funko/Fun2549642/")</f>
        <v>http://www.pristavka.com/catalog/funko/Fun2549642/</v>
      </c>
      <c r="N1873" s="71">
        <v>9999</v>
      </c>
      <c r="O1873" s="66" t="s">
        <v>27</v>
      </c>
      <c r="P1873" s="82" t="s">
        <v>7547</v>
      </c>
      <c r="Q1873" s="84" t="s">
        <v>1211</v>
      </c>
      <c r="R1873" s="84" t="s">
        <v>1212</v>
      </c>
      <c r="S1873" s="84">
        <v>0.14000000000000001</v>
      </c>
      <c r="T1873" s="82" t="s">
        <v>6256</v>
      </c>
      <c r="U1873" s="84" t="s">
        <v>3584</v>
      </c>
      <c r="V1873" s="54"/>
    </row>
    <row r="1874" spans="1:22" s="11" customFormat="1" ht="45" customHeight="1" x14ac:dyDescent="0.2">
      <c r="A1874" s="66" t="s">
        <v>3577</v>
      </c>
      <c r="B1874" s="66" t="s">
        <v>1707</v>
      </c>
      <c r="C1874" s="66" t="s">
        <v>3578</v>
      </c>
      <c r="D1874" s="66">
        <v>3400</v>
      </c>
      <c r="E1874" s="68" t="s">
        <v>7548</v>
      </c>
      <c r="F1874" s="66" t="s">
        <v>7549</v>
      </c>
      <c r="G1874" s="71">
        <v>6500</v>
      </c>
      <c r="H1874" s="73"/>
      <c r="I1874" s="75">
        <v>0.1</v>
      </c>
      <c r="J1874" s="77"/>
      <c r="K1874" s="66"/>
      <c r="L1874" s="66"/>
      <c r="M1874" s="79" t="str">
        <f>HYPERLINK("http://www.pristavka.com/catalog/funko/Fun13/")</f>
        <v>http://www.pristavka.com/catalog/funko/Fun13/</v>
      </c>
      <c r="N1874" s="71">
        <v>9999</v>
      </c>
      <c r="O1874" s="66" t="s">
        <v>27</v>
      </c>
      <c r="P1874" s="82" t="s">
        <v>7550</v>
      </c>
      <c r="Q1874" s="84" t="s">
        <v>1211</v>
      </c>
      <c r="R1874" s="84" t="s">
        <v>1212</v>
      </c>
      <c r="S1874" s="84">
        <v>0.125</v>
      </c>
      <c r="T1874" s="82" t="s">
        <v>4102</v>
      </c>
      <c r="U1874" s="84" t="s">
        <v>3584</v>
      </c>
      <c r="V1874" s="54"/>
    </row>
    <row r="1875" spans="1:22" s="11" customFormat="1" ht="45" customHeight="1" x14ac:dyDescent="0.2">
      <c r="A1875" s="66" t="s">
        <v>3577</v>
      </c>
      <c r="B1875" s="66" t="s">
        <v>1707</v>
      </c>
      <c r="C1875" s="66" t="s">
        <v>3578</v>
      </c>
      <c r="D1875" s="66">
        <v>46912</v>
      </c>
      <c r="E1875" s="68" t="s">
        <v>7551</v>
      </c>
      <c r="F1875" s="66" t="s">
        <v>7552</v>
      </c>
      <c r="G1875" s="71">
        <v>6500</v>
      </c>
      <c r="H1875" s="73"/>
      <c r="I1875" s="75">
        <v>0.1</v>
      </c>
      <c r="J1875" s="77"/>
      <c r="K1875" s="66"/>
      <c r="L1875" s="66"/>
      <c r="M1875" s="79" t="str">
        <f>HYPERLINK("http://www.pristavka.com/catalog/funko/Fun2549643/")</f>
        <v>http://www.pristavka.com/catalog/funko/Fun2549643/</v>
      </c>
      <c r="N1875" s="71">
        <v>9999</v>
      </c>
      <c r="O1875" s="66" t="s">
        <v>27</v>
      </c>
      <c r="P1875" s="82" t="s">
        <v>7553</v>
      </c>
      <c r="Q1875" s="84" t="s">
        <v>1211</v>
      </c>
      <c r="R1875" s="84" t="s">
        <v>1212</v>
      </c>
      <c r="S1875" s="84">
        <v>0.125</v>
      </c>
      <c r="T1875" s="82" t="s">
        <v>4102</v>
      </c>
      <c r="U1875" s="84" t="s">
        <v>3584</v>
      </c>
      <c r="V1875" s="54"/>
    </row>
    <row r="1876" spans="1:22" s="11" customFormat="1" ht="45" customHeight="1" x14ac:dyDescent="0.2">
      <c r="A1876" s="66" t="s">
        <v>3577</v>
      </c>
      <c r="B1876" s="66" t="s">
        <v>1707</v>
      </c>
      <c r="C1876" s="66" t="s">
        <v>3578</v>
      </c>
      <c r="D1876" s="66">
        <v>65740</v>
      </c>
      <c r="E1876" s="68" t="s">
        <v>7554</v>
      </c>
      <c r="F1876" s="66" t="s">
        <v>7555</v>
      </c>
      <c r="G1876" s="71">
        <v>6890</v>
      </c>
      <c r="H1876" s="73"/>
      <c r="I1876" s="75">
        <v>0.1</v>
      </c>
      <c r="J1876" s="77"/>
      <c r="K1876" s="66"/>
      <c r="L1876" s="66"/>
      <c r="M1876" s="79" t="str">
        <f>HYPERLINK("http://www.pristavka.com/catalog/funko/Fun65740/")</f>
        <v>http://www.pristavka.com/catalog/funko/Fun65740/</v>
      </c>
      <c r="N1876" s="71">
        <v>10599</v>
      </c>
      <c r="O1876" s="66" t="s">
        <v>28</v>
      </c>
      <c r="P1876" s="82" t="s">
        <v>7556</v>
      </c>
      <c r="Q1876" s="84" t="s">
        <v>7557</v>
      </c>
      <c r="R1876" s="84" t="s">
        <v>58</v>
      </c>
      <c r="S1876" s="84">
        <v>0.14000000000000001</v>
      </c>
      <c r="T1876" s="82" t="s">
        <v>4113</v>
      </c>
      <c r="U1876" s="84" t="s">
        <v>3584</v>
      </c>
      <c r="V1876" s="54"/>
    </row>
    <row r="1877" spans="1:22" s="11" customFormat="1" ht="45" customHeight="1" x14ac:dyDescent="0.2">
      <c r="A1877" s="66" t="s">
        <v>3577</v>
      </c>
      <c r="B1877" s="66" t="s">
        <v>1707</v>
      </c>
      <c r="C1877" s="66" t="s">
        <v>3578</v>
      </c>
      <c r="D1877" s="66">
        <v>81538</v>
      </c>
      <c r="E1877" s="68" t="s">
        <v>7558</v>
      </c>
      <c r="F1877" s="66" t="s">
        <v>7559</v>
      </c>
      <c r="G1877" s="71">
        <v>6500</v>
      </c>
      <c r="H1877" s="73"/>
      <c r="I1877" s="75">
        <v>0.1</v>
      </c>
      <c r="J1877" s="77"/>
      <c r="K1877" s="66"/>
      <c r="L1877" s="66"/>
      <c r="M1877" s="79" t="str">
        <f>HYPERLINK("http://www.pristavka.com/catalog/funko/Fun81538/")</f>
        <v>http://www.pristavka.com/catalog/funko/Fun81538/</v>
      </c>
      <c r="N1877" s="71">
        <v>9999</v>
      </c>
      <c r="O1877" s="66" t="s">
        <v>27</v>
      </c>
      <c r="P1877" s="82" t="s">
        <v>7560</v>
      </c>
      <c r="Q1877" s="84" t="s">
        <v>4274</v>
      </c>
      <c r="R1877" s="84" t="s">
        <v>1212</v>
      </c>
      <c r="S1877" s="84">
        <v>0.129</v>
      </c>
      <c r="T1877" s="82" t="s">
        <v>4084</v>
      </c>
      <c r="U1877" s="84" t="s">
        <v>3584</v>
      </c>
      <c r="V1877" s="54"/>
    </row>
    <row r="1878" spans="1:22" s="11" customFormat="1" ht="45" customHeight="1" x14ac:dyDescent="0.2">
      <c r="A1878" s="66" t="s">
        <v>3577</v>
      </c>
      <c r="B1878" s="66" t="s">
        <v>1707</v>
      </c>
      <c r="C1878" s="66" t="s">
        <v>3578</v>
      </c>
      <c r="D1878" s="66">
        <v>81537</v>
      </c>
      <c r="E1878" s="68" t="s">
        <v>7561</v>
      </c>
      <c r="F1878" s="66" t="s">
        <v>7562</v>
      </c>
      <c r="G1878" s="71">
        <v>6500</v>
      </c>
      <c r="H1878" s="73"/>
      <c r="I1878" s="75">
        <v>0.1</v>
      </c>
      <c r="J1878" s="77"/>
      <c r="K1878" s="66"/>
      <c r="L1878" s="66"/>
      <c r="M1878" s="79" t="str">
        <f>HYPERLINK("http://www.pristavka.com/catalog/funko/Fun81537/")</f>
        <v>http://www.pristavka.com/catalog/funko/Fun81537/</v>
      </c>
      <c r="N1878" s="71">
        <v>9999</v>
      </c>
      <c r="O1878" s="66" t="s">
        <v>27</v>
      </c>
      <c r="P1878" s="82" t="s">
        <v>7563</v>
      </c>
      <c r="Q1878" s="84" t="s">
        <v>4274</v>
      </c>
      <c r="R1878" s="84" t="s">
        <v>1212</v>
      </c>
      <c r="S1878" s="84">
        <v>0.153</v>
      </c>
      <c r="T1878" s="82" t="s">
        <v>4084</v>
      </c>
      <c r="U1878" s="84" t="s">
        <v>3584</v>
      </c>
      <c r="V1878" s="54"/>
    </row>
    <row r="1879" spans="1:22" s="11" customFormat="1" ht="45" customHeight="1" x14ac:dyDescent="0.2">
      <c r="A1879" s="66" t="s">
        <v>3577</v>
      </c>
      <c r="B1879" s="66" t="s">
        <v>1707</v>
      </c>
      <c r="C1879" s="66" t="s">
        <v>3578</v>
      </c>
      <c r="D1879" s="66">
        <v>81536</v>
      </c>
      <c r="E1879" s="68" t="s">
        <v>7564</v>
      </c>
      <c r="F1879" s="66" t="s">
        <v>7565</v>
      </c>
      <c r="G1879" s="71">
        <v>6500</v>
      </c>
      <c r="H1879" s="73"/>
      <c r="I1879" s="75">
        <v>0.1</v>
      </c>
      <c r="J1879" s="77"/>
      <c r="K1879" s="66"/>
      <c r="L1879" s="66"/>
      <c r="M1879" s="79" t="str">
        <f>HYPERLINK("http://www.pristavka.com/catalog/funko/Fun81536/")</f>
        <v>http://www.pristavka.com/catalog/funko/Fun81536/</v>
      </c>
      <c r="N1879" s="71">
        <v>9999</v>
      </c>
      <c r="O1879" s="66" t="s">
        <v>27</v>
      </c>
      <c r="P1879" s="82" t="s">
        <v>7566</v>
      </c>
      <c r="Q1879" s="84" t="s">
        <v>4274</v>
      </c>
      <c r="R1879" s="84" t="s">
        <v>1212</v>
      </c>
      <c r="S1879" s="84">
        <v>0.14199999999999999</v>
      </c>
      <c r="T1879" s="82" t="s">
        <v>4084</v>
      </c>
      <c r="U1879" s="84" t="s">
        <v>3584</v>
      </c>
      <c r="V1879" s="54"/>
    </row>
    <row r="1880" spans="1:22" s="11" customFormat="1" ht="45" customHeight="1" x14ac:dyDescent="0.2">
      <c r="A1880" s="66" t="s">
        <v>3577</v>
      </c>
      <c r="B1880" s="66" t="s">
        <v>1707</v>
      </c>
      <c r="C1880" s="66" t="s">
        <v>3578</v>
      </c>
      <c r="D1880" s="66">
        <v>81539</v>
      </c>
      <c r="E1880" s="68" t="s">
        <v>7567</v>
      </c>
      <c r="F1880" s="66" t="s">
        <v>7568</v>
      </c>
      <c r="G1880" s="71">
        <v>6500</v>
      </c>
      <c r="H1880" s="73"/>
      <c r="I1880" s="75">
        <v>0.1</v>
      </c>
      <c r="J1880" s="77"/>
      <c r="K1880" s="66"/>
      <c r="L1880" s="66"/>
      <c r="M1880" s="79" t="str">
        <f>HYPERLINK("http://www.pristavka.com/catalog/funko/Fun81539/")</f>
        <v>http://www.pristavka.com/catalog/funko/Fun81539/</v>
      </c>
      <c r="N1880" s="71">
        <v>9999</v>
      </c>
      <c r="O1880" s="66" t="s">
        <v>27</v>
      </c>
      <c r="P1880" s="82" t="s">
        <v>7569</v>
      </c>
      <c r="Q1880" s="84" t="s">
        <v>4274</v>
      </c>
      <c r="R1880" s="84" t="s">
        <v>1212</v>
      </c>
      <c r="S1880" s="84">
        <v>0.15</v>
      </c>
      <c r="T1880" s="82" t="s">
        <v>4084</v>
      </c>
      <c r="U1880" s="84" t="s">
        <v>3584</v>
      </c>
      <c r="V1880" s="54"/>
    </row>
    <row r="1881" spans="1:22" s="11" customFormat="1" ht="45" customHeight="1" x14ac:dyDescent="0.2">
      <c r="A1881" s="66" t="s">
        <v>3577</v>
      </c>
      <c r="B1881" s="66" t="s">
        <v>1707</v>
      </c>
      <c r="C1881" s="66" t="s">
        <v>3578</v>
      </c>
      <c r="D1881" s="66">
        <v>80201</v>
      </c>
      <c r="E1881" s="68" t="s">
        <v>7570</v>
      </c>
      <c r="F1881" s="66" t="s">
        <v>7571</v>
      </c>
      <c r="G1881" s="71">
        <v>6500</v>
      </c>
      <c r="H1881" s="73"/>
      <c r="I1881" s="75">
        <v>0.1</v>
      </c>
      <c r="J1881" s="77"/>
      <c r="K1881" s="66"/>
      <c r="L1881" s="66"/>
      <c r="M1881" s="79" t="str">
        <f>HYPERLINK("http://www.pristavka.com/catalog/funko/Fun80201/")</f>
        <v>http://www.pristavka.com/catalog/funko/Fun80201/</v>
      </c>
      <c r="N1881" s="71">
        <v>9999</v>
      </c>
      <c r="O1881" s="66" t="s">
        <v>27</v>
      </c>
      <c r="P1881" s="82" t="s">
        <v>7572</v>
      </c>
      <c r="Q1881" s="84" t="s">
        <v>7573</v>
      </c>
      <c r="R1881" s="84" t="s">
        <v>1840</v>
      </c>
      <c r="S1881" s="84">
        <v>0.11600000000000001</v>
      </c>
      <c r="T1881" s="82" t="s">
        <v>4091</v>
      </c>
      <c r="U1881" s="84" t="s">
        <v>3584</v>
      </c>
      <c r="V1881" s="54"/>
    </row>
    <row r="1882" spans="1:22" s="11" customFormat="1" ht="45" customHeight="1" x14ac:dyDescent="0.2">
      <c r="A1882" s="66" t="s">
        <v>3577</v>
      </c>
      <c r="B1882" s="66" t="s">
        <v>1707</v>
      </c>
      <c r="C1882" s="66" t="s">
        <v>3578</v>
      </c>
      <c r="D1882" s="66">
        <v>80202</v>
      </c>
      <c r="E1882" s="68" t="s">
        <v>7574</v>
      </c>
      <c r="F1882" s="66" t="s">
        <v>7575</v>
      </c>
      <c r="G1882" s="71">
        <v>6500</v>
      </c>
      <c r="H1882" s="73"/>
      <c r="I1882" s="75">
        <v>0.1</v>
      </c>
      <c r="J1882" s="77"/>
      <c r="K1882" s="66"/>
      <c r="L1882" s="66"/>
      <c r="M1882" s="79" t="str">
        <f>HYPERLINK("http://www.pristavka.com/catalog/funko/Fun80202/")</f>
        <v>http://www.pristavka.com/catalog/funko/Fun80202/</v>
      </c>
      <c r="N1882" s="71">
        <v>9999</v>
      </c>
      <c r="O1882" s="66" t="s">
        <v>27</v>
      </c>
      <c r="P1882" s="82" t="s">
        <v>7576</v>
      </c>
      <c r="Q1882" s="84" t="s">
        <v>7573</v>
      </c>
      <c r="R1882" s="84" t="s">
        <v>1840</v>
      </c>
      <c r="S1882" s="84">
        <v>0.13800000000000001</v>
      </c>
      <c r="T1882" s="82" t="s">
        <v>4091</v>
      </c>
      <c r="U1882" s="84" t="s">
        <v>3584</v>
      </c>
      <c r="V1882" s="54"/>
    </row>
    <row r="1883" spans="1:22" s="11" customFormat="1" ht="45" customHeight="1" x14ac:dyDescent="0.2">
      <c r="A1883" s="66" t="s">
        <v>3577</v>
      </c>
      <c r="B1883" s="66" t="s">
        <v>1707</v>
      </c>
      <c r="C1883" s="66" t="s">
        <v>3578</v>
      </c>
      <c r="D1883" s="66">
        <v>80203</v>
      </c>
      <c r="E1883" s="68" t="s">
        <v>7577</v>
      </c>
      <c r="F1883" s="66" t="s">
        <v>7578</v>
      </c>
      <c r="G1883" s="71">
        <v>6500</v>
      </c>
      <c r="H1883" s="73"/>
      <c r="I1883" s="75">
        <v>0.1</v>
      </c>
      <c r="J1883" s="77"/>
      <c r="K1883" s="66"/>
      <c r="L1883" s="66"/>
      <c r="M1883" s="79" t="str">
        <f>HYPERLINK("http://www.pristavka.com/catalog/funko/Fun80203/")</f>
        <v>http://www.pristavka.com/catalog/funko/Fun80203/</v>
      </c>
      <c r="N1883" s="71">
        <v>9999</v>
      </c>
      <c r="O1883" s="66" t="s">
        <v>27</v>
      </c>
      <c r="P1883" s="82" t="s">
        <v>7579</v>
      </c>
      <c r="Q1883" s="84" t="s">
        <v>1840</v>
      </c>
      <c r="R1883" s="84" t="s">
        <v>1840</v>
      </c>
      <c r="S1883" s="84">
        <v>0.13</v>
      </c>
      <c r="T1883" s="82" t="s">
        <v>5430</v>
      </c>
      <c r="U1883" s="84" t="s">
        <v>3584</v>
      </c>
      <c r="V1883" s="54"/>
    </row>
    <row r="1884" spans="1:22" s="11" customFormat="1" ht="45" customHeight="1" x14ac:dyDescent="0.2">
      <c r="A1884" s="66" t="s">
        <v>3577</v>
      </c>
      <c r="B1884" s="66" t="s">
        <v>1707</v>
      </c>
      <c r="C1884" s="66" t="s">
        <v>3578</v>
      </c>
      <c r="D1884" s="66">
        <v>3362</v>
      </c>
      <c r="E1884" s="68" t="s">
        <v>7580</v>
      </c>
      <c r="F1884" s="66" t="s">
        <v>7581</v>
      </c>
      <c r="G1884" s="71">
        <v>6500</v>
      </c>
      <c r="H1884" s="73"/>
      <c r="I1884" s="75">
        <v>0.1</v>
      </c>
      <c r="J1884" s="77"/>
      <c r="K1884" s="66"/>
      <c r="L1884" s="66"/>
      <c r="M1884" s="79" t="str">
        <f>HYPERLINK("http://www.pristavka.com/catalog/funko/Fun3362/")</f>
        <v>http://www.pristavka.com/catalog/funko/Fun3362/</v>
      </c>
      <c r="N1884" s="71">
        <v>9999</v>
      </c>
      <c r="O1884" s="66" t="s">
        <v>28</v>
      </c>
      <c r="P1884" s="82" t="s">
        <v>7582</v>
      </c>
      <c r="Q1884" s="84" t="s">
        <v>3681</v>
      </c>
      <c r="R1884" s="84" t="s">
        <v>1212</v>
      </c>
      <c r="S1884" s="84">
        <v>0.126</v>
      </c>
      <c r="T1884" s="82" t="s">
        <v>4102</v>
      </c>
      <c r="U1884" s="84" t="s">
        <v>3584</v>
      </c>
      <c r="V1884" s="54"/>
    </row>
    <row r="1885" spans="1:22" s="11" customFormat="1" ht="45" customHeight="1" x14ac:dyDescent="0.2">
      <c r="A1885" s="66" t="s">
        <v>3577</v>
      </c>
      <c r="B1885" s="66" t="s">
        <v>1707</v>
      </c>
      <c r="C1885" s="66" t="s">
        <v>3578</v>
      </c>
      <c r="D1885" s="66">
        <v>81000</v>
      </c>
      <c r="E1885" s="68" t="s">
        <v>7583</v>
      </c>
      <c r="F1885" s="66" t="s">
        <v>7584</v>
      </c>
      <c r="G1885" s="71">
        <v>6500</v>
      </c>
      <c r="H1885" s="73"/>
      <c r="I1885" s="75">
        <v>0.1</v>
      </c>
      <c r="J1885" s="77"/>
      <c r="K1885" s="66"/>
      <c r="L1885" s="66"/>
      <c r="M1885" s="79" t="str">
        <f>HYPERLINK("http://www.pristavka.com/catalog/funko/Fun81000/")</f>
        <v>http://www.pristavka.com/catalog/funko/Fun81000/</v>
      </c>
      <c r="N1885" s="71">
        <v>9999</v>
      </c>
      <c r="O1885" s="66" t="s">
        <v>27</v>
      </c>
      <c r="P1885" s="82" t="s">
        <v>7585</v>
      </c>
      <c r="Q1885" s="84" t="s">
        <v>3681</v>
      </c>
      <c r="R1885" s="84" t="s">
        <v>1212</v>
      </c>
      <c r="S1885" s="84">
        <v>0.124</v>
      </c>
      <c r="T1885" s="82" t="s">
        <v>4091</v>
      </c>
      <c r="U1885" s="84" t="s">
        <v>3584</v>
      </c>
      <c r="V1885" s="54"/>
    </row>
    <row r="1886" spans="1:22" s="11" customFormat="1" ht="45" customHeight="1" x14ac:dyDescent="0.2">
      <c r="A1886" s="66" t="s">
        <v>3577</v>
      </c>
      <c r="B1886" s="66" t="s">
        <v>1707</v>
      </c>
      <c r="C1886" s="66" t="s">
        <v>3578</v>
      </c>
      <c r="D1886" s="66">
        <v>80999</v>
      </c>
      <c r="E1886" s="68" t="s">
        <v>7586</v>
      </c>
      <c r="F1886" s="66" t="s">
        <v>7587</v>
      </c>
      <c r="G1886" s="71">
        <v>6500</v>
      </c>
      <c r="H1886" s="73"/>
      <c r="I1886" s="75">
        <v>0.1</v>
      </c>
      <c r="J1886" s="77"/>
      <c r="K1886" s="66"/>
      <c r="L1886" s="66"/>
      <c r="M1886" s="79" t="str">
        <f>HYPERLINK("http://www.pristavka.com/catalog/funko/Fun80999/")</f>
        <v>http://www.pristavka.com/catalog/funko/Fun80999/</v>
      </c>
      <c r="N1886" s="71">
        <v>9999</v>
      </c>
      <c r="O1886" s="66" t="s">
        <v>27</v>
      </c>
      <c r="P1886" s="82" t="s">
        <v>7588</v>
      </c>
      <c r="Q1886" s="84" t="s">
        <v>3681</v>
      </c>
      <c r="R1886" s="84" t="s">
        <v>1212</v>
      </c>
      <c r="S1886" s="84">
        <v>0.158</v>
      </c>
      <c r="T1886" s="82" t="s">
        <v>4084</v>
      </c>
      <c r="U1886" s="84" t="s">
        <v>3584</v>
      </c>
      <c r="V1886" s="54"/>
    </row>
    <row r="1887" spans="1:22" s="11" customFormat="1" ht="45" customHeight="1" x14ac:dyDescent="0.2">
      <c r="A1887" s="66" t="s">
        <v>3577</v>
      </c>
      <c r="B1887" s="66" t="s">
        <v>1707</v>
      </c>
      <c r="C1887" s="66" t="s">
        <v>3578</v>
      </c>
      <c r="D1887" s="66">
        <v>72442</v>
      </c>
      <c r="E1887" s="68" t="s">
        <v>7589</v>
      </c>
      <c r="F1887" s="66" t="s">
        <v>7590</v>
      </c>
      <c r="G1887" s="71">
        <v>6500</v>
      </c>
      <c r="H1887" s="73"/>
      <c r="I1887" s="75">
        <v>0.1</v>
      </c>
      <c r="J1887" s="77"/>
      <c r="K1887" s="66"/>
      <c r="L1887" s="66"/>
      <c r="M1887" s="79" t="str">
        <f>HYPERLINK("http://www.pristavka.com/catalog/funko/Fun72442/")</f>
        <v>http://www.pristavka.com/catalog/funko/Fun72442/</v>
      </c>
      <c r="N1887" s="71">
        <v>9999</v>
      </c>
      <c r="O1887" s="66" t="s">
        <v>27</v>
      </c>
      <c r="P1887" s="82" t="s">
        <v>7591</v>
      </c>
      <c r="Q1887" s="84" t="s">
        <v>1840</v>
      </c>
      <c r="R1887" s="84" t="s">
        <v>1840</v>
      </c>
      <c r="S1887" s="84">
        <v>0.126</v>
      </c>
      <c r="T1887" s="82" t="s">
        <v>4084</v>
      </c>
      <c r="U1887" s="84" t="s">
        <v>3584</v>
      </c>
      <c r="V1887" s="54"/>
    </row>
    <row r="1888" spans="1:22" s="11" customFormat="1" ht="45" customHeight="1" x14ac:dyDescent="0.2">
      <c r="A1888" s="66" t="s">
        <v>3577</v>
      </c>
      <c r="B1888" s="66" t="s">
        <v>1707</v>
      </c>
      <c r="C1888" s="66" t="s">
        <v>3578</v>
      </c>
      <c r="D1888" s="66">
        <v>72441</v>
      </c>
      <c r="E1888" s="68" t="s">
        <v>7592</v>
      </c>
      <c r="F1888" s="66" t="s">
        <v>7593</v>
      </c>
      <c r="G1888" s="71">
        <v>6500</v>
      </c>
      <c r="H1888" s="73"/>
      <c r="I1888" s="75">
        <v>0.1</v>
      </c>
      <c r="J1888" s="77"/>
      <c r="K1888" s="66"/>
      <c r="L1888" s="66"/>
      <c r="M1888" s="79" t="str">
        <f>HYPERLINK("http://www.pristavka.com/catalog/funko/Fun72441/")</f>
        <v>http://www.pristavka.com/catalog/funko/Fun72441/</v>
      </c>
      <c r="N1888" s="71">
        <v>9999</v>
      </c>
      <c r="O1888" s="66" t="s">
        <v>27</v>
      </c>
      <c r="P1888" s="82" t="s">
        <v>7594</v>
      </c>
      <c r="Q1888" s="84" t="s">
        <v>1840</v>
      </c>
      <c r="R1888" s="84" t="s">
        <v>1840</v>
      </c>
      <c r="S1888" s="84">
        <v>0.112</v>
      </c>
      <c r="T1888" s="82" t="s">
        <v>4113</v>
      </c>
      <c r="U1888" s="84" t="s">
        <v>3584</v>
      </c>
      <c r="V1888" s="54"/>
    </row>
    <row r="1889" spans="1:22" s="11" customFormat="1" ht="45" customHeight="1" x14ac:dyDescent="0.2">
      <c r="A1889" s="66" t="s">
        <v>3577</v>
      </c>
      <c r="B1889" s="66" t="s">
        <v>1707</v>
      </c>
      <c r="C1889" s="66" t="s">
        <v>3578</v>
      </c>
      <c r="D1889" s="66">
        <v>83608</v>
      </c>
      <c r="E1889" s="68" t="s">
        <v>7595</v>
      </c>
      <c r="F1889" s="66" t="s">
        <v>7596</v>
      </c>
      <c r="G1889" s="71">
        <v>6500</v>
      </c>
      <c r="H1889" s="73"/>
      <c r="I1889" s="75">
        <v>0.1</v>
      </c>
      <c r="J1889" s="77"/>
      <c r="K1889" s="66"/>
      <c r="L1889" s="66"/>
      <c r="M1889" s="79" t="str">
        <f>HYPERLINK("http://www.pristavka.com/catalog/funko/Fun83608/")</f>
        <v>http://www.pristavka.com/catalog/funko/Fun83608/</v>
      </c>
      <c r="N1889" s="71">
        <v>9999</v>
      </c>
      <c r="O1889" s="66" t="s">
        <v>27</v>
      </c>
      <c r="P1889" s="82" t="s">
        <v>7597</v>
      </c>
      <c r="Q1889" s="84" t="s">
        <v>7598</v>
      </c>
      <c r="R1889" s="84" t="s">
        <v>6166</v>
      </c>
      <c r="S1889" s="84">
        <v>0.14499999999999999</v>
      </c>
      <c r="T1889" s="82" t="s">
        <v>4113</v>
      </c>
      <c r="U1889" s="84" t="s">
        <v>3584</v>
      </c>
      <c r="V1889" s="54"/>
    </row>
    <row r="1890" spans="1:22" s="11" customFormat="1" ht="45" customHeight="1" x14ac:dyDescent="0.2">
      <c r="A1890" s="66" t="s">
        <v>3577</v>
      </c>
      <c r="B1890" s="66" t="s">
        <v>1707</v>
      </c>
      <c r="C1890" s="66" t="s">
        <v>3578</v>
      </c>
      <c r="D1890" s="66">
        <v>83873</v>
      </c>
      <c r="E1890" s="68" t="s">
        <v>7599</v>
      </c>
      <c r="F1890" s="66" t="s">
        <v>7600</v>
      </c>
      <c r="G1890" s="71">
        <v>6500</v>
      </c>
      <c r="H1890" s="73"/>
      <c r="I1890" s="75">
        <v>0.1</v>
      </c>
      <c r="J1890" s="77"/>
      <c r="K1890" s="66"/>
      <c r="L1890" s="66"/>
      <c r="M1890" s="79" t="str">
        <f>HYPERLINK("http://www.pristavka.com/catalog/funko/Fun83873/")</f>
        <v>http://www.pristavka.com/catalog/funko/Fun83873/</v>
      </c>
      <c r="N1890" s="71">
        <v>9999</v>
      </c>
      <c r="O1890" s="66" t="s">
        <v>28</v>
      </c>
      <c r="P1890" s="82" t="s">
        <v>7601</v>
      </c>
      <c r="Q1890" s="84" t="s">
        <v>7598</v>
      </c>
      <c r="R1890" s="84" t="s">
        <v>6166</v>
      </c>
      <c r="S1890" s="84">
        <v>0.14199999999999999</v>
      </c>
      <c r="T1890" s="82" t="s">
        <v>4084</v>
      </c>
      <c r="U1890" s="84" t="s">
        <v>3584</v>
      </c>
      <c r="V1890" s="54"/>
    </row>
    <row r="1891" spans="1:22" s="11" customFormat="1" ht="45" customHeight="1" x14ac:dyDescent="0.2">
      <c r="A1891" s="66" t="s">
        <v>3577</v>
      </c>
      <c r="B1891" s="66" t="s">
        <v>1707</v>
      </c>
      <c r="C1891" s="66" t="s">
        <v>3578</v>
      </c>
      <c r="D1891" s="66">
        <v>83609</v>
      </c>
      <c r="E1891" s="68" t="s">
        <v>7602</v>
      </c>
      <c r="F1891" s="66" t="s">
        <v>7603</v>
      </c>
      <c r="G1891" s="71">
        <v>6500</v>
      </c>
      <c r="H1891" s="73"/>
      <c r="I1891" s="75">
        <v>0.1</v>
      </c>
      <c r="J1891" s="77"/>
      <c r="K1891" s="66"/>
      <c r="L1891" s="66"/>
      <c r="M1891" s="79" t="str">
        <f>HYPERLINK("http://www.pristavka.com/catalog/funko/Fun83609/")</f>
        <v>http://www.pristavka.com/catalog/funko/Fun83609/</v>
      </c>
      <c r="N1891" s="71">
        <v>9999</v>
      </c>
      <c r="O1891" s="66" t="s">
        <v>27</v>
      </c>
      <c r="P1891" s="82" t="s">
        <v>7604</v>
      </c>
      <c r="Q1891" s="84" t="s">
        <v>7598</v>
      </c>
      <c r="R1891" s="84" t="s">
        <v>6166</v>
      </c>
      <c r="S1891" s="84">
        <v>0.13</v>
      </c>
      <c r="T1891" s="82" t="s">
        <v>4084</v>
      </c>
      <c r="U1891" s="84" t="s">
        <v>3584</v>
      </c>
      <c r="V1891" s="54"/>
    </row>
    <row r="1892" spans="1:22" s="11" customFormat="1" ht="45" customHeight="1" x14ac:dyDescent="0.2">
      <c r="A1892" s="66" t="s">
        <v>3577</v>
      </c>
      <c r="B1892" s="66" t="s">
        <v>1707</v>
      </c>
      <c r="C1892" s="66" t="s">
        <v>3578</v>
      </c>
      <c r="D1892" s="66">
        <v>83610</v>
      </c>
      <c r="E1892" s="68" t="s">
        <v>7605</v>
      </c>
      <c r="F1892" s="66" t="s">
        <v>7606</v>
      </c>
      <c r="G1892" s="71">
        <v>6500</v>
      </c>
      <c r="H1892" s="73"/>
      <c r="I1892" s="75">
        <v>0.1</v>
      </c>
      <c r="J1892" s="77"/>
      <c r="K1892" s="66"/>
      <c r="L1892" s="66"/>
      <c r="M1892" s="79" t="str">
        <f>HYPERLINK("http://www.pristavka.com/catalog/funko/Fun83610/")</f>
        <v>http://www.pristavka.com/catalog/funko/Fun83610/</v>
      </c>
      <c r="N1892" s="71">
        <v>9999</v>
      </c>
      <c r="O1892" s="66" t="s">
        <v>27</v>
      </c>
      <c r="P1892" s="82" t="s">
        <v>7607</v>
      </c>
      <c r="Q1892" s="84" t="s">
        <v>7598</v>
      </c>
      <c r="R1892" s="84" t="s">
        <v>6166</v>
      </c>
      <c r="S1892" s="84">
        <v>0.13500000000000001</v>
      </c>
      <c r="T1892" s="82" t="s">
        <v>4113</v>
      </c>
      <c r="U1892" s="84" t="s">
        <v>3584</v>
      </c>
      <c r="V1892" s="54"/>
    </row>
    <row r="1893" spans="1:22" s="11" customFormat="1" ht="45" customHeight="1" x14ac:dyDescent="0.2">
      <c r="A1893" s="66" t="s">
        <v>3577</v>
      </c>
      <c r="B1893" s="66" t="s">
        <v>1707</v>
      </c>
      <c r="C1893" s="66" t="s">
        <v>3578</v>
      </c>
      <c r="D1893" s="66">
        <v>68079</v>
      </c>
      <c r="E1893" s="68" t="s">
        <v>7608</v>
      </c>
      <c r="F1893" s="66" t="s">
        <v>7609</v>
      </c>
      <c r="G1893" s="71">
        <v>6500</v>
      </c>
      <c r="H1893" s="73"/>
      <c r="I1893" s="75">
        <v>0.1</v>
      </c>
      <c r="J1893" s="77"/>
      <c r="K1893" s="66"/>
      <c r="L1893" s="66"/>
      <c r="M1893" s="79" t="str">
        <f>HYPERLINK("http://www.pristavka.com/catalog/funko/Fun68079/")</f>
        <v>http://www.pristavka.com/catalog/funko/Fun68079/</v>
      </c>
      <c r="N1893" s="71">
        <v>9999</v>
      </c>
      <c r="O1893" s="66" t="s">
        <v>27</v>
      </c>
      <c r="P1893" s="82" t="s">
        <v>7610</v>
      </c>
      <c r="Q1893" s="84" t="s">
        <v>6087</v>
      </c>
      <c r="R1893" s="84" t="s">
        <v>3785</v>
      </c>
      <c r="S1893" s="84">
        <v>0.13500000000000001</v>
      </c>
      <c r="T1893" s="82" t="s">
        <v>4091</v>
      </c>
      <c r="U1893" s="84" t="s">
        <v>3584</v>
      </c>
      <c r="V1893" s="54"/>
    </row>
    <row r="1894" spans="1:22" s="11" customFormat="1" ht="45" customHeight="1" x14ac:dyDescent="0.2">
      <c r="A1894" s="66" t="s">
        <v>3577</v>
      </c>
      <c r="B1894" s="66" t="s">
        <v>1707</v>
      </c>
      <c r="C1894" s="66" t="s">
        <v>3578</v>
      </c>
      <c r="D1894" s="66">
        <v>68084</v>
      </c>
      <c r="E1894" s="68" t="s">
        <v>7611</v>
      </c>
      <c r="F1894" s="66" t="s">
        <v>7612</v>
      </c>
      <c r="G1894" s="71">
        <v>6500</v>
      </c>
      <c r="H1894" s="73"/>
      <c r="I1894" s="75">
        <v>0.1</v>
      </c>
      <c r="J1894" s="77"/>
      <c r="K1894" s="66"/>
      <c r="L1894" s="66"/>
      <c r="M1894" s="79" t="str">
        <f>HYPERLINK("http://www.pristavka.com/catalog/funko/Fun68084/")</f>
        <v>http://www.pristavka.com/catalog/funko/Fun68084/</v>
      </c>
      <c r="N1894" s="71">
        <v>9999</v>
      </c>
      <c r="O1894" s="66" t="s">
        <v>27</v>
      </c>
      <c r="P1894" s="82" t="s">
        <v>7613</v>
      </c>
      <c r="Q1894" s="84" t="s">
        <v>6087</v>
      </c>
      <c r="R1894" s="84" t="s">
        <v>3785</v>
      </c>
      <c r="S1894" s="84">
        <v>0.127</v>
      </c>
      <c r="T1894" s="82" t="s">
        <v>4091</v>
      </c>
      <c r="U1894" s="84" t="s">
        <v>3584</v>
      </c>
      <c r="V1894" s="54"/>
    </row>
    <row r="1895" spans="1:22" s="11" customFormat="1" ht="45" customHeight="1" x14ac:dyDescent="0.2">
      <c r="A1895" s="66" t="s">
        <v>3577</v>
      </c>
      <c r="B1895" s="66" t="s">
        <v>1707</v>
      </c>
      <c r="C1895" s="66" t="s">
        <v>3578</v>
      </c>
      <c r="D1895" s="66">
        <v>68080</v>
      </c>
      <c r="E1895" s="68" t="s">
        <v>7614</v>
      </c>
      <c r="F1895" s="66" t="s">
        <v>7615</v>
      </c>
      <c r="G1895" s="71">
        <v>6500</v>
      </c>
      <c r="H1895" s="73"/>
      <c r="I1895" s="75">
        <v>0.1</v>
      </c>
      <c r="J1895" s="77"/>
      <c r="K1895" s="66"/>
      <c r="L1895" s="66"/>
      <c r="M1895" s="79" t="str">
        <f>HYPERLINK("http://www.pristavka.com/catalog/funko/Fun68080/")</f>
        <v>http://www.pristavka.com/catalog/funko/Fun68080/</v>
      </c>
      <c r="N1895" s="71">
        <v>9999</v>
      </c>
      <c r="O1895" s="66" t="s">
        <v>27</v>
      </c>
      <c r="P1895" s="82" t="s">
        <v>7616</v>
      </c>
      <c r="Q1895" s="84" t="s">
        <v>6087</v>
      </c>
      <c r="R1895" s="84" t="s">
        <v>3785</v>
      </c>
      <c r="S1895" s="84">
        <v>0.13</v>
      </c>
      <c r="T1895" s="82" t="s">
        <v>4091</v>
      </c>
      <c r="U1895" s="84" t="s">
        <v>3584</v>
      </c>
      <c r="V1895" s="54"/>
    </row>
    <row r="1896" spans="1:22" s="11" customFormat="1" ht="45" customHeight="1" x14ac:dyDescent="0.2">
      <c r="A1896" s="66" t="s">
        <v>3577</v>
      </c>
      <c r="B1896" s="66" t="s">
        <v>1707</v>
      </c>
      <c r="C1896" s="66" t="s">
        <v>3578</v>
      </c>
      <c r="D1896" s="66">
        <v>68081</v>
      </c>
      <c r="E1896" s="68" t="s">
        <v>7617</v>
      </c>
      <c r="F1896" s="66" t="s">
        <v>7618</v>
      </c>
      <c r="G1896" s="71">
        <v>6500</v>
      </c>
      <c r="H1896" s="73"/>
      <c r="I1896" s="75">
        <v>0.1</v>
      </c>
      <c r="J1896" s="77"/>
      <c r="K1896" s="66"/>
      <c r="L1896" s="66"/>
      <c r="M1896" s="79" t="str">
        <f>HYPERLINK("http://www.pristavka.com/catalog/funko/Fun68081/")</f>
        <v>http://www.pristavka.com/catalog/funko/Fun68081/</v>
      </c>
      <c r="N1896" s="71">
        <v>9999</v>
      </c>
      <c r="O1896" s="66" t="s">
        <v>27</v>
      </c>
      <c r="P1896" s="82" t="s">
        <v>7619</v>
      </c>
      <c r="Q1896" s="84" t="s">
        <v>6087</v>
      </c>
      <c r="R1896" s="84" t="s">
        <v>3785</v>
      </c>
      <c r="S1896" s="84">
        <v>0.14000000000000001</v>
      </c>
      <c r="T1896" s="82" t="s">
        <v>4091</v>
      </c>
      <c r="U1896" s="84" t="s">
        <v>3584</v>
      </c>
      <c r="V1896" s="54"/>
    </row>
    <row r="1897" spans="1:22" s="11" customFormat="1" ht="45" customHeight="1" x14ac:dyDescent="0.2">
      <c r="A1897" s="66" t="s">
        <v>3577</v>
      </c>
      <c r="B1897" s="66" t="s">
        <v>1707</v>
      </c>
      <c r="C1897" s="66" t="s">
        <v>3578</v>
      </c>
      <c r="D1897" s="66">
        <v>68083</v>
      </c>
      <c r="E1897" s="68" t="s">
        <v>7620</v>
      </c>
      <c r="F1897" s="66" t="s">
        <v>7621</v>
      </c>
      <c r="G1897" s="71">
        <v>6500</v>
      </c>
      <c r="H1897" s="73"/>
      <c r="I1897" s="75">
        <v>0.1</v>
      </c>
      <c r="J1897" s="77"/>
      <c r="K1897" s="66"/>
      <c r="L1897" s="66"/>
      <c r="M1897" s="79" t="str">
        <f>HYPERLINK("http://www.pristavka.com/catalog/funko/Fun68083/")</f>
        <v>http://www.pristavka.com/catalog/funko/Fun68083/</v>
      </c>
      <c r="N1897" s="71">
        <v>9999</v>
      </c>
      <c r="O1897" s="66" t="s">
        <v>27</v>
      </c>
      <c r="P1897" s="82" t="s">
        <v>7622</v>
      </c>
      <c r="Q1897" s="84" t="s">
        <v>6087</v>
      </c>
      <c r="R1897" s="84" t="s">
        <v>3785</v>
      </c>
      <c r="S1897" s="84">
        <v>0.14699999999999999</v>
      </c>
      <c r="T1897" s="82" t="s">
        <v>4091</v>
      </c>
      <c r="U1897" s="84" t="s">
        <v>3584</v>
      </c>
      <c r="V1897" s="54"/>
    </row>
    <row r="1898" spans="1:22" s="11" customFormat="1" ht="45" customHeight="1" x14ac:dyDescent="0.2">
      <c r="A1898" s="66" t="s">
        <v>3577</v>
      </c>
      <c r="B1898" s="66" t="s">
        <v>1707</v>
      </c>
      <c r="C1898" s="66" t="s">
        <v>3578</v>
      </c>
      <c r="D1898" s="66">
        <v>76052</v>
      </c>
      <c r="E1898" s="68" t="s">
        <v>7623</v>
      </c>
      <c r="F1898" s="66" t="s">
        <v>7624</v>
      </c>
      <c r="G1898" s="71">
        <v>6500</v>
      </c>
      <c r="H1898" s="73"/>
      <c r="I1898" s="75">
        <v>0.1</v>
      </c>
      <c r="J1898" s="77"/>
      <c r="K1898" s="66"/>
      <c r="L1898" s="66"/>
      <c r="M1898" s="79" t="str">
        <f>HYPERLINK("http://www.pristavka.com/catalog/funko/Fun76052/")</f>
        <v>http://www.pristavka.com/catalog/funko/Fun76052/</v>
      </c>
      <c r="N1898" s="71">
        <v>9999</v>
      </c>
      <c r="O1898" s="66" t="s">
        <v>27</v>
      </c>
      <c r="P1898" s="82" t="s">
        <v>7625</v>
      </c>
      <c r="Q1898" s="84" t="s">
        <v>7626</v>
      </c>
      <c r="R1898" s="84" t="s">
        <v>1212</v>
      </c>
      <c r="S1898" s="84">
        <v>0.125</v>
      </c>
      <c r="T1898" s="82" t="s">
        <v>4084</v>
      </c>
      <c r="U1898" s="84" t="s">
        <v>3584</v>
      </c>
      <c r="V1898" s="54"/>
    </row>
    <row r="1899" spans="1:22" s="11" customFormat="1" ht="45" customHeight="1" x14ac:dyDescent="0.2">
      <c r="A1899" s="66" t="s">
        <v>3577</v>
      </c>
      <c r="B1899" s="66" t="s">
        <v>1707</v>
      </c>
      <c r="C1899" s="66" t="s">
        <v>3578</v>
      </c>
      <c r="D1899" s="66">
        <v>76053</v>
      </c>
      <c r="E1899" s="68" t="s">
        <v>7627</v>
      </c>
      <c r="F1899" s="66" t="s">
        <v>7628</v>
      </c>
      <c r="G1899" s="71">
        <v>6500</v>
      </c>
      <c r="H1899" s="73"/>
      <c r="I1899" s="75">
        <v>0.1</v>
      </c>
      <c r="J1899" s="77"/>
      <c r="K1899" s="66"/>
      <c r="L1899" s="66"/>
      <c r="M1899" s="79" t="str">
        <f>HYPERLINK("http://www.pristavka.com/catalog/funko/Fun76053/")</f>
        <v>http://www.pristavka.com/catalog/funko/Fun76053/</v>
      </c>
      <c r="N1899" s="71">
        <v>9999</v>
      </c>
      <c r="O1899" s="66" t="s">
        <v>27</v>
      </c>
      <c r="P1899" s="82" t="s">
        <v>7629</v>
      </c>
      <c r="Q1899" s="84" t="s">
        <v>7626</v>
      </c>
      <c r="R1899" s="84" t="s">
        <v>1212</v>
      </c>
      <c r="S1899" s="84">
        <v>0.13500000000000001</v>
      </c>
      <c r="T1899" s="82" t="s">
        <v>4084</v>
      </c>
      <c r="U1899" s="84" t="s">
        <v>3584</v>
      </c>
      <c r="V1899" s="54"/>
    </row>
    <row r="1900" spans="1:22" s="11" customFormat="1" ht="45" customHeight="1" x14ac:dyDescent="0.2">
      <c r="A1900" s="66" t="s">
        <v>3577</v>
      </c>
      <c r="B1900" s="66" t="s">
        <v>1707</v>
      </c>
      <c r="C1900" s="66" t="s">
        <v>3578</v>
      </c>
      <c r="D1900" s="66">
        <v>77177</v>
      </c>
      <c r="E1900" s="68" t="s">
        <v>7630</v>
      </c>
      <c r="F1900" s="66" t="s">
        <v>7631</v>
      </c>
      <c r="G1900" s="71">
        <v>6500</v>
      </c>
      <c r="H1900" s="73"/>
      <c r="I1900" s="75">
        <v>0.1</v>
      </c>
      <c r="J1900" s="77"/>
      <c r="K1900" s="66"/>
      <c r="L1900" s="66"/>
      <c r="M1900" s="79" t="str">
        <f>HYPERLINK("http://www.pristavka.com/catalog/funko/Fun77177/")</f>
        <v>http://www.pristavka.com/catalog/funko/Fun77177/</v>
      </c>
      <c r="N1900" s="71">
        <v>9999</v>
      </c>
      <c r="O1900" s="66" t="s">
        <v>27</v>
      </c>
      <c r="P1900" s="82" t="s">
        <v>7632</v>
      </c>
      <c r="Q1900" s="84" t="s">
        <v>7633</v>
      </c>
      <c r="R1900" s="84" t="s">
        <v>1315</v>
      </c>
      <c r="S1900" s="84">
        <v>0.13</v>
      </c>
      <c r="T1900" s="82" t="s">
        <v>4113</v>
      </c>
      <c r="U1900" s="84" t="s">
        <v>3584</v>
      </c>
      <c r="V1900" s="54"/>
    </row>
    <row r="1901" spans="1:22" s="11" customFormat="1" ht="45" customHeight="1" x14ac:dyDescent="0.2">
      <c r="A1901" s="66" t="s">
        <v>3577</v>
      </c>
      <c r="B1901" s="66" t="s">
        <v>1707</v>
      </c>
      <c r="C1901" s="66" t="s">
        <v>3578</v>
      </c>
      <c r="D1901" s="66">
        <v>72413</v>
      </c>
      <c r="E1901" s="68" t="s">
        <v>7634</v>
      </c>
      <c r="F1901" s="66" t="s">
        <v>7635</v>
      </c>
      <c r="G1901" s="71">
        <v>6500</v>
      </c>
      <c r="H1901" s="73"/>
      <c r="I1901" s="75">
        <v>0.1</v>
      </c>
      <c r="J1901" s="77"/>
      <c r="K1901" s="66"/>
      <c r="L1901" s="66"/>
      <c r="M1901" s="79" t="str">
        <f>HYPERLINK("http://www.pristavka.com/catalog/funko/Fun72413/")</f>
        <v>http://www.pristavka.com/catalog/funko/Fun72413/</v>
      </c>
      <c r="N1901" s="71">
        <v>9999</v>
      </c>
      <c r="O1901" s="66" t="s">
        <v>27</v>
      </c>
      <c r="P1901" s="82" t="s">
        <v>7636</v>
      </c>
      <c r="Q1901" s="84" t="s">
        <v>6499</v>
      </c>
      <c r="R1901" s="84" t="s">
        <v>1315</v>
      </c>
      <c r="S1901" s="84">
        <v>0.17499999999999999</v>
      </c>
      <c r="T1901" s="82" t="s">
        <v>4084</v>
      </c>
      <c r="U1901" s="84" t="s">
        <v>3584</v>
      </c>
      <c r="V1901" s="54"/>
    </row>
    <row r="1902" spans="1:22" s="11" customFormat="1" ht="45" customHeight="1" x14ac:dyDescent="0.2">
      <c r="A1902" s="66" t="s">
        <v>3577</v>
      </c>
      <c r="B1902" s="66" t="s">
        <v>1707</v>
      </c>
      <c r="C1902" s="66" t="s">
        <v>3578</v>
      </c>
      <c r="D1902" s="66">
        <v>85248</v>
      </c>
      <c r="E1902" s="68" t="s">
        <v>7637</v>
      </c>
      <c r="F1902" s="66" t="s">
        <v>7638</v>
      </c>
      <c r="G1902" s="71">
        <v>6890</v>
      </c>
      <c r="H1902" s="73"/>
      <c r="I1902" s="75">
        <v>0.1</v>
      </c>
      <c r="J1902" s="77"/>
      <c r="K1902" s="66"/>
      <c r="L1902" s="66"/>
      <c r="M1902" s="79" t="str">
        <f>HYPERLINK("http://www.pristavka.com/catalog/funko/Fun85248/")</f>
        <v>http://www.pristavka.com/catalog/funko/Fun85248/</v>
      </c>
      <c r="N1902" s="71">
        <v>10599</v>
      </c>
      <c r="O1902" s="66" t="s">
        <v>27</v>
      </c>
      <c r="P1902" s="82" t="s">
        <v>7639</v>
      </c>
      <c r="Q1902" s="84" t="s">
        <v>6141</v>
      </c>
      <c r="R1902" s="84" t="s">
        <v>1212</v>
      </c>
      <c r="S1902" s="84">
        <v>0.185</v>
      </c>
      <c r="T1902" s="82" t="s">
        <v>4084</v>
      </c>
      <c r="U1902" s="84" t="s">
        <v>3584</v>
      </c>
      <c r="V1902" s="54"/>
    </row>
    <row r="1903" spans="1:22" s="11" customFormat="1" ht="45" customHeight="1" x14ac:dyDescent="0.2">
      <c r="A1903" s="66" t="s">
        <v>3577</v>
      </c>
      <c r="B1903" s="66" t="s">
        <v>1707</v>
      </c>
      <c r="C1903" s="66" t="s">
        <v>3578</v>
      </c>
      <c r="D1903" s="66">
        <v>72633</v>
      </c>
      <c r="E1903" s="68" t="s">
        <v>7640</v>
      </c>
      <c r="F1903" s="66" t="s">
        <v>7641</v>
      </c>
      <c r="G1903" s="71">
        <v>6500</v>
      </c>
      <c r="H1903" s="73"/>
      <c r="I1903" s="75">
        <v>0.1</v>
      </c>
      <c r="J1903" s="77"/>
      <c r="K1903" s="66"/>
      <c r="L1903" s="66"/>
      <c r="M1903" s="79" t="str">
        <f>HYPERLINK("http://www.pristavka.com/catalog/funko/Fun72633/")</f>
        <v>http://www.pristavka.com/catalog/funko/Fun72633/</v>
      </c>
      <c r="N1903" s="71">
        <v>9999</v>
      </c>
      <c r="O1903" s="66" t="s">
        <v>27</v>
      </c>
      <c r="P1903" s="82" t="s">
        <v>7642</v>
      </c>
      <c r="Q1903" s="84" t="s">
        <v>1840</v>
      </c>
      <c r="R1903" s="84" t="s">
        <v>1840</v>
      </c>
      <c r="S1903" s="84">
        <v>0.13</v>
      </c>
      <c r="T1903" s="82" t="s">
        <v>4113</v>
      </c>
      <c r="U1903" s="84" t="s">
        <v>3584</v>
      </c>
      <c r="V1903" s="54"/>
    </row>
    <row r="1904" spans="1:22" s="11" customFormat="1" ht="45" customHeight="1" x14ac:dyDescent="0.2">
      <c r="A1904" s="66" t="s">
        <v>3577</v>
      </c>
      <c r="B1904" s="66" t="s">
        <v>1707</v>
      </c>
      <c r="C1904" s="66" t="s">
        <v>3578</v>
      </c>
      <c r="D1904" s="66">
        <v>72632</v>
      </c>
      <c r="E1904" s="68" t="s">
        <v>7643</v>
      </c>
      <c r="F1904" s="66" t="s">
        <v>7644</v>
      </c>
      <c r="G1904" s="71">
        <v>6500</v>
      </c>
      <c r="H1904" s="73"/>
      <c r="I1904" s="75">
        <v>0.1</v>
      </c>
      <c r="J1904" s="77"/>
      <c r="K1904" s="66"/>
      <c r="L1904" s="66"/>
      <c r="M1904" s="79" t="str">
        <f>HYPERLINK("http://www.pristavka.com/catalog/funko/Fun72632/")</f>
        <v>http://www.pristavka.com/catalog/funko/Fun72632/</v>
      </c>
      <c r="N1904" s="71">
        <v>9999</v>
      </c>
      <c r="O1904" s="66" t="s">
        <v>27</v>
      </c>
      <c r="P1904" s="82" t="s">
        <v>7645</v>
      </c>
      <c r="Q1904" s="84" t="s">
        <v>1840</v>
      </c>
      <c r="R1904" s="84" t="s">
        <v>1840</v>
      </c>
      <c r="S1904" s="84">
        <v>0.124</v>
      </c>
      <c r="T1904" s="82" t="s">
        <v>4091</v>
      </c>
      <c r="U1904" s="84" t="s">
        <v>3584</v>
      </c>
      <c r="V1904" s="54"/>
    </row>
    <row r="1905" spans="1:22" s="11" customFormat="1" ht="45" customHeight="1" x14ac:dyDescent="0.2">
      <c r="A1905" s="66" t="s">
        <v>3577</v>
      </c>
      <c r="B1905" s="66" t="s">
        <v>1707</v>
      </c>
      <c r="C1905" s="66" t="s">
        <v>3578</v>
      </c>
      <c r="D1905" s="66">
        <v>75786</v>
      </c>
      <c r="E1905" s="68" t="s">
        <v>7646</v>
      </c>
      <c r="F1905" s="66" t="s">
        <v>7647</v>
      </c>
      <c r="G1905" s="71">
        <v>6500</v>
      </c>
      <c r="H1905" s="73"/>
      <c r="I1905" s="75">
        <v>0.1</v>
      </c>
      <c r="J1905" s="77"/>
      <c r="K1905" s="66"/>
      <c r="L1905" s="66"/>
      <c r="M1905" s="79" t="str">
        <f>HYPERLINK("http://www.pristavka.com/catalog/funko/Fun75786/")</f>
        <v>http://www.pristavka.com/catalog/funko/Fun75786/</v>
      </c>
      <c r="N1905" s="71">
        <v>9999</v>
      </c>
      <c r="O1905" s="66" t="s">
        <v>27</v>
      </c>
      <c r="P1905" s="82" t="s">
        <v>7648</v>
      </c>
      <c r="Q1905" s="84" t="s">
        <v>1840</v>
      </c>
      <c r="R1905" s="84" t="s">
        <v>1840</v>
      </c>
      <c r="S1905" s="84">
        <v>0.11600000000000001</v>
      </c>
      <c r="T1905" s="82" t="s">
        <v>4113</v>
      </c>
      <c r="U1905" s="84" t="s">
        <v>3584</v>
      </c>
      <c r="V1905" s="54"/>
    </row>
    <row r="1906" spans="1:22" s="11" customFormat="1" ht="45" customHeight="1" x14ac:dyDescent="0.2">
      <c r="A1906" s="66" t="s">
        <v>3577</v>
      </c>
      <c r="B1906" s="66" t="s">
        <v>1707</v>
      </c>
      <c r="C1906" s="66" t="s">
        <v>3578</v>
      </c>
      <c r="D1906" s="66">
        <v>79771</v>
      </c>
      <c r="E1906" s="68" t="s">
        <v>7649</v>
      </c>
      <c r="F1906" s="66" t="s">
        <v>7650</v>
      </c>
      <c r="G1906" s="71">
        <v>0</v>
      </c>
      <c r="H1906" s="73"/>
      <c r="I1906" s="75">
        <v>0.1</v>
      </c>
      <c r="J1906" s="77"/>
      <c r="K1906" s="66"/>
      <c r="L1906" s="66"/>
      <c r="M1906" s="79" t="str">
        <f>HYPERLINK("http://www.pristavka.com/catalog/funko/Fun79771/")</f>
        <v>http://www.pristavka.com/catalog/funko/Fun79771/</v>
      </c>
      <c r="N1906" s="71"/>
      <c r="O1906" s="66" t="s">
        <v>27</v>
      </c>
      <c r="P1906" s="82" t="s">
        <v>7651</v>
      </c>
      <c r="Q1906" s="84" t="s">
        <v>1840</v>
      </c>
      <c r="R1906" s="84" t="s">
        <v>3327</v>
      </c>
      <c r="S1906" s="84">
        <v>0.108</v>
      </c>
      <c r="T1906" s="82" t="s">
        <v>4113</v>
      </c>
      <c r="U1906" s="84" t="s">
        <v>3584</v>
      </c>
      <c r="V1906" s="54"/>
    </row>
    <row r="1907" spans="1:22" s="11" customFormat="1" ht="45" customHeight="1" x14ac:dyDescent="0.2">
      <c r="A1907" s="66" t="s">
        <v>3577</v>
      </c>
      <c r="B1907" s="66" t="s">
        <v>1707</v>
      </c>
      <c r="C1907" s="66" t="s">
        <v>3578</v>
      </c>
      <c r="D1907" s="66">
        <v>82758</v>
      </c>
      <c r="E1907" s="68" t="s">
        <v>7652</v>
      </c>
      <c r="F1907" s="66" t="s">
        <v>7653</v>
      </c>
      <c r="G1907" s="71">
        <v>0</v>
      </c>
      <c r="H1907" s="73"/>
      <c r="I1907" s="75">
        <v>0.1</v>
      </c>
      <c r="J1907" s="77"/>
      <c r="K1907" s="66"/>
      <c r="L1907" s="66"/>
      <c r="M1907" s="79" t="str">
        <f>HYPERLINK("http://www.pristavka.com/catalog/funko/Fun82758/")</f>
        <v>http://www.pristavka.com/catalog/funko/Fun82758/</v>
      </c>
      <c r="N1907" s="71"/>
      <c r="O1907" s="66" t="s">
        <v>27</v>
      </c>
      <c r="P1907" s="82" t="s">
        <v>7654</v>
      </c>
      <c r="Q1907" s="84" t="s">
        <v>1840</v>
      </c>
      <c r="R1907" s="84" t="s">
        <v>3327</v>
      </c>
      <c r="S1907" s="84">
        <v>0.13600000000000001</v>
      </c>
      <c r="T1907" s="82" t="s">
        <v>4113</v>
      </c>
      <c r="U1907" s="84" t="s">
        <v>3584</v>
      </c>
      <c r="V1907" s="54"/>
    </row>
    <row r="1908" spans="1:22" s="11" customFormat="1" ht="45" customHeight="1" x14ac:dyDescent="0.2">
      <c r="A1908" s="66" t="s">
        <v>3577</v>
      </c>
      <c r="B1908" s="66" t="s">
        <v>1707</v>
      </c>
      <c r="C1908" s="66" t="s">
        <v>3578</v>
      </c>
      <c r="D1908" s="66">
        <v>79772</v>
      </c>
      <c r="E1908" s="68" t="s">
        <v>7655</v>
      </c>
      <c r="F1908" s="66" t="s">
        <v>7656</v>
      </c>
      <c r="G1908" s="71">
        <v>0</v>
      </c>
      <c r="H1908" s="73"/>
      <c r="I1908" s="75">
        <v>0.1</v>
      </c>
      <c r="J1908" s="77"/>
      <c r="K1908" s="66"/>
      <c r="L1908" s="66"/>
      <c r="M1908" s="79" t="str">
        <f>HYPERLINK("http://www.pristavka.com/catalog/funko/Fun79772/")</f>
        <v>http://www.pristavka.com/catalog/funko/Fun79772/</v>
      </c>
      <c r="N1908" s="71"/>
      <c r="O1908" s="66" t="s">
        <v>27</v>
      </c>
      <c r="P1908" s="82" t="s">
        <v>7657</v>
      </c>
      <c r="Q1908" s="84" t="s">
        <v>1840</v>
      </c>
      <c r="R1908" s="84" t="s">
        <v>3327</v>
      </c>
      <c r="S1908" s="84">
        <v>0.15</v>
      </c>
      <c r="T1908" s="82" t="s">
        <v>4113</v>
      </c>
      <c r="U1908" s="84" t="s">
        <v>3584</v>
      </c>
      <c r="V1908" s="54"/>
    </row>
    <row r="1909" spans="1:22" s="11" customFormat="1" ht="45" customHeight="1" x14ac:dyDescent="0.2">
      <c r="A1909" s="66" t="s">
        <v>3577</v>
      </c>
      <c r="B1909" s="66" t="s">
        <v>1707</v>
      </c>
      <c r="C1909" s="66" t="s">
        <v>3578</v>
      </c>
      <c r="D1909" s="66">
        <v>79770</v>
      </c>
      <c r="E1909" s="68" t="s">
        <v>7658</v>
      </c>
      <c r="F1909" s="66" t="s">
        <v>7659</v>
      </c>
      <c r="G1909" s="71">
        <v>0</v>
      </c>
      <c r="H1909" s="73"/>
      <c r="I1909" s="75">
        <v>0.1</v>
      </c>
      <c r="J1909" s="77"/>
      <c r="K1909" s="66"/>
      <c r="L1909" s="66"/>
      <c r="M1909" s="79" t="str">
        <f>HYPERLINK("http://www.pristavka.com/catalog/funko/Fun79770/")</f>
        <v>http://www.pristavka.com/catalog/funko/Fun79770/</v>
      </c>
      <c r="N1909" s="71"/>
      <c r="O1909" s="66" t="s">
        <v>27</v>
      </c>
      <c r="P1909" s="82" t="s">
        <v>7660</v>
      </c>
      <c r="Q1909" s="84" t="s">
        <v>7661</v>
      </c>
      <c r="R1909" s="84" t="s">
        <v>3327</v>
      </c>
      <c r="S1909" s="84">
        <v>0.155</v>
      </c>
      <c r="T1909" s="82" t="s">
        <v>4113</v>
      </c>
      <c r="U1909" s="84" t="s">
        <v>3584</v>
      </c>
      <c r="V1909" s="54"/>
    </row>
    <row r="1910" spans="1:22" s="11" customFormat="1" ht="45" customHeight="1" x14ac:dyDescent="0.2">
      <c r="A1910" s="66" t="s">
        <v>3577</v>
      </c>
      <c r="B1910" s="66" t="s">
        <v>1707</v>
      </c>
      <c r="C1910" s="66" t="s">
        <v>3578</v>
      </c>
      <c r="D1910" s="66">
        <v>80694</v>
      </c>
      <c r="E1910" s="68" t="s">
        <v>7662</v>
      </c>
      <c r="F1910" s="66" t="s">
        <v>7663</v>
      </c>
      <c r="G1910" s="71">
        <v>0</v>
      </c>
      <c r="H1910" s="73"/>
      <c r="I1910" s="75">
        <v>0.1</v>
      </c>
      <c r="J1910" s="77"/>
      <c r="K1910" s="66"/>
      <c r="L1910" s="66"/>
      <c r="M1910" s="79" t="str">
        <f>HYPERLINK("http://www.pristavka.com/catalog/funko/Fun80694/")</f>
        <v>http://www.pristavka.com/catalog/funko/Fun80694/</v>
      </c>
      <c r="N1910" s="71"/>
      <c r="O1910" s="66" t="s">
        <v>27</v>
      </c>
      <c r="P1910" s="82" t="s">
        <v>7664</v>
      </c>
      <c r="Q1910" s="84" t="s">
        <v>1840</v>
      </c>
      <c r="R1910" s="84" t="s">
        <v>1840</v>
      </c>
      <c r="S1910" s="84">
        <v>0.2</v>
      </c>
      <c r="T1910" s="82" t="s">
        <v>4091</v>
      </c>
      <c r="U1910" s="84" t="s">
        <v>3584</v>
      </c>
      <c r="V1910" s="54"/>
    </row>
    <row r="1911" spans="1:22" s="11" customFormat="1" ht="45" customHeight="1" x14ac:dyDescent="0.2">
      <c r="A1911" s="66" t="s">
        <v>3577</v>
      </c>
      <c r="B1911" s="66" t="s">
        <v>1707</v>
      </c>
      <c r="C1911" s="66" t="s">
        <v>3578</v>
      </c>
      <c r="D1911" s="66">
        <v>64535</v>
      </c>
      <c r="E1911" s="68" t="s">
        <v>7665</v>
      </c>
      <c r="F1911" s="66" t="s">
        <v>7666</v>
      </c>
      <c r="G1911" s="71">
        <v>6890</v>
      </c>
      <c r="H1911" s="73"/>
      <c r="I1911" s="75">
        <v>0.1</v>
      </c>
      <c r="J1911" s="77"/>
      <c r="K1911" s="66"/>
      <c r="L1911" s="66"/>
      <c r="M1911" s="79" t="str">
        <f>HYPERLINK("http://www.pristavka.com/catalog/funko/Fun64535/")</f>
        <v>http://www.pristavka.com/catalog/funko/Fun64535/</v>
      </c>
      <c r="N1911" s="71">
        <v>10599</v>
      </c>
      <c r="O1911" s="66" t="s">
        <v>27</v>
      </c>
      <c r="P1911" s="82" t="s">
        <v>7667</v>
      </c>
      <c r="Q1911" s="84" t="s">
        <v>6166</v>
      </c>
      <c r="R1911" s="84" t="s">
        <v>6166</v>
      </c>
      <c r="S1911" s="84">
        <v>0.125</v>
      </c>
      <c r="T1911" s="82" t="s">
        <v>4084</v>
      </c>
      <c r="U1911" s="84" t="s">
        <v>3584</v>
      </c>
      <c r="V1911" s="54"/>
    </row>
    <row r="1912" spans="1:22" s="11" customFormat="1" ht="45" customHeight="1" x14ac:dyDescent="0.2">
      <c r="A1912" s="66" t="s">
        <v>3577</v>
      </c>
      <c r="B1912" s="66" t="s">
        <v>1707</v>
      </c>
      <c r="C1912" s="66" t="s">
        <v>3578</v>
      </c>
      <c r="D1912" s="66">
        <v>74267</v>
      </c>
      <c r="E1912" s="68" t="s">
        <v>7668</v>
      </c>
      <c r="F1912" s="66" t="s">
        <v>7669</v>
      </c>
      <c r="G1912" s="71">
        <v>0</v>
      </c>
      <c r="H1912" s="73"/>
      <c r="I1912" s="75">
        <v>0.1</v>
      </c>
      <c r="J1912" s="77"/>
      <c r="K1912" s="66"/>
      <c r="L1912" s="66"/>
      <c r="M1912" s="79" t="str">
        <f>HYPERLINK("http://www.pristavka.com/catalog/funko/Fun74267/")</f>
        <v>http://www.pristavka.com/catalog/funko/Fun74267/</v>
      </c>
      <c r="N1912" s="71"/>
      <c r="O1912" s="66" t="s">
        <v>27</v>
      </c>
      <c r="P1912" s="82" t="s">
        <v>7670</v>
      </c>
      <c r="Q1912" s="84" t="s">
        <v>1223</v>
      </c>
      <c r="R1912" s="84" t="s">
        <v>1212</v>
      </c>
      <c r="S1912" s="84">
        <v>0.11799999999999999</v>
      </c>
      <c r="T1912" s="82" t="s">
        <v>4113</v>
      </c>
      <c r="U1912" s="84" t="s">
        <v>3584</v>
      </c>
      <c r="V1912" s="54"/>
    </row>
    <row r="1913" spans="1:22" s="11" customFormat="1" ht="45" customHeight="1" x14ac:dyDescent="0.2">
      <c r="A1913" s="66" t="s">
        <v>3577</v>
      </c>
      <c r="B1913" s="66" t="s">
        <v>1707</v>
      </c>
      <c r="C1913" s="66" t="s">
        <v>3578</v>
      </c>
      <c r="D1913" s="66">
        <v>80696</v>
      </c>
      <c r="E1913" s="68" t="s">
        <v>7671</v>
      </c>
      <c r="F1913" s="66" t="s">
        <v>7672</v>
      </c>
      <c r="G1913" s="71">
        <v>6500</v>
      </c>
      <c r="H1913" s="73"/>
      <c r="I1913" s="75">
        <v>0.1</v>
      </c>
      <c r="J1913" s="77"/>
      <c r="K1913" s="66"/>
      <c r="L1913" s="66"/>
      <c r="M1913" s="79" t="str">
        <f>HYPERLINK("http://www.pristavka.com/catalog/funko/Fun80696/")</f>
        <v>http://www.pristavka.com/catalog/funko/Fun80696/</v>
      </c>
      <c r="N1913" s="71">
        <v>9999</v>
      </c>
      <c r="O1913" s="66" t="s">
        <v>27</v>
      </c>
      <c r="P1913" s="82" t="s">
        <v>7673</v>
      </c>
      <c r="Q1913" s="84" t="s">
        <v>1223</v>
      </c>
      <c r="R1913" s="84" t="s">
        <v>1840</v>
      </c>
      <c r="S1913" s="84">
        <v>0.122</v>
      </c>
      <c r="T1913" s="82" t="s">
        <v>4102</v>
      </c>
      <c r="U1913" s="84" t="s">
        <v>3584</v>
      </c>
      <c r="V1913" s="54"/>
    </row>
    <row r="1914" spans="1:22" s="11" customFormat="1" ht="45" customHeight="1" x14ac:dyDescent="0.2">
      <c r="A1914" s="66" t="s">
        <v>3577</v>
      </c>
      <c r="B1914" s="66" t="s">
        <v>1707</v>
      </c>
      <c r="C1914" s="66" t="s">
        <v>3578</v>
      </c>
      <c r="D1914" s="66">
        <v>84928</v>
      </c>
      <c r="E1914" s="68" t="s">
        <v>7674</v>
      </c>
      <c r="F1914" s="66" t="s">
        <v>7675</v>
      </c>
      <c r="G1914" s="71">
        <v>6890</v>
      </c>
      <c r="H1914" s="73"/>
      <c r="I1914" s="75">
        <v>0.1</v>
      </c>
      <c r="J1914" s="77"/>
      <c r="K1914" s="66"/>
      <c r="L1914" s="66"/>
      <c r="M1914" s="79" t="str">
        <f>HYPERLINK("http://www.pristavka.com/catalog/funko/Fun84928/")</f>
        <v>http://www.pristavka.com/catalog/funko/Fun84928/</v>
      </c>
      <c r="N1914" s="71">
        <v>10599</v>
      </c>
      <c r="O1914" s="66" t="s">
        <v>27</v>
      </c>
      <c r="P1914" s="82" t="s">
        <v>7676</v>
      </c>
      <c r="Q1914" s="84" t="s">
        <v>7677</v>
      </c>
      <c r="R1914" s="84" t="s">
        <v>1303</v>
      </c>
      <c r="S1914" s="84">
        <v>0.128</v>
      </c>
      <c r="T1914" s="82" t="s">
        <v>4113</v>
      </c>
      <c r="U1914" s="84" t="s">
        <v>3584</v>
      </c>
      <c r="V1914" s="54"/>
    </row>
    <row r="1915" spans="1:22" s="11" customFormat="1" ht="45" customHeight="1" x14ac:dyDescent="0.2">
      <c r="A1915" s="66" t="s">
        <v>3577</v>
      </c>
      <c r="B1915" s="66" t="s">
        <v>1707</v>
      </c>
      <c r="C1915" s="66" t="s">
        <v>3578</v>
      </c>
      <c r="D1915" s="66">
        <v>81708</v>
      </c>
      <c r="E1915" s="68" t="s">
        <v>7678</v>
      </c>
      <c r="F1915" s="66" t="s">
        <v>7679</v>
      </c>
      <c r="G1915" s="71">
        <v>6890</v>
      </c>
      <c r="H1915" s="73"/>
      <c r="I1915" s="75">
        <v>0.1</v>
      </c>
      <c r="J1915" s="77"/>
      <c r="K1915" s="66"/>
      <c r="L1915" s="66"/>
      <c r="M1915" s="79" t="str">
        <f>HYPERLINK("http://www.pristavka.com/catalog/funko/Fun81708/")</f>
        <v>http://www.pristavka.com/catalog/funko/Fun81708/</v>
      </c>
      <c r="N1915" s="71">
        <v>10599</v>
      </c>
      <c r="O1915" s="66" t="s">
        <v>27</v>
      </c>
      <c r="P1915" s="82" t="s">
        <v>7680</v>
      </c>
      <c r="Q1915" s="84" t="s">
        <v>1223</v>
      </c>
      <c r="R1915" s="84" t="s">
        <v>6166</v>
      </c>
      <c r="S1915" s="84">
        <v>0.125</v>
      </c>
      <c r="T1915" s="82" t="s">
        <v>4113</v>
      </c>
      <c r="U1915" s="84" t="s">
        <v>3584</v>
      </c>
      <c r="V1915" s="54"/>
    </row>
    <row r="1916" spans="1:22" s="11" customFormat="1" ht="45" customHeight="1" x14ac:dyDescent="0.2">
      <c r="A1916" s="66" t="s">
        <v>3577</v>
      </c>
      <c r="B1916" s="66" t="s">
        <v>1707</v>
      </c>
      <c r="C1916" s="66" t="s">
        <v>3578</v>
      </c>
      <c r="D1916" s="66">
        <v>81684</v>
      </c>
      <c r="E1916" s="68" t="s">
        <v>7681</v>
      </c>
      <c r="F1916" s="66" t="s">
        <v>7682</v>
      </c>
      <c r="G1916" s="71">
        <v>6890</v>
      </c>
      <c r="H1916" s="73"/>
      <c r="I1916" s="75">
        <v>0.1</v>
      </c>
      <c r="J1916" s="77"/>
      <c r="K1916" s="66"/>
      <c r="L1916" s="66"/>
      <c r="M1916" s="79" t="str">
        <f>HYPERLINK("http://www.pristavka.com/catalog/funko/Fun81684/")</f>
        <v>http://www.pristavka.com/catalog/funko/Fun81684/</v>
      </c>
      <c r="N1916" s="71">
        <v>10599</v>
      </c>
      <c r="O1916" s="66" t="s">
        <v>27</v>
      </c>
      <c r="P1916" s="82" t="s">
        <v>7683</v>
      </c>
      <c r="Q1916" s="84" t="s">
        <v>1223</v>
      </c>
      <c r="R1916" s="84" t="s">
        <v>1840</v>
      </c>
      <c r="S1916" s="84">
        <v>0.125</v>
      </c>
      <c r="T1916" s="82" t="s">
        <v>4113</v>
      </c>
      <c r="U1916" s="84" t="s">
        <v>3584</v>
      </c>
      <c r="V1916" s="54"/>
    </row>
    <row r="1917" spans="1:22" s="11" customFormat="1" ht="45" customHeight="1" x14ac:dyDescent="0.2">
      <c r="A1917" s="66" t="s">
        <v>3577</v>
      </c>
      <c r="B1917" s="66" t="s">
        <v>1707</v>
      </c>
      <c r="C1917" s="66" t="s">
        <v>3578</v>
      </c>
      <c r="D1917" s="66">
        <v>73387</v>
      </c>
      <c r="E1917" s="68" t="s">
        <v>7684</v>
      </c>
      <c r="F1917" s="66" t="s">
        <v>7685</v>
      </c>
      <c r="G1917" s="71">
        <v>6500</v>
      </c>
      <c r="H1917" s="73"/>
      <c r="I1917" s="75">
        <v>0.1</v>
      </c>
      <c r="J1917" s="77"/>
      <c r="K1917" s="66"/>
      <c r="L1917" s="66"/>
      <c r="M1917" s="79" t="str">
        <f>HYPERLINK("http://www.pristavka.com/catalog/funko/Fun73387/")</f>
        <v>http://www.pristavka.com/catalog/funko/Fun73387/</v>
      </c>
      <c r="N1917" s="71">
        <v>9999</v>
      </c>
      <c r="O1917" s="66" t="s">
        <v>28</v>
      </c>
      <c r="P1917" s="82" t="s">
        <v>7686</v>
      </c>
      <c r="Q1917" s="84" t="s">
        <v>3541</v>
      </c>
      <c r="R1917" s="84" t="s">
        <v>58</v>
      </c>
      <c r="S1917" s="84">
        <v>0.13500000000000001</v>
      </c>
      <c r="T1917" s="82" t="s">
        <v>4084</v>
      </c>
      <c r="U1917" s="84" t="s">
        <v>3584</v>
      </c>
      <c r="V1917" s="54"/>
    </row>
    <row r="1918" spans="1:22" s="11" customFormat="1" ht="45" customHeight="1" x14ac:dyDescent="0.2">
      <c r="A1918" s="66" t="s">
        <v>3577</v>
      </c>
      <c r="B1918" s="66" t="s">
        <v>1707</v>
      </c>
      <c r="C1918" s="66" t="s">
        <v>3578</v>
      </c>
      <c r="D1918" s="66">
        <v>39333</v>
      </c>
      <c r="E1918" s="68" t="s">
        <v>7687</v>
      </c>
      <c r="F1918" s="66" t="s">
        <v>7688</v>
      </c>
      <c r="G1918" s="71">
        <v>6500</v>
      </c>
      <c r="H1918" s="73"/>
      <c r="I1918" s="75">
        <v>0.1</v>
      </c>
      <c r="J1918" s="77"/>
      <c r="K1918" s="66"/>
      <c r="L1918" s="66"/>
      <c r="M1918" s="79" t="str">
        <f>HYPERLINK("http://www.pristavka.com/catalog/funko/Fun2549536/")</f>
        <v>http://www.pristavka.com/catalog/funko/Fun2549536/</v>
      </c>
      <c r="N1918" s="71">
        <v>9999</v>
      </c>
      <c r="O1918" s="66" t="s">
        <v>27</v>
      </c>
      <c r="P1918" s="82" t="s">
        <v>7689</v>
      </c>
      <c r="Q1918" s="84" t="s">
        <v>3541</v>
      </c>
      <c r="R1918" s="84" t="s">
        <v>58</v>
      </c>
      <c r="S1918" s="84">
        <v>0.14000000000000001</v>
      </c>
      <c r="T1918" s="82" t="s">
        <v>4102</v>
      </c>
      <c r="U1918" s="84" t="s">
        <v>3584</v>
      </c>
      <c r="V1918" s="54"/>
    </row>
    <row r="1919" spans="1:22" s="11" customFormat="1" ht="45" customHeight="1" x14ac:dyDescent="0.2">
      <c r="A1919" s="66" t="s">
        <v>3577</v>
      </c>
      <c r="B1919" s="66" t="s">
        <v>1707</v>
      </c>
      <c r="C1919" s="66" t="s">
        <v>3578</v>
      </c>
      <c r="D1919" s="66">
        <v>80877</v>
      </c>
      <c r="E1919" s="68" t="s">
        <v>7690</v>
      </c>
      <c r="F1919" s="66" t="s">
        <v>7691</v>
      </c>
      <c r="G1919" s="71">
        <v>6500</v>
      </c>
      <c r="H1919" s="73"/>
      <c r="I1919" s="75">
        <v>0.1</v>
      </c>
      <c r="J1919" s="77"/>
      <c r="K1919" s="66"/>
      <c r="L1919" s="66"/>
      <c r="M1919" s="79" t="str">
        <f>HYPERLINK("http://www.pristavka.com/catalog/funko/Fun80877/")</f>
        <v>http://www.pristavka.com/catalog/funko/Fun80877/</v>
      </c>
      <c r="N1919" s="71">
        <v>9999</v>
      </c>
      <c r="O1919" s="66" t="s">
        <v>27</v>
      </c>
      <c r="P1919" s="82" t="s">
        <v>7692</v>
      </c>
      <c r="Q1919" s="84" t="s">
        <v>2372</v>
      </c>
      <c r="R1919" s="84" t="s">
        <v>1840</v>
      </c>
      <c r="S1919" s="84">
        <v>0.26600000000000001</v>
      </c>
      <c r="T1919" s="82" t="s">
        <v>4746</v>
      </c>
      <c r="U1919" s="84" t="s">
        <v>3584</v>
      </c>
      <c r="V1919" s="54"/>
    </row>
    <row r="1920" spans="1:22" s="11" customFormat="1" ht="45" customHeight="1" x14ac:dyDescent="0.2">
      <c r="A1920" s="66" t="s">
        <v>3577</v>
      </c>
      <c r="B1920" s="66" t="s">
        <v>1707</v>
      </c>
      <c r="C1920" s="66" t="s">
        <v>3578</v>
      </c>
      <c r="D1920" s="66">
        <v>84398</v>
      </c>
      <c r="E1920" s="68" t="s">
        <v>7693</v>
      </c>
      <c r="F1920" s="66" t="s">
        <v>7694</v>
      </c>
      <c r="G1920" s="71">
        <v>0</v>
      </c>
      <c r="H1920" s="73"/>
      <c r="I1920" s="75">
        <v>0.1</v>
      </c>
      <c r="J1920" s="77"/>
      <c r="K1920" s="66"/>
      <c r="L1920" s="66"/>
      <c r="M1920" s="79" t="str">
        <f>HYPERLINK("https://pristavka.com/catalog/funko_figures/Fun84398/")</f>
        <v>https://pristavka.com/catalog/funko_figures/Fun84398/</v>
      </c>
      <c r="N1920" s="71"/>
      <c r="O1920" s="66" t="s">
        <v>27</v>
      </c>
      <c r="P1920" s="82" t="s">
        <v>7695</v>
      </c>
      <c r="Q1920" s="84" t="s">
        <v>2372</v>
      </c>
      <c r="R1920" s="84" t="s">
        <v>1212</v>
      </c>
      <c r="S1920" s="84">
        <v>0.26800000000000002</v>
      </c>
      <c r="T1920" s="82" t="s">
        <v>4084</v>
      </c>
      <c r="U1920" s="84" t="s">
        <v>3584</v>
      </c>
      <c r="V1920" s="54"/>
    </row>
    <row r="1921" spans="1:22" s="11" customFormat="1" ht="45" customHeight="1" x14ac:dyDescent="0.2">
      <c r="A1921" s="66" t="s">
        <v>3577</v>
      </c>
      <c r="B1921" s="66" t="s">
        <v>1707</v>
      </c>
      <c r="C1921" s="66" t="s">
        <v>3578</v>
      </c>
      <c r="D1921" s="66">
        <v>80881</v>
      </c>
      <c r="E1921" s="68" t="s">
        <v>7696</v>
      </c>
      <c r="F1921" s="66" t="s">
        <v>7697</v>
      </c>
      <c r="G1921" s="71">
        <v>0</v>
      </c>
      <c r="H1921" s="73"/>
      <c r="I1921" s="75">
        <v>0.1</v>
      </c>
      <c r="J1921" s="77"/>
      <c r="K1921" s="66"/>
      <c r="L1921" s="66"/>
      <c r="M1921" s="79" t="str">
        <f>HYPERLINK("http://www.pristavka.com/catalog/funko/Fun80881/")</f>
        <v>http://www.pristavka.com/catalog/funko/Fun80881/</v>
      </c>
      <c r="N1921" s="71"/>
      <c r="O1921" s="66" t="s">
        <v>27</v>
      </c>
      <c r="P1921" s="82" t="s">
        <v>7698</v>
      </c>
      <c r="Q1921" s="84" t="s">
        <v>2372</v>
      </c>
      <c r="R1921" s="84" t="s">
        <v>1840</v>
      </c>
      <c r="S1921" s="84">
        <v>1.585</v>
      </c>
      <c r="T1921" s="82" t="s">
        <v>4415</v>
      </c>
      <c r="U1921" s="84" t="s">
        <v>3584</v>
      </c>
      <c r="V1921" s="54"/>
    </row>
    <row r="1922" spans="1:22" s="11" customFormat="1" ht="45" customHeight="1" x14ac:dyDescent="0.2">
      <c r="A1922" s="66" t="s">
        <v>3577</v>
      </c>
      <c r="B1922" s="66" t="s">
        <v>1707</v>
      </c>
      <c r="C1922" s="66" t="s">
        <v>3578</v>
      </c>
      <c r="D1922" s="66">
        <v>80878</v>
      </c>
      <c r="E1922" s="68" t="s">
        <v>7699</v>
      </c>
      <c r="F1922" s="66" t="s">
        <v>7700</v>
      </c>
      <c r="G1922" s="71">
        <v>6500</v>
      </c>
      <c r="H1922" s="73"/>
      <c r="I1922" s="75">
        <v>0.1</v>
      </c>
      <c r="J1922" s="77"/>
      <c r="K1922" s="66"/>
      <c r="L1922" s="66"/>
      <c r="M1922" s="79" t="str">
        <f>HYPERLINK("http://www.pristavka.com/catalog/funko/Fun80878/")</f>
        <v>http://www.pristavka.com/catalog/funko/Fun80878/</v>
      </c>
      <c r="N1922" s="71">
        <v>9999</v>
      </c>
      <c r="O1922" s="66" t="s">
        <v>27</v>
      </c>
      <c r="P1922" s="82" t="s">
        <v>7701</v>
      </c>
      <c r="Q1922" s="84" t="s">
        <v>2372</v>
      </c>
      <c r="R1922" s="84" t="s">
        <v>1840</v>
      </c>
      <c r="S1922" s="84">
        <v>0.245</v>
      </c>
      <c r="T1922" s="82" t="s">
        <v>4084</v>
      </c>
      <c r="U1922" s="84" t="s">
        <v>3584</v>
      </c>
      <c r="V1922" s="54"/>
    </row>
    <row r="1923" spans="1:22" s="11" customFormat="1" ht="45" customHeight="1" x14ac:dyDescent="0.2">
      <c r="A1923" s="66" t="s">
        <v>3577</v>
      </c>
      <c r="B1923" s="66" t="s">
        <v>1707</v>
      </c>
      <c r="C1923" s="66" t="s">
        <v>3578</v>
      </c>
      <c r="D1923" s="66">
        <v>80879</v>
      </c>
      <c r="E1923" s="68" t="s">
        <v>7702</v>
      </c>
      <c r="F1923" s="66" t="s">
        <v>7703</v>
      </c>
      <c r="G1923" s="71">
        <v>6500</v>
      </c>
      <c r="H1923" s="73"/>
      <c r="I1923" s="75">
        <v>0.1</v>
      </c>
      <c r="J1923" s="77"/>
      <c r="K1923" s="66"/>
      <c r="L1923" s="66"/>
      <c r="M1923" s="79" t="str">
        <f>HYPERLINK("http://www.pristavka.com/catalog/funko/Fun80879/")</f>
        <v>http://www.pristavka.com/catalog/funko/Fun80879/</v>
      </c>
      <c r="N1923" s="71">
        <v>9999</v>
      </c>
      <c r="O1923" s="66" t="s">
        <v>27</v>
      </c>
      <c r="P1923" s="82" t="s">
        <v>7704</v>
      </c>
      <c r="Q1923" s="84" t="s">
        <v>2372</v>
      </c>
      <c r="R1923" s="84" t="s">
        <v>1840</v>
      </c>
      <c r="S1923" s="84">
        <v>0.308</v>
      </c>
      <c r="T1923" s="82" t="s">
        <v>4084</v>
      </c>
      <c r="U1923" s="84" t="s">
        <v>3584</v>
      </c>
      <c r="V1923" s="54"/>
    </row>
    <row r="1924" spans="1:22" s="11" customFormat="1" ht="45" customHeight="1" x14ac:dyDescent="0.2">
      <c r="A1924" s="66" t="s">
        <v>3577</v>
      </c>
      <c r="B1924" s="66" t="s">
        <v>1707</v>
      </c>
      <c r="C1924" s="66" t="s">
        <v>3578</v>
      </c>
      <c r="D1924" s="66">
        <v>80880</v>
      </c>
      <c r="E1924" s="68" t="s">
        <v>7705</v>
      </c>
      <c r="F1924" s="66" t="s">
        <v>7706</v>
      </c>
      <c r="G1924" s="71">
        <v>6500</v>
      </c>
      <c r="H1924" s="73"/>
      <c r="I1924" s="75">
        <v>0.1</v>
      </c>
      <c r="J1924" s="77"/>
      <c r="K1924" s="66"/>
      <c r="L1924" s="66"/>
      <c r="M1924" s="79" t="str">
        <f>HYPERLINK("http://www.pristavka.com/catalog/funko/Fun80880/")</f>
        <v>http://www.pristavka.com/catalog/funko/Fun80880/</v>
      </c>
      <c r="N1924" s="71">
        <v>9999</v>
      </c>
      <c r="O1924" s="66" t="s">
        <v>27</v>
      </c>
      <c r="P1924" s="82" t="s">
        <v>7707</v>
      </c>
      <c r="Q1924" s="84" t="s">
        <v>2372</v>
      </c>
      <c r="R1924" s="84" t="s">
        <v>1840</v>
      </c>
      <c r="S1924" s="84">
        <v>0.30399999999999999</v>
      </c>
      <c r="T1924" s="82" t="s">
        <v>4091</v>
      </c>
      <c r="U1924" s="84" t="s">
        <v>3584</v>
      </c>
      <c r="V1924" s="54"/>
    </row>
    <row r="1925" spans="1:22" s="11" customFormat="1" ht="45" customHeight="1" x14ac:dyDescent="0.2">
      <c r="A1925" s="66" t="s">
        <v>3577</v>
      </c>
      <c r="B1925" s="66" t="s">
        <v>1707</v>
      </c>
      <c r="C1925" s="66" t="s">
        <v>3578</v>
      </c>
      <c r="D1925" s="66">
        <v>75927</v>
      </c>
      <c r="E1925" s="68" t="s">
        <v>7708</v>
      </c>
      <c r="F1925" s="66" t="s">
        <v>7709</v>
      </c>
      <c r="G1925" s="71">
        <v>6500</v>
      </c>
      <c r="H1925" s="73"/>
      <c r="I1925" s="75">
        <v>0.1</v>
      </c>
      <c r="J1925" s="77"/>
      <c r="K1925" s="66"/>
      <c r="L1925" s="66"/>
      <c r="M1925" s="79" t="str">
        <f>HYPERLINK("http://www.pristavka.com/catalog/funko/Fun75927/")</f>
        <v>http://www.pristavka.com/catalog/funko/Fun75927/</v>
      </c>
      <c r="N1925" s="71">
        <v>9999</v>
      </c>
      <c r="O1925" s="66" t="s">
        <v>27</v>
      </c>
      <c r="P1925" s="82" t="s">
        <v>7710</v>
      </c>
      <c r="Q1925" s="84" t="s">
        <v>7711</v>
      </c>
      <c r="R1925" s="84" t="s">
        <v>1303</v>
      </c>
      <c r="S1925" s="84">
        <v>0.17499999999999999</v>
      </c>
      <c r="T1925" s="82" t="s">
        <v>4084</v>
      </c>
      <c r="U1925" s="84" t="s">
        <v>3584</v>
      </c>
      <c r="V1925" s="54"/>
    </row>
    <row r="1926" spans="1:22" s="11" customFormat="1" ht="45" customHeight="1" x14ac:dyDescent="0.2">
      <c r="A1926" s="66" t="s">
        <v>3577</v>
      </c>
      <c r="B1926" s="66" t="s">
        <v>1707</v>
      </c>
      <c r="C1926" s="66" t="s">
        <v>3578</v>
      </c>
      <c r="D1926" s="66">
        <v>75931</v>
      </c>
      <c r="E1926" s="68" t="s">
        <v>7712</v>
      </c>
      <c r="F1926" s="66" t="s">
        <v>7713</v>
      </c>
      <c r="G1926" s="71">
        <v>13000</v>
      </c>
      <c r="H1926" s="73"/>
      <c r="I1926" s="75">
        <v>0.1</v>
      </c>
      <c r="J1926" s="77"/>
      <c r="K1926" s="66"/>
      <c r="L1926" s="66"/>
      <c r="M1926" s="79" t="str">
        <f>HYPERLINK("http://www.pristavka.com/catalog/funko/Fun75931/")</f>
        <v>http://www.pristavka.com/catalog/funko/Fun75931/</v>
      </c>
      <c r="N1926" s="71">
        <v>19999</v>
      </c>
      <c r="O1926" s="66" t="s">
        <v>27</v>
      </c>
      <c r="P1926" s="82" t="s">
        <v>7714</v>
      </c>
      <c r="Q1926" s="84" t="s">
        <v>7711</v>
      </c>
      <c r="R1926" s="84" t="s">
        <v>1303</v>
      </c>
      <c r="S1926" s="84">
        <v>0.40500000000000003</v>
      </c>
      <c r="T1926" s="82" t="s">
        <v>5060</v>
      </c>
      <c r="U1926" s="84" t="s">
        <v>3584</v>
      </c>
      <c r="V1926" s="54"/>
    </row>
    <row r="1927" spans="1:22" s="11" customFormat="1" ht="45" customHeight="1" x14ac:dyDescent="0.2">
      <c r="A1927" s="66" t="s">
        <v>3577</v>
      </c>
      <c r="B1927" s="66" t="s">
        <v>1707</v>
      </c>
      <c r="C1927" s="66" t="s">
        <v>3578</v>
      </c>
      <c r="D1927" s="66">
        <v>75929</v>
      </c>
      <c r="E1927" s="68" t="s">
        <v>7715</v>
      </c>
      <c r="F1927" s="66" t="s">
        <v>7716</v>
      </c>
      <c r="G1927" s="71">
        <v>6500</v>
      </c>
      <c r="H1927" s="73"/>
      <c r="I1927" s="75">
        <v>0.1</v>
      </c>
      <c r="J1927" s="77"/>
      <c r="K1927" s="66"/>
      <c r="L1927" s="66"/>
      <c r="M1927" s="79" t="str">
        <f>HYPERLINK("http://www.pristavka.com/catalog/funko/Fun75929/")</f>
        <v>http://www.pristavka.com/catalog/funko/Fun75929/</v>
      </c>
      <c r="N1927" s="71">
        <v>9999</v>
      </c>
      <c r="O1927" s="66" t="s">
        <v>27</v>
      </c>
      <c r="P1927" s="82" t="s">
        <v>7717</v>
      </c>
      <c r="Q1927" s="84" t="s">
        <v>7711</v>
      </c>
      <c r="R1927" s="84" t="s">
        <v>1303</v>
      </c>
      <c r="S1927" s="84">
        <v>0.14499999999999999</v>
      </c>
      <c r="T1927" s="82" t="s">
        <v>4084</v>
      </c>
      <c r="U1927" s="84" t="s">
        <v>3584</v>
      </c>
      <c r="V1927" s="54"/>
    </row>
    <row r="1928" spans="1:22" s="11" customFormat="1" ht="45" customHeight="1" x14ac:dyDescent="0.2">
      <c r="A1928" s="66" t="s">
        <v>3577</v>
      </c>
      <c r="B1928" s="66" t="s">
        <v>1707</v>
      </c>
      <c r="C1928" s="66" t="s">
        <v>3578</v>
      </c>
      <c r="D1928" s="66">
        <v>75928</v>
      </c>
      <c r="E1928" s="68" t="s">
        <v>7718</v>
      </c>
      <c r="F1928" s="66" t="s">
        <v>7719</v>
      </c>
      <c r="G1928" s="71">
        <v>6500</v>
      </c>
      <c r="H1928" s="73"/>
      <c r="I1928" s="75">
        <v>0.1</v>
      </c>
      <c r="J1928" s="77"/>
      <c r="K1928" s="66"/>
      <c r="L1928" s="66"/>
      <c r="M1928" s="79" t="str">
        <f>HYPERLINK("http://www.pristavka.com/catalog/funko/Fun75928/")</f>
        <v>http://www.pristavka.com/catalog/funko/Fun75928/</v>
      </c>
      <c r="N1928" s="71">
        <v>9999</v>
      </c>
      <c r="O1928" s="66" t="s">
        <v>27</v>
      </c>
      <c r="P1928" s="82" t="s">
        <v>7720</v>
      </c>
      <c r="Q1928" s="84" t="s">
        <v>7711</v>
      </c>
      <c r="R1928" s="84" t="s">
        <v>1303</v>
      </c>
      <c r="S1928" s="84">
        <v>0.14499999999999999</v>
      </c>
      <c r="T1928" s="82" t="s">
        <v>4084</v>
      </c>
      <c r="U1928" s="84" t="s">
        <v>3584</v>
      </c>
      <c r="V1928" s="54"/>
    </row>
    <row r="1929" spans="1:22" s="11" customFormat="1" ht="45" customHeight="1" x14ac:dyDescent="0.2">
      <c r="A1929" s="66" t="s">
        <v>3577</v>
      </c>
      <c r="B1929" s="66" t="s">
        <v>1707</v>
      </c>
      <c r="C1929" s="66" t="s">
        <v>3578</v>
      </c>
      <c r="D1929" s="66">
        <v>75932</v>
      </c>
      <c r="E1929" s="68" t="s">
        <v>7721</v>
      </c>
      <c r="F1929" s="66" t="s">
        <v>7722</v>
      </c>
      <c r="G1929" s="71">
        <v>6500</v>
      </c>
      <c r="H1929" s="73"/>
      <c r="I1929" s="75">
        <v>0.2</v>
      </c>
      <c r="J1929" s="77"/>
      <c r="K1929" s="66"/>
      <c r="L1929" s="66"/>
      <c r="M1929" s="79" t="str">
        <f>HYPERLINK("http://www.pristavka.com/catalog/funko/Fun75932/")</f>
        <v>http://www.pristavka.com/catalog/funko/Fun75932/</v>
      </c>
      <c r="N1929" s="71">
        <v>9999</v>
      </c>
      <c r="O1929" s="66" t="s">
        <v>27</v>
      </c>
      <c r="P1929" s="82" t="s">
        <v>7723</v>
      </c>
      <c r="Q1929" s="84" t="s">
        <v>7724</v>
      </c>
      <c r="R1929" s="84" t="s">
        <v>1840</v>
      </c>
      <c r="S1929" s="84">
        <v>0.127</v>
      </c>
      <c r="T1929" s="82" t="s">
        <v>4113</v>
      </c>
      <c r="U1929" s="84" t="s">
        <v>3593</v>
      </c>
      <c r="V1929" s="54"/>
    </row>
    <row r="1930" spans="1:22" s="11" customFormat="1" ht="45" customHeight="1" x14ac:dyDescent="0.2">
      <c r="A1930" s="66" t="s">
        <v>3577</v>
      </c>
      <c r="B1930" s="66" t="s">
        <v>1707</v>
      </c>
      <c r="C1930" s="66" t="s">
        <v>3578</v>
      </c>
      <c r="D1930" s="66">
        <v>75933</v>
      </c>
      <c r="E1930" s="68" t="s">
        <v>7725</v>
      </c>
      <c r="F1930" s="66" t="s">
        <v>7726</v>
      </c>
      <c r="G1930" s="71">
        <v>6500</v>
      </c>
      <c r="H1930" s="73"/>
      <c r="I1930" s="75">
        <v>0.2</v>
      </c>
      <c r="J1930" s="77"/>
      <c r="K1930" s="66"/>
      <c r="L1930" s="66"/>
      <c r="M1930" s="79" t="str">
        <f>HYPERLINK("http://www.pristavka.com/catalog/funko/Fun75933/")</f>
        <v>http://www.pristavka.com/catalog/funko/Fun75933/</v>
      </c>
      <c r="N1930" s="71">
        <v>9999</v>
      </c>
      <c r="O1930" s="66" t="s">
        <v>27</v>
      </c>
      <c r="P1930" s="82" t="s">
        <v>7727</v>
      </c>
      <c r="Q1930" s="84" t="s">
        <v>7724</v>
      </c>
      <c r="R1930" s="84" t="s">
        <v>1840</v>
      </c>
      <c r="S1930" s="84">
        <v>0.128</v>
      </c>
      <c r="T1930" s="82" t="s">
        <v>4113</v>
      </c>
      <c r="U1930" s="84" t="s">
        <v>3593</v>
      </c>
      <c r="V1930" s="54"/>
    </row>
    <row r="1931" spans="1:22" s="11" customFormat="1" ht="45" customHeight="1" x14ac:dyDescent="0.2">
      <c r="A1931" s="66" t="s">
        <v>3577</v>
      </c>
      <c r="B1931" s="66" t="s">
        <v>1707</v>
      </c>
      <c r="C1931" s="66" t="s">
        <v>3578</v>
      </c>
      <c r="D1931" s="66">
        <v>75934</v>
      </c>
      <c r="E1931" s="68" t="s">
        <v>7728</v>
      </c>
      <c r="F1931" s="66" t="s">
        <v>7729</v>
      </c>
      <c r="G1931" s="71">
        <v>6500</v>
      </c>
      <c r="H1931" s="73"/>
      <c r="I1931" s="75">
        <v>0.2</v>
      </c>
      <c r="J1931" s="77"/>
      <c r="K1931" s="66"/>
      <c r="L1931" s="66"/>
      <c r="M1931" s="79" t="str">
        <f>HYPERLINK("http://www.pristavka.com/catalog/funko/Fun75934/")</f>
        <v>http://www.pristavka.com/catalog/funko/Fun75934/</v>
      </c>
      <c r="N1931" s="71">
        <v>9999</v>
      </c>
      <c r="O1931" s="66" t="s">
        <v>27</v>
      </c>
      <c r="P1931" s="82" t="s">
        <v>7730</v>
      </c>
      <c r="Q1931" s="84" t="s">
        <v>7724</v>
      </c>
      <c r="R1931" s="84" t="s">
        <v>1840</v>
      </c>
      <c r="S1931" s="84">
        <v>0.13800000000000001</v>
      </c>
      <c r="T1931" s="82" t="s">
        <v>4113</v>
      </c>
      <c r="U1931" s="84" t="s">
        <v>3593</v>
      </c>
      <c r="V1931" s="54"/>
    </row>
    <row r="1932" spans="1:22" s="11" customFormat="1" ht="45" customHeight="1" x14ac:dyDescent="0.2">
      <c r="A1932" s="66" t="s">
        <v>3577</v>
      </c>
      <c r="B1932" s="66" t="s">
        <v>1707</v>
      </c>
      <c r="C1932" s="66" t="s">
        <v>3578</v>
      </c>
      <c r="D1932" s="66">
        <v>83550</v>
      </c>
      <c r="E1932" s="68" t="s">
        <v>7731</v>
      </c>
      <c r="F1932" s="66" t="s">
        <v>7732</v>
      </c>
      <c r="G1932" s="71">
        <v>6500</v>
      </c>
      <c r="H1932" s="73"/>
      <c r="I1932" s="75">
        <v>0.1</v>
      </c>
      <c r="J1932" s="77"/>
      <c r="K1932" s="66"/>
      <c r="L1932" s="66"/>
      <c r="M1932" s="79" t="str">
        <f>HYPERLINK("http://www.pristavka.com/catalog/funko/Fun83550/")</f>
        <v>http://www.pristavka.com/catalog/funko/Fun83550/</v>
      </c>
      <c r="N1932" s="71">
        <v>9999</v>
      </c>
      <c r="O1932" s="66" t="s">
        <v>27</v>
      </c>
      <c r="P1932" s="82" t="s">
        <v>7733</v>
      </c>
      <c r="Q1932" s="84" t="s">
        <v>7734</v>
      </c>
      <c r="R1932" s="84" t="s">
        <v>1303</v>
      </c>
      <c r="S1932" s="84">
        <v>0.16500000000000001</v>
      </c>
      <c r="T1932" s="82" t="s">
        <v>4113</v>
      </c>
      <c r="U1932" s="84" t="s">
        <v>3584</v>
      </c>
      <c r="V1932" s="54"/>
    </row>
    <row r="1933" spans="1:22" s="11" customFormat="1" ht="45" customHeight="1" x14ac:dyDescent="0.2">
      <c r="A1933" s="66" t="s">
        <v>3577</v>
      </c>
      <c r="B1933" s="66" t="s">
        <v>1707</v>
      </c>
      <c r="C1933" s="66" t="s">
        <v>3578</v>
      </c>
      <c r="D1933" s="66">
        <v>83455</v>
      </c>
      <c r="E1933" s="68" t="s">
        <v>7735</v>
      </c>
      <c r="F1933" s="66" t="s">
        <v>7736</v>
      </c>
      <c r="G1933" s="71">
        <v>6500</v>
      </c>
      <c r="H1933" s="73"/>
      <c r="I1933" s="75">
        <v>0.1</v>
      </c>
      <c r="J1933" s="77"/>
      <c r="K1933" s="66"/>
      <c r="L1933" s="66"/>
      <c r="M1933" s="79" t="str">
        <f>HYPERLINK("http://www.pristavka.com/catalog/funko/Fun83455/")</f>
        <v>http://www.pristavka.com/catalog/funko/Fun83455/</v>
      </c>
      <c r="N1933" s="71">
        <v>9999</v>
      </c>
      <c r="O1933" s="66" t="s">
        <v>27</v>
      </c>
      <c r="P1933" s="82" t="s">
        <v>7737</v>
      </c>
      <c r="Q1933" s="84" t="s">
        <v>6141</v>
      </c>
      <c r="R1933" s="84" t="s">
        <v>1212</v>
      </c>
      <c r="S1933" s="84">
        <v>0.14000000000000001</v>
      </c>
      <c r="T1933" s="82" t="s">
        <v>4113</v>
      </c>
      <c r="U1933" s="84" t="s">
        <v>3584</v>
      </c>
      <c r="V1933" s="54"/>
    </row>
    <row r="1934" spans="1:22" s="11" customFormat="1" ht="45" customHeight="1" x14ac:dyDescent="0.2">
      <c r="A1934" s="66" t="s">
        <v>3577</v>
      </c>
      <c r="B1934" s="66" t="s">
        <v>1707</v>
      </c>
      <c r="C1934" s="66" t="s">
        <v>3578</v>
      </c>
      <c r="D1934" s="66">
        <v>83454</v>
      </c>
      <c r="E1934" s="68" t="s">
        <v>7738</v>
      </c>
      <c r="F1934" s="66" t="s">
        <v>7739</v>
      </c>
      <c r="G1934" s="71">
        <v>6500</v>
      </c>
      <c r="H1934" s="73"/>
      <c r="I1934" s="75">
        <v>0.1</v>
      </c>
      <c r="J1934" s="77"/>
      <c r="K1934" s="66"/>
      <c r="L1934" s="66"/>
      <c r="M1934" s="79" t="str">
        <f>HYPERLINK("http://www.pristavka.com/catalog/funko/Fun83454/")</f>
        <v>http://www.pristavka.com/catalog/funko/Fun83454/</v>
      </c>
      <c r="N1934" s="71">
        <v>9999</v>
      </c>
      <c r="O1934" s="66" t="s">
        <v>27</v>
      </c>
      <c r="P1934" s="82" t="s">
        <v>7740</v>
      </c>
      <c r="Q1934" s="84" t="s">
        <v>6141</v>
      </c>
      <c r="R1934" s="84" t="s">
        <v>1212</v>
      </c>
      <c r="S1934" s="84">
        <v>0.156</v>
      </c>
      <c r="T1934" s="82" t="s">
        <v>4353</v>
      </c>
      <c r="U1934" s="84" t="s">
        <v>3584</v>
      </c>
      <c r="V1934" s="54"/>
    </row>
    <row r="1935" spans="1:22" s="11" customFormat="1" ht="45" customHeight="1" x14ac:dyDescent="0.2">
      <c r="A1935" s="66" t="s">
        <v>3577</v>
      </c>
      <c r="B1935" s="66" t="s">
        <v>1707</v>
      </c>
      <c r="C1935" s="66" t="s">
        <v>3578</v>
      </c>
      <c r="D1935" s="66">
        <v>80702</v>
      </c>
      <c r="E1935" s="68" t="s">
        <v>7741</v>
      </c>
      <c r="F1935" s="66" t="s">
        <v>7742</v>
      </c>
      <c r="G1935" s="71">
        <v>0</v>
      </c>
      <c r="H1935" s="73"/>
      <c r="I1935" s="75">
        <v>0.1</v>
      </c>
      <c r="J1935" s="77"/>
      <c r="K1935" s="66"/>
      <c r="L1935" s="66"/>
      <c r="M1935" s="79" t="str">
        <f>HYPERLINK("http://www.pristavka.com/catalog/funko/Fun80702/")</f>
        <v>http://www.pristavka.com/catalog/funko/Fun80702/</v>
      </c>
      <c r="N1935" s="71"/>
      <c r="O1935" s="66" t="s">
        <v>27</v>
      </c>
      <c r="P1935" s="82" t="s">
        <v>7743</v>
      </c>
      <c r="Q1935" s="84" t="s">
        <v>7744</v>
      </c>
      <c r="R1935" s="84" t="s">
        <v>1840</v>
      </c>
      <c r="S1935" s="84">
        <v>0.126</v>
      </c>
      <c r="T1935" s="82" t="s">
        <v>4084</v>
      </c>
      <c r="U1935" s="84" t="s">
        <v>3584</v>
      </c>
      <c r="V1935" s="54"/>
    </row>
    <row r="1936" spans="1:22" s="11" customFormat="1" ht="45" customHeight="1" x14ac:dyDescent="0.2">
      <c r="A1936" s="66" t="s">
        <v>3577</v>
      </c>
      <c r="B1936" s="66" t="s">
        <v>1707</v>
      </c>
      <c r="C1936" s="66" t="s">
        <v>3578</v>
      </c>
      <c r="D1936" s="66">
        <v>72325</v>
      </c>
      <c r="E1936" s="68" t="s">
        <v>7745</v>
      </c>
      <c r="F1936" s="66" t="s">
        <v>7746</v>
      </c>
      <c r="G1936" s="71">
        <v>6500</v>
      </c>
      <c r="H1936" s="73"/>
      <c r="I1936" s="75">
        <v>0.1</v>
      </c>
      <c r="J1936" s="77"/>
      <c r="K1936" s="66"/>
      <c r="L1936" s="66"/>
      <c r="M1936" s="79" t="str">
        <f>HYPERLINK("http://www.pristavka.com/catalog/funko/Fun72325/")</f>
        <v>http://www.pristavka.com/catalog/funko/Fun72325/</v>
      </c>
      <c r="N1936" s="71">
        <v>9999</v>
      </c>
      <c r="O1936" s="66" t="s">
        <v>27</v>
      </c>
      <c r="P1936" s="82" t="s">
        <v>7747</v>
      </c>
      <c r="Q1936" s="84" t="s">
        <v>1840</v>
      </c>
      <c r="R1936" s="84" t="s">
        <v>1840</v>
      </c>
      <c r="S1936" s="84">
        <v>0.13300000000000001</v>
      </c>
      <c r="T1936" s="82" t="s">
        <v>4084</v>
      </c>
      <c r="U1936" s="84" t="s">
        <v>3584</v>
      </c>
      <c r="V1936" s="54"/>
    </row>
    <row r="1937" spans="1:22" s="11" customFormat="1" ht="45" customHeight="1" x14ac:dyDescent="0.2">
      <c r="A1937" s="66" t="s">
        <v>3577</v>
      </c>
      <c r="B1937" s="66" t="s">
        <v>1707</v>
      </c>
      <c r="C1937" s="66" t="s">
        <v>3578</v>
      </c>
      <c r="D1937" s="66">
        <v>72327</v>
      </c>
      <c r="E1937" s="68" t="s">
        <v>7748</v>
      </c>
      <c r="F1937" s="66" t="s">
        <v>7749</v>
      </c>
      <c r="G1937" s="71">
        <v>6500</v>
      </c>
      <c r="H1937" s="73"/>
      <c r="I1937" s="75">
        <v>0.1</v>
      </c>
      <c r="J1937" s="77"/>
      <c r="K1937" s="66"/>
      <c r="L1937" s="66"/>
      <c r="M1937" s="79" t="str">
        <f>HYPERLINK("http://www.pristavka.com/catalog/funko/Fun72327/")</f>
        <v>http://www.pristavka.com/catalog/funko/Fun72327/</v>
      </c>
      <c r="N1937" s="71">
        <v>9999</v>
      </c>
      <c r="O1937" s="66" t="s">
        <v>27</v>
      </c>
      <c r="P1937" s="82" t="s">
        <v>7750</v>
      </c>
      <c r="Q1937" s="84" t="s">
        <v>1840</v>
      </c>
      <c r="R1937" s="84" t="s">
        <v>1840</v>
      </c>
      <c r="S1937" s="84">
        <v>0.128</v>
      </c>
      <c r="T1937" s="82" t="s">
        <v>4084</v>
      </c>
      <c r="U1937" s="84" t="s">
        <v>3584</v>
      </c>
      <c r="V1937" s="54"/>
    </row>
    <row r="1938" spans="1:22" s="11" customFormat="1" ht="45" customHeight="1" x14ac:dyDescent="0.2">
      <c r="A1938" s="66" t="s">
        <v>3577</v>
      </c>
      <c r="B1938" s="66" t="s">
        <v>1707</v>
      </c>
      <c r="C1938" s="66" t="s">
        <v>3578</v>
      </c>
      <c r="D1938" s="66">
        <v>40630</v>
      </c>
      <c r="E1938" s="68" t="s">
        <v>7751</v>
      </c>
      <c r="F1938" s="66" t="s">
        <v>7752</v>
      </c>
      <c r="G1938" s="71">
        <v>6500</v>
      </c>
      <c r="H1938" s="73"/>
      <c r="I1938" s="75">
        <v>0.1</v>
      </c>
      <c r="J1938" s="77"/>
      <c r="K1938" s="66"/>
      <c r="L1938" s="66"/>
      <c r="M1938" s="79" t="str">
        <f>HYPERLINK("http://www.pristavka.com/catalog/funko/Fun2379/")</f>
        <v>http://www.pristavka.com/catalog/funko/Fun2379/</v>
      </c>
      <c r="N1938" s="71">
        <v>9999</v>
      </c>
      <c r="O1938" s="66" t="s">
        <v>27</v>
      </c>
      <c r="P1938" s="82" t="s">
        <v>7753</v>
      </c>
      <c r="Q1938" s="84" t="s">
        <v>3592</v>
      </c>
      <c r="R1938" s="84" t="s">
        <v>1303</v>
      </c>
      <c r="S1938" s="84">
        <v>0.128</v>
      </c>
      <c r="T1938" s="82" t="s">
        <v>4574</v>
      </c>
      <c r="U1938" s="84" t="s">
        <v>3584</v>
      </c>
      <c r="V1938" s="54"/>
    </row>
    <row r="1939" spans="1:22" s="11" customFormat="1" ht="45" customHeight="1" x14ac:dyDescent="0.2">
      <c r="A1939" s="66" t="s">
        <v>3577</v>
      </c>
      <c r="B1939" s="66" t="s">
        <v>1707</v>
      </c>
      <c r="C1939" s="66" t="s">
        <v>3578</v>
      </c>
      <c r="D1939" s="66">
        <v>3363</v>
      </c>
      <c r="E1939" s="68" t="s">
        <v>7754</v>
      </c>
      <c r="F1939" s="66" t="s">
        <v>7755</v>
      </c>
      <c r="G1939" s="71">
        <v>6500</v>
      </c>
      <c r="H1939" s="73"/>
      <c r="I1939" s="75">
        <v>0.1</v>
      </c>
      <c r="J1939" s="77"/>
      <c r="K1939" s="66"/>
      <c r="L1939" s="66"/>
      <c r="M1939" s="79" t="str">
        <f>HYPERLINK("http://www.pristavka.com/catalog/funko/Fun768/")</f>
        <v>http://www.pristavka.com/catalog/funko/Fun768/</v>
      </c>
      <c r="N1939" s="71">
        <v>9999</v>
      </c>
      <c r="O1939" s="66" t="s">
        <v>27</v>
      </c>
      <c r="P1939" s="82" t="s">
        <v>7756</v>
      </c>
      <c r="Q1939" s="84" t="s">
        <v>3592</v>
      </c>
      <c r="R1939" s="84" t="s">
        <v>1303</v>
      </c>
      <c r="S1939" s="84">
        <v>0.126</v>
      </c>
      <c r="T1939" s="82" t="s">
        <v>4574</v>
      </c>
      <c r="U1939" s="84" t="s">
        <v>3584</v>
      </c>
      <c r="V1939" s="54"/>
    </row>
    <row r="1940" spans="1:22" s="11" customFormat="1" ht="45" customHeight="1" x14ac:dyDescent="0.2">
      <c r="A1940" s="66" t="s">
        <v>3577</v>
      </c>
      <c r="B1940" s="66" t="s">
        <v>1707</v>
      </c>
      <c r="C1940" s="66" t="s">
        <v>3578</v>
      </c>
      <c r="D1940" s="66">
        <v>20176</v>
      </c>
      <c r="E1940" s="68" t="s">
        <v>7757</v>
      </c>
      <c r="F1940" s="66" t="s">
        <v>7758</v>
      </c>
      <c r="G1940" s="71">
        <v>6500</v>
      </c>
      <c r="H1940" s="73"/>
      <c r="I1940" s="75">
        <v>0.1</v>
      </c>
      <c r="J1940" s="77"/>
      <c r="K1940" s="66"/>
      <c r="L1940" s="66"/>
      <c r="M1940" s="79" t="str">
        <f>HYPERLINK("http://www.pristavka.com/catalog/funko/Fun824/")</f>
        <v>http://www.pristavka.com/catalog/funko/Fun824/</v>
      </c>
      <c r="N1940" s="71">
        <v>9999</v>
      </c>
      <c r="O1940" s="66" t="s">
        <v>27</v>
      </c>
      <c r="P1940" s="82" t="s">
        <v>7759</v>
      </c>
      <c r="Q1940" s="84" t="s">
        <v>3592</v>
      </c>
      <c r="R1940" s="84" t="s">
        <v>1303</v>
      </c>
      <c r="S1940" s="84">
        <v>0.13</v>
      </c>
      <c r="T1940" s="82" t="s">
        <v>4370</v>
      </c>
      <c r="U1940" s="84" t="s">
        <v>3584</v>
      </c>
      <c r="V1940" s="54"/>
    </row>
    <row r="1941" spans="1:22" s="11" customFormat="1" ht="45" customHeight="1" x14ac:dyDescent="0.2">
      <c r="A1941" s="66" t="s">
        <v>3577</v>
      </c>
      <c r="B1941" s="66" t="s">
        <v>1707</v>
      </c>
      <c r="C1941" s="66" t="s">
        <v>3578</v>
      </c>
      <c r="D1941" s="66">
        <v>29520</v>
      </c>
      <c r="E1941" s="68" t="s">
        <v>7760</v>
      </c>
      <c r="F1941" s="66" t="s">
        <v>7761</v>
      </c>
      <c r="G1941" s="71">
        <v>6500</v>
      </c>
      <c r="H1941" s="73"/>
      <c r="I1941" s="75">
        <v>0.1</v>
      </c>
      <c r="J1941" s="77"/>
      <c r="K1941" s="66"/>
      <c r="L1941" s="66"/>
      <c r="M1941" s="79" t="str">
        <f>HYPERLINK("http://www.pristavka.com/catalog/funko/Fun1183/")</f>
        <v>http://www.pristavka.com/catalog/funko/Fun1183/</v>
      </c>
      <c r="N1941" s="71">
        <v>9999</v>
      </c>
      <c r="O1941" s="66" t="s">
        <v>27</v>
      </c>
      <c r="P1941" s="82" t="s">
        <v>7762</v>
      </c>
      <c r="Q1941" s="84" t="s">
        <v>3592</v>
      </c>
      <c r="R1941" s="84" t="s">
        <v>1303</v>
      </c>
      <c r="S1941" s="84">
        <v>0.11</v>
      </c>
      <c r="T1941" s="82" t="s">
        <v>5288</v>
      </c>
      <c r="U1941" s="84" t="s">
        <v>3584</v>
      </c>
      <c r="V1941" s="54"/>
    </row>
    <row r="1942" spans="1:22" s="11" customFormat="1" ht="45" customHeight="1" x14ac:dyDescent="0.2">
      <c r="A1942" s="66" t="s">
        <v>3577</v>
      </c>
      <c r="B1942" s="66" t="s">
        <v>1707</v>
      </c>
      <c r="C1942" s="66" t="s">
        <v>3578</v>
      </c>
      <c r="D1942" s="66">
        <v>84366</v>
      </c>
      <c r="E1942" s="68" t="s">
        <v>7763</v>
      </c>
      <c r="F1942" s="66" t="s">
        <v>7764</v>
      </c>
      <c r="G1942" s="71">
        <v>6500</v>
      </c>
      <c r="H1942" s="73"/>
      <c r="I1942" s="75">
        <v>0.1</v>
      </c>
      <c r="J1942" s="77"/>
      <c r="K1942" s="66"/>
      <c r="L1942" s="66"/>
      <c r="M1942" s="79" t="str">
        <f>HYPERLINK("http://www.pristavka.com/catalog/funko/Fun84366/")</f>
        <v>http://www.pristavka.com/catalog/funko/Fun84366/</v>
      </c>
      <c r="N1942" s="71">
        <v>9999</v>
      </c>
      <c r="O1942" s="66" t="s">
        <v>27</v>
      </c>
      <c r="P1942" s="82" t="s">
        <v>7765</v>
      </c>
      <c r="Q1942" s="84" t="s">
        <v>7766</v>
      </c>
      <c r="R1942" s="84" t="s">
        <v>1212</v>
      </c>
      <c r="S1942" s="84">
        <v>0.13700000000000001</v>
      </c>
      <c r="T1942" s="82" t="s">
        <v>4091</v>
      </c>
      <c r="U1942" s="84" t="s">
        <v>3584</v>
      </c>
      <c r="V1942" s="54"/>
    </row>
    <row r="1943" spans="1:22" s="11" customFormat="1" ht="45" customHeight="1" x14ac:dyDescent="0.2">
      <c r="A1943" s="66" t="s">
        <v>3577</v>
      </c>
      <c r="B1943" s="66" t="s">
        <v>1707</v>
      </c>
      <c r="C1943" s="66" t="s">
        <v>3578</v>
      </c>
      <c r="D1943" s="66">
        <v>83974</v>
      </c>
      <c r="E1943" s="68" t="s">
        <v>7767</v>
      </c>
      <c r="F1943" s="66" t="s">
        <v>7768</v>
      </c>
      <c r="G1943" s="71">
        <v>6500</v>
      </c>
      <c r="H1943" s="73"/>
      <c r="I1943" s="75">
        <v>0.1</v>
      </c>
      <c r="J1943" s="77"/>
      <c r="K1943" s="66"/>
      <c r="L1943" s="66"/>
      <c r="M1943" s="79" t="str">
        <f>HYPERLINK("http://www.pristavka.com/catalog/funko/Fun83974/")</f>
        <v>http://www.pristavka.com/catalog/funko/Fun83974/</v>
      </c>
      <c r="N1943" s="71">
        <v>9999</v>
      </c>
      <c r="O1943" s="66" t="s">
        <v>27</v>
      </c>
      <c r="P1943" s="82" t="s">
        <v>7769</v>
      </c>
      <c r="Q1943" s="84" t="s">
        <v>7766</v>
      </c>
      <c r="R1943" s="84" t="s">
        <v>1212</v>
      </c>
      <c r="S1943" s="84">
        <v>0.15</v>
      </c>
      <c r="T1943" s="82" t="s">
        <v>4113</v>
      </c>
      <c r="U1943" s="84" t="s">
        <v>3584</v>
      </c>
      <c r="V1943" s="54"/>
    </row>
    <row r="1944" spans="1:22" s="11" customFormat="1" ht="45" customHeight="1" x14ac:dyDescent="0.2">
      <c r="A1944" s="66" t="s">
        <v>3577</v>
      </c>
      <c r="B1944" s="66" t="s">
        <v>1707</v>
      </c>
      <c r="C1944" s="66" t="s">
        <v>3578</v>
      </c>
      <c r="D1944" s="66">
        <v>83572</v>
      </c>
      <c r="E1944" s="68" t="s">
        <v>7770</v>
      </c>
      <c r="F1944" s="66" t="s">
        <v>7771</v>
      </c>
      <c r="G1944" s="71">
        <v>6500</v>
      </c>
      <c r="H1944" s="73"/>
      <c r="I1944" s="75">
        <v>0.1</v>
      </c>
      <c r="J1944" s="77"/>
      <c r="K1944" s="66"/>
      <c r="L1944" s="66"/>
      <c r="M1944" s="79" t="str">
        <f>HYPERLINK("http://www.pristavka.com/catalog/funko/Fun83572/")</f>
        <v>http://www.pristavka.com/catalog/funko/Fun83572/</v>
      </c>
      <c r="N1944" s="71">
        <v>9999</v>
      </c>
      <c r="O1944" s="66" t="s">
        <v>27</v>
      </c>
      <c r="P1944" s="82" t="s">
        <v>7772</v>
      </c>
      <c r="Q1944" s="84" t="s">
        <v>7773</v>
      </c>
      <c r="R1944" s="84" t="s">
        <v>7774</v>
      </c>
      <c r="S1944" s="84">
        <v>0.13100000000000001</v>
      </c>
      <c r="T1944" s="82" t="s">
        <v>4091</v>
      </c>
      <c r="U1944" s="84" t="s">
        <v>3584</v>
      </c>
      <c r="V1944" s="54"/>
    </row>
    <row r="1945" spans="1:22" s="11" customFormat="1" ht="45" customHeight="1" x14ac:dyDescent="0.2">
      <c r="A1945" s="66" t="s">
        <v>3577</v>
      </c>
      <c r="B1945" s="66" t="s">
        <v>1707</v>
      </c>
      <c r="C1945" s="66" t="s">
        <v>3578</v>
      </c>
      <c r="D1945" s="66">
        <v>76103</v>
      </c>
      <c r="E1945" s="68" t="s">
        <v>7775</v>
      </c>
      <c r="F1945" s="66" t="s">
        <v>7776</v>
      </c>
      <c r="G1945" s="71">
        <v>6500</v>
      </c>
      <c r="H1945" s="73"/>
      <c r="I1945" s="75">
        <v>0.1</v>
      </c>
      <c r="J1945" s="77"/>
      <c r="K1945" s="66"/>
      <c r="L1945" s="66"/>
      <c r="M1945" s="79" t="str">
        <f>HYPERLINK("http://www.pristavka.com/catalog/funko/Fun76103/")</f>
        <v>http://www.pristavka.com/catalog/funko/Fun76103/</v>
      </c>
      <c r="N1945" s="71">
        <v>9999</v>
      </c>
      <c r="O1945" s="66" t="s">
        <v>27</v>
      </c>
      <c r="P1945" s="82" t="s">
        <v>7777</v>
      </c>
      <c r="Q1945" s="84" t="s">
        <v>7773</v>
      </c>
      <c r="R1945" s="84" t="s">
        <v>7774</v>
      </c>
      <c r="S1945" s="84">
        <v>0.11899999999999999</v>
      </c>
      <c r="T1945" s="82" t="s">
        <v>4084</v>
      </c>
      <c r="U1945" s="84" t="s">
        <v>3584</v>
      </c>
      <c r="V1945" s="54"/>
    </row>
    <row r="1946" spans="1:22" s="11" customFormat="1" ht="45" customHeight="1" x14ac:dyDescent="0.2">
      <c r="A1946" s="66" t="s">
        <v>3577</v>
      </c>
      <c r="B1946" s="66" t="s">
        <v>1707</v>
      </c>
      <c r="C1946" s="66" t="s">
        <v>3578</v>
      </c>
      <c r="D1946" s="66">
        <v>76104</v>
      </c>
      <c r="E1946" s="68" t="s">
        <v>7778</v>
      </c>
      <c r="F1946" s="66" t="s">
        <v>7779</v>
      </c>
      <c r="G1946" s="71">
        <v>6500</v>
      </c>
      <c r="H1946" s="73"/>
      <c r="I1946" s="75">
        <v>0.1</v>
      </c>
      <c r="J1946" s="77"/>
      <c r="K1946" s="66"/>
      <c r="L1946" s="66"/>
      <c r="M1946" s="79" t="str">
        <f>HYPERLINK("http://www.pristavka.com/catalog/funko/Fun76104/")</f>
        <v>http://www.pristavka.com/catalog/funko/Fun76104/</v>
      </c>
      <c r="N1946" s="71">
        <v>9999</v>
      </c>
      <c r="O1946" s="66" t="s">
        <v>27</v>
      </c>
      <c r="P1946" s="82" t="s">
        <v>7780</v>
      </c>
      <c r="Q1946" s="84" t="s">
        <v>7773</v>
      </c>
      <c r="R1946" s="84" t="s">
        <v>7774</v>
      </c>
      <c r="S1946" s="84">
        <v>0.113</v>
      </c>
      <c r="T1946" s="82" t="s">
        <v>4091</v>
      </c>
      <c r="U1946" s="84" t="s">
        <v>3584</v>
      </c>
      <c r="V1946" s="54"/>
    </row>
    <row r="1947" spans="1:22" s="11" customFormat="1" ht="45" customHeight="1" x14ac:dyDescent="0.2">
      <c r="A1947" s="66" t="s">
        <v>3577</v>
      </c>
      <c r="B1947" s="66" t="s">
        <v>1707</v>
      </c>
      <c r="C1947" s="66" t="s">
        <v>3578</v>
      </c>
      <c r="D1947" s="66">
        <v>32364</v>
      </c>
      <c r="E1947" s="68" t="s">
        <v>7781</v>
      </c>
      <c r="F1947" s="66" t="s">
        <v>7782</v>
      </c>
      <c r="G1947" s="71">
        <v>6890</v>
      </c>
      <c r="H1947" s="73"/>
      <c r="I1947" s="75">
        <v>0.1</v>
      </c>
      <c r="J1947" s="77"/>
      <c r="K1947" s="66"/>
      <c r="L1947" s="66"/>
      <c r="M1947" s="79" t="str">
        <f>HYPERLINK("http://www.pristavka.com/catalog/funko/Fun32364/")</f>
        <v>http://www.pristavka.com/catalog/funko/Fun32364/</v>
      </c>
      <c r="N1947" s="71">
        <v>10599</v>
      </c>
      <c r="O1947" s="66" t="s">
        <v>27</v>
      </c>
      <c r="P1947" s="82" t="s">
        <v>7783</v>
      </c>
      <c r="Q1947" s="84" t="s">
        <v>7784</v>
      </c>
      <c r="R1947" s="84" t="s">
        <v>1212</v>
      </c>
      <c r="S1947" s="84">
        <v>0.13500000000000001</v>
      </c>
      <c r="T1947" s="82" t="s">
        <v>4246</v>
      </c>
      <c r="U1947" s="84" t="s">
        <v>3584</v>
      </c>
      <c r="V1947" s="54"/>
    </row>
    <row r="1948" spans="1:22" s="11" customFormat="1" ht="45" customHeight="1" x14ac:dyDescent="0.2">
      <c r="A1948" s="66" t="s">
        <v>3577</v>
      </c>
      <c r="B1948" s="66" t="s">
        <v>1707</v>
      </c>
      <c r="C1948" s="66" t="s">
        <v>3578</v>
      </c>
      <c r="D1948" s="66">
        <v>81707</v>
      </c>
      <c r="E1948" s="68" t="s">
        <v>7785</v>
      </c>
      <c r="F1948" s="66" t="s">
        <v>7786</v>
      </c>
      <c r="G1948" s="71">
        <v>6890</v>
      </c>
      <c r="H1948" s="73"/>
      <c r="I1948" s="75">
        <v>0.1</v>
      </c>
      <c r="J1948" s="77"/>
      <c r="K1948" s="66"/>
      <c r="L1948" s="66"/>
      <c r="M1948" s="79" t="str">
        <f>HYPERLINK("http://www.pristavka.com/catalog/funko/Fun81707/")</f>
        <v>http://www.pristavka.com/catalog/funko/Fun81707/</v>
      </c>
      <c r="N1948" s="71">
        <v>10599</v>
      </c>
      <c r="O1948" s="66" t="s">
        <v>27</v>
      </c>
      <c r="P1948" s="82" t="s">
        <v>7787</v>
      </c>
      <c r="Q1948" s="84" t="s">
        <v>7784</v>
      </c>
      <c r="R1948" s="84" t="s">
        <v>1212</v>
      </c>
      <c r="S1948" s="84">
        <v>0.19</v>
      </c>
      <c r="T1948" s="82" t="s">
        <v>4084</v>
      </c>
      <c r="U1948" s="84" t="s">
        <v>3584</v>
      </c>
      <c r="V1948" s="54"/>
    </row>
    <row r="1949" spans="1:22" s="11" customFormat="1" ht="45" customHeight="1" x14ac:dyDescent="0.2">
      <c r="A1949" s="66" t="s">
        <v>3577</v>
      </c>
      <c r="B1949" s="66" t="s">
        <v>1707</v>
      </c>
      <c r="C1949" s="66" t="s">
        <v>3578</v>
      </c>
      <c r="D1949" s="66">
        <v>75984</v>
      </c>
      <c r="E1949" s="68" t="s">
        <v>7788</v>
      </c>
      <c r="F1949" s="66" t="s">
        <v>7789</v>
      </c>
      <c r="G1949" s="71">
        <v>6500</v>
      </c>
      <c r="H1949" s="73"/>
      <c r="I1949" s="75">
        <v>0.1</v>
      </c>
      <c r="J1949" s="77"/>
      <c r="K1949" s="66"/>
      <c r="L1949" s="66"/>
      <c r="M1949" s="79" t="str">
        <f>HYPERLINK("http://www.pristavka.com/catalog/funko/Fun75984/")</f>
        <v>http://www.pristavka.com/catalog/funko/Fun75984/</v>
      </c>
      <c r="N1949" s="71">
        <v>9999</v>
      </c>
      <c r="O1949" s="66" t="s">
        <v>27</v>
      </c>
      <c r="P1949" s="82" t="s">
        <v>7790</v>
      </c>
      <c r="Q1949" s="84" t="s">
        <v>7784</v>
      </c>
      <c r="R1949" s="84" t="s">
        <v>1212</v>
      </c>
      <c r="S1949" s="84">
        <v>0.15</v>
      </c>
      <c r="T1949" s="82" t="s">
        <v>4102</v>
      </c>
      <c r="U1949" s="84" t="s">
        <v>3584</v>
      </c>
      <c r="V1949" s="54"/>
    </row>
    <row r="1950" spans="1:22" s="11" customFormat="1" ht="45" customHeight="1" x14ac:dyDescent="0.2">
      <c r="A1950" s="66" t="s">
        <v>3577</v>
      </c>
      <c r="B1950" s="66" t="s">
        <v>1707</v>
      </c>
      <c r="C1950" s="66" t="s">
        <v>3578</v>
      </c>
      <c r="D1950" s="66">
        <v>75985</v>
      </c>
      <c r="E1950" s="68" t="s">
        <v>7791</v>
      </c>
      <c r="F1950" s="66" t="s">
        <v>7792</v>
      </c>
      <c r="G1950" s="71">
        <v>6500</v>
      </c>
      <c r="H1950" s="73"/>
      <c r="I1950" s="75">
        <v>0.1</v>
      </c>
      <c r="J1950" s="77"/>
      <c r="K1950" s="66"/>
      <c r="L1950" s="66"/>
      <c r="M1950" s="79" t="str">
        <f>HYPERLINK("http://www.pristavka.com/catalog/funko/Fun75985/")</f>
        <v>http://www.pristavka.com/catalog/funko/Fun75985/</v>
      </c>
      <c r="N1950" s="71">
        <v>9999</v>
      </c>
      <c r="O1950" s="66" t="s">
        <v>27</v>
      </c>
      <c r="P1950" s="82" t="s">
        <v>7793</v>
      </c>
      <c r="Q1950" s="84" t="s">
        <v>7784</v>
      </c>
      <c r="R1950" s="84" t="s">
        <v>1212</v>
      </c>
      <c r="S1950" s="84">
        <v>0.156</v>
      </c>
      <c r="T1950" s="82" t="s">
        <v>4084</v>
      </c>
      <c r="U1950" s="84" t="s">
        <v>3584</v>
      </c>
      <c r="V1950" s="54"/>
    </row>
    <row r="1951" spans="1:22" s="11" customFormat="1" ht="45" customHeight="1" x14ac:dyDescent="0.2">
      <c r="A1951" s="66" t="s">
        <v>3577</v>
      </c>
      <c r="B1951" s="66" t="s">
        <v>1707</v>
      </c>
      <c r="C1951" s="66" t="s">
        <v>3578</v>
      </c>
      <c r="D1951" s="66">
        <v>75986</v>
      </c>
      <c r="E1951" s="68" t="s">
        <v>7794</v>
      </c>
      <c r="F1951" s="66" t="s">
        <v>7795</v>
      </c>
      <c r="G1951" s="71">
        <v>6500</v>
      </c>
      <c r="H1951" s="73"/>
      <c r="I1951" s="75">
        <v>0.1</v>
      </c>
      <c r="J1951" s="77"/>
      <c r="K1951" s="66"/>
      <c r="L1951" s="66"/>
      <c r="M1951" s="79" t="str">
        <f>HYPERLINK("http://www.pristavka.com/catalog/funko/Fun75986/")</f>
        <v>http://www.pristavka.com/catalog/funko/Fun75986/</v>
      </c>
      <c r="N1951" s="71">
        <v>9999</v>
      </c>
      <c r="O1951" s="66" t="s">
        <v>27</v>
      </c>
      <c r="P1951" s="82" t="s">
        <v>7796</v>
      </c>
      <c r="Q1951" s="84" t="s">
        <v>7784</v>
      </c>
      <c r="R1951" s="84" t="s">
        <v>1212</v>
      </c>
      <c r="S1951" s="84">
        <v>0.17199999999999999</v>
      </c>
      <c r="T1951" s="82" t="s">
        <v>4102</v>
      </c>
      <c r="U1951" s="84" t="s">
        <v>3584</v>
      </c>
      <c r="V1951" s="54"/>
    </row>
    <row r="1952" spans="1:22" s="11" customFormat="1" ht="45" customHeight="1" x14ac:dyDescent="0.2">
      <c r="A1952" s="66" t="s">
        <v>3577</v>
      </c>
      <c r="B1952" s="66" t="s">
        <v>1707</v>
      </c>
      <c r="C1952" s="66" t="s">
        <v>3578</v>
      </c>
      <c r="D1952" s="66">
        <v>26734</v>
      </c>
      <c r="E1952" s="68" t="s">
        <v>7797</v>
      </c>
      <c r="F1952" s="66" t="s">
        <v>7798</v>
      </c>
      <c r="G1952" s="71">
        <v>6500</v>
      </c>
      <c r="H1952" s="73"/>
      <c r="I1952" s="75">
        <v>0.1</v>
      </c>
      <c r="J1952" s="77"/>
      <c r="K1952" s="66"/>
      <c r="L1952" s="66"/>
      <c r="M1952" s="79" t="str">
        <f>HYPERLINK("http://www.pristavka.com/catalog/funko/Fun1225/")</f>
        <v>http://www.pristavka.com/catalog/funko/Fun1225/</v>
      </c>
      <c r="N1952" s="71">
        <v>9999</v>
      </c>
      <c r="O1952" s="66" t="s">
        <v>27</v>
      </c>
      <c r="P1952" s="82" t="s">
        <v>7799</v>
      </c>
      <c r="Q1952" s="84" t="s">
        <v>7784</v>
      </c>
      <c r="R1952" s="84" t="s">
        <v>1212</v>
      </c>
      <c r="S1952" s="84">
        <v>0.22500000000000001</v>
      </c>
      <c r="T1952" s="82" t="s">
        <v>4574</v>
      </c>
      <c r="U1952" s="84" t="s">
        <v>3584</v>
      </c>
      <c r="V1952" s="54"/>
    </row>
    <row r="1953" spans="1:22" s="11" customFormat="1" ht="45" customHeight="1" x14ac:dyDescent="0.2">
      <c r="A1953" s="66" t="s">
        <v>3577</v>
      </c>
      <c r="B1953" s="66" t="s">
        <v>1707</v>
      </c>
      <c r="C1953" s="66" t="s">
        <v>3578</v>
      </c>
      <c r="D1953" s="66">
        <v>75987</v>
      </c>
      <c r="E1953" s="68" t="s">
        <v>7800</v>
      </c>
      <c r="F1953" s="66" t="s">
        <v>7801</v>
      </c>
      <c r="G1953" s="71">
        <v>6500</v>
      </c>
      <c r="H1953" s="73"/>
      <c r="I1953" s="75">
        <v>0.1</v>
      </c>
      <c r="J1953" s="77"/>
      <c r="K1953" s="66"/>
      <c r="L1953" s="66"/>
      <c r="M1953" s="79" t="str">
        <f>HYPERLINK("http://www.pristavka.com/catalog/funko/Fun75987/")</f>
        <v>http://www.pristavka.com/catalog/funko/Fun75987/</v>
      </c>
      <c r="N1953" s="71">
        <v>9999</v>
      </c>
      <c r="O1953" s="66" t="s">
        <v>27</v>
      </c>
      <c r="P1953" s="82" t="s">
        <v>7802</v>
      </c>
      <c r="Q1953" s="84" t="s">
        <v>7784</v>
      </c>
      <c r="R1953" s="84" t="s">
        <v>1212</v>
      </c>
      <c r="S1953" s="84">
        <v>0.15</v>
      </c>
      <c r="T1953" s="82" t="s">
        <v>4113</v>
      </c>
      <c r="U1953" s="84" t="s">
        <v>3584</v>
      </c>
      <c r="V1953" s="54"/>
    </row>
    <row r="1954" spans="1:22" s="11" customFormat="1" ht="45" customHeight="1" x14ac:dyDescent="0.2">
      <c r="A1954" s="66" t="s">
        <v>3577</v>
      </c>
      <c r="B1954" s="66" t="s">
        <v>1707</v>
      </c>
      <c r="C1954" s="66" t="s">
        <v>3578</v>
      </c>
      <c r="D1954" s="66">
        <v>80223</v>
      </c>
      <c r="E1954" s="68" t="s">
        <v>7803</v>
      </c>
      <c r="F1954" s="66" t="s">
        <v>7804</v>
      </c>
      <c r="G1954" s="71">
        <v>6500</v>
      </c>
      <c r="H1954" s="73"/>
      <c r="I1954" s="75">
        <v>0.1</v>
      </c>
      <c r="J1954" s="77"/>
      <c r="K1954" s="66"/>
      <c r="L1954" s="66"/>
      <c r="M1954" s="79" t="str">
        <f>HYPERLINK("http://www.pristavka.com/catalog/funko/Fun80223/")</f>
        <v>http://www.pristavka.com/catalog/funko/Fun80223/</v>
      </c>
      <c r="N1954" s="71">
        <v>9999</v>
      </c>
      <c r="O1954" s="66" t="s">
        <v>27</v>
      </c>
      <c r="P1954" s="82" t="s">
        <v>7805</v>
      </c>
      <c r="Q1954" s="84" t="s">
        <v>7784</v>
      </c>
      <c r="R1954" s="84" t="s">
        <v>1212</v>
      </c>
      <c r="S1954" s="84">
        <v>0.115</v>
      </c>
      <c r="T1954" s="82" t="s">
        <v>4113</v>
      </c>
      <c r="U1954" s="84" t="s">
        <v>3584</v>
      </c>
      <c r="V1954" s="54"/>
    </row>
    <row r="1955" spans="1:22" s="11" customFormat="1" ht="45" customHeight="1" x14ac:dyDescent="0.2">
      <c r="A1955" s="66" t="s">
        <v>3577</v>
      </c>
      <c r="B1955" s="66" t="s">
        <v>1707</v>
      </c>
      <c r="C1955" s="66" t="s">
        <v>3578</v>
      </c>
      <c r="D1955" s="66">
        <v>80224</v>
      </c>
      <c r="E1955" s="68" t="s">
        <v>7806</v>
      </c>
      <c r="F1955" s="66" t="s">
        <v>7807</v>
      </c>
      <c r="G1955" s="71">
        <v>6500</v>
      </c>
      <c r="H1955" s="73"/>
      <c r="I1955" s="75">
        <v>0.1</v>
      </c>
      <c r="J1955" s="77"/>
      <c r="K1955" s="66"/>
      <c r="L1955" s="66"/>
      <c r="M1955" s="79" t="str">
        <f>HYPERLINK("http://www.pristavka.com/catalog/funko/Fun80224/")</f>
        <v>http://www.pristavka.com/catalog/funko/Fun80224/</v>
      </c>
      <c r="N1955" s="71">
        <v>9999</v>
      </c>
      <c r="O1955" s="66" t="s">
        <v>27</v>
      </c>
      <c r="P1955" s="82" t="s">
        <v>7808</v>
      </c>
      <c r="Q1955" s="84" t="s">
        <v>7784</v>
      </c>
      <c r="R1955" s="84" t="s">
        <v>1212</v>
      </c>
      <c r="S1955" s="84">
        <v>0.27</v>
      </c>
      <c r="T1955" s="82" t="s">
        <v>4113</v>
      </c>
      <c r="U1955" s="84" t="s">
        <v>3584</v>
      </c>
      <c r="V1955" s="54"/>
    </row>
    <row r="1956" spans="1:22" s="11" customFormat="1" ht="45" customHeight="1" x14ac:dyDescent="0.2">
      <c r="A1956" s="66" t="s">
        <v>3577</v>
      </c>
      <c r="B1956" s="66" t="s">
        <v>1707</v>
      </c>
      <c r="C1956" s="66" t="s">
        <v>3578</v>
      </c>
      <c r="D1956" s="66">
        <v>80225</v>
      </c>
      <c r="E1956" s="68" t="s">
        <v>7809</v>
      </c>
      <c r="F1956" s="66" t="s">
        <v>7810</v>
      </c>
      <c r="G1956" s="71">
        <v>6500</v>
      </c>
      <c r="H1956" s="73"/>
      <c r="I1956" s="75">
        <v>0.1</v>
      </c>
      <c r="J1956" s="77"/>
      <c r="K1956" s="66"/>
      <c r="L1956" s="66"/>
      <c r="M1956" s="79" t="str">
        <f>HYPERLINK("http://www.pristavka.com/catalog/funko/Fun80225/")</f>
        <v>http://www.pristavka.com/catalog/funko/Fun80225/</v>
      </c>
      <c r="N1956" s="71">
        <v>9999</v>
      </c>
      <c r="O1956" s="66" t="s">
        <v>27</v>
      </c>
      <c r="P1956" s="82" t="s">
        <v>7811</v>
      </c>
      <c r="Q1956" s="84" t="s">
        <v>7784</v>
      </c>
      <c r="R1956" s="84" t="s">
        <v>1212</v>
      </c>
      <c r="S1956" s="84">
        <v>0.16500000000000001</v>
      </c>
      <c r="T1956" s="82" t="s">
        <v>4084</v>
      </c>
      <c r="U1956" s="84" t="s">
        <v>3584</v>
      </c>
      <c r="V1956" s="54"/>
    </row>
    <row r="1957" spans="1:22" s="11" customFormat="1" ht="45" customHeight="1" x14ac:dyDescent="0.2">
      <c r="A1957" s="66" t="s">
        <v>3577</v>
      </c>
      <c r="B1957" s="66" t="s">
        <v>1707</v>
      </c>
      <c r="C1957" s="66" t="s">
        <v>3578</v>
      </c>
      <c r="D1957" s="66">
        <v>84598</v>
      </c>
      <c r="E1957" s="68" t="s">
        <v>7812</v>
      </c>
      <c r="F1957" s="66" t="s">
        <v>7813</v>
      </c>
      <c r="G1957" s="71">
        <v>9100</v>
      </c>
      <c r="H1957" s="73"/>
      <c r="I1957" s="75">
        <v>0.1</v>
      </c>
      <c r="J1957" s="77"/>
      <c r="K1957" s="66"/>
      <c r="L1957" s="66"/>
      <c r="M1957" s="79" t="str">
        <f>HYPERLINK("http://www.pristavka.com/catalog/funko/Fun84598/")</f>
        <v>http://www.pristavka.com/catalog/funko/Fun84598/</v>
      </c>
      <c r="N1957" s="71">
        <v>13999</v>
      </c>
      <c r="O1957" s="66" t="s">
        <v>27</v>
      </c>
      <c r="P1957" s="82" t="s">
        <v>7814</v>
      </c>
      <c r="Q1957" s="84" t="s">
        <v>7784</v>
      </c>
      <c r="R1957" s="84" t="s">
        <v>1212</v>
      </c>
      <c r="S1957" s="84">
        <v>0.375</v>
      </c>
      <c r="T1957" s="82" t="s">
        <v>4989</v>
      </c>
      <c r="U1957" s="84" t="s">
        <v>3584</v>
      </c>
      <c r="V1957" s="54"/>
    </row>
    <row r="1958" spans="1:22" s="11" customFormat="1" ht="45" customHeight="1" x14ac:dyDescent="0.2">
      <c r="A1958" s="66" t="s">
        <v>3577</v>
      </c>
      <c r="B1958" s="66" t="s">
        <v>1707</v>
      </c>
      <c r="C1958" s="66" t="s">
        <v>3578</v>
      </c>
      <c r="D1958" s="66">
        <v>80801</v>
      </c>
      <c r="E1958" s="68" t="s">
        <v>7815</v>
      </c>
      <c r="F1958" s="66" t="s">
        <v>7816</v>
      </c>
      <c r="G1958" s="71">
        <v>6500</v>
      </c>
      <c r="H1958" s="73"/>
      <c r="I1958" s="75">
        <v>0.1</v>
      </c>
      <c r="J1958" s="77"/>
      <c r="K1958" s="66"/>
      <c r="L1958" s="66"/>
      <c r="M1958" s="79" t="str">
        <f>HYPERLINK("http://www.pristavka.com/catalog/funko/Fun80801/")</f>
        <v>http://www.pristavka.com/catalog/funko/Fun80801/</v>
      </c>
      <c r="N1958" s="71">
        <v>9999</v>
      </c>
      <c r="O1958" s="66" t="s">
        <v>27</v>
      </c>
      <c r="P1958" s="82" t="s">
        <v>7817</v>
      </c>
      <c r="Q1958" s="84" t="s">
        <v>6146</v>
      </c>
      <c r="R1958" s="84" t="s">
        <v>1840</v>
      </c>
      <c r="S1958" s="84">
        <v>0.17599999999999999</v>
      </c>
      <c r="T1958" s="82" t="s">
        <v>4091</v>
      </c>
      <c r="U1958" s="84" t="s">
        <v>3584</v>
      </c>
      <c r="V1958" s="54"/>
    </row>
    <row r="1959" spans="1:22" s="11" customFormat="1" ht="45" customHeight="1" x14ac:dyDescent="0.2">
      <c r="A1959" s="66" t="s">
        <v>3577</v>
      </c>
      <c r="B1959" s="66" t="s">
        <v>1707</v>
      </c>
      <c r="C1959" s="66" t="s">
        <v>3578</v>
      </c>
      <c r="D1959" s="66">
        <v>51527</v>
      </c>
      <c r="E1959" s="68" t="s">
        <v>7818</v>
      </c>
      <c r="F1959" s="66" t="s">
        <v>7819</v>
      </c>
      <c r="G1959" s="71">
        <v>6500</v>
      </c>
      <c r="H1959" s="73"/>
      <c r="I1959" s="75">
        <v>0.1</v>
      </c>
      <c r="J1959" s="77"/>
      <c r="K1959" s="66"/>
      <c r="L1959" s="66"/>
      <c r="M1959" s="79" t="str">
        <f>HYPERLINK("http://www.pristavka.com/catalog/funko/Fun51527/")</f>
        <v>http://www.pristavka.com/catalog/funko/Fun51527/</v>
      </c>
      <c r="N1959" s="71">
        <v>9999</v>
      </c>
      <c r="O1959" s="66" t="s">
        <v>27</v>
      </c>
      <c r="P1959" s="82" t="s">
        <v>7820</v>
      </c>
      <c r="Q1959" s="84" t="s">
        <v>3502</v>
      </c>
      <c r="R1959" s="84" t="s">
        <v>1303</v>
      </c>
      <c r="S1959" s="84">
        <v>0.156</v>
      </c>
      <c r="T1959" s="82" t="s">
        <v>4091</v>
      </c>
      <c r="U1959" s="84" t="s">
        <v>3584</v>
      </c>
      <c r="V1959" s="54"/>
    </row>
    <row r="1960" spans="1:22" s="11" customFormat="1" ht="45" customHeight="1" x14ac:dyDescent="0.2">
      <c r="A1960" s="66" t="s">
        <v>3577</v>
      </c>
      <c r="B1960" s="66" t="s">
        <v>1707</v>
      </c>
      <c r="C1960" s="66" t="s">
        <v>3578</v>
      </c>
      <c r="D1960" s="66">
        <v>80830</v>
      </c>
      <c r="E1960" s="68" t="s">
        <v>7821</v>
      </c>
      <c r="F1960" s="66" t="s">
        <v>7822</v>
      </c>
      <c r="G1960" s="71">
        <v>10400</v>
      </c>
      <c r="H1960" s="73"/>
      <c r="I1960" s="75">
        <v>0.1</v>
      </c>
      <c r="J1960" s="77"/>
      <c r="K1960" s="66"/>
      <c r="L1960" s="66"/>
      <c r="M1960" s="79" t="str">
        <f>HYPERLINK("http://www.pristavka.com/catalog/funko/Fun80830/")</f>
        <v>http://www.pristavka.com/catalog/funko/Fun80830/</v>
      </c>
      <c r="N1960" s="71">
        <v>15999</v>
      </c>
      <c r="O1960" s="66" t="s">
        <v>27</v>
      </c>
      <c r="P1960" s="82" t="s">
        <v>7823</v>
      </c>
      <c r="Q1960" s="84" t="s">
        <v>3502</v>
      </c>
      <c r="R1960" s="84" t="s">
        <v>1303</v>
      </c>
      <c r="S1960" s="84">
        <v>0.502</v>
      </c>
      <c r="T1960" s="82" t="s">
        <v>4989</v>
      </c>
      <c r="U1960" s="84" t="s">
        <v>3584</v>
      </c>
      <c r="V1960" s="54"/>
    </row>
    <row r="1961" spans="1:22" s="11" customFormat="1" ht="45" customHeight="1" x14ac:dyDescent="0.2">
      <c r="A1961" s="66" t="s">
        <v>3577</v>
      </c>
      <c r="B1961" s="66" t="s">
        <v>1707</v>
      </c>
      <c r="C1961" s="66" t="s">
        <v>3578</v>
      </c>
      <c r="D1961" s="66">
        <v>80831</v>
      </c>
      <c r="E1961" s="68" t="s">
        <v>7824</v>
      </c>
      <c r="F1961" s="66" t="s">
        <v>7825</v>
      </c>
      <c r="G1961" s="71">
        <v>6500</v>
      </c>
      <c r="H1961" s="73"/>
      <c r="I1961" s="75">
        <v>0.1</v>
      </c>
      <c r="J1961" s="77"/>
      <c r="K1961" s="66"/>
      <c r="L1961" s="66"/>
      <c r="M1961" s="79" t="str">
        <f>HYPERLINK("http://www.pristavka.com/catalog/funko/Fun80831/")</f>
        <v>http://www.pristavka.com/catalog/funko/Fun80831/</v>
      </c>
      <c r="N1961" s="71">
        <v>9999</v>
      </c>
      <c r="O1961" s="66" t="s">
        <v>27</v>
      </c>
      <c r="P1961" s="82" t="s">
        <v>7826</v>
      </c>
      <c r="Q1961" s="84" t="s">
        <v>3502</v>
      </c>
      <c r="R1961" s="84" t="s">
        <v>1303</v>
      </c>
      <c r="S1961" s="84">
        <v>0.16500000000000001</v>
      </c>
      <c r="T1961" s="82" t="s">
        <v>4084</v>
      </c>
      <c r="U1961" s="84" t="s">
        <v>3584</v>
      </c>
      <c r="V1961" s="54"/>
    </row>
    <row r="1962" spans="1:22" s="11" customFormat="1" ht="45" customHeight="1" x14ac:dyDescent="0.2">
      <c r="A1962" s="66" t="s">
        <v>3577</v>
      </c>
      <c r="B1962" s="66" t="s">
        <v>1707</v>
      </c>
      <c r="C1962" s="66" t="s">
        <v>3578</v>
      </c>
      <c r="D1962" s="66">
        <v>80832</v>
      </c>
      <c r="E1962" s="68" t="s">
        <v>7827</v>
      </c>
      <c r="F1962" s="66" t="s">
        <v>7828</v>
      </c>
      <c r="G1962" s="71">
        <v>6500</v>
      </c>
      <c r="H1962" s="73"/>
      <c r="I1962" s="75">
        <v>0.1</v>
      </c>
      <c r="J1962" s="77"/>
      <c r="K1962" s="66"/>
      <c r="L1962" s="66"/>
      <c r="M1962" s="79" t="str">
        <f>HYPERLINK("http://www.pristavka.com/catalog/funko/Fun80832/")</f>
        <v>http://www.pristavka.com/catalog/funko/Fun80832/</v>
      </c>
      <c r="N1962" s="71">
        <v>9999</v>
      </c>
      <c r="O1962" s="66" t="s">
        <v>27</v>
      </c>
      <c r="P1962" s="82" t="s">
        <v>7829</v>
      </c>
      <c r="Q1962" s="84" t="s">
        <v>3502</v>
      </c>
      <c r="R1962" s="84" t="s">
        <v>1303</v>
      </c>
      <c r="S1962" s="84">
        <v>0.15</v>
      </c>
      <c r="T1962" s="82" t="s">
        <v>4084</v>
      </c>
      <c r="U1962" s="84" t="s">
        <v>3584</v>
      </c>
      <c r="V1962" s="54"/>
    </row>
    <row r="1963" spans="1:22" s="11" customFormat="1" ht="45" customHeight="1" x14ac:dyDescent="0.2">
      <c r="A1963" s="66" t="s">
        <v>3577</v>
      </c>
      <c r="B1963" s="66" t="s">
        <v>1707</v>
      </c>
      <c r="C1963" s="66" t="s">
        <v>3578</v>
      </c>
      <c r="D1963" s="66">
        <v>83786</v>
      </c>
      <c r="E1963" s="68" t="s">
        <v>7830</v>
      </c>
      <c r="F1963" s="66" t="s">
        <v>7831</v>
      </c>
      <c r="G1963" s="71">
        <v>6500</v>
      </c>
      <c r="H1963" s="73"/>
      <c r="I1963" s="75">
        <v>0.1</v>
      </c>
      <c r="J1963" s="77"/>
      <c r="K1963" s="66"/>
      <c r="L1963" s="66"/>
      <c r="M1963" s="79" t="str">
        <f>HYPERLINK("http://www.pristavka.com/catalog/funko/Fun83786/")</f>
        <v>http://www.pristavka.com/catalog/funko/Fun83786/</v>
      </c>
      <c r="N1963" s="71">
        <v>9999</v>
      </c>
      <c r="O1963" s="66" t="s">
        <v>27</v>
      </c>
      <c r="P1963" s="82" t="s">
        <v>7832</v>
      </c>
      <c r="Q1963" s="84" t="s">
        <v>3502</v>
      </c>
      <c r="R1963" s="84" t="s">
        <v>1303</v>
      </c>
      <c r="S1963" s="84">
        <v>0.155</v>
      </c>
      <c r="T1963" s="82" t="s">
        <v>4113</v>
      </c>
      <c r="U1963" s="84" t="s">
        <v>3584</v>
      </c>
      <c r="V1963" s="54"/>
    </row>
    <row r="1964" spans="1:22" s="11" customFormat="1" ht="45" customHeight="1" x14ac:dyDescent="0.2">
      <c r="A1964" s="66" t="s">
        <v>3577</v>
      </c>
      <c r="B1964" s="66" t="s">
        <v>1707</v>
      </c>
      <c r="C1964" s="66" t="s">
        <v>3578</v>
      </c>
      <c r="D1964" s="66">
        <v>83785</v>
      </c>
      <c r="E1964" s="68" t="s">
        <v>7833</v>
      </c>
      <c r="F1964" s="66" t="s">
        <v>7834</v>
      </c>
      <c r="G1964" s="71">
        <v>6500</v>
      </c>
      <c r="H1964" s="73"/>
      <c r="I1964" s="75">
        <v>0.1</v>
      </c>
      <c r="J1964" s="77"/>
      <c r="K1964" s="66"/>
      <c r="L1964" s="66"/>
      <c r="M1964" s="79" t="str">
        <f>HYPERLINK("http://www.pristavka.com/catalog/funko/Fun83785/")</f>
        <v>http://www.pristavka.com/catalog/funko/Fun83785/</v>
      </c>
      <c r="N1964" s="71">
        <v>9999</v>
      </c>
      <c r="O1964" s="66" t="s">
        <v>27</v>
      </c>
      <c r="P1964" s="82" t="s">
        <v>7835</v>
      </c>
      <c r="Q1964" s="84" t="s">
        <v>3502</v>
      </c>
      <c r="R1964" s="84" t="s">
        <v>1303</v>
      </c>
      <c r="S1964" s="84">
        <v>0.16500000000000001</v>
      </c>
      <c r="T1964" s="82" t="s">
        <v>4113</v>
      </c>
      <c r="U1964" s="84" t="s">
        <v>3584</v>
      </c>
      <c r="V1964" s="54"/>
    </row>
    <row r="1965" spans="1:22" s="11" customFormat="1" ht="45" customHeight="1" x14ac:dyDescent="0.2">
      <c r="A1965" s="66" t="s">
        <v>3577</v>
      </c>
      <c r="B1965" s="66" t="s">
        <v>1707</v>
      </c>
      <c r="C1965" s="66" t="s">
        <v>3578</v>
      </c>
      <c r="D1965" s="66">
        <v>80834</v>
      </c>
      <c r="E1965" s="68" t="s">
        <v>7836</v>
      </c>
      <c r="F1965" s="66" t="s">
        <v>7837</v>
      </c>
      <c r="G1965" s="71">
        <v>10400</v>
      </c>
      <c r="H1965" s="73"/>
      <c r="I1965" s="75">
        <v>0.1</v>
      </c>
      <c r="J1965" s="77"/>
      <c r="K1965" s="66"/>
      <c r="L1965" s="66"/>
      <c r="M1965" s="79" t="str">
        <f>HYPERLINK("http://www.pristavka.com/catalog/funko/Fun80834/")</f>
        <v>http://www.pristavka.com/catalog/funko/Fun80834/</v>
      </c>
      <c r="N1965" s="71">
        <v>15999</v>
      </c>
      <c r="O1965" s="66" t="s">
        <v>27</v>
      </c>
      <c r="P1965" s="82" t="s">
        <v>7838</v>
      </c>
      <c r="Q1965" s="84" t="s">
        <v>3502</v>
      </c>
      <c r="R1965" s="84" t="s">
        <v>1303</v>
      </c>
      <c r="S1965" s="84">
        <v>0.54</v>
      </c>
      <c r="T1965" s="82" t="s">
        <v>7839</v>
      </c>
      <c r="U1965" s="84" t="s">
        <v>3584</v>
      </c>
      <c r="V1965" s="54"/>
    </row>
    <row r="1966" spans="1:22" s="11" customFormat="1" ht="45" customHeight="1" x14ac:dyDescent="0.2">
      <c r="A1966" s="66" t="s">
        <v>3577</v>
      </c>
      <c r="B1966" s="66" t="s">
        <v>1707</v>
      </c>
      <c r="C1966" s="66" t="s">
        <v>3578</v>
      </c>
      <c r="D1966" s="66">
        <v>13551</v>
      </c>
      <c r="E1966" s="68" t="s">
        <v>7840</v>
      </c>
      <c r="F1966" s="66" t="s">
        <v>7841</v>
      </c>
      <c r="G1966" s="71">
        <v>6500</v>
      </c>
      <c r="H1966" s="73"/>
      <c r="I1966" s="75">
        <v>0.1</v>
      </c>
      <c r="J1966" s="77"/>
      <c r="K1966" s="66"/>
      <c r="L1966" s="66"/>
      <c r="M1966" s="79" t="str">
        <f>HYPERLINK("http://www.pristavka.com/catalog/funko/Fun683/")</f>
        <v>http://www.pristavka.com/catalog/funko/Fun683/</v>
      </c>
      <c r="N1966" s="71">
        <v>9999</v>
      </c>
      <c r="O1966" s="66" t="s">
        <v>27</v>
      </c>
      <c r="P1966" s="82" t="s">
        <v>7842</v>
      </c>
      <c r="Q1966" s="84" t="s">
        <v>3502</v>
      </c>
      <c r="R1966" s="84" t="s">
        <v>1303</v>
      </c>
      <c r="S1966" s="84">
        <v>0.125</v>
      </c>
      <c r="T1966" s="82" t="s">
        <v>4102</v>
      </c>
      <c r="U1966" s="84" t="s">
        <v>3584</v>
      </c>
      <c r="V1966" s="54"/>
    </row>
    <row r="1967" spans="1:22" s="11" customFormat="1" ht="45" customHeight="1" x14ac:dyDescent="0.2">
      <c r="A1967" s="66" t="s">
        <v>3577</v>
      </c>
      <c r="B1967" s="66" t="s">
        <v>1707</v>
      </c>
      <c r="C1967" s="66" t="s">
        <v>3578</v>
      </c>
      <c r="D1967" s="66">
        <v>13550</v>
      </c>
      <c r="E1967" s="68" t="s">
        <v>7843</v>
      </c>
      <c r="F1967" s="66" t="s">
        <v>7844</v>
      </c>
      <c r="G1967" s="71">
        <v>6500</v>
      </c>
      <c r="H1967" s="73"/>
      <c r="I1967" s="75">
        <v>0.1</v>
      </c>
      <c r="J1967" s="77"/>
      <c r="K1967" s="66"/>
      <c r="L1967" s="66"/>
      <c r="M1967" s="79" t="str">
        <f>HYPERLINK("http://www.pristavka.com/catalog/funko/Fun421/")</f>
        <v>http://www.pristavka.com/catalog/funko/Fun421/</v>
      </c>
      <c r="N1967" s="71">
        <v>9999</v>
      </c>
      <c r="O1967" s="66" t="s">
        <v>27</v>
      </c>
      <c r="P1967" s="82" t="s">
        <v>7845</v>
      </c>
      <c r="Q1967" s="84" t="s">
        <v>3502</v>
      </c>
      <c r="R1967" s="84" t="s">
        <v>1303</v>
      </c>
      <c r="S1967" s="84">
        <v>0.13</v>
      </c>
      <c r="T1967" s="82" t="s">
        <v>4102</v>
      </c>
      <c r="U1967" s="84" t="s">
        <v>3584</v>
      </c>
      <c r="V1967" s="54"/>
    </row>
    <row r="1968" spans="1:22" s="11" customFormat="1" ht="45" customHeight="1" x14ac:dyDescent="0.2">
      <c r="A1968" s="66" t="s">
        <v>3577</v>
      </c>
      <c r="B1968" s="66" t="s">
        <v>1707</v>
      </c>
      <c r="C1968" s="66" t="s">
        <v>3578</v>
      </c>
      <c r="D1968" s="66">
        <v>13565</v>
      </c>
      <c r="E1968" s="68" t="s">
        <v>7846</v>
      </c>
      <c r="F1968" s="66" t="s">
        <v>7847</v>
      </c>
      <c r="G1968" s="71">
        <v>6500</v>
      </c>
      <c r="H1968" s="73"/>
      <c r="I1968" s="75">
        <v>0.1</v>
      </c>
      <c r="J1968" s="77"/>
      <c r="K1968" s="66"/>
      <c r="L1968" s="66"/>
      <c r="M1968" s="79" t="str">
        <f>HYPERLINK("http://www.pristavka.com/catalog/funko/Fun798/")</f>
        <v>http://www.pristavka.com/catalog/funko/Fun798/</v>
      </c>
      <c r="N1968" s="71">
        <v>9999</v>
      </c>
      <c r="O1968" s="66" t="s">
        <v>27</v>
      </c>
      <c r="P1968" s="82" t="s">
        <v>7848</v>
      </c>
      <c r="Q1968" s="84" t="s">
        <v>3502</v>
      </c>
      <c r="R1968" s="84" t="s">
        <v>1303</v>
      </c>
      <c r="S1968" s="84">
        <v>0.13</v>
      </c>
      <c r="T1968" s="82" t="s">
        <v>4102</v>
      </c>
      <c r="U1968" s="84" t="s">
        <v>3584</v>
      </c>
      <c r="V1968" s="54"/>
    </row>
    <row r="1969" spans="1:22" s="11" customFormat="1" ht="45" customHeight="1" x14ac:dyDescent="0.2">
      <c r="A1969" s="66" t="s">
        <v>3577</v>
      </c>
      <c r="B1969" s="66" t="s">
        <v>1707</v>
      </c>
      <c r="C1969" s="66" t="s">
        <v>3578</v>
      </c>
      <c r="D1969" s="66">
        <v>13559</v>
      </c>
      <c r="E1969" s="68" t="s">
        <v>7849</v>
      </c>
      <c r="F1969" s="66" t="s">
        <v>7850</v>
      </c>
      <c r="G1969" s="71">
        <v>6500</v>
      </c>
      <c r="H1969" s="73"/>
      <c r="I1969" s="75">
        <v>0.1</v>
      </c>
      <c r="J1969" s="77"/>
      <c r="K1969" s="66"/>
      <c r="L1969" s="66"/>
      <c r="M1969" s="79" t="str">
        <f>HYPERLINK("http://www.pristavka.com/catalog/funko/Fun799/")</f>
        <v>http://www.pristavka.com/catalog/funko/Fun799/</v>
      </c>
      <c r="N1969" s="71">
        <v>9999</v>
      </c>
      <c r="O1969" s="66" t="s">
        <v>27</v>
      </c>
      <c r="P1969" s="82" t="s">
        <v>7851</v>
      </c>
      <c r="Q1969" s="84" t="s">
        <v>3502</v>
      </c>
      <c r="R1969" s="84" t="s">
        <v>1303</v>
      </c>
      <c r="S1969" s="84">
        <v>0.13</v>
      </c>
      <c r="T1969" s="82" t="s">
        <v>4102</v>
      </c>
      <c r="U1969" s="84" t="s">
        <v>3584</v>
      </c>
      <c r="V1969" s="54"/>
    </row>
    <row r="1970" spans="1:22" s="11" customFormat="1" ht="45" customHeight="1" x14ac:dyDescent="0.2">
      <c r="A1970" s="66" t="s">
        <v>3577</v>
      </c>
      <c r="B1970" s="66" t="s">
        <v>1707</v>
      </c>
      <c r="C1970" s="66" t="s">
        <v>3578</v>
      </c>
      <c r="D1970" s="66">
        <v>33247</v>
      </c>
      <c r="E1970" s="68" t="s">
        <v>7852</v>
      </c>
      <c r="F1970" s="66" t="s">
        <v>7853</v>
      </c>
      <c r="G1970" s="71">
        <v>6500</v>
      </c>
      <c r="H1970" s="73"/>
      <c r="I1970" s="75">
        <v>0.1</v>
      </c>
      <c r="J1970" s="77"/>
      <c r="K1970" s="66"/>
      <c r="L1970" s="66"/>
      <c r="M1970" s="79" t="str">
        <f>HYPERLINK("http://www.pristavka.com/catalog/funko/Fun1650/")</f>
        <v>http://www.pristavka.com/catalog/funko/Fun1650/</v>
      </c>
      <c r="N1970" s="71">
        <v>9999</v>
      </c>
      <c r="O1970" s="66" t="s">
        <v>27</v>
      </c>
      <c r="P1970" s="82" t="s">
        <v>7854</v>
      </c>
      <c r="Q1970" s="84" t="s">
        <v>3502</v>
      </c>
      <c r="R1970" s="84" t="s">
        <v>1303</v>
      </c>
      <c r="S1970" s="84">
        <v>0.13</v>
      </c>
      <c r="T1970" s="82" t="s">
        <v>4102</v>
      </c>
      <c r="U1970" s="84" t="s">
        <v>3584</v>
      </c>
      <c r="V1970" s="54"/>
    </row>
    <row r="1971" spans="1:22" s="11" customFormat="1" ht="45" customHeight="1" x14ac:dyDescent="0.2">
      <c r="A1971" s="66" t="s">
        <v>3577</v>
      </c>
      <c r="B1971" s="66" t="s">
        <v>1707</v>
      </c>
      <c r="C1971" s="66" t="s">
        <v>3578</v>
      </c>
      <c r="D1971" s="66">
        <v>33251</v>
      </c>
      <c r="E1971" s="68" t="s">
        <v>7855</v>
      </c>
      <c r="F1971" s="66" t="s">
        <v>7856</v>
      </c>
      <c r="G1971" s="71">
        <v>6500</v>
      </c>
      <c r="H1971" s="73"/>
      <c r="I1971" s="75">
        <v>0.1</v>
      </c>
      <c r="J1971" s="77"/>
      <c r="K1971" s="66"/>
      <c r="L1971" s="66"/>
      <c r="M1971" s="79" t="str">
        <f>HYPERLINK("http://www.pristavka.com/catalog/funko/Fun1651/")</f>
        <v>http://www.pristavka.com/catalog/funko/Fun1651/</v>
      </c>
      <c r="N1971" s="71">
        <v>9999</v>
      </c>
      <c r="O1971" s="66" t="s">
        <v>27</v>
      </c>
      <c r="P1971" s="82" t="s">
        <v>7857</v>
      </c>
      <c r="Q1971" s="84" t="s">
        <v>3502</v>
      </c>
      <c r="R1971" s="84" t="s">
        <v>1303</v>
      </c>
      <c r="S1971" s="84">
        <v>0.14000000000000001</v>
      </c>
      <c r="T1971" s="82" t="s">
        <v>4946</v>
      </c>
      <c r="U1971" s="84" t="s">
        <v>3584</v>
      </c>
      <c r="V1971" s="54"/>
    </row>
    <row r="1972" spans="1:22" s="11" customFormat="1" ht="45" customHeight="1" x14ac:dyDescent="0.2">
      <c r="A1972" s="66" t="s">
        <v>3577</v>
      </c>
      <c r="B1972" s="66" t="s">
        <v>1707</v>
      </c>
      <c r="C1972" s="66" t="s">
        <v>3578</v>
      </c>
      <c r="D1972" s="66">
        <v>13553</v>
      </c>
      <c r="E1972" s="68" t="s">
        <v>7858</v>
      </c>
      <c r="F1972" s="66" t="s">
        <v>7859</v>
      </c>
      <c r="G1972" s="71">
        <v>6500</v>
      </c>
      <c r="H1972" s="73"/>
      <c r="I1972" s="75">
        <v>0.1</v>
      </c>
      <c r="J1972" s="77"/>
      <c r="K1972" s="66"/>
      <c r="L1972" s="66"/>
      <c r="M1972" s="79" t="str">
        <f>HYPERLINK("http://www.pristavka.com/catalog/funko/Fun684/")</f>
        <v>http://www.pristavka.com/catalog/funko/Fun684/</v>
      </c>
      <c r="N1972" s="71">
        <v>9999</v>
      </c>
      <c r="O1972" s="66" t="s">
        <v>27</v>
      </c>
      <c r="P1972" s="82" t="s">
        <v>7860</v>
      </c>
      <c r="Q1972" s="84" t="s">
        <v>3502</v>
      </c>
      <c r="R1972" s="84" t="s">
        <v>1303</v>
      </c>
      <c r="S1972" s="84">
        <v>0.125</v>
      </c>
      <c r="T1972" s="82" t="s">
        <v>4102</v>
      </c>
      <c r="U1972" s="84" t="s">
        <v>3584</v>
      </c>
      <c r="V1972" s="54"/>
    </row>
    <row r="1973" spans="1:22" s="11" customFormat="1" ht="45" customHeight="1" x14ac:dyDescent="0.2">
      <c r="A1973" s="66" t="s">
        <v>3577</v>
      </c>
      <c r="B1973" s="66" t="s">
        <v>1707</v>
      </c>
      <c r="C1973" s="66" t="s">
        <v>3578</v>
      </c>
      <c r="D1973" s="66">
        <v>13555</v>
      </c>
      <c r="E1973" s="68" t="s">
        <v>7861</v>
      </c>
      <c r="F1973" s="66" t="s">
        <v>7862</v>
      </c>
      <c r="G1973" s="71">
        <v>6500</v>
      </c>
      <c r="H1973" s="73"/>
      <c r="I1973" s="75">
        <v>0.1</v>
      </c>
      <c r="J1973" s="77"/>
      <c r="K1973" s="66"/>
      <c r="L1973" s="66"/>
      <c r="M1973" s="79" t="str">
        <f>HYPERLINK("http://www.pristavka.com/catalog/funko/Fun265/")</f>
        <v>http://www.pristavka.com/catalog/funko/Fun265/</v>
      </c>
      <c r="N1973" s="71">
        <v>9999</v>
      </c>
      <c r="O1973" s="66" t="s">
        <v>27</v>
      </c>
      <c r="P1973" s="82" t="s">
        <v>7863</v>
      </c>
      <c r="Q1973" s="84" t="s">
        <v>3502</v>
      </c>
      <c r="R1973" s="84" t="s">
        <v>1303</v>
      </c>
      <c r="S1973" s="84">
        <v>0.13</v>
      </c>
      <c r="T1973" s="82" t="s">
        <v>4102</v>
      </c>
      <c r="U1973" s="84" t="s">
        <v>3584</v>
      </c>
      <c r="V1973" s="54"/>
    </row>
    <row r="1974" spans="1:22" s="11" customFormat="1" ht="45" customHeight="1" x14ac:dyDescent="0.2">
      <c r="A1974" s="66" t="s">
        <v>3577</v>
      </c>
      <c r="B1974" s="66" t="s">
        <v>1707</v>
      </c>
      <c r="C1974" s="66" t="s">
        <v>3578</v>
      </c>
      <c r="D1974" s="66">
        <v>72433</v>
      </c>
      <c r="E1974" s="68" t="s">
        <v>7864</v>
      </c>
      <c r="F1974" s="66" t="s">
        <v>7865</v>
      </c>
      <c r="G1974" s="71">
        <v>6500</v>
      </c>
      <c r="H1974" s="73"/>
      <c r="I1974" s="75">
        <v>0.1</v>
      </c>
      <c r="J1974" s="77"/>
      <c r="K1974" s="66"/>
      <c r="L1974" s="66"/>
      <c r="M1974" s="79" t="str">
        <f>HYPERLINK("http://www.pristavka.com/catalog/funko/Fun72433/")</f>
        <v>http://www.pristavka.com/catalog/funko/Fun72433/</v>
      </c>
      <c r="N1974" s="71">
        <v>9999</v>
      </c>
      <c r="O1974" s="66" t="s">
        <v>27</v>
      </c>
      <c r="P1974" s="82" t="s">
        <v>7866</v>
      </c>
      <c r="Q1974" s="84" t="s">
        <v>7867</v>
      </c>
      <c r="R1974" s="84" t="s">
        <v>1303</v>
      </c>
      <c r="S1974" s="84">
        <v>0.13600000000000001</v>
      </c>
      <c r="T1974" s="82" t="s">
        <v>4165</v>
      </c>
      <c r="U1974" s="84" t="s">
        <v>3584</v>
      </c>
      <c r="V1974" s="54"/>
    </row>
    <row r="1975" spans="1:22" s="11" customFormat="1" ht="45" customHeight="1" x14ac:dyDescent="0.2">
      <c r="A1975" s="66" t="s">
        <v>3577</v>
      </c>
      <c r="B1975" s="66" t="s">
        <v>1707</v>
      </c>
      <c r="C1975" s="66" t="s">
        <v>3578</v>
      </c>
      <c r="D1975" s="66">
        <v>72435</v>
      </c>
      <c r="E1975" s="68" t="s">
        <v>7868</v>
      </c>
      <c r="F1975" s="66" t="s">
        <v>7869</v>
      </c>
      <c r="G1975" s="71">
        <v>6500</v>
      </c>
      <c r="H1975" s="73"/>
      <c r="I1975" s="75">
        <v>0.1</v>
      </c>
      <c r="J1975" s="77"/>
      <c r="K1975" s="66"/>
      <c r="L1975" s="66"/>
      <c r="M1975" s="79" t="str">
        <f>HYPERLINK("http://www.pristavka.com/catalog/funko/Fun72435/")</f>
        <v>http://www.pristavka.com/catalog/funko/Fun72435/</v>
      </c>
      <c r="N1975" s="71">
        <v>9999</v>
      </c>
      <c r="O1975" s="66" t="s">
        <v>27</v>
      </c>
      <c r="P1975" s="82" t="s">
        <v>7870</v>
      </c>
      <c r="Q1975" s="84" t="s">
        <v>7867</v>
      </c>
      <c r="R1975" s="84" t="s">
        <v>1303</v>
      </c>
      <c r="S1975" s="84">
        <v>0.124</v>
      </c>
      <c r="T1975" s="82" t="s">
        <v>4165</v>
      </c>
      <c r="U1975" s="84" t="s">
        <v>3584</v>
      </c>
      <c r="V1975" s="54"/>
    </row>
    <row r="1976" spans="1:22" s="11" customFormat="1" ht="45" customHeight="1" x14ac:dyDescent="0.2">
      <c r="A1976" s="66" t="s">
        <v>3577</v>
      </c>
      <c r="B1976" s="66" t="s">
        <v>1707</v>
      </c>
      <c r="C1976" s="66" t="s">
        <v>3578</v>
      </c>
      <c r="D1976" s="66">
        <v>83565</v>
      </c>
      <c r="E1976" s="68" t="s">
        <v>7871</v>
      </c>
      <c r="F1976" s="66" t="s">
        <v>7872</v>
      </c>
      <c r="G1976" s="71">
        <v>0</v>
      </c>
      <c r="H1976" s="73"/>
      <c r="I1976" s="75">
        <v>0.1</v>
      </c>
      <c r="J1976" s="77"/>
      <c r="K1976" s="66"/>
      <c r="L1976" s="66"/>
      <c r="M1976" s="79" t="str">
        <f>HYPERLINK("http://www.pristavka.com/catalog/funko/Fun83565/")</f>
        <v>http://www.pristavka.com/catalog/funko/Fun83565/</v>
      </c>
      <c r="N1976" s="71"/>
      <c r="O1976" s="66" t="s">
        <v>27</v>
      </c>
      <c r="P1976" s="82" t="s">
        <v>7873</v>
      </c>
      <c r="Q1976" s="84" t="s">
        <v>7874</v>
      </c>
      <c r="R1976" s="84" t="s">
        <v>1303</v>
      </c>
      <c r="S1976" s="84">
        <v>0.14599999999999999</v>
      </c>
      <c r="T1976" s="82" t="s">
        <v>4091</v>
      </c>
      <c r="U1976" s="84" t="s">
        <v>3584</v>
      </c>
      <c r="V1976" s="54"/>
    </row>
    <row r="1977" spans="1:22" s="11" customFormat="1" ht="45" customHeight="1" x14ac:dyDescent="0.2">
      <c r="A1977" s="66" t="s">
        <v>3577</v>
      </c>
      <c r="B1977" s="66" t="s">
        <v>1707</v>
      </c>
      <c r="C1977" s="66" t="s">
        <v>3578</v>
      </c>
      <c r="D1977" s="66">
        <v>83566</v>
      </c>
      <c r="E1977" s="68" t="s">
        <v>7875</v>
      </c>
      <c r="F1977" s="66" t="s">
        <v>7876</v>
      </c>
      <c r="G1977" s="71">
        <v>0</v>
      </c>
      <c r="H1977" s="73"/>
      <c r="I1977" s="75">
        <v>0.1</v>
      </c>
      <c r="J1977" s="77"/>
      <c r="K1977" s="66"/>
      <c r="L1977" s="66"/>
      <c r="M1977" s="79" t="str">
        <f>HYPERLINK("http://www.pristavka.com/catalog/funko/Fun83566/")</f>
        <v>http://www.pristavka.com/catalog/funko/Fun83566/</v>
      </c>
      <c r="N1977" s="71"/>
      <c r="O1977" s="66" t="s">
        <v>27</v>
      </c>
      <c r="P1977" s="82" t="s">
        <v>7877</v>
      </c>
      <c r="Q1977" s="84" t="s">
        <v>7874</v>
      </c>
      <c r="R1977" s="84" t="s">
        <v>1303</v>
      </c>
      <c r="S1977" s="84">
        <v>0.14000000000000001</v>
      </c>
      <c r="T1977" s="82" t="s">
        <v>4113</v>
      </c>
      <c r="U1977" s="84" t="s">
        <v>3584</v>
      </c>
      <c r="V1977" s="54"/>
    </row>
    <row r="1978" spans="1:22" s="11" customFormat="1" ht="45" customHeight="1" x14ac:dyDescent="0.2">
      <c r="A1978" s="66" t="s">
        <v>3577</v>
      </c>
      <c r="B1978" s="66" t="s">
        <v>1707</v>
      </c>
      <c r="C1978" s="66" t="s">
        <v>3578</v>
      </c>
      <c r="D1978" s="66">
        <v>84462</v>
      </c>
      <c r="E1978" s="68" t="s">
        <v>7878</v>
      </c>
      <c r="F1978" s="66" t="s">
        <v>7879</v>
      </c>
      <c r="G1978" s="71">
        <v>0</v>
      </c>
      <c r="H1978" s="73"/>
      <c r="I1978" s="75">
        <v>0.1</v>
      </c>
      <c r="J1978" s="77"/>
      <c r="K1978" s="66"/>
      <c r="L1978" s="66"/>
      <c r="M1978" s="79" t="str">
        <f>HYPERLINK("http://www.pristavka.com/catalog/funko/Fun84462/")</f>
        <v>http://www.pristavka.com/catalog/funko/Fun84462/</v>
      </c>
      <c r="N1978" s="71"/>
      <c r="O1978" s="66" t="s">
        <v>27</v>
      </c>
      <c r="P1978" s="82" t="s">
        <v>7880</v>
      </c>
      <c r="Q1978" s="84" t="s">
        <v>7874</v>
      </c>
      <c r="R1978" s="84" t="s">
        <v>1303</v>
      </c>
      <c r="S1978" s="84">
        <v>0.14499999999999999</v>
      </c>
      <c r="T1978" s="82" t="s">
        <v>4113</v>
      </c>
      <c r="U1978" s="84" t="s">
        <v>3584</v>
      </c>
      <c r="V1978" s="54"/>
    </row>
    <row r="1979" spans="1:22" s="11" customFormat="1" ht="45" customHeight="1" x14ac:dyDescent="0.2">
      <c r="A1979" s="66" t="s">
        <v>3577</v>
      </c>
      <c r="B1979" s="66" t="s">
        <v>1707</v>
      </c>
      <c r="C1979" s="66" t="s">
        <v>3578</v>
      </c>
      <c r="D1979" s="66">
        <v>83567</v>
      </c>
      <c r="E1979" s="68" t="s">
        <v>7881</v>
      </c>
      <c r="F1979" s="66" t="s">
        <v>7882</v>
      </c>
      <c r="G1979" s="71">
        <v>0</v>
      </c>
      <c r="H1979" s="73"/>
      <c r="I1979" s="75">
        <v>0.1</v>
      </c>
      <c r="J1979" s="77"/>
      <c r="K1979" s="66"/>
      <c r="L1979" s="66"/>
      <c r="M1979" s="79" t="str">
        <f>HYPERLINK("http://www.pristavka.com/catalog/funko/Fun83567/")</f>
        <v>http://www.pristavka.com/catalog/funko/Fun83567/</v>
      </c>
      <c r="N1979" s="71"/>
      <c r="O1979" s="66" t="s">
        <v>27</v>
      </c>
      <c r="P1979" s="82" t="s">
        <v>7883</v>
      </c>
      <c r="Q1979" s="84" t="s">
        <v>7874</v>
      </c>
      <c r="R1979" s="84" t="s">
        <v>1303</v>
      </c>
      <c r="S1979" s="84">
        <v>0.14000000000000001</v>
      </c>
      <c r="T1979" s="82" t="s">
        <v>4113</v>
      </c>
      <c r="U1979" s="84" t="s">
        <v>3584</v>
      </c>
      <c r="V1979" s="54"/>
    </row>
    <row r="1980" spans="1:22" s="11" customFormat="1" ht="45" customHeight="1" x14ac:dyDescent="0.2">
      <c r="A1980" s="66" t="s">
        <v>3577</v>
      </c>
      <c r="B1980" s="66" t="s">
        <v>1707</v>
      </c>
      <c r="C1980" s="66" t="s">
        <v>3578</v>
      </c>
      <c r="D1980" s="66">
        <v>81069</v>
      </c>
      <c r="E1980" s="68" t="s">
        <v>7884</v>
      </c>
      <c r="F1980" s="66" t="s">
        <v>7885</v>
      </c>
      <c r="G1980" s="71">
        <v>6500</v>
      </c>
      <c r="H1980" s="73"/>
      <c r="I1980" s="75">
        <v>0.1</v>
      </c>
      <c r="J1980" s="77"/>
      <c r="K1980" s="66"/>
      <c r="L1980" s="66"/>
      <c r="M1980" s="79" t="str">
        <f>HYPERLINK("http://www.pristavka.com/catalog/funko/Fun81069/")</f>
        <v>http://www.pristavka.com/catalog/funko/Fun81069/</v>
      </c>
      <c r="N1980" s="71">
        <v>9999</v>
      </c>
      <c r="O1980" s="66" t="s">
        <v>27</v>
      </c>
      <c r="P1980" s="82" t="s">
        <v>7886</v>
      </c>
      <c r="Q1980" s="84" t="s">
        <v>3502</v>
      </c>
      <c r="R1980" s="84" t="s">
        <v>1303</v>
      </c>
      <c r="S1980" s="84">
        <v>0.16500000000000001</v>
      </c>
      <c r="T1980" s="82" t="s">
        <v>4113</v>
      </c>
      <c r="U1980" s="84" t="s">
        <v>3584</v>
      </c>
      <c r="V1980" s="54"/>
    </row>
    <row r="1981" spans="1:22" s="11" customFormat="1" ht="45" customHeight="1" x14ac:dyDescent="0.2">
      <c r="A1981" s="66" t="s">
        <v>3577</v>
      </c>
      <c r="B1981" s="66" t="s">
        <v>1707</v>
      </c>
      <c r="C1981" s="66" t="s">
        <v>3578</v>
      </c>
      <c r="D1981" s="66">
        <v>84128</v>
      </c>
      <c r="E1981" s="68" t="s">
        <v>7887</v>
      </c>
      <c r="F1981" s="66" t="s">
        <v>7888</v>
      </c>
      <c r="G1981" s="71">
        <v>6500</v>
      </c>
      <c r="H1981" s="73"/>
      <c r="I1981" s="75">
        <v>0.1</v>
      </c>
      <c r="J1981" s="77"/>
      <c r="K1981" s="66"/>
      <c r="L1981" s="66"/>
      <c r="M1981" s="79" t="str">
        <f>HYPERLINK("http://www.pristavka.com/catalog/funko/Fun84128/")</f>
        <v>http://www.pristavka.com/catalog/funko/Fun84128/</v>
      </c>
      <c r="N1981" s="71">
        <v>9999</v>
      </c>
      <c r="O1981" s="66" t="s">
        <v>27</v>
      </c>
      <c r="P1981" s="82" t="s">
        <v>7889</v>
      </c>
      <c r="Q1981" s="84" t="s">
        <v>6166</v>
      </c>
      <c r="R1981" s="84" t="s">
        <v>6166</v>
      </c>
      <c r="S1981" s="84">
        <v>0.121</v>
      </c>
      <c r="T1981" s="82" t="s">
        <v>4091</v>
      </c>
      <c r="U1981" s="84" t="s">
        <v>3584</v>
      </c>
      <c r="V1981" s="54"/>
    </row>
    <row r="1982" spans="1:22" s="11" customFormat="1" ht="45" customHeight="1" x14ac:dyDescent="0.2">
      <c r="A1982" s="66" t="s">
        <v>3577</v>
      </c>
      <c r="B1982" s="66" t="s">
        <v>1707</v>
      </c>
      <c r="C1982" s="66" t="s">
        <v>3578</v>
      </c>
      <c r="D1982" s="66">
        <v>67386</v>
      </c>
      <c r="E1982" s="68" t="s">
        <v>7890</v>
      </c>
      <c r="F1982" s="66" t="s">
        <v>7891</v>
      </c>
      <c r="G1982" s="71">
        <v>6500</v>
      </c>
      <c r="H1982" s="73"/>
      <c r="I1982" s="75">
        <v>0.1</v>
      </c>
      <c r="J1982" s="77"/>
      <c r="K1982" s="66"/>
      <c r="L1982" s="66"/>
      <c r="M1982" s="79" t="str">
        <f>HYPERLINK("http://www.pristavka.com/catalog/funko/Fun67386/")</f>
        <v>http://www.pristavka.com/catalog/funko/Fun67386/</v>
      </c>
      <c r="N1982" s="71">
        <v>9999</v>
      </c>
      <c r="O1982" s="66" t="s">
        <v>28</v>
      </c>
      <c r="P1982" s="82" t="s">
        <v>7892</v>
      </c>
      <c r="Q1982" s="84" t="s">
        <v>6517</v>
      </c>
      <c r="R1982" s="84" t="s">
        <v>6166</v>
      </c>
      <c r="S1982" s="84">
        <v>0.13100000000000001</v>
      </c>
      <c r="T1982" s="82" t="s">
        <v>4084</v>
      </c>
      <c r="U1982" s="84" t="s">
        <v>3584</v>
      </c>
      <c r="V1982" s="54"/>
    </row>
    <row r="1983" spans="1:22" s="11" customFormat="1" ht="45" customHeight="1" x14ac:dyDescent="0.2">
      <c r="A1983" s="66" t="s">
        <v>3577</v>
      </c>
      <c r="B1983" s="66" t="s">
        <v>1707</v>
      </c>
      <c r="C1983" s="66" t="s">
        <v>3578</v>
      </c>
      <c r="D1983" s="66">
        <v>73286</v>
      </c>
      <c r="E1983" s="68" t="s">
        <v>7893</v>
      </c>
      <c r="F1983" s="66" t="s">
        <v>7894</v>
      </c>
      <c r="G1983" s="71">
        <v>0</v>
      </c>
      <c r="H1983" s="73"/>
      <c r="I1983" s="75">
        <v>0.1</v>
      </c>
      <c r="J1983" s="77"/>
      <c r="K1983" s="66"/>
      <c r="L1983" s="66"/>
      <c r="M1983" s="79" t="str">
        <f>HYPERLINK("http://www.pristavka.com/catalog/funko/Fun73286/")</f>
        <v>http://www.pristavka.com/catalog/funko/Fun73286/</v>
      </c>
      <c r="N1983" s="71"/>
      <c r="O1983" s="66" t="s">
        <v>27</v>
      </c>
      <c r="P1983" s="82" t="s">
        <v>7895</v>
      </c>
      <c r="Q1983" s="84" t="s">
        <v>6166</v>
      </c>
      <c r="R1983" s="84" t="s">
        <v>1212</v>
      </c>
      <c r="S1983" s="84">
        <v>0.14599999999999999</v>
      </c>
      <c r="T1983" s="82" t="s">
        <v>4084</v>
      </c>
      <c r="U1983" s="84" t="s">
        <v>3584</v>
      </c>
      <c r="V1983" s="54"/>
    </row>
    <row r="1984" spans="1:22" s="11" customFormat="1" ht="45" customHeight="1" x14ac:dyDescent="0.2">
      <c r="A1984" s="66" t="s">
        <v>3577</v>
      </c>
      <c r="B1984" s="66" t="s">
        <v>1707</v>
      </c>
      <c r="C1984" s="66" t="s">
        <v>3578</v>
      </c>
      <c r="D1984" s="66">
        <v>80013</v>
      </c>
      <c r="E1984" s="68" t="s">
        <v>7896</v>
      </c>
      <c r="F1984" s="66" t="s">
        <v>7897</v>
      </c>
      <c r="G1984" s="71">
        <v>6500</v>
      </c>
      <c r="H1984" s="73"/>
      <c r="I1984" s="75">
        <v>0.1</v>
      </c>
      <c r="J1984" s="77"/>
      <c r="K1984" s="66"/>
      <c r="L1984" s="66"/>
      <c r="M1984" s="79" t="str">
        <f>HYPERLINK("http://www.pristavka.com/catalog/funko/Fun80013/")</f>
        <v>http://www.pristavka.com/catalog/funko/Fun80013/</v>
      </c>
      <c r="N1984" s="71">
        <v>9999</v>
      </c>
      <c r="O1984" s="66" t="s">
        <v>27</v>
      </c>
      <c r="P1984" s="82" t="s">
        <v>7898</v>
      </c>
      <c r="Q1984" s="84" t="s">
        <v>6160</v>
      </c>
      <c r="R1984" s="84" t="s">
        <v>6166</v>
      </c>
      <c r="S1984" s="84">
        <v>0.16500000000000001</v>
      </c>
      <c r="T1984" s="82" t="s">
        <v>4113</v>
      </c>
      <c r="U1984" s="84" t="s">
        <v>3584</v>
      </c>
      <c r="V1984" s="54"/>
    </row>
    <row r="1985" spans="1:22" s="11" customFormat="1" ht="45" customHeight="1" x14ac:dyDescent="0.2">
      <c r="A1985" s="66" t="s">
        <v>3577</v>
      </c>
      <c r="B1985" s="66" t="s">
        <v>1707</v>
      </c>
      <c r="C1985" s="66" t="s">
        <v>3578</v>
      </c>
      <c r="D1985" s="66">
        <v>80014</v>
      </c>
      <c r="E1985" s="68" t="s">
        <v>7899</v>
      </c>
      <c r="F1985" s="66" t="s">
        <v>7900</v>
      </c>
      <c r="G1985" s="71">
        <v>6500</v>
      </c>
      <c r="H1985" s="73"/>
      <c r="I1985" s="75">
        <v>0.1</v>
      </c>
      <c r="J1985" s="77"/>
      <c r="K1985" s="66"/>
      <c r="L1985" s="66"/>
      <c r="M1985" s="79" t="str">
        <f>HYPERLINK("http://www.pristavka.com/catalog/funko/Fun80014/")</f>
        <v>http://www.pristavka.com/catalog/funko/Fun80014/</v>
      </c>
      <c r="N1985" s="71">
        <v>9999</v>
      </c>
      <c r="O1985" s="66" t="s">
        <v>27</v>
      </c>
      <c r="P1985" s="82" t="s">
        <v>7901</v>
      </c>
      <c r="Q1985" s="84" t="s">
        <v>6160</v>
      </c>
      <c r="R1985" s="84" t="s">
        <v>6166</v>
      </c>
      <c r="S1985" s="84">
        <v>0.14000000000000001</v>
      </c>
      <c r="T1985" s="82" t="s">
        <v>4113</v>
      </c>
      <c r="U1985" s="84" t="s">
        <v>3584</v>
      </c>
      <c r="V1985" s="54"/>
    </row>
    <row r="1986" spans="1:22" s="11" customFormat="1" ht="45" customHeight="1" x14ac:dyDescent="0.2">
      <c r="A1986" s="66" t="s">
        <v>3577</v>
      </c>
      <c r="B1986" s="66" t="s">
        <v>1707</v>
      </c>
      <c r="C1986" s="66" t="s">
        <v>3578</v>
      </c>
      <c r="D1986" s="66">
        <v>80714</v>
      </c>
      <c r="E1986" s="68" t="s">
        <v>7902</v>
      </c>
      <c r="F1986" s="66" t="s">
        <v>7903</v>
      </c>
      <c r="G1986" s="71">
        <v>6500</v>
      </c>
      <c r="H1986" s="73"/>
      <c r="I1986" s="75">
        <v>0.1</v>
      </c>
      <c r="J1986" s="77"/>
      <c r="K1986" s="66"/>
      <c r="L1986" s="66"/>
      <c r="M1986" s="79" t="str">
        <f>HYPERLINK("http://www.pristavka.com/catalog/funko/Fun80714/")</f>
        <v>http://www.pristavka.com/catalog/funko/Fun80714/</v>
      </c>
      <c r="N1986" s="71">
        <v>9999</v>
      </c>
      <c r="O1986" s="66" t="s">
        <v>27</v>
      </c>
      <c r="P1986" s="82" t="s">
        <v>7904</v>
      </c>
      <c r="Q1986" s="84" t="s">
        <v>7905</v>
      </c>
      <c r="R1986" s="84" t="s">
        <v>1298</v>
      </c>
      <c r="S1986" s="84">
        <v>0.14499999999999999</v>
      </c>
      <c r="T1986" s="82" t="s">
        <v>4084</v>
      </c>
      <c r="U1986" s="84" t="s">
        <v>3584</v>
      </c>
      <c r="V1986" s="54"/>
    </row>
    <row r="1987" spans="1:22" s="11" customFormat="1" ht="45" customHeight="1" x14ac:dyDescent="0.2">
      <c r="A1987" s="66" t="s">
        <v>3577</v>
      </c>
      <c r="B1987" s="66" t="s">
        <v>1707</v>
      </c>
      <c r="C1987" s="66" t="s">
        <v>3578</v>
      </c>
      <c r="D1987" s="66">
        <v>80712</v>
      </c>
      <c r="E1987" s="68" t="s">
        <v>7906</v>
      </c>
      <c r="F1987" s="66" t="s">
        <v>7907</v>
      </c>
      <c r="G1987" s="71">
        <v>6500</v>
      </c>
      <c r="H1987" s="73"/>
      <c r="I1987" s="75">
        <v>0.1</v>
      </c>
      <c r="J1987" s="77"/>
      <c r="K1987" s="66"/>
      <c r="L1987" s="66"/>
      <c r="M1987" s="79" t="str">
        <f>HYPERLINK("http://www.pristavka.com/catalog/funko/Fun80712/")</f>
        <v>http://www.pristavka.com/catalog/funko/Fun80712/</v>
      </c>
      <c r="N1987" s="71">
        <v>9999</v>
      </c>
      <c r="O1987" s="66" t="s">
        <v>27</v>
      </c>
      <c r="P1987" s="82" t="s">
        <v>7908</v>
      </c>
      <c r="Q1987" s="84" t="s">
        <v>7905</v>
      </c>
      <c r="R1987" s="84" t="s">
        <v>1298</v>
      </c>
      <c r="S1987" s="84">
        <v>0.17199999999999999</v>
      </c>
      <c r="T1987" s="82" t="s">
        <v>4084</v>
      </c>
      <c r="U1987" s="84" t="s">
        <v>3584</v>
      </c>
      <c r="V1987" s="54"/>
    </row>
    <row r="1988" spans="1:22" s="11" customFormat="1" ht="45" customHeight="1" x14ac:dyDescent="0.2">
      <c r="A1988" s="66" t="s">
        <v>3577</v>
      </c>
      <c r="B1988" s="66" t="s">
        <v>1707</v>
      </c>
      <c r="C1988" s="66" t="s">
        <v>3578</v>
      </c>
      <c r="D1988" s="66">
        <v>80713</v>
      </c>
      <c r="E1988" s="68" t="s">
        <v>7909</v>
      </c>
      <c r="F1988" s="66" t="s">
        <v>7910</v>
      </c>
      <c r="G1988" s="71">
        <v>6500</v>
      </c>
      <c r="H1988" s="73"/>
      <c r="I1988" s="75">
        <v>0.1</v>
      </c>
      <c r="J1988" s="77"/>
      <c r="K1988" s="66"/>
      <c r="L1988" s="66"/>
      <c r="M1988" s="79" t="str">
        <f>HYPERLINK("http://www.pristavka.com/catalog/funko/Fun80713/")</f>
        <v>http://www.pristavka.com/catalog/funko/Fun80713/</v>
      </c>
      <c r="N1988" s="71">
        <v>9999</v>
      </c>
      <c r="O1988" s="66" t="s">
        <v>27</v>
      </c>
      <c r="P1988" s="82" t="s">
        <v>7911</v>
      </c>
      <c r="Q1988" s="84" t="s">
        <v>7905</v>
      </c>
      <c r="R1988" s="84" t="s">
        <v>1298</v>
      </c>
      <c r="S1988" s="84">
        <v>0.125</v>
      </c>
      <c r="T1988" s="82" t="s">
        <v>4084</v>
      </c>
      <c r="U1988" s="84" t="s">
        <v>3584</v>
      </c>
      <c r="V1988" s="54"/>
    </row>
    <row r="1989" spans="1:22" s="11" customFormat="1" ht="45" customHeight="1" x14ac:dyDescent="0.2">
      <c r="A1989" s="66" t="s">
        <v>3577</v>
      </c>
      <c r="B1989" s="66" t="s">
        <v>1707</v>
      </c>
      <c r="C1989" s="66" t="s">
        <v>3578</v>
      </c>
      <c r="D1989" s="66">
        <v>80921</v>
      </c>
      <c r="E1989" s="68" t="s">
        <v>7912</v>
      </c>
      <c r="F1989" s="66" t="s">
        <v>7913</v>
      </c>
      <c r="G1989" s="71">
        <v>11180</v>
      </c>
      <c r="H1989" s="73"/>
      <c r="I1989" s="75">
        <v>0.1</v>
      </c>
      <c r="J1989" s="77"/>
      <c r="K1989" s="66"/>
      <c r="L1989" s="66"/>
      <c r="M1989" s="79" t="str">
        <f>HYPERLINK("http://www.pristavka.com/catalog/funko/Fun80921/")</f>
        <v>http://www.pristavka.com/catalog/funko/Fun80921/</v>
      </c>
      <c r="N1989" s="71">
        <v>17199</v>
      </c>
      <c r="O1989" s="66" t="s">
        <v>27</v>
      </c>
      <c r="P1989" s="82" t="s">
        <v>7914</v>
      </c>
      <c r="Q1989" s="84" t="s">
        <v>1840</v>
      </c>
      <c r="R1989" s="84" t="s">
        <v>1840</v>
      </c>
      <c r="S1989" s="84">
        <v>0.29699999999999999</v>
      </c>
      <c r="T1989" s="82" t="s">
        <v>4363</v>
      </c>
      <c r="U1989" s="84" t="s">
        <v>3584</v>
      </c>
      <c r="V1989" s="54"/>
    </row>
    <row r="1990" spans="1:22" s="11" customFormat="1" ht="45" customHeight="1" x14ac:dyDescent="0.2">
      <c r="A1990" s="66" t="s">
        <v>3577</v>
      </c>
      <c r="B1990" s="66" t="s">
        <v>1707</v>
      </c>
      <c r="C1990" s="66" t="s">
        <v>3578</v>
      </c>
      <c r="D1990" s="66">
        <v>80855</v>
      </c>
      <c r="E1990" s="68" t="s">
        <v>7915</v>
      </c>
      <c r="F1990" s="66" t="s">
        <v>7916</v>
      </c>
      <c r="G1990" s="71">
        <v>6500</v>
      </c>
      <c r="H1990" s="73"/>
      <c r="I1990" s="75">
        <v>0.1</v>
      </c>
      <c r="J1990" s="77"/>
      <c r="K1990" s="66"/>
      <c r="L1990" s="66"/>
      <c r="M1990" s="79" t="str">
        <f>HYPERLINK("http://www.pristavka.com/catalog/funko/Fun80855/")</f>
        <v>http://www.pristavka.com/catalog/funko/Fun80855/</v>
      </c>
      <c r="N1990" s="71">
        <v>9999</v>
      </c>
      <c r="O1990" s="66" t="s">
        <v>27</v>
      </c>
      <c r="P1990" s="82" t="s">
        <v>7917</v>
      </c>
      <c r="Q1990" s="84" t="s">
        <v>1840</v>
      </c>
      <c r="R1990" s="84" t="s">
        <v>1840</v>
      </c>
      <c r="S1990" s="84">
        <v>0.16500000000000001</v>
      </c>
      <c r="T1990" s="82" t="s">
        <v>4084</v>
      </c>
      <c r="U1990" s="84" t="s">
        <v>3584</v>
      </c>
      <c r="V1990" s="54"/>
    </row>
    <row r="1991" spans="1:22" s="11" customFormat="1" ht="45" customHeight="1" x14ac:dyDescent="0.2">
      <c r="A1991" s="66" t="s">
        <v>3577</v>
      </c>
      <c r="B1991" s="66" t="s">
        <v>1707</v>
      </c>
      <c r="C1991" s="66" t="s">
        <v>3578</v>
      </c>
      <c r="D1991" s="66">
        <v>72626</v>
      </c>
      <c r="E1991" s="68" t="s">
        <v>7918</v>
      </c>
      <c r="F1991" s="66" t="s">
        <v>7919</v>
      </c>
      <c r="G1991" s="71">
        <v>6500</v>
      </c>
      <c r="H1991" s="73"/>
      <c r="I1991" s="75">
        <v>0.1</v>
      </c>
      <c r="J1991" s="77"/>
      <c r="K1991" s="66"/>
      <c r="L1991" s="66"/>
      <c r="M1991" s="79" t="str">
        <f>HYPERLINK("http://www.pristavka.com/catalog/funko/Fun72626/")</f>
        <v>http://www.pristavka.com/catalog/funko/Fun72626/</v>
      </c>
      <c r="N1991" s="71">
        <v>9999</v>
      </c>
      <c r="O1991" s="66" t="s">
        <v>28</v>
      </c>
      <c r="P1991" s="82" t="s">
        <v>7920</v>
      </c>
      <c r="Q1991" s="84" t="s">
        <v>7921</v>
      </c>
      <c r="R1991" s="84" t="s">
        <v>3327</v>
      </c>
      <c r="S1991" s="84">
        <v>0.13500000000000001</v>
      </c>
      <c r="T1991" s="82" t="s">
        <v>4084</v>
      </c>
      <c r="U1991" s="84" t="s">
        <v>3584</v>
      </c>
      <c r="V1991" s="54"/>
    </row>
    <row r="1992" spans="1:22" s="11" customFormat="1" ht="45" customHeight="1" x14ac:dyDescent="0.2">
      <c r="A1992" s="66" t="s">
        <v>3577</v>
      </c>
      <c r="B1992" s="66" t="s">
        <v>1707</v>
      </c>
      <c r="C1992" s="66" t="s">
        <v>3578</v>
      </c>
      <c r="D1992" s="66">
        <v>72624</v>
      </c>
      <c r="E1992" s="68" t="s">
        <v>7922</v>
      </c>
      <c r="F1992" s="66" t="s">
        <v>7923</v>
      </c>
      <c r="G1992" s="71">
        <v>6500</v>
      </c>
      <c r="H1992" s="73"/>
      <c r="I1992" s="75">
        <v>0.1</v>
      </c>
      <c r="J1992" s="77"/>
      <c r="K1992" s="66"/>
      <c r="L1992" s="66"/>
      <c r="M1992" s="79" t="str">
        <f>HYPERLINK("http://www.pristavka.com/catalog/funko/Fun72624/")</f>
        <v>http://www.pristavka.com/catalog/funko/Fun72624/</v>
      </c>
      <c r="N1992" s="71">
        <v>9999</v>
      </c>
      <c r="O1992" s="66" t="s">
        <v>28</v>
      </c>
      <c r="P1992" s="82" t="s">
        <v>7924</v>
      </c>
      <c r="Q1992" s="84" t="s">
        <v>7921</v>
      </c>
      <c r="R1992" s="84" t="s">
        <v>3327</v>
      </c>
      <c r="S1992" s="84">
        <v>0.13</v>
      </c>
      <c r="T1992" s="82" t="s">
        <v>4113</v>
      </c>
      <c r="U1992" s="84" t="s">
        <v>3584</v>
      </c>
      <c r="V1992" s="54"/>
    </row>
    <row r="1993" spans="1:22" s="11" customFormat="1" ht="45" customHeight="1" x14ac:dyDescent="0.2">
      <c r="A1993" s="66" t="s">
        <v>3577</v>
      </c>
      <c r="B1993" s="66" t="s">
        <v>1707</v>
      </c>
      <c r="C1993" s="66" t="s">
        <v>3578</v>
      </c>
      <c r="D1993" s="66">
        <v>80228</v>
      </c>
      <c r="E1993" s="68" t="s">
        <v>7925</v>
      </c>
      <c r="F1993" s="66" t="s">
        <v>7926</v>
      </c>
      <c r="G1993" s="71">
        <v>0</v>
      </c>
      <c r="H1993" s="73"/>
      <c r="I1993" s="75">
        <v>0.1</v>
      </c>
      <c r="J1993" s="77"/>
      <c r="K1993" s="66"/>
      <c r="L1993" s="66"/>
      <c r="M1993" s="79" t="str">
        <f>HYPERLINK("http://www.pristavka.com/catalog/funko/Fun80228/")</f>
        <v>http://www.pristavka.com/catalog/funko/Fun80228/</v>
      </c>
      <c r="N1993" s="71"/>
      <c r="O1993" s="66" t="s">
        <v>27</v>
      </c>
      <c r="P1993" s="82" t="s">
        <v>7927</v>
      </c>
      <c r="Q1993" s="84" t="s">
        <v>1840</v>
      </c>
      <c r="R1993" s="84" t="s">
        <v>1840</v>
      </c>
      <c r="S1993" s="84">
        <v>0.13400000000000001</v>
      </c>
      <c r="T1993" s="82" t="s">
        <v>4091</v>
      </c>
      <c r="U1993" s="84" t="s">
        <v>3584</v>
      </c>
      <c r="V1993" s="54"/>
    </row>
    <row r="1994" spans="1:22" s="11" customFormat="1" ht="45" customHeight="1" x14ac:dyDescent="0.2">
      <c r="A1994" s="66" t="s">
        <v>3577</v>
      </c>
      <c r="B1994" s="66" t="s">
        <v>1707</v>
      </c>
      <c r="C1994" s="66" t="s">
        <v>3578</v>
      </c>
      <c r="D1994" s="66">
        <v>81170</v>
      </c>
      <c r="E1994" s="68" t="s">
        <v>7928</v>
      </c>
      <c r="F1994" s="66" t="s">
        <v>7929</v>
      </c>
      <c r="G1994" s="71">
        <v>6500</v>
      </c>
      <c r="H1994" s="73"/>
      <c r="I1994" s="75">
        <v>0.1</v>
      </c>
      <c r="J1994" s="77"/>
      <c r="K1994" s="66"/>
      <c r="L1994" s="66"/>
      <c r="M1994" s="79" t="str">
        <f>HYPERLINK("http://www.pristavka.com/catalog/funko/Fun81170/")</f>
        <v>http://www.pristavka.com/catalog/funko/Fun81170/</v>
      </c>
      <c r="N1994" s="71">
        <v>9999</v>
      </c>
      <c r="O1994" s="66" t="s">
        <v>27</v>
      </c>
      <c r="P1994" s="82" t="s">
        <v>7930</v>
      </c>
      <c r="Q1994" s="84" t="s">
        <v>7931</v>
      </c>
      <c r="R1994" s="84" t="s">
        <v>6166</v>
      </c>
      <c r="S1994" s="84">
        <v>0.13400000000000001</v>
      </c>
      <c r="T1994" s="82" t="s">
        <v>4091</v>
      </c>
      <c r="U1994" s="84" t="s">
        <v>3584</v>
      </c>
      <c r="V1994" s="54"/>
    </row>
    <row r="1995" spans="1:22" s="11" customFormat="1" ht="45" customHeight="1" x14ac:dyDescent="0.2">
      <c r="A1995" s="66" t="s">
        <v>3577</v>
      </c>
      <c r="B1995" s="66" t="s">
        <v>1707</v>
      </c>
      <c r="C1995" s="66" t="s">
        <v>3578</v>
      </c>
      <c r="D1995" s="66">
        <v>81171</v>
      </c>
      <c r="E1995" s="68" t="s">
        <v>7932</v>
      </c>
      <c r="F1995" s="66" t="s">
        <v>7933</v>
      </c>
      <c r="G1995" s="71">
        <v>6500</v>
      </c>
      <c r="H1995" s="73"/>
      <c r="I1995" s="75">
        <v>0.1</v>
      </c>
      <c r="J1995" s="77"/>
      <c r="K1995" s="66"/>
      <c r="L1995" s="66"/>
      <c r="M1995" s="79" t="str">
        <f>HYPERLINK("http://www.pristavka.com/catalog/funko/Fun81171/")</f>
        <v>http://www.pristavka.com/catalog/funko/Fun81171/</v>
      </c>
      <c r="N1995" s="71">
        <v>9999</v>
      </c>
      <c r="O1995" s="66" t="s">
        <v>27</v>
      </c>
      <c r="P1995" s="82" t="s">
        <v>7934</v>
      </c>
      <c r="Q1995" s="84" t="s">
        <v>7931</v>
      </c>
      <c r="R1995" s="84" t="s">
        <v>6166</v>
      </c>
      <c r="S1995" s="84">
        <v>0.13</v>
      </c>
      <c r="T1995" s="82" t="s">
        <v>4084</v>
      </c>
      <c r="U1995" s="84" t="s">
        <v>3584</v>
      </c>
      <c r="V1995" s="54"/>
    </row>
    <row r="1996" spans="1:22" s="11" customFormat="1" ht="45" customHeight="1" x14ac:dyDescent="0.2">
      <c r="A1996" s="66" t="s">
        <v>3577</v>
      </c>
      <c r="B1996" s="66" t="s">
        <v>1707</v>
      </c>
      <c r="C1996" s="66" t="s">
        <v>3578</v>
      </c>
      <c r="D1996" s="66">
        <v>79784</v>
      </c>
      <c r="E1996" s="68" t="s">
        <v>7935</v>
      </c>
      <c r="F1996" s="66" t="s">
        <v>7936</v>
      </c>
      <c r="G1996" s="71">
        <v>6500</v>
      </c>
      <c r="H1996" s="73"/>
      <c r="I1996" s="75">
        <v>0.1</v>
      </c>
      <c r="J1996" s="77"/>
      <c r="K1996" s="66"/>
      <c r="L1996" s="66"/>
      <c r="M1996" s="79" t="str">
        <f>HYPERLINK("http://www.pristavka.com/catalog/funko/Fun79784/")</f>
        <v>http://www.pristavka.com/catalog/funko/Fun79784/</v>
      </c>
      <c r="N1996" s="71">
        <v>9999</v>
      </c>
      <c r="O1996" s="66" t="s">
        <v>27</v>
      </c>
      <c r="P1996" s="82" t="s">
        <v>7937</v>
      </c>
      <c r="Q1996" s="84" t="s">
        <v>7938</v>
      </c>
      <c r="R1996" s="84" t="s">
        <v>6166</v>
      </c>
      <c r="S1996" s="84">
        <v>0.122</v>
      </c>
      <c r="T1996" s="82" t="s">
        <v>4084</v>
      </c>
      <c r="U1996" s="84" t="s">
        <v>3584</v>
      </c>
      <c r="V1996" s="54"/>
    </row>
    <row r="1997" spans="1:22" s="11" customFormat="1" ht="45" customHeight="1" x14ac:dyDescent="0.2">
      <c r="A1997" s="66" t="s">
        <v>3577</v>
      </c>
      <c r="B1997" s="66" t="s">
        <v>1707</v>
      </c>
      <c r="C1997" s="66" t="s">
        <v>3578</v>
      </c>
      <c r="D1997" s="66">
        <v>79785</v>
      </c>
      <c r="E1997" s="68" t="s">
        <v>7939</v>
      </c>
      <c r="F1997" s="66" t="s">
        <v>7940</v>
      </c>
      <c r="G1997" s="71">
        <v>6500</v>
      </c>
      <c r="H1997" s="73"/>
      <c r="I1997" s="75">
        <v>0.1</v>
      </c>
      <c r="J1997" s="77"/>
      <c r="K1997" s="66"/>
      <c r="L1997" s="66"/>
      <c r="M1997" s="79" t="str">
        <f>HYPERLINK("http://www.pristavka.com/catalog/funko/Fun79785/")</f>
        <v>http://www.pristavka.com/catalog/funko/Fun79785/</v>
      </c>
      <c r="N1997" s="71">
        <v>9999</v>
      </c>
      <c r="O1997" s="66" t="s">
        <v>27</v>
      </c>
      <c r="P1997" s="82" t="s">
        <v>7941</v>
      </c>
      <c r="Q1997" s="84" t="s">
        <v>7938</v>
      </c>
      <c r="R1997" s="84" t="s">
        <v>6166</v>
      </c>
      <c r="S1997" s="84">
        <v>0.14399999999999999</v>
      </c>
      <c r="T1997" s="82" t="s">
        <v>4084</v>
      </c>
      <c r="U1997" s="84" t="s">
        <v>3584</v>
      </c>
      <c r="V1997" s="54"/>
    </row>
    <row r="1998" spans="1:22" s="11" customFormat="1" ht="45" customHeight="1" x14ac:dyDescent="0.2">
      <c r="A1998" s="66" t="s">
        <v>3577</v>
      </c>
      <c r="B1998" s="66" t="s">
        <v>1707</v>
      </c>
      <c r="C1998" s="66" t="s">
        <v>3578</v>
      </c>
      <c r="D1998" s="66">
        <v>80793</v>
      </c>
      <c r="E1998" s="68" t="s">
        <v>7942</v>
      </c>
      <c r="F1998" s="66" t="s">
        <v>7943</v>
      </c>
      <c r="G1998" s="71">
        <v>6500</v>
      </c>
      <c r="H1998" s="73"/>
      <c r="I1998" s="75">
        <v>0.1</v>
      </c>
      <c r="J1998" s="77"/>
      <c r="K1998" s="66"/>
      <c r="L1998" s="66"/>
      <c r="M1998" s="79" t="str">
        <f>HYPERLINK("http://www.pristavka.com/catalog/funko/Fun80793/")</f>
        <v>http://www.pristavka.com/catalog/funko/Fun80793/</v>
      </c>
      <c r="N1998" s="71">
        <v>9999</v>
      </c>
      <c r="O1998" s="66" t="s">
        <v>27</v>
      </c>
      <c r="P1998" s="82" t="s">
        <v>7944</v>
      </c>
      <c r="Q1998" s="84" t="s">
        <v>7945</v>
      </c>
      <c r="R1998" s="84" t="s">
        <v>7946</v>
      </c>
      <c r="S1998" s="84">
        <v>0.121</v>
      </c>
      <c r="T1998" s="82" t="s">
        <v>4084</v>
      </c>
      <c r="U1998" s="84" t="s">
        <v>3584</v>
      </c>
      <c r="V1998" s="54"/>
    </row>
    <row r="1999" spans="1:22" s="11" customFormat="1" ht="45" customHeight="1" x14ac:dyDescent="0.2">
      <c r="A1999" s="66" t="s">
        <v>3577</v>
      </c>
      <c r="B1999" s="66" t="s">
        <v>1707</v>
      </c>
      <c r="C1999" s="66" t="s">
        <v>3578</v>
      </c>
      <c r="D1999" s="66">
        <v>80794</v>
      </c>
      <c r="E1999" s="68" t="s">
        <v>7947</v>
      </c>
      <c r="F1999" s="66" t="s">
        <v>7948</v>
      </c>
      <c r="G1999" s="71">
        <v>6500</v>
      </c>
      <c r="H1999" s="73"/>
      <c r="I1999" s="75">
        <v>0.1</v>
      </c>
      <c r="J1999" s="77"/>
      <c r="K1999" s="66"/>
      <c r="L1999" s="66"/>
      <c r="M1999" s="79" t="str">
        <f>HYPERLINK("http://www.pristavka.com/catalog/funko/Fun80794/")</f>
        <v>http://www.pristavka.com/catalog/funko/Fun80794/</v>
      </c>
      <c r="N1999" s="71">
        <v>9999</v>
      </c>
      <c r="O1999" s="66" t="s">
        <v>27</v>
      </c>
      <c r="P1999" s="82" t="s">
        <v>7949</v>
      </c>
      <c r="Q1999" s="84" t="s">
        <v>7945</v>
      </c>
      <c r="R1999" s="84" t="s">
        <v>7946</v>
      </c>
      <c r="S1999" s="84">
        <v>0.115</v>
      </c>
      <c r="T1999" s="82" t="s">
        <v>4084</v>
      </c>
      <c r="U1999" s="84" t="s">
        <v>3584</v>
      </c>
      <c r="V1999" s="54"/>
    </row>
    <row r="2000" spans="1:22" s="11" customFormat="1" ht="45" customHeight="1" x14ac:dyDescent="0.2">
      <c r="A2000" s="66" t="s">
        <v>3577</v>
      </c>
      <c r="B2000" s="66" t="s">
        <v>1707</v>
      </c>
      <c r="C2000" s="66" t="s">
        <v>3578</v>
      </c>
      <c r="D2000" s="66">
        <v>59252</v>
      </c>
      <c r="E2000" s="68" t="s">
        <v>7950</v>
      </c>
      <c r="F2000" s="66" t="s">
        <v>7951</v>
      </c>
      <c r="G2000" s="71">
        <v>6500</v>
      </c>
      <c r="H2000" s="73"/>
      <c r="I2000" s="75">
        <v>0.1</v>
      </c>
      <c r="J2000" s="77"/>
      <c r="K2000" s="66"/>
      <c r="L2000" s="66"/>
      <c r="M2000" s="79" t="str">
        <f>HYPERLINK("http://www.pristavka.com/catalog/funko/Fun25491856/")</f>
        <v>http://www.pristavka.com/catalog/funko/Fun25491856/</v>
      </c>
      <c r="N2000" s="71">
        <v>9999</v>
      </c>
      <c r="O2000" s="66" t="s">
        <v>27</v>
      </c>
      <c r="P2000" s="82" t="s">
        <v>7952</v>
      </c>
      <c r="Q2000" s="84" t="s">
        <v>7953</v>
      </c>
      <c r="R2000" s="84" t="s">
        <v>6166</v>
      </c>
      <c r="S2000" s="84">
        <v>0.14299999999999999</v>
      </c>
      <c r="T2000" s="82" t="s">
        <v>4113</v>
      </c>
      <c r="U2000" s="84" t="s">
        <v>3584</v>
      </c>
      <c r="V2000" s="54"/>
    </row>
    <row r="2001" spans="1:22" s="11" customFormat="1" ht="45" customHeight="1" x14ac:dyDescent="0.2">
      <c r="A2001" s="66" t="s">
        <v>3577</v>
      </c>
      <c r="B2001" s="66" t="s">
        <v>1707</v>
      </c>
      <c r="C2001" s="66" t="s">
        <v>3578</v>
      </c>
      <c r="D2001" s="66">
        <v>83547</v>
      </c>
      <c r="E2001" s="68" t="s">
        <v>7954</v>
      </c>
      <c r="F2001" s="66" t="s">
        <v>7955</v>
      </c>
      <c r="G2001" s="71">
        <v>6500</v>
      </c>
      <c r="H2001" s="73"/>
      <c r="I2001" s="75">
        <v>0.1</v>
      </c>
      <c r="J2001" s="77"/>
      <c r="K2001" s="66"/>
      <c r="L2001" s="66"/>
      <c r="M2001" s="79" t="str">
        <f>HYPERLINK("http://www.pristavka.com/catalog/funko/Fun83547/")</f>
        <v>http://www.pristavka.com/catalog/funko/Fun83547/</v>
      </c>
      <c r="N2001" s="71">
        <v>9999</v>
      </c>
      <c r="O2001" s="66" t="s">
        <v>27</v>
      </c>
      <c r="P2001" s="82" t="s">
        <v>7956</v>
      </c>
      <c r="Q2001" s="84" t="s">
        <v>7953</v>
      </c>
      <c r="R2001" s="84" t="s">
        <v>6166</v>
      </c>
      <c r="S2001" s="84">
        <v>0.125</v>
      </c>
      <c r="T2001" s="82" t="s">
        <v>4113</v>
      </c>
      <c r="U2001" s="84" t="s">
        <v>3584</v>
      </c>
      <c r="V2001" s="54"/>
    </row>
    <row r="2002" spans="1:22" s="11" customFormat="1" ht="45" customHeight="1" x14ac:dyDescent="0.2">
      <c r="A2002" s="66" t="s">
        <v>3577</v>
      </c>
      <c r="B2002" s="66" t="s">
        <v>1707</v>
      </c>
      <c r="C2002" s="66" t="s">
        <v>3578</v>
      </c>
      <c r="D2002" s="66">
        <v>83549</v>
      </c>
      <c r="E2002" s="68" t="s">
        <v>7957</v>
      </c>
      <c r="F2002" s="66" t="s">
        <v>7958</v>
      </c>
      <c r="G2002" s="71">
        <v>6500</v>
      </c>
      <c r="H2002" s="73"/>
      <c r="I2002" s="75">
        <v>0.1</v>
      </c>
      <c r="J2002" s="77"/>
      <c r="K2002" s="66"/>
      <c r="L2002" s="66"/>
      <c r="M2002" s="79" t="str">
        <f>HYPERLINK("http://www.pristavka.com/catalog/funko/Fun83549/")</f>
        <v>http://www.pristavka.com/catalog/funko/Fun83549/</v>
      </c>
      <c r="N2002" s="71">
        <v>9999</v>
      </c>
      <c r="O2002" s="66" t="s">
        <v>27</v>
      </c>
      <c r="P2002" s="82" t="s">
        <v>7959</v>
      </c>
      <c r="Q2002" s="84" t="s">
        <v>7953</v>
      </c>
      <c r="R2002" s="84" t="s">
        <v>6166</v>
      </c>
      <c r="S2002" s="84">
        <v>0.11899999999999999</v>
      </c>
      <c r="T2002" s="82" t="s">
        <v>4084</v>
      </c>
      <c r="U2002" s="84" t="s">
        <v>3584</v>
      </c>
      <c r="V2002" s="54"/>
    </row>
    <row r="2003" spans="1:22" s="11" customFormat="1" ht="45" customHeight="1" x14ac:dyDescent="0.2">
      <c r="A2003" s="66" t="s">
        <v>3577</v>
      </c>
      <c r="B2003" s="66" t="s">
        <v>1707</v>
      </c>
      <c r="C2003" s="66" t="s">
        <v>3578</v>
      </c>
      <c r="D2003" s="66">
        <v>83548</v>
      </c>
      <c r="E2003" s="68" t="s">
        <v>7960</v>
      </c>
      <c r="F2003" s="66" t="s">
        <v>7961</v>
      </c>
      <c r="G2003" s="71">
        <v>6500</v>
      </c>
      <c r="H2003" s="73"/>
      <c r="I2003" s="75">
        <v>0.1</v>
      </c>
      <c r="J2003" s="77"/>
      <c r="K2003" s="66"/>
      <c r="L2003" s="66"/>
      <c r="M2003" s="79" t="str">
        <f>HYPERLINK("http://www.pristavka.com/catalog/funko/Fun83548/")</f>
        <v>http://www.pristavka.com/catalog/funko/Fun83548/</v>
      </c>
      <c r="N2003" s="71">
        <v>9999</v>
      </c>
      <c r="O2003" s="66" t="s">
        <v>27</v>
      </c>
      <c r="P2003" s="82" t="s">
        <v>7962</v>
      </c>
      <c r="Q2003" s="84" t="s">
        <v>7953</v>
      </c>
      <c r="R2003" s="84" t="s">
        <v>6166</v>
      </c>
      <c r="S2003" s="84">
        <v>0.125</v>
      </c>
      <c r="T2003" s="82" t="s">
        <v>4113</v>
      </c>
      <c r="U2003" s="84" t="s">
        <v>3584</v>
      </c>
      <c r="V2003" s="54"/>
    </row>
    <row r="2004" spans="1:22" s="11" customFormat="1" ht="45" customHeight="1" x14ac:dyDescent="0.2">
      <c r="A2004" s="66" t="s">
        <v>3577</v>
      </c>
      <c r="B2004" s="66" t="s">
        <v>1707</v>
      </c>
      <c r="C2004" s="66" t="s">
        <v>3578</v>
      </c>
      <c r="D2004" s="66">
        <v>79944</v>
      </c>
      <c r="E2004" s="68" t="s">
        <v>7963</v>
      </c>
      <c r="F2004" s="66" t="s">
        <v>7964</v>
      </c>
      <c r="G2004" s="71">
        <v>6500</v>
      </c>
      <c r="H2004" s="73"/>
      <c r="I2004" s="75">
        <v>0.1</v>
      </c>
      <c r="J2004" s="77"/>
      <c r="K2004" s="66"/>
      <c r="L2004" s="66"/>
      <c r="M2004" s="79" t="str">
        <f>HYPERLINK("http://www.pristavka.com/catalog/funko/Fun79944/")</f>
        <v>http://www.pristavka.com/catalog/funko/Fun79944/</v>
      </c>
      <c r="N2004" s="71">
        <v>9999</v>
      </c>
      <c r="O2004" s="66" t="s">
        <v>27</v>
      </c>
      <c r="P2004" s="82" t="s">
        <v>7965</v>
      </c>
      <c r="Q2004" s="84" t="s">
        <v>3672</v>
      </c>
      <c r="R2004" s="84" t="s">
        <v>1765</v>
      </c>
      <c r="S2004" s="84">
        <v>0.16</v>
      </c>
      <c r="T2004" s="82" t="s">
        <v>4084</v>
      </c>
      <c r="U2004" s="84" t="s">
        <v>3584</v>
      </c>
      <c r="V2004" s="54"/>
    </row>
    <row r="2005" spans="1:22" s="11" customFormat="1" ht="45" customHeight="1" x14ac:dyDescent="0.2">
      <c r="A2005" s="66" t="s">
        <v>3577</v>
      </c>
      <c r="B2005" s="66" t="s">
        <v>1707</v>
      </c>
      <c r="C2005" s="66" t="s">
        <v>3578</v>
      </c>
      <c r="D2005" s="66">
        <v>81040</v>
      </c>
      <c r="E2005" s="68" t="s">
        <v>7966</v>
      </c>
      <c r="F2005" s="66" t="s">
        <v>7967</v>
      </c>
      <c r="G2005" s="71">
        <v>6500</v>
      </c>
      <c r="H2005" s="73"/>
      <c r="I2005" s="75">
        <v>0.1</v>
      </c>
      <c r="J2005" s="77"/>
      <c r="K2005" s="66"/>
      <c r="L2005" s="66"/>
      <c r="M2005" s="79" t="str">
        <f>HYPERLINK("http://www.pristavka.com/catalog/funko/Fun81040/")</f>
        <v>http://www.pristavka.com/catalog/funko/Fun81040/</v>
      </c>
      <c r="N2005" s="71">
        <v>9999</v>
      </c>
      <c r="O2005" s="66" t="s">
        <v>27</v>
      </c>
      <c r="P2005" s="82" t="s">
        <v>7968</v>
      </c>
      <c r="Q2005" s="84" t="s">
        <v>3672</v>
      </c>
      <c r="R2005" s="84" t="s">
        <v>1765</v>
      </c>
      <c r="S2005" s="84">
        <v>0.12</v>
      </c>
      <c r="T2005" s="82" t="s">
        <v>4084</v>
      </c>
      <c r="U2005" s="84" t="s">
        <v>3584</v>
      </c>
      <c r="V2005" s="54"/>
    </row>
    <row r="2006" spans="1:22" s="11" customFormat="1" ht="45" customHeight="1" x14ac:dyDescent="0.2">
      <c r="A2006" s="66" t="s">
        <v>3577</v>
      </c>
      <c r="B2006" s="66" t="s">
        <v>1707</v>
      </c>
      <c r="C2006" s="66" t="s">
        <v>3578</v>
      </c>
      <c r="D2006" s="66">
        <v>81041</v>
      </c>
      <c r="E2006" s="68" t="s">
        <v>7969</v>
      </c>
      <c r="F2006" s="66" t="s">
        <v>7970</v>
      </c>
      <c r="G2006" s="71">
        <v>6500</v>
      </c>
      <c r="H2006" s="73"/>
      <c r="I2006" s="75">
        <v>0.1</v>
      </c>
      <c r="J2006" s="77"/>
      <c r="K2006" s="66"/>
      <c r="L2006" s="66"/>
      <c r="M2006" s="79" t="str">
        <f>HYPERLINK("http://www.pristavka.com/catalog/funko/Fun81041/")</f>
        <v>http://www.pristavka.com/catalog/funko/Fun81041/</v>
      </c>
      <c r="N2006" s="71">
        <v>9999</v>
      </c>
      <c r="O2006" s="66" t="s">
        <v>27</v>
      </c>
      <c r="P2006" s="82" t="s">
        <v>7971</v>
      </c>
      <c r="Q2006" s="84" t="s">
        <v>3672</v>
      </c>
      <c r="R2006" s="84" t="s">
        <v>1765</v>
      </c>
      <c r="S2006" s="84">
        <v>0.22500000000000001</v>
      </c>
      <c r="T2006" s="82" t="s">
        <v>4084</v>
      </c>
      <c r="U2006" s="84" t="s">
        <v>3584</v>
      </c>
      <c r="V2006" s="54"/>
    </row>
    <row r="2007" spans="1:22" s="11" customFormat="1" ht="45" customHeight="1" x14ac:dyDescent="0.2">
      <c r="A2007" s="66" t="s">
        <v>3577</v>
      </c>
      <c r="B2007" s="66" t="s">
        <v>1707</v>
      </c>
      <c r="C2007" s="66" t="s">
        <v>3578</v>
      </c>
      <c r="D2007" s="66">
        <v>81042</v>
      </c>
      <c r="E2007" s="68" t="s">
        <v>7972</v>
      </c>
      <c r="F2007" s="66" t="s">
        <v>7973</v>
      </c>
      <c r="G2007" s="71">
        <v>0</v>
      </c>
      <c r="H2007" s="73"/>
      <c r="I2007" s="75">
        <v>0.1</v>
      </c>
      <c r="J2007" s="77"/>
      <c r="K2007" s="66"/>
      <c r="L2007" s="66"/>
      <c r="M2007" s="79" t="str">
        <f>HYPERLINK("http://www.pristavka.com/catalog/funko/Fun81042/")</f>
        <v>http://www.pristavka.com/catalog/funko/Fun81042/</v>
      </c>
      <c r="N2007" s="71"/>
      <c r="O2007" s="66" t="s">
        <v>27</v>
      </c>
      <c r="P2007" s="82" t="s">
        <v>7974</v>
      </c>
      <c r="Q2007" s="84" t="s">
        <v>3672</v>
      </c>
      <c r="R2007" s="84" t="s">
        <v>1765</v>
      </c>
      <c r="S2007" s="84">
        <v>0.13500000000000001</v>
      </c>
      <c r="T2007" s="82" t="s">
        <v>4091</v>
      </c>
      <c r="U2007" s="84" t="s">
        <v>3584</v>
      </c>
      <c r="V2007" s="54"/>
    </row>
    <row r="2008" spans="1:22" s="11" customFormat="1" ht="45" customHeight="1" x14ac:dyDescent="0.2">
      <c r="A2008" s="66" t="s">
        <v>3577</v>
      </c>
      <c r="B2008" s="66" t="s">
        <v>1707</v>
      </c>
      <c r="C2008" s="66" t="s">
        <v>3578</v>
      </c>
      <c r="D2008" s="66">
        <v>81043</v>
      </c>
      <c r="E2008" s="68" t="s">
        <v>7975</v>
      </c>
      <c r="F2008" s="66" t="s">
        <v>7976</v>
      </c>
      <c r="G2008" s="71">
        <v>6500</v>
      </c>
      <c r="H2008" s="73"/>
      <c r="I2008" s="75">
        <v>0.1</v>
      </c>
      <c r="J2008" s="77"/>
      <c r="K2008" s="66"/>
      <c r="L2008" s="66"/>
      <c r="M2008" s="79" t="str">
        <f>HYPERLINK("http://www.pristavka.com/catalog/funko/Fun81043/")</f>
        <v>http://www.pristavka.com/catalog/funko/Fun81043/</v>
      </c>
      <c r="N2008" s="71">
        <v>9999</v>
      </c>
      <c r="O2008" s="66" t="s">
        <v>27</v>
      </c>
      <c r="P2008" s="82" t="s">
        <v>7977</v>
      </c>
      <c r="Q2008" s="84" t="s">
        <v>3672</v>
      </c>
      <c r="R2008" s="84" t="s">
        <v>1765</v>
      </c>
      <c r="S2008" s="84">
        <v>0.13</v>
      </c>
      <c r="T2008" s="82" t="s">
        <v>4084</v>
      </c>
      <c r="U2008" s="84" t="s">
        <v>3584</v>
      </c>
      <c r="V2008" s="54"/>
    </row>
    <row r="2009" spans="1:22" s="11" customFormat="1" ht="45" customHeight="1" x14ac:dyDescent="0.2">
      <c r="A2009" s="66" t="s">
        <v>3577</v>
      </c>
      <c r="B2009" s="66" t="s">
        <v>1707</v>
      </c>
      <c r="C2009" s="66" t="s">
        <v>3578</v>
      </c>
      <c r="D2009" s="66">
        <v>79945</v>
      </c>
      <c r="E2009" s="68" t="s">
        <v>7978</v>
      </c>
      <c r="F2009" s="66" t="s">
        <v>7979</v>
      </c>
      <c r="G2009" s="71">
        <v>6500</v>
      </c>
      <c r="H2009" s="73"/>
      <c r="I2009" s="75">
        <v>0.1</v>
      </c>
      <c r="J2009" s="77"/>
      <c r="K2009" s="66"/>
      <c r="L2009" s="66"/>
      <c r="M2009" s="79" t="str">
        <f>HYPERLINK("http://www.pristavka.com/catalog/funko/Fun79945/")</f>
        <v>http://www.pristavka.com/catalog/funko/Fun79945/</v>
      </c>
      <c r="N2009" s="71">
        <v>9999</v>
      </c>
      <c r="O2009" s="66" t="s">
        <v>27</v>
      </c>
      <c r="P2009" s="82" t="s">
        <v>7980</v>
      </c>
      <c r="Q2009" s="84" t="s">
        <v>3672</v>
      </c>
      <c r="R2009" s="84" t="s">
        <v>1765</v>
      </c>
      <c r="S2009" s="84">
        <v>0.126</v>
      </c>
      <c r="T2009" s="82" t="s">
        <v>4084</v>
      </c>
      <c r="U2009" s="84" t="s">
        <v>3584</v>
      </c>
      <c r="V2009" s="54"/>
    </row>
    <row r="2010" spans="1:22" s="11" customFormat="1" ht="45" customHeight="1" x14ac:dyDescent="0.2">
      <c r="A2010" s="66" t="s">
        <v>3577</v>
      </c>
      <c r="B2010" s="66" t="s">
        <v>1707</v>
      </c>
      <c r="C2010" s="66" t="s">
        <v>3578</v>
      </c>
      <c r="D2010" s="66">
        <v>85732</v>
      </c>
      <c r="E2010" s="68" t="s">
        <v>7981</v>
      </c>
      <c r="F2010" s="66" t="s">
        <v>7982</v>
      </c>
      <c r="G2010" s="71">
        <v>6500</v>
      </c>
      <c r="H2010" s="73"/>
      <c r="I2010" s="75">
        <v>0.1</v>
      </c>
      <c r="J2010" s="77"/>
      <c r="K2010" s="66"/>
      <c r="L2010" s="66"/>
      <c r="M2010" s="79" t="str">
        <f>HYPERLINK("http://www.pristavka.com/catalog/funko/Fun85732/")</f>
        <v>http://www.pristavka.com/catalog/funko/Fun85732/</v>
      </c>
      <c r="N2010" s="71">
        <v>9999</v>
      </c>
      <c r="O2010" s="66" t="s">
        <v>27</v>
      </c>
      <c r="P2010" s="82" t="s">
        <v>7983</v>
      </c>
      <c r="Q2010" s="84" t="s">
        <v>7984</v>
      </c>
      <c r="R2010" s="84" t="s">
        <v>6166</v>
      </c>
      <c r="S2010" s="84">
        <v>0.13400000000000001</v>
      </c>
      <c r="T2010" s="82" t="s">
        <v>4091</v>
      </c>
      <c r="U2010" s="84" t="s">
        <v>3584</v>
      </c>
      <c r="V2010" s="54"/>
    </row>
    <row r="2011" spans="1:22" s="11" customFormat="1" ht="45" customHeight="1" x14ac:dyDescent="0.2">
      <c r="A2011" s="66" t="s">
        <v>3577</v>
      </c>
      <c r="B2011" s="66" t="s">
        <v>1707</v>
      </c>
      <c r="C2011" s="66" t="s">
        <v>3578</v>
      </c>
      <c r="D2011" s="66">
        <v>85733</v>
      </c>
      <c r="E2011" s="68" t="s">
        <v>7985</v>
      </c>
      <c r="F2011" s="66" t="s">
        <v>7986</v>
      </c>
      <c r="G2011" s="71">
        <v>6500</v>
      </c>
      <c r="H2011" s="73"/>
      <c r="I2011" s="75">
        <v>0.1</v>
      </c>
      <c r="J2011" s="77"/>
      <c r="K2011" s="66"/>
      <c r="L2011" s="66"/>
      <c r="M2011" s="79" t="str">
        <f>HYPERLINK("http://www.pristavka.com/catalog/funko/Fun85733/")</f>
        <v>http://www.pristavka.com/catalog/funko/Fun85733/</v>
      </c>
      <c r="N2011" s="71">
        <v>9999</v>
      </c>
      <c r="O2011" s="66" t="s">
        <v>27</v>
      </c>
      <c r="P2011" s="82" t="s">
        <v>7987</v>
      </c>
      <c r="Q2011" s="84" t="s">
        <v>7984</v>
      </c>
      <c r="R2011" s="84" t="s">
        <v>6166</v>
      </c>
      <c r="S2011" s="84">
        <v>0.14000000000000001</v>
      </c>
      <c r="T2011" s="82" t="s">
        <v>4102</v>
      </c>
      <c r="U2011" s="84" t="s">
        <v>3584</v>
      </c>
      <c r="V2011" s="54"/>
    </row>
    <row r="2012" spans="1:22" s="11" customFormat="1" ht="45" customHeight="1" x14ac:dyDescent="0.2">
      <c r="A2012" s="66" t="s">
        <v>3577</v>
      </c>
      <c r="B2012" s="66" t="s">
        <v>1707</v>
      </c>
      <c r="C2012" s="66" t="s">
        <v>3578</v>
      </c>
      <c r="D2012" s="66">
        <v>83556</v>
      </c>
      <c r="E2012" s="68" t="s">
        <v>7988</v>
      </c>
      <c r="F2012" s="66" t="s">
        <v>7989</v>
      </c>
      <c r="G2012" s="71">
        <v>6500</v>
      </c>
      <c r="H2012" s="73"/>
      <c r="I2012" s="75">
        <v>0.1</v>
      </c>
      <c r="J2012" s="77"/>
      <c r="K2012" s="66"/>
      <c r="L2012" s="66"/>
      <c r="M2012" s="79" t="str">
        <f>HYPERLINK("http://www.pristavka.com/catalog/funko/Fun83556/")</f>
        <v>http://www.pristavka.com/catalog/funko/Fun83556/</v>
      </c>
      <c r="N2012" s="71">
        <v>9999</v>
      </c>
      <c r="O2012" s="66" t="s">
        <v>27</v>
      </c>
      <c r="P2012" s="82" t="s">
        <v>7990</v>
      </c>
      <c r="Q2012" s="84" t="s">
        <v>1840</v>
      </c>
      <c r="R2012" s="84" t="s">
        <v>1840</v>
      </c>
      <c r="S2012" s="84">
        <v>0.13</v>
      </c>
      <c r="T2012" s="82" t="s">
        <v>4113</v>
      </c>
      <c r="U2012" s="84" t="s">
        <v>3584</v>
      </c>
      <c r="V2012" s="54"/>
    </row>
    <row r="2013" spans="1:22" s="11" customFormat="1" ht="45" customHeight="1" x14ac:dyDescent="0.2">
      <c r="A2013" s="66" t="s">
        <v>3577</v>
      </c>
      <c r="B2013" s="66" t="s">
        <v>1707</v>
      </c>
      <c r="C2013" s="66" t="s">
        <v>3578</v>
      </c>
      <c r="D2013" s="66">
        <v>87167</v>
      </c>
      <c r="E2013" s="68" t="s">
        <v>7991</v>
      </c>
      <c r="F2013" s="66" t="s">
        <v>7992</v>
      </c>
      <c r="G2013" s="71">
        <v>6890</v>
      </c>
      <c r="H2013" s="73"/>
      <c r="I2013" s="75">
        <v>0.1</v>
      </c>
      <c r="J2013" s="77"/>
      <c r="K2013" s="66"/>
      <c r="L2013" s="66"/>
      <c r="M2013" s="79" t="str">
        <f>HYPERLINK("http://www.pristavka.com/catalog/funko/Fun87167/")</f>
        <v>http://www.pristavka.com/catalog/funko/Fun87167/</v>
      </c>
      <c r="N2013" s="71">
        <v>10599</v>
      </c>
      <c r="O2013" s="66" t="s">
        <v>27</v>
      </c>
      <c r="P2013" s="82" t="s">
        <v>7993</v>
      </c>
      <c r="Q2013" s="84" t="s">
        <v>3681</v>
      </c>
      <c r="R2013" s="84" t="s">
        <v>1212</v>
      </c>
      <c r="S2013" s="84">
        <v>0.14000000000000001</v>
      </c>
      <c r="T2013" s="82" t="s">
        <v>4113</v>
      </c>
      <c r="U2013" s="84" t="s">
        <v>3584</v>
      </c>
      <c r="V2013" s="54"/>
    </row>
    <row r="2014" spans="1:22" s="11" customFormat="1" ht="45" customHeight="1" x14ac:dyDescent="0.2">
      <c r="A2014" s="66" t="s">
        <v>3577</v>
      </c>
      <c r="B2014" s="66" t="s">
        <v>1707</v>
      </c>
      <c r="C2014" s="66" t="s">
        <v>3578</v>
      </c>
      <c r="D2014" s="66">
        <v>84931</v>
      </c>
      <c r="E2014" s="68" t="s">
        <v>7994</v>
      </c>
      <c r="F2014" s="66" t="s">
        <v>7995</v>
      </c>
      <c r="G2014" s="71">
        <v>6500</v>
      </c>
      <c r="H2014" s="73"/>
      <c r="I2014" s="75">
        <v>0.1</v>
      </c>
      <c r="J2014" s="77"/>
      <c r="K2014" s="66"/>
      <c r="L2014" s="66"/>
      <c r="M2014" s="79" t="str">
        <f>HYPERLINK("http://www.pristavka.com/catalog/funko/Fun84931/")</f>
        <v>http://www.pristavka.com/catalog/funko/Fun84931/</v>
      </c>
      <c r="N2014" s="71">
        <v>9999</v>
      </c>
      <c r="O2014" s="66" t="s">
        <v>27</v>
      </c>
      <c r="P2014" s="82" t="s">
        <v>7996</v>
      </c>
      <c r="Q2014" s="84" t="s">
        <v>7997</v>
      </c>
      <c r="R2014" s="84" t="s">
        <v>1212</v>
      </c>
      <c r="S2014" s="84">
        <v>0.13600000000000001</v>
      </c>
      <c r="T2014" s="82" t="s">
        <v>4084</v>
      </c>
      <c r="U2014" s="84" t="s">
        <v>3584</v>
      </c>
      <c r="V2014" s="54"/>
    </row>
    <row r="2015" spans="1:22" s="11" customFormat="1" ht="45" customHeight="1" x14ac:dyDescent="0.2">
      <c r="A2015" s="66" t="s">
        <v>3577</v>
      </c>
      <c r="B2015" s="66" t="s">
        <v>1707</v>
      </c>
      <c r="C2015" s="66" t="s">
        <v>3578</v>
      </c>
      <c r="D2015" s="66">
        <v>80230</v>
      </c>
      <c r="E2015" s="68" t="s">
        <v>7998</v>
      </c>
      <c r="F2015" s="66" t="s">
        <v>7999</v>
      </c>
      <c r="G2015" s="71">
        <v>0</v>
      </c>
      <c r="H2015" s="73"/>
      <c r="I2015" s="75">
        <v>0.1</v>
      </c>
      <c r="J2015" s="77"/>
      <c r="K2015" s="66"/>
      <c r="L2015" s="66"/>
      <c r="M2015" s="79" t="str">
        <f>HYPERLINK("http://www.pristavka.com/catalog/funko/Fun80230/")</f>
        <v>http://www.pristavka.com/catalog/funko/Fun80230/</v>
      </c>
      <c r="N2015" s="71"/>
      <c r="O2015" s="66" t="s">
        <v>27</v>
      </c>
      <c r="P2015" s="82" t="s">
        <v>8000</v>
      </c>
      <c r="Q2015" s="84" t="s">
        <v>8001</v>
      </c>
      <c r="R2015" s="84" t="s">
        <v>1840</v>
      </c>
      <c r="S2015" s="84">
        <v>0.126</v>
      </c>
      <c r="T2015" s="82" t="s">
        <v>4091</v>
      </c>
      <c r="U2015" s="84" t="s">
        <v>3584</v>
      </c>
      <c r="V2015" s="54"/>
    </row>
    <row r="2016" spans="1:22" s="11" customFormat="1" ht="45" customHeight="1" x14ac:dyDescent="0.2">
      <c r="A2016" s="66" t="s">
        <v>3577</v>
      </c>
      <c r="B2016" s="66" t="s">
        <v>1707</v>
      </c>
      <c r="C2016" s="66" t="s">
        <v>3578</v>
      </c>
      <c r="D2016" s="66">
        <v>80231</v>
      </c>
      <c r="E2016" s="68" t="s">
        <v>8002</v>
      </c>
      <c r="F2016" s="66" t="s">
        <v>8003</v>
      </c>
      <c r="G2016" s="71">
        <v>0</v>
      </c>
      <c r="H2016" s="73"/>
      <c r="I2016" s="75">
        <v>0.1</v>
      </c>
      <c r="J2016" s="77"/>
      <c r="K2016" s="66"/>
      <c r="L2016" s="66"/>
      <c r="M2016" s="79" t="str">
        <f>HYPERLINK("http://www.pristavka.com/catalog/funko/Fun80231/")</f>
        <v>http://www.pristavka.com/catalog/funko/Fun80231/</v>
      </c>
      <c r="N2016" s="71"/>
      <c r="O2016" s="66" t="s">
        <v>27</v>
      </c>
      <c r="P2016" s="82" t="s">
        <v>8004</v>
      </c>
      <c r="Q2016" s="84" t="s">
        <v>1840</v>
      </c>
      <c r="R2016" s="84" t="s">
        <v>1840</v>
      </c>
      <c r="S2016" s="84">
        <v>0.16700000000000001</v>
      </c>
      <c r="T2016" s="82" t="s">
        <v>4091</v>
      </c>
      <c r="U2016" s="84" t="s">
        <v>3584</v>
      </c>
      <c r="V2016" s="54"/>
    </row>
    <row r="2017" spans="1:22" s="11" customFormat="1" ht="45" customHeight="1" x14ac:dyDescent="0.2">
      <c r="A2017" s="66" t="s">
        <v>3577</v>
      </c>
      <c r="B2017" s="66" t="s">
        <v>1707</v>
      </c>
      <c r="C2017" s="66" t="s">
        <v>3578</v>
      </c>
      <c r="D2017" s="66">
        <v>81172</v>
      </c>
      <c r="E2017" s="68" t="s">
        <v>8005</v>
      </c>
      <c r="F2017" s="66" t="s">
        <v>8006</v>
      </c>
      <c r="G2017" s="71">
        <v>6500</v>
      </c>
      <c r="H2017" s="73"/>
      <c r="I2017" s="75">
        <v>0.1</v>
      </c>
      <c r="J2017" s="77"/>
      <c r="K2017" s="66"/>
      <c r="L2017" s="66"/>
      <c r="M2017" s="79" t="str">
        <f>HYPERLINK("http://www.pristavka.com/catalog/funko/Fun81172/")</f>
        <v>http://www.pristavka.com/catalog/funko/Fun81172/</v>
      </c>
      <c r="N2017" s="71">
        <v>9999</v>
      </c>
      <c r="O2017" s="66" t="s">
        <v>27</v>
      </c>
      <c r="P2017" s="82" t="s">
        <v>8007</v>
      </c>
      <c r="Q2017" s="84" t="s">
        <v>8008</v>
      </c>
      <c r="R2017" s="84" t="s">
        <v>8009</v>
      </c>
      <c r="S2017" s="84">
        <v>0.14499999999999999</v>
      </c>
      <c r="T2017" s="82" t="s">
        <v>4084</v>
      </c>
      <c r="U2017" s="84" t="s">
        <v>3584</v>
      </c>
      <c r="V2017" s="54"/>
    </row>
    <row r="2018" spans="1:22" s="11" customFormat="1" ht="45" customHeight="1" x14ac:dyDescent="0.2">
      <c r="A2018" s="66" t="s">
        <v>3577</v>
      </c>
      <c r="B2018" s="66" t="s">
        <v>1707</v>
      </c>
      <c r="C2018" s="66" t="s">
        <v>3578</v>
      </c>
      <c r="D2018" s="66">
        <v>74278</v>
      </c>
      <c r="E2018" s="68" t="s">
        <v>8010</v>
      </c>
      <c r="F2018" s="66" t="s">
        <v>8011</v>
      </c>
      <c r="G2018" s="71">
        <v>0</v>
      </c>
      <c r="H2018" s="73"/>
      <c r="I2018" s="75">
        <v>0.1</v>
      </c>
      <c r="J2018" s="77"/>
      <c r="K2018" s="66"/>
      <c r="L2018" s="66"/>
      <c r="M2018" s="79" t="str">
        <f>HYPERLINK("http://www.pristavka.com/catalog/funko/Fun74278/")</f>
        <v>http://www.pristavka.com/catalog/funko/Fun74278/</v>
      </c>
      <c r="N2018" s="71"/>
      <c r="O2018" s="66" t="s">
        <v>27</v>
      </c>
      <c r="P2018" s="82" t="s">
        <v>8012</v>
      </c>
      <c r="Q2018" s="84" t="s">
        <v>1840</v>
      </c>
      <c r="R2018" s="84" t="s">
        <v>1840</v>
      </c>
      <c r="S2018" s="84">
        <v>0.216</v>
      </c>
      <c r="T2018" s="82" t="s">
        <v>4113</v>
      </c>
      <c r="U2018" s="84" t="s">
        <v>3584</v>
      </c>
      <c r="V2018" s="54"/>
    </row>
    <row r="2019" spans="1:22" s="11" customFormat="1" ht="45" customHeight="1" x14ac:dyDescent="0.2">
      <c r="A2019" s="66" t="s">
        <v>3577</v>
      </c>
      <c r="B2019" s="66" t="s">
        <v>1707</v>
      </c>
      <c r="C2019" s="66" t="s">
        <v>3578</v>
      </c>
      <c r="D2019" s="66">
        <v>67870</v>
      </c>
      <c r="E2019" s="68" t="s">
        <v>8013</v>
      </c>
      <c r="F2019" s="66" t="s">
        <v>8014</v>
      </c>
      <c r="G2019" s="71">
        <v>0</v>
      </c>
      <c r="H2019" s="73"/>
      <c r="I2019" s="75">
        <v>0.1</v>
      </c>
      <c r="J2019" s="77"/>
      <c r="K2019" s="66"/>
      <c r="L2019" s="66"/>
      <c r="M2019" s="79" t="str">
        <f>HYPERLINK("http://www.pristavka.com/catalog/funko/Fun67870/")</f>
        <v>http://www.pristavka.com/catalog/funko/Fun67870/</v>
      </c>
      <c r="N2019" s="71"/>
      <c r="O2019" s="66" t="s">
        <v>27</v>
      </c>
      <c r="P2019" s="82" t="s">
        <v>8015</v>
      </c>
      <c r="Q2019" s="84" t="s">
        <v>1765</v>
      </c>
      <c r="R2019" s="84" t="s">
        <v>3327</v>
      </c>
      <c r="S2019" s="84">
        <v>0.13</v>
      </c>
      <c r="T2019" s="82" t="s">
        <v>4084</v>
      </c>
      <c r="U2019" s="84" t="s">
        <v>3584</v>
      </c>
      <c r="V2019" s="54"/>
    </row>
    <row r="2020" spans="1:22" s="11" customFormat="1" ht="45" customHeight="1" x14ac:dyDescent="0.2">
      <c r="A2020" s="66" t="s">
        <v>3577</v>
      </c>
      <c r="B2020" s="66" t="s">
        <v>1707</v>
      </c>
      <c r="C2020" s="66" t="s">
        <v>3578</v>
      </c>
      <c r="D2020" s="66">
        <v>83451</v>
      </c>
      <c r="E2020" s="68" t="s">
        <v>8016</v>
      </c>
      <c r="F2020" s="66" t="s">
        <v>8017</v>
      </c>
      <c r="G2020" s="71">
        <v>0</v>
      </c>
      <c r="H2020" s="73"/>
      <c r="I2020" s="75">
        <v>0.1</v>
      </c>
      <c r="J2020" s="77"/>
      <c r="K2020" s="66"/>
      <c r="L2020" s="66"/>
      <c r="M2020" s="79" t="str">
        <f>HYPERLINK("http://www.pristavka.com/catalog/funko/Fun83451/")</f>
        <v>http://www.pristavka.com/catalog/funko/Fun83451/</v>
      </c>
      <c r="N2020" s="71"/>
      <c r="O2020" s="66" t="s">
        <v>27</v>
      </c>
      <c r="P2020" s="82" t="s">
        <v>8018</v>
      </c>
      <c r="Q2020" s="84" t="s">
        <v>8019</v>
      </c>
      <c r="R2020" s="84" t="s">
        <v>1298</v>
      </c>
      <c r="S2020" s="84">
        <v>0.105</v>
      </c>
      <c r="T2020" s="82" t="s">
        <v>4084</v>
      </c>
      <c r="U2020" s="84" t="s">
        <v>3584</v>
      </c>
      <c r="V2020" s="54"/>
    </row>
    <row r="2021" spans="1:22" s="11" customFormat="1" ht="45" customHeight="1" x14ac:dyDescent="0.2">
      <c r="A2021" s="66" t="s">
        <v>3577</v>
      </c>
      <c r="B2021" s="66" t="s">
        <v>1707</v>
      </c>
      <c r="C2021" s="66" t="s">
        <v>3578</v>
      </c>
      <c r="D2021" s="66">
        <v>83452</v>
      </c>
      <c r="E2021" s="68" t="s">
        <v>8020</v>
      </c>
      <c r="F2021" s="66" t="s">
        <v>8021</v>
      </c>
      <c r="G2021" s="71">
        <v>0</v>
      </c>
      <c r="H2021" s="73"/>
      <c r="I2021" s="75">
        <v>0.1</v>
      </c>
      <c r="J2021" s="77"/>
      <c r="K2021" s="66"/>
      <c r="L2021" s="66"/>
      <c r="M2021" s="79" t="str">
        <f>HYPERLINK("http://www.pristavka.com/catalog/funko/Fun83452/")</f>
        <v>http://www.pristavka.com/catalog/funko/Fun83452/</v>
      </c>
      <c r="N2021" s="71"/>
      <c r="O2021" s="66" t="s">
        <v>27</v>
      </c>
      <c r="P2021" s="82" t="s">
        <v>8022</v>
      </c>
      <c r="Q2021" s="84" t="s">
        <v>8019</v>
      </c>
      <c r="R2021" s="84" t="s">
        <v>1298</v>
      </c>
      <c r="S2021" s="84">
        <v>0.11600000000000001</v>
      </c>
      <c r="T2021" s="82" t="s">
        <v>4091</v>
      </c>
      <c r="U2021" s="84" t="s">
        <v>3584</v>
      </c>
      <c r="V2021" s="54"/>
    </row>
    <row r="2022" spans="1:22" s="11" customFormat="1" ht="45" customHeight="1" x14ac:dyDescent="0.2">
      <c r="A2022" s="66" t="s">
        <v>3577</v>
      </c>
      <c r="B2022" s="66" t="s">
        <v>1707</v>
      </c>
      <c r="C2022" s="66" t="s">
        <v>3578</v>
      </c>
      <c r="D2022" s="66">
        <v>76022</v>
      </c>
      <c r="E2022" s="68" t="s">
        <v>8023</v>
      </c>
      <c r="F2022" s="66" t="s">
        <v>8024</v>
      </c>
      <c r="G2022" s="71">
        <v>6500</v>
      </c>
      <c r="H2022" s="73"/>
      <c r="I2022" s="75">
        <v>0.1</v>
      </c>
      <c r="J2022" s="77"/>
      <c r="K2022" s="66"/>
      <c r="L2022" s="66"/>
      <c r="M2022" s="79" t="str">
        <f>HYPERLINK("http://www.pristavka.com/catalog/funko/Fun76022/")</f>
        <v>http://www.pristavka.com/catalog/funko/Fun76022/</v>
      </c>
      <c r="N2022" s="71">
        <v>9999</v>
      </c>
      <c r="O2022" s="66" t="s">
        <v>27</v>
      </c>
      <c r="P2022" s="82" t="s">
        <v>8025</v>
      </c>
      <c r="Q2022" s="84" t="s">
        <v>8026</v>
      </c>
      <c r="R2022" s="84" t="s">
        <v>1840</v>
      </c>
      <c r="S2022" s="84">
        <v>0.13800000000000001</v>
      </c>
      <c r="T2022" s="82" t="s">
        <v>4091</v>
      </c>
      <c r="U2022" s="84" t="s">
        <v>3584</v>
      </c>
      <c r="V2022" s="54"/>
    </row>
    <row r="2023" spans="1:22" s="11" customFormat="1" ht="45" customHeight="1" x14ac:dyDescent="0.2">
      <c r="A2023" s="66" t="s">
        <v>3577</v>
      </c>
      <c r="B2023" s="66" t="s">
        <v>1707</v>
      </c>
      <c r="C2023" s="66" t="s">
        <v>3578</v>
      </c>
      <c r="D2023" s="66">
        <v>76023</v>
      </c>
      <c r="E2023" s="68" t="s">
        <v>8027</v>
      </c>
      <c r="F2023" s="66" t="s">
        <v>8028</v>
      </c>
      <c r="G2023" s="71">
        <v>6500</v>
      </c>
      <c r="H2023" s="73"/>
      <c r="I2023" s="75">
        <v>0.1</v>
      </c>
      <c r="J2023" s="77"/>
      <c r="K2023" s="66"/>
      <c r="L2023" s="66"/>
      <c r="M2023" s="79" t="str">
        <f>HYPERLINK("http://www.pristavka.com/catalog/funko/Fun76023/")</f>
        <v>http://www.pristavka.com/catalog/funko/Fun76023/</v>
      </c>
      <c r="N2023" s="71">
        <v>9999</v>
      </c>
      <c r="O2023" s="66" t="s">
        <v>27</v>
      </c>
      <c r="P2023" s="82" t="s">
        <v>8029</v>
      </c>
      <c r="Q2023" s="84" t="s">
        <v>8026</v>
      </c>
      <c r="R2023" s="84" t="s">
        <v>1840</v>
      </c>
      <c r="S2023" s="84">
        <v>0.128</v>
      </c>
      <c r="T2023" s="82" t="s">
        <v>4113</v>
      </c>
      <c r="U2023" s="84" t="s">
        <v>3584</v>
      </c>
      <c r="V2023" s="54"/>
    </row>
    <row r="2024" spans="1:22" s="11" customFormat="1" ht="45" customHeight="1" x14ac:dyDescent="0.2">
      <c r="A2024" s="66" t="s">
        <v>3577</v>
      </c>
      <c r="B2024" s="66" t="s">
        <v>1707</v>
      </c>
      <c r="C2024" s="66" t="s">
        <v>3578</v>
      </c>
      <c r="D2024" s="66">
        <v>76024</v>
      </c>
      <c r="E2024" s="68" t="s">
        <v>8030</v>
      </c>
      <c r="F2024" s="66" t="s">
        <v>8031</v>
      </c>
      <c r="G2024" s="71">
        <v>6500</v>
      </c>
      <c r="H2024" s="73"/>
      <c r="I2024" s="75">
        <v>0.1</v>
      </c>
      <c r="J2024" s="77"/>
      <c r="K2024" s="66"/>
      <c r="L2024" s="66"/>
      <c r="M2024" s="79" t="str">
        <f>HYPERLINK("http://www.pristavka.com/catalog/funko/Fun76024/")</f>
        <v>http://www.pristavka.com/catalog/funko/Fun76024/</v>
      </c>
      <c r="N2024" s="71">
        <v>9999</v>
      </c>
      <c r="O2024" s="66" t="s">
        <v>27</v>
      </c>
      <c r="P2024" s="82" t="s">
        <v>8032</v>
      </c>
      <c r="Q2024" s="84" t="s">
        <v>8026</v>
      </c>
      <c r="R2024" s="84" t="s">
        <v>1840</v>
      </c>
      <c r="S2024" s="84">
        <v>0.185</v>
      </c>
      <c r="T2024" s="82" t="s">
        <v>4084</v>
      </c>
      <c r="U2024" s="84" t="s">
        <v>3584</v>
      </c>
      <c r="V2024" s="54"/>
    </row>
    <row r="2025" spans="1:22" s="11" customFormat="1" ht="45" customHeight="1" x14ac:dyDescent="0.2">
      <c r="A2025" s="66" t="s">
        <v>3577</v>
      </c>
      <c r="B2025" s="66" t="s">
        <v>1707</v>
      </c>
      <c r="C2025" s="66" t="s">
        <v>3578</v>
      </c>
      <c r="D2025" s="66">
        <v>76025</v>
      </c>
      <c r="E2025" s="68" t="s">
        <v>8033</v>
      </c>
      <c r="F2025" s="66" t="s">
        <v>8034</v>
      </c>
      <c r="G2025" s="71">
        <v>6500</v>
      </c>
      <c r="H2025" s="73"/>
      <c r="I2025" s="75">
        <v>0.1</v>
      </c>
      <c r="J2025" s="77"/>
      <c r="K2025" s="66"/>
      <c r="L2025" s="66"/>
      <c r="M2025" s="79" t="str">
        <f>HYPERLINK("http://www.pristavka.com/catalog/funko/Fun76025/")</f>
        <v>http://www.pristavka.com/catalog/funko/Fun76025/</v>
      </c>
      <c r="N2025" s="71">
        <v>9999</v>
      </c>
      <c r="O2025" s="66" t="s">
        <v>27</v>
      </c>
      <c r="P2025" s="82" t="s">
        <v>8035</v>
      </c>
      <c r="Q2025" s="84" t="s">
        <v>8026</v>
      </c>
      <c r="R2025" s="84" t="s">
        <v>1840</v>
      </c>
      <c r="S2025" s="84">
        <v>0.13500000000000001</v>
      </c>
      <c r="T2025" s="82" t="s">
        <v>4084</v>
      </c>
      <c r="U2025" s="84" t="s">
        <v>3584</v>
      </c>
      <c r="V2025" s="54"/>
    </row>
    <row r="2026" spans="1:22" s="11" customFormat="1" ht="45" customHeight="1" x14ac:dyDescent="0.2">
      <c r="A2026" s="66" t="s">
        <v>3577</v>
      </c>
      <c r="B2026" s="66" t="s">
        <v>1707</v>
      </c>
      <c r="C2026" s="66" t="s">
        <v>3578</v>
      </c>
      <c r="D2026" s="66">
        <v>76026</v>
      </c>
      <c r="E2026" s="68" t="s">
        <v>8036</v>
      </c>
      <c r="F2026" s="66" t="s">
        <v>8037</v>
      </c>
      <c r="G2026" s="71">
        <v>6500</v>
      </c>
      <c r="H2026" s="73"/>
      <c r="I2026" s="75">
        <v>0.1</v>
      </c>
      <c r="J2026" s="77"/>
      <c r="K2026" s="66"/>
      <c r="L2026" s="66"/>
      <c r="M2026" s="79" t="str">
        <f>HYPERLINK("http://www.pristavka.com/catalog/funko/Fun76026/")</f>
        <v>http://www.pristavka.com/catalog/funko/Fun76026/</v>
      </c>
      <c r="N2026" s="71">
        <v>9999</v>
      </c>
      <c r="O2026" s="66" t="s">
        <v>27</v>
      </c>
      <c r="P2026" s="82" t="s">
        <v>8038</v>
      </c>
      <c r="Q2026" s="84" t="s">
        <v>8026</v>
      </c>
      <c r="R2026" s="84" t="s">
        <v>1840</v>
      </c>
      <c r="S2026" s="84">
        <v>0.152</v>
      </c>
      <c r="T2026" s="82" t="s">
        <v>4113</v>
      </c>
      <c r="U2026" s="84" t="s">
        <v>3584</v>
      </c>
      <c r="V2026" s="54"/>
    </row>
    <row r="2027" spans="1:22" s="11" customFormat="1" ht="45" customHeight="1" x14ac:dyDescent="0.2">
      <c r="A2027" s="66" t="s">
        <v>3577</v>
      </c>
      <c r="B2027" s="66" t="s">
        <v>1707</v>
      </c>
      <c r="C2027" s="66" t="s">
        <v>3578</v>
      </c>
      <c r="D2027" s="66">
        <v>80705</v>
      </c>
      <c r="E2027" s="68" t="s">
        <v>8039</v>
      </c>
      <c r="F2027" s="66" t="s">
        <v>8040</v>
      </c>
      <c r="G2027" s="71">
        <v>6500</v>
      </c>
      <c r="H2027" s="73"/>
      <c r="I2027" s="75">
        <v>0.1</v>
      </c>
      <c r="J2027" s="77"/>
      <c r="K2027" s="66"/>
      <c r="L2027" s="66"/>
      <c r="M2027" s="79" t="str">
        <f>HYPERLINK("http://www.pristavka.com/catalog/funko/Fun80705/")</f>
        <v>http://www.pristavka.com/catalog/funko/Fun80705/</v>
      </c>
      <c r="N2027" s="71">
        <v>9999</v>
      </c>
      <c r="O2027" s="66" t="s">
        <v>28</v>
      </c>
      <c r="P2027" s="82" t="s">
        <v>8041</v>
      </c>
      <c r="Q2027" s="84" t="s">
        <v>8042</v>
      </c>
      <c r="R2027" s="84" t="s">
        <v>6166</v>
      </c>
      <c r="S2027" s="84">
        <v>0.13200000000000001</v>
      </c>
      <c r="T2027" s="82" t="s">
        <v>4084</v>
      </c>
      <c r="U2027" s="84" t="s">
        <v>3584</v>
      </c>
      <c r="V2027" s="54"/>
    </row>
    <row r="2028" spans="1:22" s="11" customFormat="1" ht="45" customHeight="1" x14ac:dyDescent="0.2">
      <c r="A2028" s="66" t="s">
        <v>3577</v>
      </c>
      <c r="B2028" s="66" t="s">
        <v>1707</v>
      </c>
      <c r="C2028" s="66" t="s">
        <v>3578</v>
      </c>
      <c r="D2028" s="66">
        <v>82852</v>
      </c>
      <c r="E2028" s="68" t="s">
        <v>8043</v>
      </c>
      <c r="F2028" s="66" t="s">
        <v>8044</v>
      </c>
      <c r="G2028" s="71">
        <v>0</v>
      </c>
      <c r="H2028" s="73"/>
      <c r="I2028" s="75">
        <v>0.1</v>
      </c>
      <c r="J2028" s="77"/>
      <c r="K2028" s="66"/>
      <c r="L2028" s="66"/>
      <c r="M2028" s="79" t="str">
        <f>HYPERLINK("http://www.pristavka.com/catalog/funko/Fun82852/")</f>
        <v>http://www.pristavka.com/catalog/funko/Fun82852/</v>
      </c>
      <c r="N2028" s="71"/>
      <c r="O2028" s="66" t="s">
        <v>27</v>
      </c>
      <c r="P2028" s="82" t="s">
        <v>8045</v>
      </c>
      <c r="Q2028" s="84" t="s">
        <v>8046</v>
      </c>
      <c r="R2028" s="84" t="s">
        <v>6166</v>
      </c>
      <c r="S2028" s="84">
        <v>0.13200000000000001</v>
      </c>
      <c r="T2028" s="82" t="s">
        <v>4084</v>
      </c>
      <c r="U2028" s="84" t="s">
        <v>3584</v>
      </c>
      <c r="V2028" s="54"/>
    </row>
    <row r="2029" spans="1:22" s="11" customFormat="1" ht="45" customHeight="1" x14ac:dyDescent="0.2">
      <c r="A2029" s="66" t="s">
        <v>3577</v>
      </c>
      <c r="B2029" s="66" t="s">
        <v>1707</v>
      </c>
      <c r="C2029" s="66" t="s">
        <v>3578</v>
      </c>
      <c r="D2029" s="66">
        <v>59276</v>
      </c>
      <c r="E2029" s="68" t="s">
        <v>8047</v>
      </c>
      <c r="F2029" s="66" t="s">
        <v>8048</v>
      </c>
      <c r="G2029" s="71">
        <v>6500</v>
      </c>
      <c r="H2029" s="73"/>
      <c r="I2029" s="75">
        <v>0.1</v>
      </c>
      <c r="J2029" s="77"/>
      <c r="K2029" s="66"/>
      <c r="L2029" s="66"/>
      <c r="M2029" s="79" t="str">
        <f>HYPERLINK("http://www.pristavka.com/catalog/funko/Fun25492111/")</f>
        <v>http://www.pristavka.com/catalog/funko/Fun25492111/</v>
      </c>
      <c r="N2029" s="71">
        <v>9999</v>
      </c>
      <c r="O2029" s="66" t="s">
        <v>27</v>
      </c>
      <c r="P2029" s="82" t="s">
        <v>8049</v>
      </c>
      <c r="Q2029" s="84" t="s">
        <v>3604</v>
      </c>
      <c r="R2029" s="84" t="s">
        <v>3566</v>
      </c>
      <c r="S2029" s="84">
        <v>0.115</v>
      </c>
      <c r="T2029" s="82" t="s">
        <v>4370</v>
      </c>
      <c r="U2029" s="84" t="s">
        <v>3584</v>
      </c>
      <c r="V2029" s="54"/>
    </row>
    <row r="2030" spans="1:22" s="11" customFormat="1" ht="45" customHeight="1" x14ac:dyDescent="0.2">
      <c r="A2030" s="66" t="s">
        <v>3577</v>
      </c>
      <c r="B2030" s="66" t="s">
        <v>1707</v>
      </c>
      <c r="C2030" s="66" t="s">
        <v>3578</v>
      </c>
      <c r="D2030" s="66">
        <v>59278</v>
      </c>
      <c r="E2030" s="68" t="s">
        <v>8050</v>
      </c>
      <c r="F2030" s="66" t="s">
        <v>8051</v>
      </c>
      <c r="G2030" s="71">
        <v>6500</v>
      </c>
      <c r="H2030" s="73"/>
      <c r="I2030" s="75">
        <v>0.1</v>
      </c>
      <c r="J2030" s="77"/>
      <c r="K2030" s="66"/>
      <c r="L2030" s="66"/>
      <c r="M2030" s="79" t="str">
        <f>HYPERLINK("http://www.pristavka.com/catalog/funko/Fun25492112/")</f>
        <v>http://www.pristavka.com/catalog/funko/Fun25492112/</v>
      </c>
      <c r="N2030" s="71">
        <v>9999</v>
      </c>
      <c r="O2030" s="66" t="s">
        <v>27</v>
      </c>
      <c r="P2030" s="82" t="s">
        <v>8052</v>
      </c>
      <c r="Q2030" s="84" t="s">
        <v>3604</v>
      </c>
      <c r="R2030" s="84" t="s">
        <v>3566</v>
      </c>
      <c r="S2030" s="84">
        <v>0.11700000000000001</v>
      </c>
      <c r="T2030" s="82" t="s">
        <v>4370</v>
      </c>
      <c r="U2030" s="84" t="s">
        <v>3584</v>
      </c>
      <c r="V2030" s="54"/>
    </row>
    <row r="2031" spans="1:22" s="11" customFormat="1" ht="45" customHeight="1" x14ac:dyDescent="0.2">
      <c r="A2031" s="66" t="s">
        <v>3577</v>
      </c>
      <c r="B2031" s="66" t="s">
        <v>1707</v>
      </c>
      <c r="C2031" s="66" t="s">
        <v>3578</v>
      </c>
      <c r="D2031" s="66">
        <v>83557</v>
      </c>
      <c r="E2031" s="68" t="s">
        <v>8053</v>
      </c>
      <c r="F2031" s="66" t="s">
        <v>8054</v>
      </c>
      <c r="G2031" s="71">
        <v>6500</v>
      </c>
      <c r="H2031" s="73"/>
      <c r="I2031" s="75">
        <v>0.1</v>
      </c>
      <c r="J2031" s="77"/>
      <c r="K2031" s="66"/>
      <c r="L2031" s="66"/>
      <c r="M2031" s="79" t="str">
        <f>HYPERLINK("http://www.pristavka.com/catalog/funko/Fun83557/")</f>
        <v>http://www.pristavka.com/catalog/funko/Fun83557/</v>
      </c>
      <c r="N2031" s="71">
        <v>9999</v>
      </c>
      <c r="O2031" s="66" t="s">
        <v>27</v>
      </c>
      <c r="P2031" s="82" t="s">
        <v>8055</v>
      </c>
      <c r="Q2031" s="84" t="s">
        <v>6166</v>
      </c>
      <c r="R2031" s="84" t="s">
        <v>6166</v>
      </c>
      <c r="S2031" s="84">
        <v>0.124</v>
      </c>
      <c r="T2031" s="82" t="s">
        <v>4084</v>
      </c>
      <c r="U2031" s="84" t="s">
        <v>3584</v>
      </c>
      <c r="V2031" s="54"/>
    </row>
    <row r="2032" spans="1:22" s="11" customFormat="1" ht="45" customHeight="1" x14ac:dyDescent="0.2">
      <c r="A2032" s="66" t="s">
        <v>3577</v>
      </c>
      <c r="B2032" s="66" t="s">
        <v>1707</v>
      </c>
      <c r="C2032" s="66" t="s">
        <v>3578</v>
      </c>
      <c r="D2032" s="66">
        <v>83558</v>
      </c>
      <c r="E2032" s="68" t="s">
        <v>8056</v>
      </c>
      <c r="F2032" s="66" t="s">
        <v>8057</v>
      </c>
      <c r="G2032" s="71">
        <v>6500</v>
      </c>
      <c r="H2032" s="73"/>
      <c r="I2032" s="75">
        <v>0.1</v>
      </c>
      <c r="J2032" s="77"/>
      <c r="K2032" s="66"/>
      <c r="L2032" s="66"/>
      <c r="M2032" s="79" t="str">
        <f>HYPERLINK("http://www.pristavka.com/catalog/funko/Fun83558/")</f>
        <v>http://www.pristavka.com/catalog/funko/Fun83558/</v>
      </c>
      <c r="N2032" s="71">
        <v>9999</v>
      </c>
      <c r="O2032" s="66" t="s">
        <v>27</v>
      </c>
      <c r="P2032" s="82" t="s">
        <v>8058</v>
      </c>
      <c r="Q2032" s="84" t="s">
        <v>6166</v>
      </c>
      <c r="R2032" s="84" t="s">
        <v>6166</v>
      </c>
      <c r="S2032" s="84">
        <v>0.115</v>
      </c>
      <c r="T2032" s="82" t="s">
        <v>4084</v>
      </c>
      <c r="U2032" s="84" t="s">
        <v>3584</v>
      </c>
      <c r="V2032" s="54"/>
    </row>
    <row r="2033" spans="1:22" s="11" customFormat="1" ht="45" customHeight="1" x14ac:dyDescent="0.2">
      <c r="A2033" s="66" t="s">
        <v>3577</v>
      </c>
      <c r="B2033" s="66" t="s">
        <v>1707</v>
      </c>
      <c r="C2033" s="66" t="s">
        <v>3578</v>
      </c>
      <c r="D2033" s="66">
        <v>83559</v>
      </c>
      <c r="E2033" s="68" t="s">
        <v>8059</v>
      </c>
      <c r="F2033" s="66" t="s">
        <v>8060</v>
      </c>
      <c r="G2033" s="71">
        <v>6500</v>
      </c>
      <c r="H2033" s="73"/>
      <c r="I2033" s="75">
        <v>0.1</v>
      </c>
      <c r="J2033" s="77"/>
      <c r="K2033" s="66"/>
      <c r="L2033" s="66"/>
      <c r="M2033" s="79" t="str">
        <f>HYPERLINK("http://www.pristavka.com/catalog/funko/Fun83559/")</f>
        <v>http://www.pristavka.com/catalog/funko/Fun83559/</v>
      </c>
      <c r="N2033" s="71">
        <v>9999</v>
      </c>
      <c r="O2033" s="66" t="s">
        <v>27</v>
      </c>
      <c r="P2033" s="82" t="s">
        <v>8061</v>
      </c>
      <c r="Q2033" s="84" t="s">
        <v>6166</v>
      </c>
      <c r="R2033" s="84" t="s">
        <v>6166</v>
      </c>
      <c r="S2033" s="84">
        <v>0.13600000000000001</v>
      </c>
      <c r="T2033" s="82" t="s">
        <v>4113</v>
      </c>
      <c r="U2033" s="84" t="s">
        <v>3584</v>
      </c>
      <c r="V2033" s="54"/>
    </row>
    <row r="2034" spans="1:22" s="11" customFormat="1" ht="45" customHeight="1" x14ac:dyDescent="0.2">
      <c r="A2034" s="66" t="s">
        <v>3577</v>
      </c>
      <c r="B2034" s="66" t="s">
        <v>1707</v>
      </c>
      <c r="C2034" s="66" t="s">
        <v>3578</v>
      </c>
      <c r="D2034" s="66">
        <v>83560</v>
      </c>
      <c r="E2034" s="68" t="s">
        <v>8062</v>
      </c>
      <c r="F2034" s="66" t="s">
        <v>8063</v>
      </c>
      <c r="G2034" s="71">
        <v>6500</v>
      </c>
      <c r="H2034" s="73"/>
      <c r="I2034" s="75">
        <v>0.1</v>
      </c>
      <c r="J2034" s="77"/>
      <c r="K2034" s="66"/>
      <c r="L2034" s="66"/>
      <c r="M2034" s="79" t="str">
        <f>HYPERLINK("http://www.pristavka.com/catalog/funko/Fun83560/")</f>
        <v>http://www.pristavka.com/catalog/funko/Fun83560/</v>
      </c>
      <c r="N2034" s="71">
        <v>9999</v>
      </c>
      <c r="O2034" s="66" t="s">
        <v>27</v>
      </c>
      <c r="P2034" s="82" t="s">
        <v>8064</v>
      </c>
      <c r="Q2034" s="84" t="s">
        <v>6166</v>
      </c>
      <c r="R2034" s="84" t="s">
        <v>6166</v>
      </c>
      <c r="S2034" s="84">
        <v>0.12</v>
      </c>
      <c r="T2034" s="82" t="s">
        <v>4113</v>
      </c>
      <c r="U2034" s="84" t="s">
        <v>3584</v>
      </c>
      <c r="V2034" s="54"/>
    </row>
    <row r="2035" spans="1:22" s="11" customFormat="1" ht="45" customHeight="1" x14ac:dyDescent="0.2">
      <c r="A2035" s="66" t="s">
        <v>3577</v>
      </c>
      <c r="B2035" s="66" t="s">
        <v>1707</v>
      </c>
      <c r="C2035" s="66" t="s">
        <v>3578</v>
      </c>
      <c r="D2035" s="66">
        <v>83561</v>
      </c>
      <c r="E2035" s="68" t="s">
        <v>8065</v>
      </c>
      <c r="F2035" s="66" t="s">
        <v>8066</v>
      </c>
      <c r="G2035" s="71">
        <v>6500</v>
      </c>
      <c r="H2035" s="73"/>
      <c r="I2035" s="75">
        <v>0.1</v>
      </c>
      <c r="J2035" s="77"/>
      <c r="K2035" s="66"/>
      <c r="L2035" s="66"/>
      <c r="M2035" s="79" t="str">
        <f>HYPERLINK("http://www.pristavka.com/catalog/funko/Fun83561/")</f>
        <v>http://www.pristavka.com/catalog/funko/Fun83561/</v>
      </c>
      <c r="N2035" s="71">
        <v>9999</v>
      </c>
      <c r="O2035" s="66" t="s">
        <v>27</v>
      </c>
      <c r="P2035" s="82" t="s">
        <v>8067</v>
      </c>
      <c r="Q2035" s="84" t="s">
        <v>6166</v>
      </c>
      <c r="R2035" s="84" t="s">
        <v>6166</v>
      </c>
      <c r="S2035" s="84">
        <v>0.12</v>
      </c>
      <c r="T2035" s="82" t="s">
        <v>4113</v>
      </c>
      <c r="U2035" s="84" t="s">
        <v>3584</v>
      </c>
      <c r="V2035" s="54"/>
    </row>
    <row r="2036" spans="1:22" s="11" customFormat="1" ht="45" customHeight="1" x14ac:dyDescent="0.2">
      <c r="A2036" s="66" t="s">
        <v>3577</v>
      </c>
      <c r="B2036" s="66" t="s">
        <v>1707</v>
      </c>
      <c r="C2036" s="66" t="s">
        <v>3578</v>
      </c>
      <c r="D2036" s="66">
        <v>80850</v>
      </c>
      <c r="E2036" s="68" t="s">
        <v>8068</v>
      </c>
      <c r="F2036" s="66" t="s">
        <v>8069</v>
      </c>
      <c r="G2036" s="71">
        <v>6500</v>
      </c>
      <c r="H2036" s="73"/>
      <c r="I2036" s="75">
        <v>0.1</v>
      </c>
      <c r="J2036" s="77"/>
      <c r="K2036" s="66"/>
      <c r="L2036" s="66"/>
      <c r="M2036" s="79" t="str">
        <f>HYPERLINK("http://www.pristavka.com/catalog/funko/Fun80850/")</f>
        <v>http://www.pristavka.com/catalog/funko/Fun80850/</v>
      </c>
      <c r="N2036" s="71">
        <v>9999</v>
      </c>
      <c r="O2036" s="66" t="s">
        <v>27</v>
      </c>
      <c r="P2036" s="82" t="s">
        <v>8070</v>
      </c>
      <c r="Q2036" s="84" t="s">
        <v>8071</v>
      </c>
      <c r="R2036" s="84" t="s">
        <v>1303</v>
      </c>
      <c r="S2036" s="84">
        <v>0.13700000000000001</v>
      </c>
      <c r="T2036" s="82" t="s">
        <v>4084</v>
      </c>
      <c r="U2036" s="84" t="s">
        <v>3584</v>
      </c>
      <c r="V2036" s="54"/>
    </row>
    <row r="2037" spans="1:22" s="11" customFormat="1" ht="45" customHeight="1" x14ac:dyDescent="0.2">
      <c r="A2037" s="66" t="s">
        <v>3577</v>
      </c>
      <c r="B2037" s="66" t="s">
        <v>1707</v>
      </c>
      <c r="C2037" s="66" t="s">
        <v>3578</v>
      </c>
      <c r="D2037" s="66">
        <v>80851</v>
      </c>
      <c r="E2037" s="68" t="s">
        <v>8072</v>
      </c>
      <c r="F2037" s="66" t="s">
        <v>8073</v>
      </c>
      <c r="G2037" s="71">
        <v>6500</v>
      </c>
      <c r="H2037" s="73"/>
      <c r="I2037" s="75">
        <v>0.1</v>
      </c>
      <c r="J2037" s="77"/>
      <c r="K2037" s="66"/>
      <c r="L2037" s="66"/>
      <c r="M2037" s="79" t="str">
        <f>HYPERLINK("http://www.pristavka.com/catalog/funko/Fun80851/")</f>
        <v>http://www.pristavka.com/catalog/funko/Fun80851/</v>
      </c>
      <c r="N2037" s="71">
        <v>9999</v>
      </c>
      <c r="O2037" s="66" t="s">
        <v>27</v>
      </c>
      <c r="P2037" s="82" t="s">
        <v>8074</v>
      </c>
      <c r="Q2037" s="84" t="s">
        <v>8071</v>
      </c>
      <c r="R2037" s="84" t="s">
        <v>1303</v>
      </c>
      <c r="S2037" s="84">
        <v>0.122</v>
      </c>
      <c r="T2037" s="82" t="s">
        <v>4084</v>
      </c>
      <c r="U2037" s="84" t="s">
        <v>3584</v>
      </c>
      <c r="V2037" s="54"/>
    </row>
    <row r="2038" spans="1:22" s="11" customFormat="1" ht="45" customHeight="1" x14ac:dyDescent="0.2">
      <c r="A2038" s="66" t="s">
        <v>3577</v>
      </c>
      <c r="B2038" s="66" t="s">
        <v>1707</v>
      </c>
      <c r="C2038" s="66" t="s">
        <v>3578</v>
      </c>
      <c r="D2038" s="66">
        <v>72379</v>
      </c>
      <c r="E2038" s="68" t="s">
        <v>8075</v>
      </c>
      <c r="F2038" s="66" t="s">
        <v>8076</v>
      </c>
      <c r="G2038" s="71">
        <v>6500</v>
      </c>
      <c r="H2038" s="73"/>
      <c r="I2038" s="75">
        <v>0.1</v>
      </c>
      <c r="J2038" s="77"/>
      <c r="K2038" s="66"/>
      <c r="L2038" s="66"/>
      <c r="M2038" s="79" t="str">
        <f>HYPERLINK("http://www.pristavka.com/catalog/funko/Fun72379/")</f>
        <v>http://www.pristavka.com/catalog/funko/Fun72379/</v>
      </c>
      <c r="N2038" s="71">
        <v>9999</v>
      </c>
      <c r="O2038" s="66" t="s">
        <v>27</v>
      </c>
      <c r="P2038" s="82" t="s">
        <v>8077</v>
      </c>
      <c r="Q2038" s="84" t="s">
        <v>8078</v>
      </c>
      <c r="R2038" s="84" t="s">
        <v>1840</v>
      </c>
      <c r="S2038" s="84">
        <v>0.13900000000000001</v>
      </c>
      <c r="T2038" s="82" t="s">
        <v>4084</v>
      </c>
      <c r="U2038" s="84" t="s">
        <v>3584</v>
      </c>
      <c r="V2038" s="54"/>
    </row>
    <row r="2039" spans="1:22" s="11" customFormat="1" ht="45" customHeight="1" x14ac:dyDescent="0.2">
      <c r="A2039" s="66" t="s">
        <v>3577</v>
      </c>
      <c r="B2039" s="66" t="s">
        <v>1707</v>
      </c>
      <c r="C2039" s="66" t="s">
        <v>3578</v>
      </c>
      <c r="D2039" s="66">
        <v>72380</v>
      </c>
      <c r="E2039" s="68" t="s">
        <v>8079</v>
      </c>
      <c r="F2039" s="66" t="s">
        <v>8080</v>
      </c>
      <c r="G2039" s="71">
        <v>6500</v>
      </c>
      <c r="H2039" s="73"/>
      <c r="I2039" s="75">
        <v>0.1</v>
      </c>
      <c r="J2039" s="77"/>
      <c r="K2039" s="66"/>
      <c r="L2039" s="66"/>
      <c r="M2039" s="79" t="str">
        <f>HYPERLINK("http://www.pristavka.com/catalog/funko/Fun72380/")</f>
        <v>http://www.pristavka.com/catalog/funko/Fun72380/</v>
      </c>
      <c r="N2039" s="71">
        <v>9999</v>
      </c>
      <c r="O2039" s="66" t="s">
        <v>27</v>
      </c>
      <c r="P2039" s="82" t="s">
        <v>8081</v>
      </c>
      <c r="Q2039" s="84" t="s">
        <v>8078</v>
      </c>
      <c r="R2039" s="84" t="s">
        <v>1840</v>
      </c>
      <c r="S2039" s="84">
        <v>0.14599999999999999</v>
      </c>
      <c r="T2039" s="82" t="s">
        <v>4102</v>
      </c>
      <c r="U2039" s="84" t="s">
        <v>3584</v>
      </c>
      <c r="V2039" s="54"/>
    </row>
    <row r="2040" spans="1:22" s="11" customFormat="1" ht="45" customHeight="1" x14ac:dyDescent="0.2">
      <c r="A2040" s="66" t="s">
        <v>3577</v>
      </c>
      <c r="B2040" s="66" t="s">
        <v>1707</v>
      </c>
      <c r="C2040" s="66" t="s">
        <v>3578</v>
      </c>
      <c r="D2040" s="66">
        <v>79761</v>
      </c>
      <c r="E2040" s="68" t="s">
        <v>8082</v>
      </c>
      <c r="F2040" s="66" t="s">
        <v>8083</v>
      </c>
      <c r="G2040" s="71">
        <v>6500</v>
      </c>
      <c r="H2040" s="73"/>
      <c r="I2040" s="75">
        <v>0.1</v>
      </c>
      <c r="J2040" s="77"/>
      <c r="K2040" s="66"/>
      <c r="L2040" s="66"/>
      <c r="M2040" s="79" t="str">
        <f>HYPERLINK("http://www.pristavka.com/catalog/funko/Fun79761/")</f>
        <v>http://www.pristavka.com/catalog/funko/Fun79761/</v>
      </c>
      <c r="N2040" s="71">
        <v>9999</v>
      </c>
      <c r="O2040" s="66" t="s">
        <v>27</v>
      </c>
      <c r="P2040" s="82" t="s">
        <v>8084</v>
      </c>
      <c r="Q2040" s="84" t="s">
        <v>1223</v>
      </c>
      <c r="R2040" s="84" t="s">
        <v>1303</v>
      </c>
      <c r="S2040" s="84">
        <v>0.13200000000000001</v>
      </c>
      <c r="T2040" s="82" t="s">
        <v>4084</v>
      </c>
      <c r="U2040" s="84" t="s">
        <v>3584</v>
      </c>
      <c r="V2040" s="54"/>
    </row>
    <row r="2041" spans="1:22" s="11" customFormat="1" ht="45" customHeight="1" x14ac:dyDescent="0.2">
      <c r="A2041" s="66" t="s">
        <v>3577</v>
      </c>
      <c r="B2041" s="66" t="s">
        <v>1707</v>
      </c>
      <c r="C2041" s="66" t="s">
        <v>3578</v>
      </c>
      <c r="D2041" s="66">
        <v>79760</v>
      </c>
      <c r="E2041" s="68" t="s">
        <v>8085</v>
      </c>
      <c r="F2041" s="66" t="s">
        <v>8086</v>
      </c>
      <c r="G2041" s="71">
        <v>6500</v>
      </c>
      <c r="H2041" s="73"/>
      <c r="I2041" s="75">
        <v>0.1</v>
      </c>
      <c r="J2041" s="77"/>
      <c r="K2041" s="66"/>
      <c r="L2041" s="66"/>
      <c r="M2041" s="79" t="str">
        <f>HYPERLINK("http://www.pristavka.com/catalog/funko/Fun79760/")</f>
        <v>http://www.pristavka.com/catalog/funko/Fun79760/</v>
      </c>
      <c r="N2041" s="71">
        <v>9999</v>
      </c>
      <c r="O2041" s="66" t="s">
        <v>27</v>
      </c>
      <c r="P2041" s="82" t="s">
        <v>8087</v>
      </c>
      <c r="Q2041" s="84" t="s">
        <v>1223</v>
      </c>
      <c r="R2041" s="84" t="s">
        <v>1303</v>
      </c>
      <c r="S2041" s="84">
        <v>0.13200000000000001</v>
      </c>
      <c r="T2041" s="82" t="s">
        <v>4084</v>
      </c>
      <c r="U2041" s="84" t="s">
        <v>3584</v>
      </c>
      <c r="V2041" s="54"/>
    </row>
    <row r="2042" spans="1:22" s="11" customFormat="1" ht="45" customHeight="1" x14ac:dyDescent="0.2">
      <c r="A2042" s="66" t="s">
        <v>3577</v>
      </c>
      <c r="B2042" s="66" t="s">
        <v>1707</v>
      </c>
      <c r="C2042" s="66" t="s">
        <v>3578</v>
      </c>
      <c r="D2042" s="66">
        <v>6141</v>
      </c>
      <c r="E2042" s="68" t="s">
        <v>8088</v>
      </c>
      <c r="F2042" s="66" t="s">
        <v>8089</v>
      </c>
      <c r="G2042" s="71">
        <v>6500</v>
      </c>
      <c r="H2042" s="73"/>
      <c r="I2042" s="75">
        <v>0.1</v>
      </c>
      <c r="J2042" s="77"/>
      <c r="K2042" s="66"/>
      <c r="L2042" s="66"/>
      <c r="M2042" s="79" t="str">
        <f>HYPERLINK("http://www.pristavka.com/catalog/funko/Fun38/")</f>
        <v>http://www.pristavka.com/catalog/funko/Fun38/</v>
      </c>
      <c r="N2042" s="71">
        <v>9999</v>
      </c>
      <c r="O2042" s="66" t="s">
        <v>27</v>
      </c>
      <c r="P2042" s="82" t="s">
        <v>8090</v>
      </c>
      <c r="Q2042" s="84" t="s">
        <v>1223</v>
      </c>
      <c r="R2042" s="84" t="s">
        <v>1303</v>
      </c>
      <c r="S2042" s="84">
        <v>0.15</v>
      </c>
      <c r="T2042" s="82" t="s">
        <v>4574</v>
      </c>
      <c r="U2042" s="84" t="s">
        <v>3584</v>
      </c>
      <c r="V2042" s="54"/>
    </row>
    <row r="2043" spans="1:22" s="11" customFormat="1" ht="45" customHeight="1" x14ac:dyDescent="0.2">
      <c r="A2043" s="66" t="s">
        <v>3577</v>
      </c>
      <c r="B2043" s="66" t="s">
        <v>1707</v>
      </c>
      <c r="C2043" s="66" t="s">
        <v>3578</v>
      </c>
      <c r="D2043" s="66">
        <v>66377</v>
      </c>
      <c r="E2043" s="68" t="s">
        <v>8091</v>
      </c>
      <c r="F2043" s="66" t="s">
        <v>8092</v>
      </c>
      <c r="G2043" s="71">
        <v>6890</v>
      </c>
      <c r="H2043" s="73"/>
      <c r="I2043" s="75">
        <v>0.1</v>
      </c>
      <c r="J2043" s="77"/>
      <c r="K2043" s="66"/>
      <c r="L2043" s="66"/>
      <c r="M2043" s="79" t="str">
        <f>HYPERLINK("http://www.pristavka.com/catalog/funko/Fun66377/")</f>
        <v>http://www.pristavka.com/catalog/funko/Fun66377/</v>
      </c>
      <c r="N2043" s="71">
        <v>10599</v>
      </c>
      <c r="O2043" s="66" t="s">
        <v>27</v>
      </c>
      <c r="P2043" s="82" t="s">
        <v>8093</v>
      </c>
      <c r="Q2043" s="84" t="s">
        <v>8094</v>
      </c>
      <c r="R2043" s="84" t="s">
        <v>3566</v>
      </c>
      <c r="S2043" s="84">
        <v>0.124</v>
      </c>
      <c r="T2043" s="82" t="s">
        <v>4370</v>
      </c>
      <c r="U2043" s="84" t="s">
        <v>3584</v>
      </c>
      <c r="V2043" s="54"/>
    </row>
    <row r="2044" spans="1:22" s="11" customFormat="1" ht="45" customHeight="1" x14ac:dyDescent="0.2">
      <c r="A2044" s="66" t="s">
        <v>3577</v>
      </c>
      <c r="B2044" s="66" t="s">
        <v>1707</v>
      </c>
      <c r="C2044" s="66" t="s">
        <v>3578</v>
      </c>
      <c r="D2044" s="66">
        <v>65598</v>
      </c>
      <c r="E2044" s="68" t="s">
        <v>8095</v>
      </c>
      <c r="F2044" s="66" t="s">
        <v>8096</v>
      </c>
      <c r="G2044" s="71">
        <v>6500</v>
      </c>
      <c r="H2044" s="73"/>
      <c r="I2044" s="75">
        <v>0.1</v>
      </c>
      <c r="J2044" s="77"/>
      <c r="K2044" s="66"/>
      <c r="L2044" s="66"/>
      <c r="M2044" s="79" t="str">
        <f>HYPERLINK("http://www.pristavka.com/catalog/funko/Fun65598/")</f>
        <v>http://www.pristavka.com/catalog/funko/Fun65598/</v>
      </c>
      <c r="N2044" s="71">
        <v>9999</v>
      </c>
      <c r="O2044" s="66" t="s">
        <v>27</v>
      </c>
      <c r="P2044" s="82" t="s">
        <v>8097</v>
      </c>
      <c r="Q2044" s="84" t="s">
        <v>8094</v>
      </c>
      <c r="R2044" s="84" t="s">
        <v>3566</v>
      </c>
      <c r="S2044" s="84">
        <v>0.13400000000000001</v>
      </c>
      <c r="T2044" s="82" t="s">
        <v>4084</v>
      </c>
      <c r="U2044" s="84" t="s">
        <v>3584</v>
      </c>
      <c r="V2044" s="54"/>
    </row>
    <row r="2045" spans="1:22" s="11" customFormat="1" ht="45" customHeight="1" x14ac:dyDescent="0.2">
      <c r="A2045" s="66" t="s">
        <v>3577</v>
      </c>
      <c r="B2045" s="66" t="s">
        <v>1707</v>
      </c>
      <c r="C2045" s="66" t="s">
        <v>3578</v>
      </c>
      <c r="D2045" s="66">
        <v>75935</v>
      </c>
      <c r="E2045" s="68" t="s">
        <v>8098</v>
      </c>
      <c r="F2045" s="66" t="s">
        <v>8099</v>
      </c>
      <c r="G2045" s="71">
        <v>6500</v>
      </c>
      <c r="H2045" s="73"/>
      <c r="I2045" s="75">
        <v>0.1</v>
      </c>
      <c r="J2045" s="77"/>
      <c r="K2045" s="66"/>
      <c r="L2045" s="66"/>
      <c r="M2045" s="79" t="str">
        <f>HYPERLINK("http://www.pristavka.com/catalog/funko/Fun75935/")</f>
        <v>http://www.pristavka.com/catalog/funko/Fun75935/</v>
      </c>
      <c r="N2045" s="71">
        <v>9999</v>
      </c>
      <c r="O2045" s="66" t="s">
        <v>27</v>
      </c>
      <c r="P2045" s="82" t="s">
        <v>8100</v>
      </c>
      <c r="Q2045" s="84" t="s">
        <v>8101</v>
      </c>
      <c r="R2045" s="84" t="s">
        <v>1840</v>
      </c>
      <c r="S2045" s="84">
        <v>0.12</v>
      </c>
      <c r="T2045" s="82" t="s">
        <v>4091</v>
      </c>
      <c r="U2045" s="84" t="s">
        <v>3584</v>
      </c>
      <c r="V2045" s="54"/>
    </row>
    <row r="2046" spans="1:22" s="11" customFormat="1" ht="45" customHeight="1" x14ac:dyDescent="0.2">
      <c r="A2046" s="66" t="s">
        <v>3577</v>
      </c>
      <c r="B2046" s="66" t="s">
        <v>1707</v>
      </c>
      <c r="C2046" s="66" t="s">
        <v>3578</v>
      </c>
      <c r="D2046" s="66">
        <v>75937</v>
      </c>
      <c r="E2046" s="68" t="s">
        <v>8102</v>
      </c>
      <c r="F2046" s="66" t="s">
        <v>8103</v>
      </c>
      <c r="G2046" s="71">
        <v>6500</v>
      </c>
      <c r="H2046" s="73"/>
      <c r="I2046" s="75">
        <v>0.1</v>
      </c>
      <c r="J2046" s="77"/>
      <c r="K2046" s="66"/>
      <c r="L2046" s="66"/>
      <c r="M2046" s="79" t="str">
        <f>HYPERLINK("http://www.pristavka.com/catalog/funko/Fun75937/")</f>
        <v>http://www.pristavka.com/catalog/funko/Fun75937/</v>
      </c>
      <c r="N2046" s="71">
        <v>9999</v>
      </c>
      <c r="O2046" s="66" t="s">
        <v>27</v>
      </c>
      <c r="P2046" s="82" t="s">
        <v>8104</v>
      </c>
      <c r="Q2046" s="84" t="s">
        <v>8101</v>
      </c>
      <c r="R2046" s="84" t="s">
        <v>1840</v>
      </c>
      <c r="S2046" s="84">
        <v>0.115</v>
      </c>
      <c r="T2046" s="82" t="s">
        <v>4091</v>
      </c>
      <c r="U2046" s="84" t="s">
        <v>3584</v>
      </c>
      <c r="V2046" s="54"/>
    </row>
    <row r="2047" spans="1:22" s="11" customFormat="1" ht="45" customHeight="1" x14ac:dyDescent="0.2">
      <c r="A2047" s="66" t="s">
        <v>3577</v>
      </c>
      <c r="B2047" s="66" t="s">
        <v>1707</v>
      </c>
      <c r="C2047" s="66" t="s">
        <v>3578</v>
      </c>
      <c r="D2047" s="66">
        <v>75938</v>
      </c>
      <c r="E2047" s="68" t="s">
        <v>8105</v>
      </c>
      <c r="F2047" s="66" t="s">
        <v>8106</v>
      </c>
      <c r="G2047" s="71">
        <v>6500</v>
      </c>
      <c r="H2047" s="73"/>
      <c r="I2047" s="75">
        <v>0.1</v>
      </c>
      <c r="J2047" s="77"/>
      <c r="K2047" s="66"/>
      <c r="L2047" s="66"/>
      <c r="M2047" s="79" t="str">
        <f>HYPERLINK("http://www.pristavka.com/catalog/funko/Fun75938/")</f>
        <v>http://www.pristavka.com/catalog/funko/Fun75938/</v>
      </c>
      <c r="N2047" s="71">
        <v>9999</v>
      </c>
      <c r="O2047" s="66" t="s">
        <v>27</v>
      </c>
      <c r="P2047" s="82" t="s">
        <v>8107</v>
      </c>
      <c r="Q2047" s="84" t="s">
        <v>8101</v>
      </c>
      <c r="R2047" s="84" t="s">
        <v>1840</v>
      </c>
      <c r="S2047" s="84">
        <v>0.159</v>
      </c>
      <c r="T2047" s="82" t="s">
        <v>4091</v>
      </c>
      <c r="U2047" s="84" t="s">
        <v>3584</v>
      </c>
      <c r="V2047" s="54"/>
    </row>
    <row r="2048" spans="1:22" s="11" customFormat="1" ht="45" customHeight="1" x14ac:dyDescent="0.2">
      <c r="A2048" s="66" t="s">
        <v>3577</v>
      </c>
      <c r="B2048" s="66" t="s">
        <v>1707</v>
      </c>
      <c r="C2048" s="66" t="s">
        <v>3578</v>
      </c>
      <c r="D2048" s="66">
        <v>60279</v>
      </c>
      <c r="E2048" s="68" t="s">
        <v>8108</v>
      </c>
      <c r="F2048" s="66" t="s">
        <v>8109</v>
      </c>
      <c r="G2048" s="71">
        <v>6890</v>
      </c>
      <c r="H2048" s="73"/>
      <c r="I2048" s="75">
        <v>0.1</v>
      </c>
      <c r="J2048" s="77"/>
      <c r="K2048" s="66"/>
      <c r="L2048" s="66"/>
      <c r="M2048" s="79" t="str">
        <f>HYPERLINK("http://www.pristavka.com/catalog/funko/Fun25491888/")</f>
        <v>http://www.pristavka.com/catalog/funko/Fun25491888/</v>
      </c>
      <c r="N2048" s="71">
        <v>10599</v>
      </c>
      <c r="O2048" s="66" t="s">
        <v>28</v>
      </c>
      <c r="P2048" s="82" t="s">
        <v>8110</v>
      </c>
      <c r="Q2048" s="84" t="s">
        <v>3554</v>
      </c>
      <c r="R2048" s="84" t="s">
        <v>1303</v>
      </c>
      <c r="S2048" s="84">
        <v>0.13</v>
      </c>
      <c r="T2048" s="82" t="s">
        <v>4113</v>
      </c>
      <c r="U2048" s="84" t="s">
        <v>3584</v>
      </c>
      <c r="V2048" s="54"/>
    </row>
    <row r="2049" spans="1:22" s="11" customFormat="1" ht="45" customHeight="1" x14ac:dyDescent="0.2">
      <c r="A2049" s="66" t="s">
        <v>3577</v>
      </c>
      <c r="B2049" s="66" t="s">
        <v>1707</v>
      </c>
      <c r="C2049" s="66" t="s">
        <v>3578</v>
      </c>
      <c r="D2049" s="66">
        <v>60280</v>
      </c>
      <c r="E2049" s="68" t="s">
        <v>8111</v>
      </c>
      <c r="F2049" s="66" t="s">
        <v>8112</v>
      </c>
      <c r="G2049" s="71">
        <v>6890</v>
      </c>
      <c r="H2049" s="73"/>
      <c r="I2049" s="75">
        <v>0.1</v>
      </c>
      <c r="J2049" s="77"/>
      <c r="K2049" s="66"/>
      <c r="L2049" s="66"/>
      <c r="M2049" s="79" t="str">
        <f>HYPERLINK("http://www.pristavka.com/catalog/funko/Fun25491889/")</f>
        <v>http://www.pristavka.com/catalog/funko/Fun25491889/</v>
      </c>
      <c r="N2049" s="71">
        <v>10599</v>
      </c>
      <c r="O2049" s="66" t="s">
        <v>28</v>
      </c>
      <c r="P2049" s="82" t="s">
        <v>8113</v>
      </c>
      <c r="Q2049" s="84" t="s">
        <v>3554</v>
      </c>
      <c r="R2049" s="84" t="s">
        <v>1303</v>
      </c>
      <c r="S2049" s="84">
        <v>0.13700000000000001</v>
      </c>
      <c r="T2049" s="82" t="s">
        <v>4113</v>
      </c>
      <c r="U2049" s="84" t="s">
        <v>3584</v>
      </c>
      <c r="V2049" s="54"/>
    </row>
    <row r="2050" spans="1:22" s="11" customFormat="1" ht="45" customHeight="1" x14ac:dyDescent="0.2">
      <c r="A2050" s="66" t="s">
        <v>3577</v>
      </c>
      <c r="B2050" s="66" t="s">
        <v>1707</v>
      </c>
      <c r="C2050" s="66" t="s">
        <v>3578</v>
      </c>
      <c r="D2050" s="66">
        <v>83447</v>
      </c>
      <c r="E2050" s="68" t="s">
        <v>8114</v>
      </c>
      <c r="F2050" s="66" t="s">
        <v>8115</v>
      </c>
      <c r="G2050" s="71">
        <v>6500</v>
      </c>
      <c r="H2050" s="73"/>
      <c r="I2050" s="75">
        <v>0.1</v>
      </c>
      <c r="J2050" s="77"/>
      <c r="K2050" s="66"/>
      <c r="L2050" s="66"/>
      <c r="M2050" s="79" t="str">
        <f>HYPERLINK("http://www.pristavka.com/catalog/funko/Fun83447/")</f>
        <v>http://www.pristavka.com/catalog/funko/Fun83447/</v>
      </c>
      <c r="N2050" s="71">
        <v>9999</v>
      </c>
      <c r="O2050" s="66" t="s">
        <v>27</v>
      </c>
      <c r="P2050" s="82" t="s">
        <v>8116</v>
      </c>
      <c r="Q2050" s="84" t="s">
        <v>1223</v>
      </c>
      <c r="R2050" s="84" t="s">
        <v>1303</v>
      </c>
      <c r="S2050" s="84">
        <v>0.19500000000000001</v>
      </c>
      <c r="T2050" s="82" t="s">
        <v>4113</v>
      </c>
      <c r="U2050" s="84" t="s">
        <v>3584</v>
      </c>
      <c r="V2050" s="54"/>
    </row>
    <row r="2051" spans="1:22" s="11" customFormat="1" ht="45" customHeight="1" x14ac:dyDescent="0.2">
      <c r="A2051" s="66" t="s">
        <v>3577</v>
      </c>
      <c r="B2051" s="66" t="s">
        <v>1707</v>
      </c>
      <c r="C2051" s="66" t="s">
        <v>3578</v>
      </c>
      <c r="D2051" s="66">
        <v>41139</v>
      </c>
      <c r="E2051" s="68" t="s">
        <v>8117</v>
      </c>
      <c r="F2051" s="66" t="s">
        <v>8118</v>
      </c>
      <c r="G2051" s="71">
        <v>6500</v>
      </c>
      <c r="H2051" s="73"/>
      <c r="I2051" s="75">
        <v>0.1</v>
      </c>
      <c r="J2051" s="77"/>
      <c r="K2051" s="66"/>
      <c r="L2051" s="66"/>
      <c r="M2051" s="79" t="str">
        <f>HYPERLINK("http://www.pristavka.com/catalog/funko/Fun2429/")</f>
        <v>http://www.pristavka.com/catalog/funko/Fun2429/</v>
      </c>
      <c r="N2051" s="71">
        <v>9999</v>
      </c>
      <c r="O2051" s="66" t="s">
        <v>27</v>
      </c>
      <c r="P2051" s="82" t="s">
        <v>8119</v>
      </c>
      <c r="Q2051" s="84" t="s">
        <v>1223</v>
      </c>
      <c r="R2051" s="84" t="s">
        <v>1303</v>
      </c>
      <c r="S2051" s="84">
        <v>0.14000000000000001</v>
      </c>
      <c r="T2051" s="82" t="s">
        <v>4102</v>
      </c>
      <c r="U2051" s="84" t="s">
        <v>3584</v>
      </c>
      <c r="V2051" s="54"/>
    </row>
    <row r="2052" spans="1:22" s="11" customFormat="1" ht="45" customHeight="1" x14ac:dyDescent="0.2">
      <c r="A2052" s="66" t="s">
        <v>3577</v>
      </c>
      <c r="B2052" s="66" t="s">
        <v>1707</v>
      </c>
      <c r="C2052" s="66" t="s">
        <v>3578</v>
      </c>
      <c r="D2052" s="66">
        <v>67434</v>
      </c>
      <c r="E2052" s="68" t="s">
        <v>8120</v>
      </c>
      <c r="F2052" s="66" t="s">
        <v>8121</v>
      </c>
      <c r="G2052" s="71">
        <v>6500</v>
      </c>
      <c r="H2052" s="73"/>
      <c r="I2052" s="75">
        <v>0.1</v>
      </c>
      <c r="J2052" s="77"/>
      <c r="K2052" s="66"/>
      <c r="L2052" s="66"/>
      <c r="M2052" s="79" t="str">
        <f>HYPERLINK("http://www.pristavka.com/catalog/funko/Fun67434/")</f>
        <v>http://www.pristavka.com/catalog/funko/Fun67434/</v>
      </c>
      <c r="N2052" s="71">
        <v>9999</v>
      </c>
      <c r="O2052" s="66" t="s">
        <v>27</v>
      </c>
      <c r="P2052" s="82" t="s">
        <v>8122</v>
      </c>
      <c r="Q2052" s="84" t="s">
        <v>8123</v>
      </c>
      <c r="R2052" s="84" t="s">
        <v>1765</v>
      </c>
      <c r="S2052" s="84">
        <v>0.14599999999999999</v>
      </c>
      <c r="T2052" s="82" t="s">
        <v>4084</v>
      </c>
      <c r="U2052" s="84" t="s">
        <v>3584</v>
      </c>
      <c r="V2052" s="54"/>
    </row>
    <row r="2053" spans="1:22" s="11" customFormat="1" ht="45" customHeight="1" x14ac:dyDescent="0.2">
      <c r="A2053" s="66" t="s">
        <v>3577</v>
      </c>
      <c r="B2053" s="66" t="s">
        <v>1707</v>
      </c>
      <c r="C2053" s="66" t="s">
        <v>3578</v>
      </c>
      <c r="D2053" s="66">
        <v>67436</v>
      </c>
      <c r="E2053" s="68" t="s">
        <v>8124</v>
      </c>
      <c r="F2053" s="66" t="s">
        <v>8125</v>
      </c>
      <c r="G2053" s="71">
        <v>6500</v>
      </c>
      <c r="H2053" s="73"/>
      <c r="I2053" s="75">
        <v>0.1</v>
      </c>
      <c r="J2053" s="77"/>
      <c r="K2053" s="66"/>
      <c r="L2053" s="66"/>
      <c r="M2053" s="79" t="str">
        <f>HYPERLINK("http://www.pristavka.com/catalog/funko/Fun67436/")</f>
        <v>http://www.pristavka.com/catalog/funko/Fun67436/</v>
      </c>
      <c r="N2053" s="71">
        <v>9999</v>
      </c>
      <c r="O2053" s="66" t="s">
        <v>27</v>
      </c>
      <c r="P2053" s="82" t="s">
        <v>8126</v>
      </c>
      <c r="Q2053" s="84" t="s">
        <v>8123</v>
      </c>
      <c r="R2053" s="84" t="s">
        <v>1765</v>
      </c>
      <c r="S2053" s="84">
        <v>0.13800000000000001</v>
      </c>
      <c r="T2053" s="82" t="s">
        <v>4084</v>
      </c>
      <c r="U2053" s="84" t="s">
        <v>3584</v>
      </c>
      <c r="V2053" s="54"/>
    </row>
    <row r="2054" spans="1:22" s="11" customFormat="1" ht="45" customHeight="1" x14ac:dyDescent="0.2">
      <c r="A2054" s="66" t="s">
        <v>3577</v>
      </c>
      <c r="B2054" s="66" t="s">
        <v>1707</v>
      </c>
      <c r="C2054" s="66" t="s">
        <v>3578</v>
      </c>
      <c r="D2054" s="66">
        <v>67437</v>
      </c>
      <c r="E2054" s="68" t="s">
        <v>8127</v>
      </c>
      <c r="F2054" s="66" t="s">
        <v>8128</v>
      </c>
      <c r="G2054" s="71">
        <v>6500</v>
      </c>
      <c r="H2054" s="73"/>
      <c r="I2054" s="75">
        <v>0.1</v>
      </c>
      <c r="J2054" s="77"/>
      <c r="K2054" s="66"/>
      <c r="L2054" s="66"/>
      <c r="M2054" s="79" t="str">
        <f>HYPERLINK("http://www.pristavka.com/catalog/funko/Fun67437/")</f>
        <v>http://www.pristavka.com/catalog/funko/Fun67437/</v>
      </c>
      <c r="N2054" s="71">
        <v>9999</v>
      </c>
      <c r="O2054" s="66" t="s">
        <v>27</v>
      </c>
      <c r="P2054" s="82" t="s">
        <v>8129</v>
      </c>
      <c r="Q2054" s="84" t="s">
        <v>8123</v>
      </c>
      <c r="R2054" s="84" t="s">
        <v>1765</v>
      </c>
      <c r="S2054" s="84">
        <v>0.124</v>
      </c>
      <c r="T2054" s="82" t="s">
        <v>4091</v>
      </c>
      <c r="U2054" s="84" t="s">
        <v>3584</v>
      </c>
      <c r="V2054" s="54"/>
    </row>
    <row r="2055" spans="1:22" s="11" customFormat="1" ht="45" customHeight="1" x14ac:dyDescent="0.2">
      <c r="A2055" s="66" t="s">
        <v>3577</v>
      </c>
      <c r="B2055" s="66" t="s">
        <v>1707</v>
      </c>
      <c r="C2055" s="66" t="s">
        <v>3578</v>
      </c>
      <c r="D2055" s="66">
        <v>56016</v>
      </c>
      <c r="E2055" s="68" t="s">
        <v>8130</v>
      </c>
      <c r="F2055" s="66" t="s">
        <v>8131</v>
      </c>
      <c r="G2055" s="71">
        <v>6500</v>
      </c>
      <c r="H2055" s="73"/>
      <c r="I2055" s="75">
        <v>0.1</v>
      </c>
      <c r="J2055" s="77"/>
      <c r="K2055" s="66"/>
      <c r="L2055" s="66"/>
      <c r="M2055" s="79" t="str">
        <f>HYPERLINK("http://www.pristavka.com/catalog/funko/Fun25491173/")</f>
        <v>http://www.pristavka.com/catalog/funko/Fun25491173/</v>
      </c>
      <c r="N2055" s="71">
        <v>9999</v>
      </c>
      <c r="O2055" s="66" t="s">
        <v>27</v>
      </c>
      <c r="P2055" s="82" t="s">
        <v>8132</v>
      </c>
      <c r="Q2055" s="84" t="s">
        <v>4325</v>
      </c>
      <c r="R2055" s="84" t="s">
        <v>3566</v>
      </c>
      <c r="S2055" s="84">
        <v>0.14000000000000001</v>
      </c>
      <c r="T2055" s="82" t="s">
        <v>4246</v>
      </c>
      <c r="U2055" s="84" t="s">
        <v>3584</v>
      </c>
      <c r="V2055" s="54"/>
    </row>
    <row r="2056" spans="1:22" s="11" customFormat="1" ht="45" customHeight="1" x14ac:dyDescent="0.2">
      <c r="A2056" s="66" t="s">
        <v>3577</v>
      </c>
      <c r="B2056" s="66" t="s">
        <v>1707</v>
      </c>
      <c r="C2056" s="66" t="s">
        <v>3578</v>
      </c>
      <c r="D2056" s="66">
        <v>75973</v>
      </c>
      <c r="E2056" s="68" t="s">
        <v>8133</v>
      </c>
      <c r="F2056" s="66" t="s">
        <v>8134</v>
      </c>
      <c r="G2056" s="71">
        <v>6500</v>
      </c>
      <c r="H2056" s="73"/>
      <c r="I2056" s="75">
        <v>0.1</v>
      </c>
      <c r="J2056" s="77"/>
      <c r="K2056" s="66"/>
      <c r="L2056" s="66"/>
      <c r="M2056" s="79" t="str">
        <f>HYPERLINK("http://www.pristavka.com/catalog/funko/Fun75973/")</f>
        <v>http://www.pristavka.com/catalog/funko/Fun75973/</v>
      </c>
      <c r="N2056" s="71">
        <v>9999</v>
      </c>
      <c r="O2056" s="66" t="s">
        <v>27</v>
      </c>
      <c r="P2056" s="82" t="s">
        <v>8135</v>
      </c>
      <c r="Q2056" s="84" t="s">
        <v>8136</v>
      </c>
      <c r="R2056" s="84" t="s">
        <v>7946</v>
      </c>
      <c r="S2056" s="84">
        <v>0.14000000000000001</v>
      </c>
      <c r="T2056" s="82" t="s">
        <v>4091</v>
      </c>
      <c r="U2056" s="84" t="s">
        <v>3584</v>
      </c>
      <c r="V2056" s="54"/>
    </row>
    <row r="2057" spans="1:22" s="11" customFormat="1" ht="45" customHeight="1" x14ac:dyDescent="0.2">
      <c r="A2057" s="66" t="s">
        <v>3577</v>
      </c>
      <c r="B2057" s="66" t="s">
        <v>1707</v>
      </c>
      <c r="C2057" s="66" t="s">
        <v>3578</v>
      </c>
      <c r="D2057" s="66">
        <v>75979</v>
      </c>
      <c r="E2057" s="68" t="s">
        <v>8137</v>
      </c>
      <c r="F2057" s="66" t="s">
        <v>8138</v>
      </c>
      <c r="G2057" s="71">
        <v>6500</v>
      </c>
      <c r="H2057" s="73"/>
      <c r="I2057" s="75">
        <v>0.1</v>
      </c>
      <c r="J2057" s="77"/>
      <c r="K2057" s="66"/>
      <c r="L2057" s="66"/>
      <c r="M2057" s="79" t="str">
        <f>HYPERLINK("http://www.pristavka.com/catalog/funko/Fun75979/")</f>
        <v>http://www.pristavka.com/catalog/funko/Fun75979/</v>
      </c>
      <c r="N2057" s="71">
        <v>9999</v>
      </c>
      <c r="O2057" s="66" t="s">
        <v>27</v>
      </c>
      <c r="P2057" s="82" t="s">
        <v>8139</v>
      </c>
      <c r="Q2057" s="84" t="s">
        <v>8136</v>
      </c>
      <c r="R2057" s="84" t="s">
        <v>7946</v>
      </c>
      <c r="S2057" s="84">
        <v>0.126</v>
      </c>
      <c r="T2057" s="82" t="s">
        <v>4113</v>
      </c>
      <c r="U2057" s="84" t="s">
        <v>3584</v>
      </c>
      <c r="V2057" s="54"/>
    </row>
    <row r="2058" spans="1:22" s="11" customFormat="1" ht="45" customHeight="1" x14ac:dyDescent="0.2">
      <c r="A2058" s="66" t="s">
        <v>3577</v>
      </c>
      <c r="B2058" s="66" t="s">
        <v>1707</v>
      </c>
      <c r="C2058" s="66" t="s">
        <v>3578</v>
      </c>
      <c r="D2058" s="66">
        <v>75974</v>
      </c>
      <c r="E2058" s="68" t="s">
        <v>8140</v>
      </c>
      <c r="F2058" s="66" t="s">
        <v>8141</v>
      </c>
      <c r="G2058" s="71">
        <v>6500</v>
      </c>
      <c r="H2058" s="73"/>
      <c r="I2058" s="75">
        <v>0.1</v>
      </c>
      <c r="J2058" s="77"/>
      <c r="K2058" s="66"/>
      <c r="L2058" s="66"/>
      <c r="M2058" s="79" t="str">
        <f>HYPERLINK("http://www.pristavka.com/catalog/funko/Fun75974/")</f>
        <v>http://www.pristavka.com/catalog/funko/Fun75974/</v>
      </c>
      <c r="N2058" s="71">
        <v>9999</v>
      </c>
      <c r="O2058" s="66" t="s">
        <v>27</v>
      </c>
      <c r="P2058" s="82" t="s">
        <v>8142</v>
      </c>
      <c r="Q2058" s="84" t="s">
        <v>8136</v>
      </c>
      <c r="R2058" s="84" t="s">
        <v>7946</v>
      </c>
      <c r="S2058" s="84">
        <v>0.185</v>
      </c>
      <c r="T2058" s="82" t="s">
        <v>4091</v>
      </c>
      <c r="U2058" s="84" t="s">
        <v>3584</v>
      </c>
      <c r="V2058" s="54"/>
    </row>
    <row r="2059" spans="1:22" s="11" customFormat="1" ht="45" customHeight="1" x14ac:dyDescent="0.2">
      <c r="A2059" s="66" t="s">
        <v>3577</v>
      </c>
      <c r="B2059" s="66" t="s">
        <v>1707</v>
      </c>
      <c r="C2059" s="66" t="s">
        <v>3578</v>
      </c>
      <c r="D2059" s="66">
        <v>75975</v>
      </c>
      <c r="E2059" s="68" t="s">
        <v>8143</v>
      </c>
      <c r="F2059" s="66" t="s">
        <v>8144</v>
      </c>
      <c r="G2059" s="71">
        <v>6500</v>
      </c>
      <c r="H2059" s="73"/>
      <c r="I2059" s="75">
        <v>0.1</v>
      </c>
      <c r="J2059" s="77"/>
      <c r="K2059" s="66"/>
      <c r="L2059" s="66"/>
      <c r="M2059" s="79" t="str">
        <f>HYPERLINK("http://www.pristavka.com/catalog/funko/Fun75975/")</f>
        <v>http://www.pristavka.com/catalog/funko/Fun75975/</v>
      </c>
      <c r="N2059" s="71">
        <v>9999</v>
      </c>
      <c r="O2059" s="66" t="s">
        <v>27</v>
      </c>
      <c r="P2059" s="82" t="s">
        <v>8145</v>
      </c>
      <c r="Q2059" s="84" t="s">
        <v>8136</v>
      </c>
      <c r="R2059" s="84" t="s">
        <v>7946</v>
      </c>
      <c r="S2059" s="84">
        <v>0.14000000000000001</v>
      </c>
      <c r="T2059" s="82" t="s">
        <v>4084</v>
      </c>
      <c r="U2059" s="84" t="s">
        <v>3584</v>
      </c>
      <c r="V2059" s="54"/>
    </row>
    <row r="2060" spans="1:22" s="11" customFormat="1" ht="45" customHeight="1" x14ac:dyDescent="0.2">
      <c r="A2060" s="66" t="s">
        <v>3577</v>
      </c>
      <c r="B2060" s="66" t="s">
        <v>1707</v>
      </c>
      <c r="C2060" s="66" t="s">
        <v>3578</v>
      </c>
      <c r="D2060" s="66">
        <v>75976</v>
      </c>
      <c r="E2060" s="68" t="s">
        <v>8146</v>
      </c>
      <c r="F2060" s="66" t="s">
        <v>8147</v>
      </c>
      <c r="G2060" s="71">
        <v>6500</v>
      </c>
      <c r="H2060" s="73"/>
      <c r="I2060" s="75">
        <v>0.1</v>
      </c>
      <c r="J2060" s="77"/>
      <c r="K2060" s="66"/>
      <c r="L2060" s="66"/>
      <c r="M2060" s="79" t="str">
        <f>HYPERLINK("http://www.pristavka.com/catalog/funko/Fun75976/")</f>
        <v>http://www.pristavka.com/catalog/funko/Fun75976/</v>
      </c>
      <c r="N2060" s="71">
        <v>9999</v>
      </c>
      <c r="O2060" s="66" t="s">
        <v>27</v>
      </c>
      <c r="P2060" s="82" t="s">
        <v>8148</v>
      </c>
      <c r="Q2060" s="84" t="s">
        <v>8136</v>
      </c>
      <c r="R2060" s="84" t="s">
        <v>7946</v>
      </c>
      <c r="S2060" s="84">
        <v>0.123</v>
      </c>
      <c r="T2060" s="82" t="s">
        <v>4091</v>
      </c>
      <c r="U2060" s="84" t="s">
        <v>3584</v>
      </c>
      <c r="V2060" s="54"/>
    </row>
    <row r="2061" spans="1:22" s="11" customFormat="1" ht="45" customHeight="1" x14ac:dyDescent="0.2">
      <c r="A2061" s="66" t="s">
        <v>3577</v>
      </c>
      <c r="B2061" s="66" t="s">
        <v>1707</v>
      </c>
      <c r="C2061" s="66" t="s">
        <v>3578</v>
      </c>
      <c r="D2061" s="66">
        <v>75977</v>
      </c>
      <c r="E2061" s="68" t="s">
        <v>8149</v>
      </c>
      <c r="F2061" s="66" t="s">
        <v>8150</v>
      </c>
      <c r="G2061" s="71">
        <v>6500</v>
      </c>
      <c r="H2061" s="73"/>
      <c r="I2061" s="75">
        <v>0.1</v>
      </c>
      <c r="J2061" s="77"/>
      <c r="K2061" s="66"/>
      <c r="L2061" s="66"/>
      <c r="M2061" s="79" t="str">
        <f>HYPERLINK("http://www.pristavka.com/catalog/funko/Fun75977/")</f>
        <v>http://www.pristavka.com/catalog/funko/Fun75977/</v>
      </c>
      <c r="N2061" s="71">
        <v>9999</v>
      </c>
      <c r="O2061" s="66" t="s">
        <v>27</v>
      </c>
      <c r="P2061" s="82" t="s">
        <v>8151</v>
      </c>
      <c r="Q2061" s="84" t="s">
        <v>8136</v>
      </c>
      <c r="R2061" s="84" t="s">
        <v>7946</v>
      </c>
      <c r="S2061" s="84">
        <v>0.157</v>
      </c>
      <c r="T2061" s="82" t="s">
        <v>4091</v>
      </c>
      <c r="U2061" s="84" t="s">
        <v>3584</v>
      </c>
      <c r="V2061" s="54"/>
    </row>
    <row r="2062" spans="1:22" s="11" customFormat="1" ht="45" customHeight="1" x14ac:dyDescent="0.2">
      <c r="A2062" s="66" t="s">
        <v>3577</v>
      </c>
      <c r="B2062" s="66" t="s">
        <v>1707</v>
      </c>
      <c r="C2062" s="66" t="s">
        <v>3578</v>
      </c>
      <c r="D2062" s="66">
        <v>77423</v>
      </c>
      <c r="E2062" s="68" t="s">
        <v>8152</v>
      </c>
      <c r="F2062" s="66" t="s">
        <v>8153</v>
      </c>
      <c r="G2062" s="71">
        <v>6890</v>
      </c>
      <c r="H2062" s="73"/>
      <c r="I2062" s="75">
        <v>0.1</v>
      </c>
      <c r="J2062" s="77"/>
      <c r="K2062" s="66"/>
      <c r="L2062" s="66"/>
      <c r="M2062" s="79" t="str">
        <f>HYPERLINK("http://www.pristavka.com/catalog/funko/Fun77423/")</f>
        <v>http://www.pristavka.com/catalog/funko/Fun77423/</v>
      </c>
      <c r="N2062" s="71">
        <v>10599</v>
      </c>
      <c r="O2062" s="66" t="s">
        <v>27</v>
      </c>
      <c r="P2062" s="82" t="s">
        <v>8154</v>
      </c>
      <c r="Q2062" s="84" t="s">
        <v>8136</v>
      </c>
      <c r="R2062" s="84" t="s">
        <v>7946</v>
      </c>
      <c r="S2062" s="84">
        <v>0.13500000000000001</v>
      </c>
      <c r="T2062" s="82" t="s">
        <v>4091</v>
      </c>
      <c r="U2062" s="84" t="s">
        <v>3584</v>
      </c>
      <c r="V2062" s="54"/>
    </row>
    <row r="2063" spans="1:22" s="11" customFormat="1" ht="45" customHeight="1" x14ac:dyDescent="0.2">
      <c r="A2063" s="66" t="s">
        <v>3577</v>
      </c>
      <c r="B2063" s="66" t="s">
        <v>1707</v>
      </c>
      <c r="C2063" s="66" t="s">
        <v>3578</v>
      </c>
      <c r="D2063" s="66">
        <v>56160</v>
      </c>
      <c r="E2063" s="68" t="s">
        <v>8155</v>
      </c>
      <c r="F2063" s="66" t="s">
        <v>8156</v>
      </c>
      <c r="G2063" s="71">
        <v>6500</v>
      </c>
      <c r="H2063" s="73"/>
      <c r="I2063" s="75">
        <v>0.1</v>
      </c>
      <c r="J2063" s="77"/>
      <c r="K2063" s="66"/>
      <c r="L2063" s="66"/>
      <c r="M2063" s="79" t="str">
        <f>HYPERLINK("http://www.pristavka.com/catalog/funko/Fun25491198/")</f>
        <v>http://www.pristavka.com/catalog/funko/Fun25491198/</v>
      </c>
      <c r="N2063" s="71">
        <v>9999</v>
      </c>
      <c r="O2063" s="66" t="s">
        <v>27</v>
      </c>
      <c r="P2063" s="82" t="s">
        <v>8157</v>
      </c>
      <c r="Q2063" s="84" t="s">
        <v>1297</v>
      </c>
      <c r="R2063" s="84" t="s">
        <v>1298</v>
      </c>
      <c r="S2063" s="84">
        <v>0.14000000000000001</v>
      </c>
      <c r="T2063" s="82" t="s">
        <v>8158</v>
      </c>
      <c r="U2063" s="84" t="s">
        <v>3584</v>
      </c>
      <c r="V2063" s="54"/>
    </row>
    <row r="2064" spans="1:22" s="11" customFormat="1" ht="45" customHeight="1" x14ac:dyDescent="0.2">
      <c r="A2064" s="66" t="s">
        <v>3577</v>
      </c>
      <c r="B2064" s="66" t="s">
        <v>1707</v>
      </c>
      <c r="C2064" s="66" t="s">
        <v>3578</v>
      </c>
      <c r="D2064" s="66">
        <v>56161</v>
      </c>
      <c r="E2064" s="68" t="s">
        <v>8159</v>
      </c>
      <c r="F2064" s="66" t="s">
        <v>8160</v>
      </c>
      <c r="G2064" s="71">
        <v>6500</v>
      </c>
      <c r="H2064" s="73"/>
      <c r="I2064" s="75">
        <v>0.1</v>
      </c>
      <c r="J2064" s="77"/>
      <c r="K2064" s="66"/>
      <c r="L2064" s="66"/>
      <c r="M2064" s="79" t="str">
        <f>HYPERLINK("http://www.pristavka.com/catalog/funko/Fun25491199/")</f>
        <v>http://www.pristavka.com/catalog/funko/Fun25491199/</v>
      </c>
      <c r="N2064" s="71">
        <v>9999</v>
      </c>
      <c r="O2064" s="66" t="s">
        <v>27</v>
      </c>
      <c r="P2064" s="82" t="s">
        <v>8161</v>
      </c>
      <c r="Q2064" s="84" t="s">
        <v>1297</v>
      </c>
      <c r="R2064" s="84" t="s">
        <v>1298</v>
      </c>
      <c r="S2064" s="84">
        <v>0.14099999999999999</v>
      </c>
      <c r="T2064" s="82" t="s">
        <v>8162</v>
      </c>
      <c r="U2064" s="84" t="s">
        <v>3584</v>
      </c>
      <c r="V2064" s="54"/>
    </row>
    <row r="2065" spans="1:22" s="11" customFormat="1" ht="45" customHeight="1" x14ac:dyDescent="0.2">
      <c r="A2065" s="66" t="s">
        <v>3577</v>
      </c>
      <c r="B2065" s="66" t="s">
        <v>1707</v>
      </c>
      <c r="C2065" s="66" t="s">
        <v>3578</v>
      </c>
      <c r="D2065" s="66">
        <v>56162</v>
      </c>
      <c r="E2065" s="68" t="s">
        <v>8163</v>
      </c>
      <c r="F2065" s="66" t="s">
        <v>8164</v>
      </c>
      <c r="G2065" s="71">
        <v>6500</v>
      </c>
      <c r="H2065" s="73"/>
      <c r="I2065" s="75">
        <v>0.1</v>
      </c>
      <c r="J2065" s="77"/>
      <c r="K2065" s="66"/>
      <c r="L2065" s="66"/>
      <c r="M2065" s="79" t="str">
        <f>HYPERLINK("http://www.pristavka.com/catalog/funko/Fun25491200/")</f>
        <v>http://www.pristavka.com/catalog/funko/Fun25491200/</v>
      </c>
      <c r="N2065" s="71">
        <v>9999</v>
      </c>
      <c r="O2065" s="66" t="s">
        <v>27</v>
      </c>
      <c r="P2065" s="82" t="s">
        <v>8165</v>
      </c>
      <c r="Q2065" s="84" t="s">
        <v>1297</v>
      </c>
      <c r="R2065" s="84" t="s">
        <v>1298</v>
      </c>
      <c r="S2065" s="84">
        <v>0.14000000000000001</v>
      </c>
      <c r="T2065" s="82" t="s">
        <v>8158</v>
      </c>
      <c r="U2065" s="84" t="s">
        <v>3584</v>
      </c>
      <c r="V2065" s="54"/>
    </row>
    <row r="2066" spans="1:22" s="11" customFormat="1" ht="45" customHeight="1" x14ac:dyDescent="0.2">
      <c r="A2066" s="66" t="s">
        <v>3577</v>
      </c>
      <c r="B2066" s="66" t="s">
        <v>1707</v>
      </c>
      <c r="C2066" s="66" t="s">
        <v>3578</v>
      </c>
      <c r="D2066" s="66">
        <v>56164</v>
      </c>
      <c r="E2066" s="68" t="s">
        <v>8166</v>
      </c>
      <c r="F2066" s="66" t="s">
        <v>8167</v>
      </c>
      <c r="G2066" s="71">
        <v>6500</v>
      </c>
      <c r="H2066" s="73"/>
      <c r="I2066" s="75">
        <v>0.1</v>
      </c>
      <c r="J2066" s="77"/>
      <c r="K2066" s="66"/>
      <c r="L2066" s="66"/>
      <c r="M2066" s="79" t="str">
        <f>HYPERLINK("http://www.pristavka.com/catalog/funko/Fun25491201/")</f>
        <v>http://www.pristavka.com/catalog/funko/Fun25491201/</v>
      </c>
      <c r="N2066" s="71">
        <v>9999</v>
      </c>
      <c r="O2066" s="66" t="s">
        <v>27</v>
      </c>
      <c r="P2066" s="82" t="s">
        <v>8168</v>
      </c>
      <c r="Q2066" s="84" t="s">
        <v>1297</v>
      </c>
      <c r="R2066" s="84" t="s">
        <v>1298</v>
      </c>
      <c r="S2066" s="84">
        <v>0.13700000000000001</v>
      </c>
      <c r="T2066" s="82" t="s">
        <v>8158</v>
      </c>
      <c r="U2066" s="84" t="s">
        <v>3584</v>
      </c>
      <c r="V2066" s="54"/>
    </row>
    <row r="2067" spans="1:22" s="11" customFormat="1" ht="45" customHeight="1" x14ac:dyDescent="0.2">
      <c r="A2067" s="66" t="s">
        <v>3577</v>
      </c>
      <c r="B2067" s="66" t="s">
        <v>1707</v>
      </c>
      <c r="C2067" s="66" t="s">
        <v>3578</v>
      </c>
      <c r="D2067" s="66">
        <v>76045</v>
      </c>
      <c r="E2067" s="68" t="s">
        <v>8169</v>
      </c>
      <c r="F2067" s="66" t="s">
        <v>8170</v>
      </c>
      <c r="G2067" s="71">
        <v>6500</v>
      </c>
      <c r="H2067" s="73"/>
      <c r="I2067" s="75">
        <v>0.1</v>
      </c>
      <c r="J2067" s="77"/>
      <c r="K2067" s="66"/>
      <c r="L2067" s="66"/>
      <c r="M2067" s="79" t="str">
        <f>HYPERLINK("http://www.pristavka.com/catalog/funko/Fun76045/")</f>
        <v>http://www.pristavka.com/catalog/funko/Fun76045/</v>
      </c>
      <c r="N2067" s="71">
        <v>9999</v>
      </c>
      <c r="O2067" s="66" t="s">
        <v>27</v>
      </c>
      <c r="P2067" s="82" t="s">
        <v>8171</v>
      </c>
      <c r="Q2067" s="84" t="s">
        <v>1297</v>
      </c>
      <c r="R2067" s="84" t="s">
        <v>1298</v>
      </c>
      <c r="S2067" s="84">
        <v>0.128</v>
      </c>
      <c r="T2067" s="82" t="s">
        <v>4084</v>
      </c>
      <c r="U2067" s="84" t="s">
        <v>3584</v>
      </c>
      <c r="V2067" s="54"/>
    </row>
    <row r="2068" spans="1:22" s="11" customFormat="1" ht="45" customHeight="1" x14ac:dyDescent="0.2">
      <c r="A2068" s="66" t="s">
        <v>3577</v>
      </c>
      <c r="B2068" s="66" t="s">
        <v>1707</v>
      </c>
      <c r="C2068" s="66" t="s">
        <v>3578</v>
      </c>
      <c r="D2068" s="66">
        <v>72335</v>
      </c>
      <c r="E2068" s="68" t="s">
        <v>8172</v>
      </c>
      <c r="F2068" s="66" t="s">
        <v>8173</v>
      </c>
      <c r="G2068" s="71">
        <v>6500</v>
      </c>
      <c r="H2068" s="73"/>
      <c r="I2068" s="75">
        <v>0.1</v>
      </c>
      <c r="J2068" s="77"/>
      <c r="K2068" s="66"/>
      <c r="L2068" s="66"/>
      <c r="M2068" s="79" t="str">
        <f>HYPERLINK("http://www.pristavka.com/catalog/funko/Fun72335/")</f>
        <v>http://www.pristavka.com/catalog/funko/Fun72335/</v>
      </c>
      <c r="N2068" s="71">
        <v>9999</v>
      </c>
      <c r="O2068" s="66" t="s">
        <v>27</v>
      </c>
      <c r="P2068" s="82" t="s">
        <v>8174</v>
      </c>
      <c r="Q2068" s="84" t="s">
        <v>1297</v>
      </c>
      <c r="R2068" s="84" t="s">
        <v>1298</v>
      </c>
      <c r="S2068" s="84">
        <v>0.14000000000000001</v>
      </c>
      <c r="T2068" s="82" t="s">
        <v>4091</v>
      </c>
      <c r="U2068" s="84" t="s">
        <v>3584</v>
      </c>
      <c r="V2068" s="54"/>
    </row>
    <row r="2069" spans="1:22" s="11" customFormat="1" ht="45" customHeight="1" x14ac:dyDescent="0.2">
      <c r="A2069" s="66" t="s">
        <v>3577</v>
      </c>
      <c r="B2069" s="66" t="s">
        <v>1707</v>
      </c>
      <c r="C2069" s="66" t="s">
        <v>3578</v>
      </c>
      <c r="D2069" s="66">
        <v>72332</v>
      </c>
      <c r="E2069" s="68" t="s">
        <v>8175</v>
      </c>
      <c r="F2069" s="66" t="s">
        <v>8176</v>
      </c>
      <c r="G2069" s="71">
        <v>6500</v>
      </c>
      <c r="H2069" s="73"/>
      <c r="I2069" s="75">
        <v>0.1</v>
      </c>
      <c r="J2069" s="77"/>
      <c r="K2069" s="66"/>
      <c r="L2069" s="66"/>
      <c r="M2069" s="79" t="str">
        <f>HYPERLINK("http://www.pristavka.com/catalog/funko/Fun72332/")</f>
        <v>http://www.pristavka.com/catalog/funko/Fun72332/</v>
      </c>
      <c r="N2069" s="71">
        <v>9999</v>
      </c>
      <c r="O2069" s="66" t="s">
        <v>27</v>
      </c>
      <c r="P2069" s="82" t="s">
        <v>8177</v>
      </c>
      <c r="Q2069" s="84" t="s">
        <v>1297</v>
      </c>
      <c r="R2069" s="84" t="s">
        <v>1298</v>
      </c>
      <c r="S2069" s="84">
        <v>0.14000000000000001</v>
      </c>
      <c r="T2069" s="82" t="s">
        <v>4091</v>
      </c>
      <c r="U2069" s="84" t="s">
        <v>3584</v>
      </c>
      <c r="V2069" s="54"/>
    </row>
    <row r="2070" spans="1:22" s="11" customFormat="1" ht="45" customHeight="1" x14ac:dyDescent="0.2">
      <c r="A2070" s="66" t="s">
        <v>3577</v>
      </c>
      <c r="B2070" s="66" t="s">
        <v>1707</v>
      </c>
      <c r="C2070" s="66" t="s">
        <v>3578</v>
      </c>
      <c r="D2070" s="66">
        <v>72336</v>
      </c>
      <c r="E2070" s="68" t="s">
        <v>8178</v>
      </c>
      <c r="F2070" s="66" t="s">
        <v>8179</v>
      </c>
      <c r="G2070" s="71">
        <v>6500</v>
      </c>
      <c r="H2070" s="73"/>
      <c r="I2070" s="75">
        <v>0.1</v>
      </c>
      <c r="J2070" s="77"/>
      <c r="K2070" s="66"/>
      <c r="L2070" s="66"/>
      <c r="M2070" s="79" t="str">
        <f>HYPERLINK("http://www.pristavka.com/catalog/funko/Fun72336/")</f>
        <v>http://www.pristavka.com/catalog/funko/Fun72336/</v>
      </c>
      <c r="N2070" s="71">
        <v>9999</v>
      </c>
      <c r="O2070" s="66" t="s">
        <v>27</v>
      </c>
      <c r="P2070" s="82" t="s">
        <v>8180</v>
      </c>
      <c r="Q2070" s="84" t="s">
        <v>1297</v>
      </c>
      <c r="R2070" s="84" t="s">
        <v>1298</v>
      </c>
      <c r="S2070" s="84">
        <v>0.13700000000000001</v>
      </c>
      <c r="T2070" s="82" t="s">
        <v>4091</v>
      </c>
      <c r="U2070" s="84" t="s">
        <v>3584</v>
      </c>
      <c r="V2070" s="54"/>
    </row>
    <row r="2071" spans="1:22" s="11" customFormat="1" ht="45" customHeight="1" x14ac:dyDescent="0.2">
      <c r="A2071" s="66" t="s">
        <v>3577</v>
      </c>
      <c r="B2071" s="66" t="s">
        <v>1707</v>
      </c>
      <c r="C2071" s="66" t="s">
        <v>3578</v>
      </c>
      <c r="D2071" s="66">
        <v>72337</v>
      </c>
      <c r="E2071" s="68" t="s">
        <v>8181</v>
      </c>
      <c r="F2071" s="66" t="s">
        <v>8182</v>
      </c>
      <c r="G2071" s="71">
        <v>6500</v>
      </c>
      <c r="H2071" s="73"/>
      <c r="I2071" s="75">
        <v>0.1</v>
      </c>
      <c r="J2071" s="77"/>
      <c r="K2071" s="66"/>
      <c r="L2071" s="66"/>
      <c r="M2071" s="79" t="str">
        <f>HYPERLINK("http://www.pristavka.com/catalog/funko/Fun72337/")</f>
        <v>http://www.pristavka.com/catalog/funko/Fun72337/</v>
      </c>
      <c r="N2071" s="71">
        <v>9999</v>
      </c>
      <c r="O2071" s="66" t="s">
        <v>27</v>
      </c>
      <c r="P2071" s="82" t="s">
        <v>8183</v>
      </c>
      <c r="Q2071" s="84" t="s">
        <v>1297</v>
      </c>
      <c r="R2071" s="84" t="s">
        <v>1298</v>
      </c>
      <c r="S2071" s="84">
        <v>0.14299999999999999</v>
      </c>
      <c r="T2071" s="82" t="s">
        <v>4091</v>
      </c>
      <c r="U2071" s="84" t="s">
        <v>3584</v>
      </c>
      <c r="V2071" s="54"/>
    </row>
    <row r="2072" spans="1:22" s="11" customFormat="1" ht="45" customHeight="1" x14ac:dyDescent="0.2">
      <c r="A2072" s="66" t="s">
        <v>3577</v>
      </c>
      <c r="B2072" s="66" t="s">
        <v>1707</v>
      </c>
      <c r="C2072" s="66" t="s">
        <v>3578</v>
      </c>
      <c r="D2072" s="66">
        <v>78652</v>
      </c>
      <c r="E2072" s="68" t="s">
        <v>8184</v>
      </c>
      <c r="F2072" s="66" t="s">
        <v>8185</v>
      </c>
      <c r="G2072" s="71">
        <v>6890</v>
      </c>
      <c r="H2072" s="73"/>
      <c r="I2072" s="75">
        <v>0.1</v>
      </c>
      <c r="J2072" s="77"/>
      <c r="K2072" s="66"/>
      <c r="L2072" s="66"/>
      <c r="M2072" s="79" t="str">
        <f>HYPERLINK("http://www.pristavka.com/catalog/funko/Fun78652/")</f>
        <v>http://www.pristavka.com/catalog/funko/Fun78652/</v>
      </c>
      <c r="N2072" s="71">
        <v>10599</v>
      </c>
      <c r="O2072" s="66" t="s">
        <v>27</v>
      </c>
      <c r="P2072" s="82" t="s">
        <v>8186</v>
      </c>
      <c r="Q2072" s="84" t="s">
        <v>1297</v>
      </c>
      <c r="R2072" s="84" t="s">
        <v>1298</v>
      </c>
      <c r="S2072" s="84">
        <v>0.14499999999999999</v>
      </c>
      <c r="T2072" s="82" t="s">
        <v>4084</v>
      </c>
      <c r="U2072" s="84" t="s">
        <v>3584</v>
      </c>
      <c r="V2072" s="54"/>
    </row>
    <row r="2073" spans="1:22" s="11" customFormat="1" ht="45" customHeight="1" x14ac:dyDescent="0.2">
      <c r="A2073" s="66" t="s">
        <v>3577</v>
      </c>
      <c r="B2073" s="66" t="s">
        <v>1707</v>
      </c>
      <c r="C2073" s="66" t="s">
        <v>3578</v>
      </c>
      <c r="D2073" s="66">
        <v>81009</v>
      </c>
      <c r="E2073" s="68" t="s">
        <v>8187</v>
      </c>
      <c r="F2073" s="66" t="s">
        <v>8188</v>
      </c>
      <c r="G2073" s="71">
        <v>6500</v>
      </c>
      <c r="H2073" s="73"/>
      <c r="I2073" s="75">
        <v>0.1</v>
      </c>
      <c r="J2073" s="77"/>
      <c r="K2073" s="66"/>
      <c r="L2073" s="66"/>
      <c r="M2073" s="79" t="str">
        <f>HYPERLINK("http://www.pristavka.com/catalog/funko/Fun81009/")</f>
        <v>http://www.pristavka.com/catalog/funko/Fun81009/</v>
      </c>
      <c r="N2073" s="71">
        <v>9999</v>
      </c>
      <c r="O2073" s="66" t="s">
        <v>27</v>
      </c>
      <c r="P2073" s="82" t="s">
        <v>8189</v>
      </c>
      <c r="Q2073" s="84" t="s">
        <v>8190</v>
      </c>
      <c r="R2073" s="84" t="s">
        <v>1840</v>
      </c>
      <c r="S2073" s="84">
        <v>0.155</v>
      </c>
      <c r="T2073" s="82" t="s">
        <v>4113</v>
      </c>
      <c r="U2073" s="84" t="s">
        <v>3584</v>
      </c>
      <c r="V2073" s="54"/>
    </row>
    <row r="2074" spans="1:22" s="11" customFormat="1" ht="45" customHeight="1" x14ac:dyDescent="0.2">
      <c r="A2074" s="66" t="s">
        <v>3577</v>
      </c>
      <c r="B2074" s="66" t="s">
        <v>1707</v>
      </c>
      <c r="C2074" s="66" t="s">
        <v>3578</v>
      </c>
      <c r="D2074" s="66">
        <v>80995</v>
      </c>
      <c r="E2074" s="68" t="s">
        <v>8191</v>
      </c>
      <c r="F2074" s="66" t="s">
        <v>8192</v>
      </c>
      <c r="G2074" s="71">
        <v>6500</v>
      </c>
      <c r="H2074" s="73"/>
      <c r="I2074" s="75">
        <v>0.1</v>
      </c>
      <c r="J2074" s="77"/>
      <c r="K2074" s="66"/>
      <c r="L2074" s="66"/>
      <c r="M2074" s="79" t="str">
        <f>HYPERLINK("http://www.pristavka.com/catalog/funko/Fun80995/")</f>
        <v>http://www.pristavka.com/catalog/funko/Fun80995/</v>
      </c>
      <c r="N2074" s="71">
        <v>9999</v>
      </c>
      <c r="O2074" s="66" t="s">
        <v>27</v>
      </c>
      <c r="P2074" s="82" t="s">
        <v>8193</v>
      </c>
      <c r="Q2074" s="84" t="s">
        <v>1223</v>
      </c>
      <c r="R2074" s="84" t="s">
        <v>1212</v>
      </c>
      <c r="S2074" s="84">
        <v>0.114</v>
      </c>
      <c r="T2074" s="82" t="s">
        <v>4084</v>
      </c>
      <c r="U2074" s="84" t="s">
        <v>3584</v>
      </c>
      <c r="V2074" s="54"/>
    </row>
    <row r="2075" spans="1:22" s="11" customFormat="1" ht="45" customHeight="1" x14ac:dyDescent="0.2">
      <c r="A2075" s="66" t="s">
        <v>3577</v>
      </c>
      <c r="B2075" s="66" t="s">
        <v>1707</v>
      </c>
      <c r="C2075" s="66" t="s">
        <v>3578</v>
      </c>
      <c r="D2075" s="66">
        <v>80996</v>
      </c>
      <c r="E2075" s="68" t="s">
        <v>8194</v>
      </c>
      <c r="F2075" s="66" t="s">
        <v>8195</v>
      </c>
      <c r="G2075" s="71">
        <v>6500</v>
      </c>
      <c r="H2075" s="73"/>
      <c r="I2075" s="75">
        <v>0.1</v>
      </c>
      <c r="J2075" s="77"/>
      <c r="K2075" s="66"/>
      <c r="L2075" s="66"/>
      <c r="M2075" s="79" t="str">
        <f>HYPERLINK("http://www.pristavka.com/catalog/funko/Fun80996/")</f>
        <v>http://www.pristavka.com/catalog/funko/Fun80996/</v>
      </c>
      <c r="N2075" s="71">
        <v>9999</v>
      </c>
      <c r="O2075" s="66" t="s">
        <v>27</v>
      </c>
      <c r="P2075" s="82" t="s">
        <v>8196</v>
      </c>
      <c r="Q2075" s="84" t="s">
        <v>1223</v>
      </c>
      <c r="R2075" s="84" t="s">
        <v>1212</v>
      </c>
      <c r="S2075" s="84">
        <v>0.13200000000000001</v>
      </c>
      <c r="T2075" s="82" t="s">
        <v>4084</v>
      </c>
      <c r="U2075" s="84" t="s">
        <v>3584</v>
      </c>
      <c r="V2075" s="54"/>
    </row>
    <row r="2076" spans="1:22" s="11" customFormat="1" ht="45" customHeight="1" x14ac:dyDescent="0.2">
      <c r="A2076" s="66" t="s">
        <v>3577</v>
      </c>
      <c r="B2076" s="66" t="s">
        <v>1707</v>
      </c>
      <c r="C2076" s="66" t="s">
        <v>3578</v>
      </c>
      <c r="D2076" s="66">
        <v>80997</v>
      </c>
      <c r="E2076" s="68" t="s">
        <v>8197</v>
      </c>
      <c r="F2076" s="66" t="s">
        <v>8198</v>
      </c>
      <c r="G2076" s="71">
        <v>6500</v>
      </c>
      <c r="H2076" s="73"/>
      <c r="I2076" s="75">
        <v>0.1</v>
      </c>
      <c r="J2076" s="77"/>
      <c r="K2076" s="66"/>
      <c r="L2076" s="66"/>
      <c r="M2076" s="79" t="str">
        <f>HYPERLINK("http://www.pristavka.com/catalog/funko/Fun80997/")</f>
        <v>http://www.pristavka.com/catalog/funko/Fun80997/</v>
      </c>
      <c r="N2076" s="71">
        <v>9999</v>
      </c>
      <c r="O2076" s="66" t="s">
        <v>27</v>
      </c>
      <c r="P2076" s="82" t="s">
        <v>8199</v>
      </c>
      <c r="Q2076" s="84" t="s">
        <v>1223</v>
      </c>
      <c r="R2076" s="84" t="s">
        <v>1212</v>
      </c>
      <c r="S2076" s="84">
        <v>0.122</v>
      </c>
      <c r="T2076" s="82" t="s">
        <v>4084</v>
      </c>
      <c r="U2076" s="84" t="s">
        <v>3584</v>
      </c>
      <c r="V2076" s="54"/>
    </row>
    <row r="2077" spans="1:22" s="11" customFormat="1" ht="45" customHeight="1" x14ac:dyDescent="0.2">
      <c r="A2077" s="66" t="s">
        <v>3577</v>
      </c>
      <c r="B2077" s="66" t="s">
        <v>1707</v>
      </c>
      <c r="C2077" s="66" t="s">
        <v>3578</v>
      </c>
      <c r="D2077" s="66">
        <v>80998</v>
      </c>
      <c r="E2077" s="68" t="s">
        <v>8200</v>
      </c>
      <c r="F2077" s="66" t="s">
        <v>8201</v>
      </c>
      <c r="G2077" s="71">
        <v>6500</v>
      </c>
      <c r="H2077" s="73"/>
      <c r="I2077" s="75">
        <v>0.1</v>
      </c>
      <c r="J2077" s="77"/>
      <c r="K2077" s="66"/>
      <c r="L2077" s="66"/>
      <c r="M2077" s="79" t="str">
        <f>HYPERLINK("http://www.pristavka.com/catalog/funko/Fun80998/")</f>
        <v>http://www.pristavka.com/catalog/funko/Fun80998/</v>
      </c>
      <c r="N2077" s="71">
        <v>9999</v>
      </c>
      <c r="O2077" s="66" t="s">
        <v>27</v>
      </c>
      <c r="P2077" s="82" t="s">
        <v>8202</v>
      </c>
      <c r="Q2077" s="84" t="s">
        <v>1223</v>
      </c>
      <c r="R2077" s="84" t="s">
        <v>1212</v>
      </c>
      <c r="S2077" s="84">
        <v>0.128</v>
      </c>
      <c r="T2077" s="82" t="s">
        <v>4084</v>
      </c>
      <c r="U2077" s="84" t="s">
        <v>3584</v>
      </c>
      <c r="V2077" s="54"/>
    </row>
    <row r="2078" spans="1:22" s="11" customFormat="1" ht="45" customHeight="1" x14ac:dyDescent="0.2">
      <c r="A2078" s="66" t="s">
        <v>3577</v>
      </c>
      <c r="B2078" s="66" t="s">
        <v>1707</v>
      </c>
      <c r="C2078" s="66" t="s">
        <v>3578</v>
      </c>
      <c r="D2078" s="66">
        <v>73288</v>
      </c>
      <c r="E2078" s="68" t="s">
        <v>8203</v>
      </c>
      <c r="F2078" s="66" t="s">
        <v>8204</v>
      </c>
      <c r="G2078" s="71">
        <v>0</v>
      </c>
      <c r="H2078" s="73"/>
      <c r="I2078" s="75">
        <v>0.1</v>
      </c>
      <c r="J2078" s="77"/>
      <c r="K2078" s="66"/>
      <c r="L2078" s="66"/>
      <c r="M2078" s="79" t="str">
        <f>HYPERLINK("http://www.pristavka.com/catalog/funko/Fun73288/")</f>
        <v>http://www.pristavka.com/catalog/funko/Fun73288/</v>
      </c>
      <c r="N2078" s="71"/>
      <c r="O2078" s="66" t="s">
        <v>27</v>
      </c>
      <c r="P2078" s="82" t="s">
        <v>8205</v>
      </c>
      <c r="Q2078" s="84" t="s">
        <v>6166</v>
      </c>
      <c r="R2078" s="84" t="s">
        <v>1212</v>
      </c>
      <c r="S2078" s="84">
        <v>0.11600000000000001</v>
      </c>
      <c r="T2078" s="82" t="s">
        <v>4084</v>
      </c>
      <c r="U2078" s="84" t="s">
        <v>3584</v>
      </c>
      <c r="V2078" s="54"/>
    </row>
    <row r="2079" spans="1:22" s="11" customFormat="1" ht="45" customHeight="1" x14ac:dyDescent="0.2">
      <c r="A2079" s="66" t="s">
        <v>3577</v>
      </c>
      <c r="B2079" s="66" t="s">
        <v>1707</v>
      </c>
      <c r="C2079" s="66" t="s">
        <v>3578</v>
      </c>
      <c r="D2079" s="66">
        <v>83102</v>
      </c>
      <c r="E2079" s="68" t="s">
        <v>8206</v>
      </c>
      <c r="F2079" s="66" t="s">
        <v>8207</v>
      </c>
      <c r="G2079" s="71">
        <v>6500</v>
      </c>
      <c r="H2079" s="73"/>
      <c r="I2079" s="75">
        <v>0.1</v>
      </c>
      <c r="J2079" s="77"/>
      <c r="K2079" s="66"/>
      <c r="L2079" s="66"/>
      <c r="M2079" s="79" t="str">
        <f>HYPERLINK("http://www.pristavka.com/catalog/funko/Fun83102/")</f>
        <v>http://www.pristavka.com/catalog/funko/Fun83102/</v>
      </c>
      <c r="N2079" s="71">
        <v>9999</v>
      </c>
      <c r="O2079" s="66" t="s">
        <v>27</v>
      </c>
      <c r="P2079" s="82" t="s">
        <v>8208</v>
      </c>
      <c r="Q2079" s="84" t="s">
        <v>3681</v>
      </c>
      <c r="R2079" s="84" t="s">
        <v>1212</v>
      </c>
      <c r="S2079" s="84">
        <v>0.14000000000000001</v>
      </c>
      <c r="T2079" s="82" t="s">
        <v>4113</v>
      </c>
      <c r="U2079" s="84" t="s">
        <v>3584</v>
      </c>
      <c r="V2079" s="54"/>
    </row>
    <row r="2080" spans="1:22" s="11" customFormat="1" ht="45" customHeight="1" x14ac:dyDescent="0.2">
      <c r="A2080" s="66" t="s">
        <v>3577</v>
      </c>
      <c r="B2080" s="66" t="s">
        <v>1707</v>
      </c>
      <c r="C2080" s="66" t="s">
        <v>3578</v>
      </c>
      <c r="D2080" s="66">
        <v>83103</v>
      </c>
      <c r="E2080" s="68" t="s">
        <v>8209</v>
      </c>
      <c r="F2080" s="66" t="s">
        <v>8210</v>
      </c>
      <c r="G2080" s="71">
        <v>6500</v>
      </c>
      <c r="H2080" s="73"/>
      <c r="I2080" s="75">
        <v>0.1</v>
      </c>
      <c r="J2080" s="77"/>
      <c r="K2080" s="66"/>
      <c r="L2080" s="66"/>
      <c r="M2080" s="79" t="str">
        <f>HYPERLINK("http://www.pristavka.com/catalog/funko/Fun83103/")</f>
        <v>http://www.pristavka.com/catalog/funko/Fun83103/</v>
      </c>
      <c r="N2080" s="71">
        <v>9999</v>
      </c>
      <c r="O2080" s="66" t="s">
        <v>27</v>
      </c>
      <c r="P2080" s="82" t="s">
        <v>8211</v>
      </c>
      <c r="Q2080" s="84" t="s">
        <v>3681</v>
      </c>
      <c r="R2080" s="84" t="s">
        <v>1212</v>
      </c>
      <c r="S2080" s="84">
        <v>0.15</v>
      </c>
      <c r="T2080" s="82" t="s">
        <v>4113</v>
      </c>
      <c r="U2080" s="84" t="s">
        <v>3584</v>
      </c>
      <c r="V2080" s="54"/>
    </row>
    <row r="2081" spans="1:22" s="11" customFormat="1" ht="45" customHeight="1" x14ac:dyDescent="0.2">
      <c r="A2081" s="66" t="s">
        <v>3577</v>
      </c>
      <c r="B2081" s="66" t="s">
        <v>1707</v>
      </c>
      <c r="C2081" s="66" t="s">
        <v>3578</v>
      </c>
      <c r="D2081" s="66">
        <v>83105</v>
      </c>
      <c r="E2081" s="68" t="s">
        <v>8212</v>
      </c>
      <c r="F2081" s="66" t="s">
        <v>8213</v>
      </c>
      <c r="G2081" s="71">
        <v>6500</v>
      </c>
      <c r="H2081" s="73"/>
      <c r="I2081" s="75">
        <v>0.1</v>
      </c>
      <c r="J2081" s="77"/>
      <c r="K2081" s="66"/>
      <c r="L2081" s="66"/>
      <c r="M2081" s="79" t="str">
        <f>HYPERLINK("http://www.pristavka.com/catalog/funko/Fun83105/")</f>
        <v>http://www.pristavka.com/catalog/funko/Fun83105/</v>
      </c>
      <c r="N2081" s="71">
        <v>9999</v>
      </c>
      <c r="O2081" s="66" t="s">
        <v>27</v>
      </c>
      <c r="P2081" s="82" t="s">
        <v>8214</v>
      </c>
      <c r="Q2081" s="84" t="s">
        <v>7677</v>
      </c>
      <c r="R2081" s="84" t="s">
        <v>1303</v>
      </c>
      <c r="S2081" s="84">
        <v>0.15</v>
      </c>
      <c r="T2081" s="82" t="s">
        <v>4113</v>
      </c>
      <c r="U2081" s="84" t="s">
        <v>3584</v>
      </c>
      <c r="V2081" s="54"/>
    </row>
    <row r="2082" spans="1:22" s="11" customFormat="1" ht="45" customHeight="1" x14ac:dyDescent="0.2">
      <c r="A2082" s="66" t="s">
        <v>3577</v>
      </c>
      <c r="B2082" s="66" t="s">
        <v>1707</v>
      </c>
      <c r="C2082" s="66" t="s">
        <v>3578</v>
      </c>
      <c r="D2082" s="66">
        <v>79782</v>
      </c>
      <c r="E2082" s="68" t="s">
        <v>8215</v>
      </c>
      <c r="F2082" s="66" t="s">
        <v>8216</v>
      </c>
      <c r="G2082" s="71">
        <v>0</v>
      </c>
      <c r="H2082" s="73"/>
      <c r="I2082" s="75">
        <v>0.1</v>
      </c>
      <c r="J2082" s="77"/>
      <c r="K2082" s="66"/>
      <c r="L2082" s="66"/>
      <c r="M2082" s="79" t="str">
        <f>HYPERLINK("http://www.pristavka.com/catalog/funko/Fun79782/")</f>
        <v>http://www.pristavka.com/catalog/funko/Fun79782/</v>
      </c>
      <c r="N2082" s="71"/>
      <c r="O2082" s="66" t="s">
        <v>27</v>
      </c>
      <c r="P2082" s="82" t="s">
        <v>8217</v>
      </c>
      <c r="Q2082" s="84" t="s">
        <v>8218</v>
      </c>
      <c r="R2082" s="84" t="s">
        <v>1765</v>
      </c>
      <c r="S2082" s="84">
        <v>8.7999999999999995E-2</v>
      </c>
      <c r="T2082" s="82" t="s">
        <v>4084</v>
      </c>
      <c r="U2082" s="84" t="s">
        <v>3584</v>
      </c>
      <c r="V2082" s="54"/>
    </row>
    <row r="2083" spans="1:22" s="11" customFormat="1" ht="45" customHeight="1" x14ac:dyDescent="0.2">
      <c r="A2083" s="66" t="s">
        <v>3577</v>
      </c>
      <c r="B2083" s="66" t="s">
        <v>1707</v>
      </c>
      <c r="C2083" s="66" t="s">
        <v>3578</v>
      </c>
      <c r="D2083" s="66">
        <v>79781</v>
      </c>
      <c r="E2083" s="68" t="s">
        <v>8219</v>
      </c>
      <c r="F2083" s="66" t="s">
        <v>8220</v>
      </c>
      <c r="G2083" s="71">
        <v>0</v>
      </c>
      <c r="H2083" s="73"/>
      <c r="I2083" s="75">
        <v>0.1</v>
      </c>
      <c r="J2083" s="77"/>
      <c r="K2083" s="66"/>
      <c r="L2083" s="66"/>
      <c r="M2083" s="79" t="str">
        <f>HYPERLINK("http://www.pristavka.com/catalog/funko/Fun79781/")</f>
        <v>http://www.pristavka.com/catalog/funko/Fun79781/</v>
      </c>
      <c r="N2083" s="71"/>
      <c r="O2083" s="66" t="s">
        <v>27</v>
      </c>
      <c r="P2083" s="82" t="s">
        <v>8221</v>
      </c>
      <c r="Q2083" s="84" t="s">
        <v>8218</v>
      </c>
      <c r="R2083" s="84" t="s">
        <v>1765</v>
      </c>
      <c r="S2083" s="84">
        <v>0.1</v>
      </c>
      <c r="T2083" s="82" t="s">
        <v>4084</v>
      </c>
      <c r="U2083" s="84" t="s">
        <v>3584</v>
      </c>
      <c r="V2083" s="54"/>
    </row>
    <row r="2084" spans="1:22" s="11" customFormat="1" ht="45" customHeight="1" x14ac:dyDescent="0.2">
      <c r="A2084" s="66" t="s">
        <v>3577</v>
      </c>
      <c r="B2084" s="66" t="s">
        <v>1707</v>
      </c>
      <c r="C2084" s="66" t="s">
        <v>3578</v>
      </c>
      <c r="D2084" s="66">
        <v>79783</v>
      </c>
      <c r="E2084" s="68" t="s">
        <v>8222</v>
      </c>
      <c r="F2084" s="66" t="s">
        <v>8223</v>
      </c>
      <c r="G2084" s="71">
        <v>0</v>
      </c>
      <c r="H2084" s="73"/>
      <c r="I2084" s="75">
        <v>0.1</v>
      </c>
      <c r="J2084" s="77"/>
      <c r="K2084" s="66"/>
      <c r="L2084" s="66"/>
      <c r="M2084" s="79" t="str">
        <f>HYPERLINK("http://www.pristavka.com/catalog/funko/Fun79783/")</f>
        <v>http://www.pristavka.com/catalog/funko/Fun79783/</v>
      </c>
      <c r="N2084" s="71"/>
      <c r="O2084" s="66" t="s">
        <v>27</v>
      </c>
      <c r="P2084" s="82" t="s">
        <v>8224</v>
      </c>
      <c r="Q2084" s="84" t="s">
        <v>8218</v>
      </c>
      <c r="R2084" s="84" t="s">
        <v>1765</v>
      </c>
      <c r="S2084" s="84">
        <v>8.7999999999999995E-2</v>
      </c>
      <c r="T2084" s="82" t="s">
        <v>4084</v>
      </c>
      <c r="U2084" s="84" t="s">
        <v>3584</v>
      </c>
      <c r="V2084" s="54"/>
    </row>
    <row r="2085" spans="1:22" s="11" customFormat="1" ht="45" customHeight="1" x14ac:dyDescent="0.2">
      <c r="A2085" s="66" t="s">
        <v>3577</v>
      </c>
      <c r="B2085" s="66" t="s">
        <v>1707</v>
      </c>
      <c r="C2085" s="66" t="s">
        <v>3578</v>
      </c>
      <c r="D2085" s="66">
        <v>79780</v>
      </c>
      <c r="E2085" s="68" t="s">
        <v>8225</v>
      </c>
      <c r="F2085" s="66" t="s">
        <v>8226</v>
      </c>
      <c r="G2085" s="71">
        <v>0</v>
      </c>
      <c r="H2085" s="73"/>
      <c r="I2085" s="75">
        <v>0.1</v>
      </c>
      <c r="J2085" s="77"/>
      <c r="K2085" s="66"/>
      <c r="L2085" s="66"/>
      <c r="M2085" s="79" t="str">
        <f>HYPERLINK("http://www.pristavka.com/catalog/funko/Fun79780/")</f>
        <v>http://www.pristavka.com/catalog/funko/Fun79780/</v>
      </c>
      <c r="N2085" s="71"/>
      <c r="O2085" s="66" t="s">
        <v>27</v>
      </c>
      <c r="P2085" s="82" t="s">
        <v>8227</v>
      </c>
      <c r="Q2085" s="84" t="s">
        <v>8218</v>
      </c>
      <c r="R2085" s="84" t="s">
        <v>1765</v>
      </c>
      <c r="S2085" s="84">
        <v>0.11600000000000001</v>
      </c>
      <c r="T2085" s="82" t="s">
        <v>4084</v>
      </c>
      <c r="U2085" s="84" t="s">
        <v>3584</v>
      </c>
      <c r="V2085" s="54"/>
    </row>
    <row r="2086" spans="1:22" s="11" customFormat="1" ht="45" customHeight="1" x14ac:dyDescent="0.2">
      <c r="A2086" s="66" t="s">
        <v>3577</v>
      </c>
      <c r="B2086" s="66" t="s">
        <v>1707</v>
      </c>
      <c r="C2086" s="66" t="s">
        <v>3578</v>
      </c>
      <c r="D2086" s="66">
        <v>85450</v>
      </c>
      <c r="E2086" s="68" t="s">
        <v>8228</v>
      </c>
      <c r="F2086" s="66" t="s">
        <v>8229</v>
      </c>
      <c r="G2086" s="71">
        <v>0</v>
      </c>
      <c r="H2086" s="73"/>
      <c r="I2086" s="75">
        <v>0.1</v>
      </c>
      <c r="J2086" s="77"/>
      <c r="K2086" s="66"/>
      <c r="L2086" s="66"/>
      <c r="M2086" s="79" t="str">
        <f>HYPERLINK("http://www.pristavka.com/catalog/funko/Fun85450/")</f>
        <v>http://www.pristavka.com/catalog/funko/Fun85450/</v>
      </c>
      <c r="N2086" s="71"/>
      <c r="O2086" s="66" t="s">
        <v>27</v>
      </c>
      <c r="P2086" s="82" t="s">
        <v>8230</v>
      </c>
      <c r="Q2086" s="84" t="s">
        <v>8231</v>
      </c>
      <c r="R2086" s="84" t="s">
        <v>6166</v>
      </c>
      <c r="S2086" s="84">
        <v>0.152</v>
      </c>
      <c r="T2086" s="82" t="s">
        <v>4113</v>
      </c>
      <c r="U2086" s="84" t="s">
        <v>3584</v>
      </c>
      <c r="V2086" s="54"/>
    </row>
    <row r="2087" spans="1:22" s="11" customFormat="1" ht="45" customHeight="1" x14ac:dyDescent="0.2">
      <c r="A2087" s="66" t="s">
        <v>3577</v>
      </c>
      <c r="B2087" s="66" t="s">
        <v>1707</v>
      </c>
      <c r="C2087" s="66" t="s">
        <v>3578</v>
      </c>
      <c r="D2087" s="66">
        <v>79747</v>
      </c>
      <c r="E2087" s="68" t="s">
        <v>8232</v>
      </c>
      <c r="F2087" s="66" t="s">
        <v>8233</v>
      </c>
      <c r="G2087" s="71">
        <v>6500</v>
      </c>
      <c r="H2087" s="73"/>
      <c r="I2087" s="75">
        <v>0.1</v>
      </c>
      <c r="J2087" s="77"/>
      <c r="K2087" s="66"/>
      <c r="L2087" s="66"/>
      <c r="M2087" s="79" t="str">
        <f>HYPERLINK("http://www.pristavka.com/catalog/funko/Fun79747/")</f>
        <v>http://www.pristavka.com/catalog/funko/Fun79747/</v>
      </c>
      <c r="N2087" s="71">
        <v>9999</v>
      </c>
      <c r="O2087" s="66" t="s">
        <v>27</v>
      </c>
      <c r="P2087" s="82" t="s">
        <v>8234</v>
      </c>
      <c r="Q2087" s="84" t="s">
        <v>3686</v>
      </c>
      <c r="R2087" s="84" t="s">
        <v>1212</v>
      </c>
      <c r="S2087" s="84">
        <v>0.17199999999999999</v>
      </c>
      <c r="T2087" s="82" t="s">
        <v>4091</v>
      </c>
      <c r="U2087" s="84" t="s">
        <v>3584</v>
      </c>
      <c r="V2087" s="54"/>
    </row>
    <row r="2088" spans="1:22" s="11" customFormat="1" ht="45" customHeight="1" x14ac:dyDescent="0.2">
      <c r="A2088" s="66" t="s">
        <v>3577</v>
      </c>
      <c r="B2088" s="66" t="s">
        <v>1707</v>
      </c>
      <c r="C2088" s="66" t="s">
        <v>3578</v>
      </c>
      <c r="D2088" s="66">
        <v>83098</v>
      </c>
      <c r="E2088" s="68" t="s">
        <v>8235</v>
      </c>
      <c r="F2088" s="66" t="s">
        <v>8236</v>
      </c>
      <c r="G2088" s="71">
        <v>6500</v>
      </c>
      <c r="H2088" s="73"/>
      <c r="I2088" s="75">
        <v>0.1</v>
      </c>
      <c r="J2088" s="77"/>
      <c r="K2088" s="66"/>
      <c r="L2088" s="66"/>
      <c r="M2088" s="79" t="str">
        <f>HYPERLINK("http://www.pristavka.com/catalog/funko/Fun83098/")</f>
        <v>http://www.pristavka.com/catalog/funko/Fun83098/</v>
      </c>
      <c r="N2088" s="71">
        <v>9999</v>
      </c>
      <c r="O2088" s="66" t="s">
        <v>27</v>
      </c>
      <c r="P2088" s="82" t="s">
        <v>8237</v>
      </c>
      <c r="Q2088" s="84" t="s">
        <v>3686</v>
      </c>
      <c r="R2088" s="84" t="s">
        <v>1212</v>
      </c>
      <c r="S2088" s="84">
        <v>0.184</v>
      </c>
      <c r="T2088" s="82" t="s">
        <v>4084</v>
      </c>
      <c r="U2088" s="84" t="s">
        <v>3584</v>
      </c>
      <c r="V2088" s="54"/>
    </row>
    <row r="2089" spans="1:22" s="11" customFormat="1" ht="45" customHeight="1" x14ac:dyDescent="0.2">
      <c r="A2089" s="66" t="s">
        <v>3577</v>
      </c>
      <c r="B2089" s="66" t="s">
        <v>1707</v>
      </c>
      <c r="C2089" s="66" t="s">
        <v>3578</v>
      </c>
      <c r="D2089" s="66">
        <v>83099</v>
      </c>
      <c r="E2089" s="68" t="s">
        <v>8238</v>
      </c>
      <c r="F2089" s="66" t="s">
        <v>8239</v>
      </c>
      <c r="G2089" s="71">
        <v>6500</v>
      </c>
      <c r="H2089" s="73"/>
      <c r="I2089" s="75">
        <v>0.1</v>
      </c>
      <c r="J2089" s="77"/>
      <c r="K2089" s="66"/>
      <c r="L2089" s="66"/>
      <c r="M2089" s="79" t="str">
        <f>HYPERLINK("http://www.pristavka.com/catalog/funko/Fun83099/")</f>
        <v>http://www.pristavka.com/catalog/funko/Fun83099/</v>
      </c>
      <c r="N2089" s="71">
        <v>9999</v>
      </c>
      <c r="O2089" s="66" t="s">
        <v>27</v>
      </c>
      <c r="P2089" s="82" t="s">
        <v>8240</v>
      </c>
      <c r="Q2089" s="84" t="s">
        <v>3686</v>
      </c>
      <c r="R2089" s="84" t="s">
        <v>1212</v>
      </c>
      <c r="S2089" s="84">
        <v>0.19500000000000001</v>
      </c>
      <c r="T2089" s="82" t="s">
        <v>4113</v>
      </c>
      <c r="U2089" s="84" t="s">
        <v>3584</v>
      </c>
      <c r="V2089" s="54"/>
    </row>
    <row r="2090" spans="1:22" s="11" customFormat="1" ht="45" customHeight="1" x14ac:dyDescent="0.2">
      <c r="A2090" s="66" t="s">
        <v>3577</v>
      </c>
      <c r="B2090" s="66" t="s">
        <v>1707</v>
      </c>
      <c r="C2090" s="66" t="s">
        <v>3578</v>
      </c>
      <c r="D2090" s="66">
        <v>79748</v>
      </c>
      <c r="E2090" s="68" t="s">
        <v>8241</v>
      </c>
      <c r="F2090" s="66" t="s">
        <v>8242</v>
      </c>
      <c r="G2090" s="71">
        <v>6500</v>
      </c>
      <c r="H2090" s="73"/>
      <c r="I2090" s="75">
        <v>0.1</v>
      </c>
      <c r="J2090" s="77"/>
      <c r="K2090" s="66"/>
      <c r="L2090" s="66"/>
      <c r="M2090" s="79" t="str">
        <f>HYPERLINK("http://www.pristavka.com/catalog/funko/Fun79748/")</f>
        <v>http://www.pristavka.com/catalog/funko/Fun79748/</v>
      </c>
      <c r="N2090" s="71">
        <v>9999</v>
      </c>
      <c r="O2090" s="66" t="s">
        <v>27</v>
      </c>
      <c r="P2090" s="82" t="s">
        <v>8243</v>
      </c>
      <c r="Q2090" s="84" t="s">
        <v>3686</v>
      </c>
      <c r="R2090" s="84" t="s">
        <v>1212</v>
      </c>
      <c r="S2090" s="84">
        <v>0.20499999999999999</v>
      </c>
      <c r="T2090" s="82" t="s">
        <v>4113</v>
      </c>
      <c r="U2090" s="84" t="s">
        <v>3584</v>
      </c>
      <c r="V2090" s="54"/>
    </row>
    <row r="2091" spans="1:22" s="11" customFormat="1" ht="45" customHeight="1" x14ac:dyDescent="0.2">
      <c r="A2091" s="66" t="s">
        <v>3577</v>
      </c>
      <c r="B2091" s="66" t="s">
        <v>1707</v>
      </c>
      <c r="C2091" s="66" t="s">
        <v>3578</v>
      </c>
      <c r="D2091" s="66">
        <v>79750</v>
      </c>
      <c r="E2091" s="68" t="s">
        <v>8244</v>
      </c>
      <c r="F2091" s="66" t="s">
        <v>8245</v>
      </c>
      <c r="G2091" s="71">
        <v>6500</v>
      </c>
      <c r="H2091" s="73"/>
      <c r="I2091" s="75">
        <v>0.1</v>
      </c>
      <c r="J2091" s="77"/>
      <c r="K2091" s="66"/>
      <c r="L2091" s="66"/>
      <c r="M2091" s="79" t="str">
        <f>HYPERLINK("http://www.pristavka.com/catalog/funko/Fun79750/")</f>
        <v>http://www.pristavka.com/catalog/funko/Fun79750/</v>
      </c>
      <c r="N2091" s="71">
        <v>9999</v>
      </c>
      <c r="O2091" s="66" t="s">
        <v>27</v>
      </c>
      <c r="P2091" s="82" t="s">
        <v>8246</v>
      </c>
      <c r="Q2091" s="84" t="s">
        <v>3686</v>
      </c>
      <c r="R2091" s="84" t="s">
        <v>1212</v>
      </c>
      <c r="S2091" s="84">
        <v>0.16400000000000001</v>
      </c>
      <c r="T2091" s="82" t="s">
        <v>4084</v>
      </c>
      <c r="U2091" s="84" t="s">
        <v>3584</v>
      </c>
      <c r="V2091" s="54"/>
    </row>
    <row r="2092" spans="1:22" s="11" customFormat="1" ht="45" customHeight="1" x14ac:dyDescent="0.2">
      <c r="A2092" s="66" t="s">
        <v>3577</v>
      </c>
      <c r="B2092" s="66" t="s">
        <v>1707</v>
      </c>
      <c r="C2092" s="66" t="s">
        <v>3578</v>
      </c>
      <c r="D2092" s="66">
        <v>89381</v>
      </c>
      <c r="E2092" s="68" t="s">
        <v>8247</v>
      </c>
      <c r="F2092" s="66" t="s">
        <v>8248</v>
      </c>
      <c r="G2092" s="71">
        <v>6500</v>
      </c>
      <c r="H2092" s="73"/>
      <c r="I2092" s="75">
        <v>0.1</v>
      </c>
      <c r="J2092" s="77"/>
      <c r="K2092" s="66"/>
      <c r="L2092" s="66"/>
      <c r="M2092" s="79" t="str">
        <f>HYPERLINK("http://www.pristavka.com/catalog/funko/Fun89381/")</f>
        <v>http://www.pristavka.com/catalog/funko/Fun89381/</v>
      </c>
      <c r="N2092" s="71">
        <v>9999</v>
      </c>
      <c r="O2092" s="66" t="s">
        <v>27</v>
      </c>
      <c r="P2092" s="82" t="s">
        <v>8249</v>
      </c>
      <c r="Q2092" s="84" t="s">
        <v>8250</v>
      </c>
      <c r="R2092" s="84" t="s">
        <v>1765</v>
      </c>
      <c r="S2092" s="84">
        <v>0.14499999999999999</v>
      </c>
      <c r="T2092" s="82" t="s">
        <v>4113</v>
      </c>
      <c r="U2092" s="84" t="s">
        <v>3584</v>
      </c>
      <c r="V2092" s="54"/>
    </row>
    <row r="2093" spans="1:22" s="11" customFormat="1" ht="45" customHeight="1" x14ac:dyDescent="0.2">
      <c r="A2093" s="66" t="s">
        <v>3577</v>
      </c>
      <c r="B2093" s="66" t="s">
        <v>1707</v>
      </c>
      <c r="C2093" s="66" t="s">
        <v>3578</v>
      </c>
      <c r="D2093" s="66">
        <v>80790</v>
      </c>
      <c r="E2093" s="68" t="s">
        <v>8251</v>
      </c>
      <c r="F2093" s="66" t="s">
        <v>8252</v>
      </c>
      <c r="G2093" s="71">
        <v>6500</v>
      </c>
      <c r="H2093" s="73"/>
      <c r="I2093" s="75">
        <v>0.1</v>
      </c>
      <c r="J2093" s="77"/>
      <c r="K2093" s="66"/>
      <c r="L2093" s="66"/>
      <c r="M2093" s="79" t="str">
        <f>HYPERLINK("http://www.pristavka.com/catalog/funko/Fun80790/")</f>
        <v>http://www.pristavka.com/catalog/funko/Fun80790/</v>
      </c>
      <c r="N2093" s="71">
        <v>9999</v>
      </c>
      <c r="O2093" s="66" t="s">
        <v>27</v>
      </c>
      <c r="P2093" s="82" t="s">
        <v>8253</v>
      </c>
      <c r="Q2093" s="84" t="s">
        <v>8254</v>
      </c>
      <c r="R2093" s="84" t="s">
        <v>1840</v>
      </c>
      <c r="S2093" s="84">
        <v>0.17</v>
      </c>
      <c r="T2093" s="82" t="s">
        <v>4084</v>
      </c>
      <c r="U2093" s="84" t="s">
        <v>3584</v>
      </c>
      <c r="V2093" s="54"/>
    </row>
    <row r="2094" spans="1:22" s="11" customFormat="1" ht="45" customHeight="1" x14ac:dyDescent="0.2">
      <c r="A2094" s="66" t="s">
        <v>3577</v>
      </c>
      <c r="B2094" s="66" t="s">
        <v>1707</v>
      </c>
      <c r="C2094" s="66" t="s">
        <v>3578</v>
      </c>
      <c r="D2094" s="66">
        <v>68088</v>
      </c>
      <c r="E2094" s="68" t="s">
        <v>8255</v>
      </c>
      <c r="F2094" s="66" t="s">
        <v>8256</v>
      </c>
      <c r="G2094" s="71">
        <v>6500</v>
      </c>
      <c r="H2094" s="73"/>
      <c r="I2094" s="75">
        <v>0.1</v>
      </c>
      <c r="J2094" s="77"/>
      <c r="K2094" s="66"/>
      <c r="L2094" s="66"/>
      <c r="M2094" s="79" t="str">
        <f>HYPERLINK("http://www.pristavka.com/catalog/funko/Fun68088/")</f>
        <v>http://www.pristavka.com/catalog/funko/Fun68088/</v>
      </c>
      <c r="N2094" s="71">
        <v>9999</v>
      </c>
      <c r="O2094" s="66" t="s">
        <v>27</v>
      </c>
      <c r="P2094" s="82" t="s">
        <v>8257</v>
      </c>
      <c r="Q2094" s="84" t="s">
        <v>8258</v>
      </c>
      <c r="R2094" s="84" t="s">
        <v>1840</v>
      </c>
      <c r="S2094" s="84">
        <v>0.17499999999999999</v>
      </c>
      <c r="T2094" s="82" t="s">
        <v>4091</v>
      </c>
      <c r="U2094" s="84" t="s">
        <v>3584</v>
      </c>
      <c r="V2094" s="54"/>
    </row>
    <row r="2095" spans="1:22" s="11" customFormat="1" ht="45" customHeight="1" x14ac:dyDescent="0.2">
      <c r="A2095" s="66" t="s">
        <v>3577</v>
      </c>
      <c r="B2095" s="66" t="s">
        <v>1707</v>
      </c>
      <c r="C2095" s="66" t="s">
        <v>3578</v>
      </c>
      <c r="D2095" s="66">
        <v>68090</v>
      </c>
      <c r="E2095" s="68" t="s">
        <v>8259</v>
      </c>
      <c r="F2095" s="66" t="s">
        <v>8260</v>
      </c>
      <c r="G2095" s="71">
        <v>6500</v>
      </c>
      <c r="H2095" s="73"/>
      <c r="I2095" s="75">
        <v>0.1</v>
      </c>
      <c r="J2095" s="77"/>
      <c r="K2095" s="66"/>
      <c r="L2095" s="66"/>
      <c r="M2095" s="79" t="str">
        <f>HYPERLINK("http://www.pristavka.com/catalog/funko/Fun68090/")</f>
        <v>http://www.pristavka.com/catalog/funko/Fun68090/</v>
      </c>
      <c r="N2095" s="71">
        <v>9999</v>
      </c>
      <c r="O2095" s="66" t="s">
        <v>27</v>
      </c>
      <c r="P2095" s="82" t="s">
        <v>8261</v>
      </c>
      <c r="Q2095" s="84" t="s">
        <v>8258</v>
      </c>
      <c r="R2095" s="84" t="s">
        <v>1840</v>
      </c>
      <c r="S2095" s="84">
        <v>0.13</v>
      </c>
      <c r="T2095" s="82" t="s">
        <v>4091</v>
      </c>
      <c r="U2095" s="84" t="s">
        <v>3584</v>
      </c>
      <c r="V2095" s="54"/>
    </row>
    <row r="2096" spans="1:22" s="11" customFormat="1" ht="45" customHeight="1" x14ac:dyDescent="0.2">
      <c r="A2096" s="66" t="s">
        <v>3577</v>
      </c>
      <c r="B2096" s="66" t="s">
        <v>1707</v>
      </c>
      <c r="C2096" s="66" t="s">
        <v>3578</v>
      </c>
      <c r="D2096" s="66">
        <v>68087</v>
      </c>
      <c r="E2096" s="68" t="s">
        <v>8262</v>
      </c>
      <c r="F2096" s="66" t="s">
        <v>8263</v>
      </c>
      <c r="G2096" s="71">
        <v>6500</v>
      </c>
      <c r="H2096" s="73"/>
      <c r="I2096" s="75">
        <v>0.1</v>
      </c>
      <c r="J2096" s="77"/>
      <c r="K2096" s="66"/>
      <c r="L2096" s="66"/>
      <c r="M2096" s="79" t="str">
        <f>HYPERLINK("http://www.pristavka.com/catalog/funko/Fun68087/")</f>
        <v>http://www.pristavka.com/catalog/funko/Fun68087/</v>
      </c>
      <c r="N2096" s="71">
        <v>9999</v>
      </c>
      <c r="O2096" s="66" t="s">
        <v>27</v>
      </c>
      <c r="P2096" s="82" t="s">
        <v>8264</v>
      </c>
      <c r="Q2096" s="84" t="s">
        <v>8258</v>
      </c>
      <c r="R2096" s="84" t="s">
        <v>1840</v>
      </c>
      <c r="S2096" s="84">
        <v>0.182</v>
      </c>
      <c r="T2096" s="82" t="s">
        <v>4091</v>
      </c>
      <c r="U2096" s="84" t="s">
        <v>3584</v>
      </c>
      <c r="V2096" s="54"/>
    </row>
    <row r="2097" spans="1:22" s="11" customFormat="1" ht="45" customHeight="1" x14ac:dyDescent="0.2">
      <c r="A2097" s="66" t="s">
        <v>3577</v>
      </c>
      <c r="B2097" s="66" t="s">
        <v>1707</v>
      </c>
      <c r="C2097" s="66" t="s">
        <v>3578</v>
      </c>
      <c r="D2097" s="66">
        <v>87169</v>
      </c>
      <c r="E2097" s="68" t="s">
        <v>8265</v>
      </c>
      <c r="F2097" s="66" t="s">
        <v>8266</v>
      </c>
      <c r="G2097" s="71">
        <v>6500</v>
      </c>
      <c r="H2097" s="73"/>
      <c r="I2097" s="75">
        <v>0.1</v>
      </c>
      <c r="J2097" s="77"/>
      <c r="K2097" s="66"/>
      <c r="L2097" s="66"/>
      <c r="M2097" s="79" t="str">
        <f>HYPERLINK("http://www.pristavka.com/catalog/funko/Fun87169/")</f>
        <v>http://www.pristavka.com/catalog/funko/Fun87169/</v>
      </c>
      <c r="N2097" s="71">
        <v>9999</v>
      </c>
      <c r="O2097" s="66" t="s">
        <v>27</v>
      </c>
      <c r="P2097" s="82" t="s">
        <v>8267</v>
      </c>
      <c r="Q2097" s="84" t="s">
        <v>2817</v>
      </c>
      <c r="R2097" s="84" t="s">
        <v>2818</v>
      </c>
      <c r="S2097" s="84">
        <v>0.13600000000000001</v>
      </c>
      <c r="T2097" s="82" t="s">
        <v>4113</v>
      </c>
      <c r="U2097" s="84" t="s">
        <v>3584</v>
      </c>
      <c r="V2097" s="54"/>
    </row>
    <row r="2098" spans="1:22" s="11" customFormat="1" ht="45" customHeight="1" x14ac:dyDescent="0.2">
      <c r="A2098" s="66" t="s">
        <v>3577</v>
      </c>
      <c r="B2098" s="66" t="s">
        <v>1707</v>
      </c>
      <c r="C2098" s="66" t="s">
        <v>3578</v>
      </c>
      <c r="D2098" s="66">
        <v>70994</v>
      </c>
      <c r="E2098" s="68" t="s">
        <v>8268</v>
      </c>
      <c r="F2098" s="66" t="s">
        <v>8269</v>
      </c>
      <c r="G2098" s="71">
        <v>6500</v>
      </c>
      <c r="H2098" s="73"/>
      <c r="I2098" s="75">
        <v>0.1</v>
      </c>
      <c r="J2098" s="77"/>
      <c r="K2098" s="66"/>
      <c r="L2098" s="66"/>
      <c r="M2098" s="79" t="str">
        <f>HYPERLINK("http://www.pristavka.com/catalog/funko/Fun70994/")</f>
        <v>http://www.pristavka.com/catalog/funko/Fun70994/</v>
      </c>
      <c r="N2098" s="71">
        <v>9999</v>
      </c>
      <c r="O2098" s="66" t="s">
        <v>27</v>
      </c>
      <c r="P2098" s="82" t="s">
        <v>8270</v>
      </c>
      <c r="Q2098" s="84" t="s">
        <v>6765</v>
      </c>
      <c r="R2098" s="84" t="s">
        <v>6765</v>
      </c>
      <c r="S2098" s="84">
        <v>0.14000000000000001</v>
      </c>
      <c r="T2098" s="82" t="s">
        <v>4084</v>
      </c>
      <c r="U2098" s="84" t="s">
        <v>3584</v>
      </c>
      <c r="V2098" s="54"/>
    </row>
    <row r="2099" spans="1:22" s="11" customFormat="1" ht="45" customHeight="1" x14ac:dyDescent="0.2">
      <c r="A2099" s="66" t="s">
        <v>3577</v>
      </c>
      <c r="B2099" s="66" t="s">
        <v>1707</v>
      </c>
      <c r="C2099" s="66" t="s">
        <v>3578</v>
      </c>
      <c r="D2099" s="66">
        <v>67490</v>
      </c>
      <c r="E2099" s="68" t="s">
        <v>8271</v>
      </c>
      <c r="F2099" s="66" t="s">
        <v>8272</v>
      </c>
      <c r="G2099" s="71">
        <v>6500</v>
      </c>
      <c r="H2099" s="73"/>
      <c r="I2099" s="75">
        <v>0.1</v>
      </c>
      <c r="J2099" s="77"/>
      <c r="K2099" s="66"/>
      <c r="L2099" s="66"/>
      <c r="M2099" s="79" t="str">
        <f>HYPERLINK("http://www.pristavka.com/catalog/funko/Fun67490/")</f>
        <v>http://www.pristavka.com/catalog/funko/Fun67490/</v>
      </c>
      <c r="N2099" s="71">
        <v>9999</v>
      </c>
      <c r="O2099" s="66" t="s">
        <v>28</v>
      </c>
      <c r="P2099" s="82" t="s">
        <v>8273</v>
      </c>
      <c r="Q2099" s="84" t="s">
        <v>8274</v>
      </c>
      <c r="R2099" s="84" t="s">
        <v>6765</v>
      </c>
      <c r="S2099" s="84">
        <v>0.16500000000000001</v>
      </c>
      <c r="T2099" s="82" t="s">
        <v>4113</v>
      </c>
      <c r="U2099" s="84" t="s">
        <v>3584</v>
      </c>
      <c r="V2099" s="54"/>
    </row>
    <row r="2100" spans="1:22" s="11" customFormat="1" ht="45" customHeight="1" x14ac:dyDescent="0.2">
      <c r="A2100" s="66" t="s">
        <v>3577</v>
      </c>
      <c r="B2100" s="66" t="s">
        <v>1707</v>
      </c>
      <c r="C2100" s="66" t="s">
        <v>3578</v>
      </c>
      <c r="D2100" s="66">
        <v>67488</v>
      </c>
      <c r="E2100" s="68" t="s">
        <v>8275</v>
      </c>
      <c r="F2100" s="66" t="s">
        <v>8276</v>
      </c>
      <c r="G2100" s="71">
        <v>6500</v>
      </c>
      <c r="H2100" s="73"/>
      <c r="I2100" s="75">
        <v>0.1</v>
      </c>
      <c r="J2100" s="77"/>
      <c r="K2100" s="66"/>
      <c r="L2100" s="66"/>
      <c r="M2100" s="79" t="str">
        <f>HYPERLINK("http://www.pristavka.com/catalog/funko/Fun67488/")</f>
        <v>http://www.pristavka.com/catalog/funko/Fun67488/</v>
      </c>
      <c r="N2100" s="71">
        <v>9999</v>
      </c>
      <c r="O2100" s="66" t="s">
        <v>27</v>
      </c>
      <c r="P2100" s="82" t="s">
        <v>8277</v>
      </c>
      <c r="Q2100" s="84" t="s">
        <v>8274</v>
      </c>
      <c r="R2100" s="84" t="s">
        <v>6765</v>
      </c>
      <c r="S2100" s="84">
        <v>0.121</v>
      </c>
      <c r="T2100" s="82" t="s">
        <v>4084</v>
      </c>
      <c r="U2100" s="84" t="s">
        <v>3584</v>
      </c>
      <c r="V2100" s="54"/>
    </row>
    <row r="2101" spans="1:22" s="11" customFormat="1" ht="45" customHeight="1" x14ac:dyDescent="0.2">
      <c r="A2101" s="66" t="s">
        <v>3577</v>
      </c>
      <c r="B2101" s="66" t="s">
        <v>1707</v>
      </c>
      <c r="C2101" s="66" t="s">
        <v>3578</v>
      </c>
      <c r="D2101" s="66">
        <v>83408</v>
      </c>
      <c r="E2101" s="68" t="s">
        <v>8278</v>
      </c>
      <c r="F2101" s="66" t="s">
        <v>8279</v>
      </c>
      <c r="G2101" s="71">
        <v>6500</v>
      </c>
      <c r="H2101" s="73"/>
      <c r="I2101" s="75">
        <v>0.1</v>
      </c>
      <c r="J2101" s="77"/>
      <c r="K2101" s="66"/>
      <c r="L2101" s="66"/>
      <c r="M2101" s="79" t="str">
        <f>HYPERLINK("http://www.pristavka.com/catalog/funko/Fun83408/")</f>
        <v>http://www.pristavka.com/catalog/funko/Fun83408/</v>
      </c>
      <c r="N2101" s="71">
        <v>9999</v>
      </c>
      <c r="O2101" s="66" t="s">
        <v>27</v>
      </c>
      <c r="P2101" s="82" t="s">
        <v>8280</v>
      </c>
      <c r="Q2101" s="84" t="s">
        <v>8274</v>
      </c>
      <c r="R2101" s="84" t="s">
        <v>6765</v>
      </c>
      <c r="S2101" s="84">
        <v>0.11899999999999999</v>
      </c>
      <c r="T2101" s="82" t="s">
        <v>4084</v>
      </c>
      <c r="U2101" s="84" t="s">
        <v>3584</v>
      </c>
      <c r="V2101" s="54"/>
    </row>
    <row r="2102" spans="1:22" s="11" customFormat="1" ht="45" customHeight="1" x14ac:dyDescent="0.2">
      <c r="A2102" s="66" t="s">
        <v>3577</v>
      </c>
      <c r="B2102" s="66" t="s">
        <v>1707</v>
      </c>
      <c r="C2102" s="66" t="s">
        <v>3578</v>
      </c>
      <c r="D2102" s="66">
        <v>79678</v>
      </c>
      <c r="E2102" s="68" t="s">
        <v>8281</v>
      </c>
      <c r="F2102" s="66" t="s">
        <v>8282</v>
      </c>
      <c r="G2102" s="71">
        <v>6500</v>
      </c>
      <c r="H2102" s="73"/>
      <c r="I2102" s="75">
        <v>0.1</v>
      </c>
      <c r="J2102" s="77"/>
      <c r="K2102" s="66"/>
      <c r="L2102" s="66"/>
      <c r="M2102" s="79" t="str">
        <f>HYPERLINK("http://www.pristavka.com/catalog/funko/Fun79678/")</f>
        <v>http://www.pristavka.com/catalog/funko/Fun79678/</v>
      </c>
      <c r="N2102" s="71">
        <v>9999</v>
      </c>
      <c r="O2102" s="66" t="s">
        <v>27</v>
      </c>
      <c r="P2102" s="82" t="s">
        <v>8283</v>
      </c>
      <c r="Q2102" s="84" t="s">
        <v>8274</v>
      </c>
      <c r="R2102" s="84" t="s">
        <v>6765</v>
      </c>
      <c r="S2102" s="84">
        <v>0.13400000000000001</v>
      </c>
      <c r="T2102" s="82" t="s">
        <v>4091</v>
      </c>
      <c r="U2102" s="84" t="s">
        <v>3584</v>
      </c>
      <c r="V2102" s="54"/>
    </row>
    <row r="2103" spans="1:22" s="11" customFormat="1" ht="45" customHeight="1" x14ac:dyDescent="0.2">
      <c r="A2103" s="66" t="s">
        <v>3577</v>
      </c>
      <c r="B2103" s="66" t="s">
        <v>1707</v>
      </c>
      <c r="C2103" s="66" t="s">
        <v>3578</v>
      </c>
      <c r="D2103" s="66">
        <v>79674</v>
      </c>
      <c r="E2103" s="68" t="s">
        <v>8284</v>
      </c>
      <c r="F2103" s="66" t="s">
        <v>8285</v>
      </c>
      <c r="G2103" s="71">
        <v>6500</v>
      </c>
      <c r="H2103" s="73"/>
      <c r="I2103" s="75">
        <v>0.1</v>
      </c>
      <c r="J2103" s="77"/>
      <c r="K2103" s="66"/>
      <c r="L2103" s="66"/>
      <c r="M2103" s="79" t="str">
        <f>HYPERLINK("http://www.pristavka.com/catalog/funko/Fun79674/")</f>
        <v>http://www.pristavka.com/catalog/funko/Fun79674/</v>
      </c>
      <c r="N2103" s="71">
        <v>9999</v>
      </c>
      <c r="O2103" s="66" t="s">
        <v>27</v>
      </c>
      <c r="P2103" s="82" t="s">
        <v>8286</v>
      </c>
      <c r="Q2103" s="84" t="s">
        <v>8274</v>
      </c>
      <c r="R2103" s="84" t="s">
        <v>6765</v>
      </c>
      <c r="S2103" s="84">
        <v>0.13</v>
      </c>
      <c r="T2103" s="82" t="s">
        <v>4084</v>
      </c>
      <c r="U2103" s="84" t="s">
        <v>3584</v>
      </c>
      <c r="V2103" s="54"/>
    </row>
    <row r="2104" spans="1:22" s="11" customFormat="1" ht="45" customHeight="1" x14ac:dyDescent="0.2">
      <c r="A2104" s="66" t="s">
        <v>3577</v>
      </c>
      <c r="B2104" s="66" t="s">
        <v>1707</v>
      </c>
      <c r="C2104" s="66" t="s">
        <v>3578</v>
      </c>
      <c r="D2104" s="66">
        <v>79679</v>
      </c>
      <c r="E2104" s="68" t="s">
        <v>8287</v>
      </c>
      <c r="F2104" s="66" t="s">
        <v>8288</v>
      </c>
      <c r="G2104" s="71">
        <v>6500</v>
      </c>
      <c r="H2104" s="73"/>
      <c r="I2104" s="75">
        <v>0.1</v>
      </c>
      <c r="J2104" s="77"/>
      <c r="K2104" s="66"/>
      <c r="L2104" s="66"/>
      <c r="M2104" s="79" t="str">
        <f>HYPERLINK("http://www.pristavka.com/catalog/funko/Fun79679/")</f>
        <v>http://www.pristavka.com/catalog/funko/Fun79679/</v>
      </c>
      <c r="N2104" s="71">
        <v>9999</v>
      </c>
      <c r="O2104" s="66" t="s">
        <v>27</v>
      </c>
      <c r="P2104" s="82" t="s">
        <v>8289</v>
      </c>
      <c r="Q2104" s="84" t="s">
        <v>8274</v>
      </c>
      <c r="R2104" s="84" t="s">
        <v>6765</v>
      </c>
      <c r="S2104" s="84">
        <v>0.125</v>
      </c>
      <c r="T2104" s="82" t="s">
        <v>4084</v>
      </c>
      <c r="U2104" s="84" t="s">
        <v>3584</v>
      </c>
      <c r="V2104" s="54"/>
    </row>
    <row r="2105" spans="1:22" s="11" customFormat="1" ht="45" customHeight="1" x14ac:dyDescent="0.2">
      <c r="A2105" s="66" t="s">
        <v>3577</v>
      </c>
      <c r="B2105" s="66" t="s">
        <v>1707</v>
      </c>
      <c r="C2105" s="66" t="s">
        <v>3578</v>
      </c>
      <c r="D2105" s="66">
        <v>52168</v>
      </c>
      <c r="E2105" s="68" t="s">
        <v>8290</v>
      </c>
      <c r="F2105" s="66" t="s">
        <v>8291</v>
      </c>
      <c r="G2105" s="71">
        <v>6500</v>
      </c>
      <c r="H2105" s="73"/>
      <c r="I2105" s="75">
        <v>0.1</v>
      </c>
      <c r="J2105" s="77"/>
      <c r="K2105" s="66"/>
      <c r="L2105" s="66"/>
      <c r="M2105" s="79" t="str">
        <f>HYPERLINK("http://www.pristavka.com/catalog/funko/Fun52168/")</f>
        <v>http://www.pristavka.com/catalog/funko/Fun52168/</v>
      </c>
      <c r="N2105" s="71">
        <v>9999</v>
      </c>
      <c r="O2105" s="66" t="s">
        <v>27</v>
      </c>
      <c r="P2105" s="82" t="s">
        <v>8292</v>
      </c>
      <c r="Q2105" s="84" t="s">
        <v>8274</v>
      </c>
      <c r="R2105" s="84" t="s">
        <v>6765</v>
      </c>
      <c r="S2105" s="84">
        <v>0.14000000000000001</v>
      </c>
      <c r="T2105" s="82" t="s">
        <v>4084</v>
      </c>
      <c r="U2105" s="84" t="s">
        <v>3584</v>
      </c>
      <c r="V2105" s="54"/>
    </row>
    <row r="2106" spans="1:22" s="11" customFormat="1" ht="45" customHeight="1" x14ac:dyDescent="0.2">
      <c r="A2106" s="66" t="s">
        <v>3577</v>
      </c>
      <c r="B2106" s="66" t="s">
        <v>1707</v>
      </c>
      <c r="C2106" s="66" t="s">
        <v>3578</v>
      </c>
      <c r="D2106" s="66">
        <v>79628</v>
      </c>
      <c r="E2106" s="68" t="s">
        <v>8293</v>
      </c>
      <c r="F2106" s="66" t="s">
        <v>8294</v>
      </c>
      <c r="G2106" s="71">
        <v>6500</v>
      </c>
      <c r="H2106" s="73"/>
      <c r="I2106" s="75">
        <v>0.1</v>
      </c>
      <c r="J2106" s="77"/>
      <c r="K2106" s="66"/>
      <c r="L2106" s="66"/>
      <c r="M2106" s="79" t="str">
        <f>HYPERLINK("http://www.pristavka.com/catalog/funko/Fun79628/")</f>
        <v>http://www.pristavka.com/catalog/funko/Fun79628/</v>
      </c>
      <c r="N2106" s="71">
        <v>9999</v>
      </c>
      <c r="O2106" s="66" t="s">
        <v>27</v>
      </c>
      <c r="P2106" s="82" t="s">
        <v>8295</v>
      </c>
      <c r="Q2106" s="84" t="s">
        <v>8274</v>
      </c>
      <c r="R2106" s="84" t="s">
        <v>6765</v>
      </c>
      <c r="S2106" s="84">
        <v>0.12</v>
      </c>
      <c r="T2106" s="82" t="s">
        <v>4084</v>
      </c>
      <c r="U2106" s="84" t="s">
        <v>3584</v>
      </c>
      <c r="V2106" s="54"/>
    </row>
    <row r="2107" spans="1:22" s="11" customFormat="1" ht="45" customHeight="1" x14ac:dyDescent="0.2">
      <c r="A2107" s="66" t="s">
        <v>3577</v>
      </c>
      <c r="B2107" s="66" t="s">
        <v>1707</v>
      </c>
      <c r="C2107" s="66" t="s">
        <v>3578</v>
      </c>
      <c r="D2107" s="66">
        <v>79629</v>
      </c>
      <c r="E2107" s="68" t="s">
        <v>8296</v>
      </c>
      <c r="F2107" s="66" t="s">
        <v>8297</v>
      </c>
      <c r="G2107" s="71">
        <v>6500</v>
      </c>
      <c r="H2107" s="73"/>
      <c r="I2107" s="75">
        <v>0.1</v>
      </c>
      <c r="J2107" s="77"/>
      <c r="K2107" s="66"/>
      <c r="L2107" s="66"/>
      <c r="M2107" s="79" t="str">
        <f>HYPERLINK("http://www.pristavka.com/catalog/funko/Fun79629/")</f>
        <v>http://www.pristavka.com/catalog/funko/Fun79629/</v>
      </c>
      <c r="N2107" s="71">
        <v>9999</v>
      </c>
      <c r="O2107" s="66" t="s">
        <v>27</v>
      </c>
      <c r="P2107" s="82" t="s">
        <v>8298</v>
      </c>
      <c r="Q2107" s="84" t="s">
        <v>8274</v>
      </c>
      <c r="R2107" s="84" t="s">
        <v>6765</v>
      </c>
      <c r="S2107" s="84">
        <v>0.12</v>
      </c>
      <c r="T2107" s="82" t="s">
        <v>4084</v>
      </c>
      <c r="U2107" s="84" t="s">
        <v>3584</v>
      </c>
      <c r="V2107" s="54"/>
    </row>
    <row r="2108" spans="1:22" s="11" customFormat="1" ht="45" customHeight="1" x14ac:dyDescent="0.2">
      <c r="A2108" s="66" t="s">
        <v>3577</v>
      </c>
      <c r="B2108" s="66" t="s">
        <v>1707</v>
      </c>
      <c r="C2108" s="66" t="s">
        <v>3578</v>
      </c>
      <c r="D2108" s="66">
        <v>52169</v>
      </c>
      <c r="E2108" s="68" t="s">
        <v>8299</v>
      </c>
      <c r="F2108" s="66" t="s">
        <v>8300</v>
      </c>
      <c r="G2108" s="71">
        <v>6500</v>
      </c>
      <c r="H2108" s="73"/>
      <c r="I2108" s="75">
        <v>0.1</v>
      </c>
      <c r="J2108" s="77"/>
      <c r="K2108" s="66"/>
      <c r="L2108" s="66"/>
      <c r="M2108" s="79" t="str">
        <f>HYPERLINK("http://www.pristavka.com/catalog/funko/Fun52169/")</f>
        <v>http://www.pristavka.com/catalog/funko/Fun52169/</v>
      </c>
      <c r="N2108" s="71">
        <v>9999</v>
      </c>
      <c r="O2108" s="66" t="s">
        <v>27</v>
      </c>
      <c r="P2108" s="82" t="s">
        <v>8301</v>
      </c>
      <c r="Q2108" s="84" t="s">
        <v>8274</v>
      </c>
      <c r="R2108" s="84" t="s">
        <v>6765</v>
      </c>
      <c r="S2108" s="84">
        <v>0.13900000000000001</v>
      </c>
      <c r="T2108" s="82" t="s">
        <v>4084</v>
      </c>
      <c r="U2108" s="84" t="s">
        <v>3584</v>
      </c>
      <c r="V2108" s="54"/>
    </row>
    <row r="2109" spans="1:22" s="11" customFormat="1" ht="45" customHeight="1" x14ac:dyDescent="0.2">
      <c r="A2109" s="66" t="s">
        <v>3577</v>
      </c>
      <c r="B2109" s="66" t="s">
        <v>1707</v>
      </c>
      <c r="C2109" s="66" t="s">
        <v>3578</v>
      </c>
      <c r="D2109" s="66">
        <v>79630</v>
      </c>
      <c r="E2109" s="68" t="s">
        <v>8302</v>
      </c>
      <c r="F2109" s="66" t="s">
        <v>8303</v>
      </c>
      <c r="G2109" s="71">
        <v>6500</v>
      </c>
      <c r="H2109" s="73"/>
      <c r="I2109" s="75">
        <v>0.1</v>
      </c>
      <c r="J2109" s="77"/>
      <c r="K2109" s="66"/>
      <c r="L2109" s="66"/>
      <c r="M2109" s="79" t="str">
        <f>HYPERLINK("http://www.pristavka.com/catalog/funko/Fun79630/")</f>
        <v>http://www.pristavka.com/catalog/funko/Fun79630/</v>
      </c>
      <c r="N2109" s="71">
        <v>9999</v>
      </c>
      <c r="O2109" s="66" t="s">
        <v>27</v>
      </c>
      <c r="P2109" s="82" t="s">
        <v>8304</v>
      </c>
      <c r="Q2109" s="84" t="s">
        <v>8274</v>
      </c>
      <c r="R2109" s="84" t="s">
        <v>6765</v>
      </c>
      <c r="S2109" s="84">
        <v>0.16400000000000001</v>
      </c>
      <c r="T2109" s="82" t="s">
        <v>4084</v>
      </c>
      <c r="U2109" s="84" t="s">
        <v>3584</v>
      </c>
      <c r="V2109" s="54"/>
    </row>
    <row r="2110" spans="1:22" s="11" customFormat="1" ht="45" customHeight="1" x14ac:dyDescent="0.2">
      <c r="A2110" s="66" t="s">
        <v>3577</v>
      </c>
      <c r="B2110" s="66" t="s">
        <v>1707</v>
      </c>
      <c r="C2110" s="66" t="s">
        <v>3578</v>
      </c>
      <c r="D2110" s="66">
        <v>79680</v>
      </c>
      <c r="E2110" s="68" t="s">
        <v>8305</v>
      </c>
      <c r="F2110" s="66" t="s">
        <v>8306</v>
      </c>
      <c r="G2110" s="71">
        <v>6500</v>
      </c>
      <c r="H2110" s="73"/>
      <c r="I2110" s="75">
        <v>0.1</v>
      </c>
      <c r="J2110" s="77"/>
      <c r="K2110" s="66"/>
      <c r="L2110" s="66"/>
      <c r="M2110" s="79" t="str">
        <f>HYPERLINK("http://www.pristavka.com/catalog/funko/Fun79680/")</f>
        <v>http://www.pristavka.com/catalog/funko/Fun79680/</v>
      </c>
      <c r="N2110" s="71">
        <v>9999</v>
      </c>
      <c r="O2110" s="66" t="s">
        <v>27</v>
      </c>
      <c r="P2110" s="82" t="s">
        <v>8307</v>
      </c>
      <c r="Q2110" s="84" t="s">
        <v>8274</v>
      </c>
      <c r="R2110" s="84" t="s">
        <v>6765</v>
      </c>
      <c r="S2110" s="84">
        <v>0.13200000000000001</v>
      </c>
      <c r="T2110" s="82" t="s">
        <v>4084</v>
      </c>
      <c r="U2110" s="84" t="s">
        <v>3584</v>
      </c>
      <c r="V2110" s="54"/>
    </row>
    <row r="2111" spans="1:22" s="11" customFormat="1" ht="45" customHeight="1" x14ac:dyDescent="0.2">
      <c r="A2111" s="66" t="s">
        <v>3577</v>
      </c>
      <c r="B2111" s="66" t="s">
        <v>1707</v>
      </c>
      <c r="C2111" s="66" t="s">
        <v>3578</v>
      </c>
      <c r="D2111" s="66">
        <v>65790</v>
      </c>
      <c r="E2111" s="68" t="s">
        <v>8308</v>
      </c>
      <c r="F2111" s="66" t="s">
        <v>8309</v>
      </c>
      <c r="G2111" s="71">
        <v>6500</v>
      </c>
      <c r="H2111" s="73"/>
      <c r="I2111" s="75">
        <v>0.1</v>
      </c>
      <c r="J2111" s="77"/>
      <c r="K2111" s="66"/>
      <c r="L2111" s="66"/>
      <c r="M2111" s="79" t="str">
        <f>HYPERLINK("http://www.pristavka.com/catalog/funko/Fun65790/")</f>
        <v>http://www.pristavka.com/catalog/funko/Fun65790/</v>
      </c>
      <c r="N2111" s="71">
        <v>9999</v>
      </c>
      <c r="O2111" s="66" t="s">
        <v>27</v>
      </c>
      <c r="P2111" s="82" t="s">
        <v>8310</v>
      </c>
      <c r="Q2111" s="84" t="s">
        <v>8274</v>
      </c>
      <c r="R2111" s="84" t="s">
        <v>6765</v>
      </c>
      <c r="S2111" s="84">
        <v>0.152</v>
      </c>
      <c r="T2111" s="82" t="s">
        <v>4084</v>
      </c>
      <c r="U2111" s="84" t="s">
        <v>3584</v>
      </c>
      <c r="V2111" s="54"/>
    </row>
    <row r="2112" spans="1:22" s="11" customFormat="1" ht="45" customHeight="1" x14ac:dyDescent="0.2">
      <c r="A2112" s="66" t="s">
        <v>3577</v>
      </c>
      <c r="B2112" s="66" t="s">
        <v>1707</v>
      </c>
      <c r="C2112" s="66" t="s">
        <v>3578</v>
      </c>
      <c r="D2112" s="66">
        <v>79681</v>
      </c>
      <c r="E2112" s="68" t="s">
        <v>8311</v>
      </c>
      <c r="F2112" s="66" t="s">
        <v>8312</v>
      </c>
      <c r="G2112" s="71">
        <v>6500</v>
      </c>
      <c r="H2112" s="73"/>
      <c r="I2112" s="75">
        <v>0.1</v>
      </c>
      <c r="J2112" s="77"/>
      <c r="K2112" s="66"/>
      <c r="L2112" s="66"/>
      <c r="M2112" s="79" t="str">
        <f>HYPERLINK("http://www.pristavka.com/catalog/funko/Fun79681/")</f>
        <v>http://www.pristavka.com/catalog/funko/Fun79681/</v>
      </c>
      <c r="N2112" s="71">
        <v>9999</v>
      </c>
      <c r="O2112" s="66" t="s">
        <v>27</v>
      </c>
      <c r="P2112" s="82" t="s">
        <v>8313</v>
      </c>
      <c r="Q2112" s="84" t="s">
        <v>8274</v>
      </c>
      <c r="R2112" s="84" t="s">
        <v>6765</v>
      </c>
      <c r="S2112" s="84">
        <v>0.13200000000000001</v>
      </c>
      <c r="T2112" s="82" t="s">
        <v>4084</v>
      </c>
      <c r="U2112" s="84" t="s">
        <v>3584</v>
      </c>
      <c r="V2112" s="54"/>
    </row>
    <row r="2113" spans="1:22" s="11" customFormat="1" ht="45" customHeight="1" x14ac:dyDescent="0.2">
      <c r="A2113" s="66" t="s">
        <v>3577</v>
      </c>
      <c r="B2113" s="66" t="s">
        <v>1707</v>
      </c>
      <c r="C2113" s="66" t="s">
        <v>3578</v>
      </c>
      <c r="D2113" s="66">
        <v>79677</v>
      </c>
      <c r="E2113" s="68" t="s">
        <v>8314</v>
      </c>
      <c r="F2113" s="66" t="s">
        <v>8315</v>
      </c>
      <c r="G2113" s="71">
        <v>6500</v>
      </c>
      <c r="H2113" s="73"/>
      <c r="I2113" s="75">
        <v>0.1</v>
      </c>
      <c r="J2113" s="77"/>
      <c r="K2113" s="66"/>
      <c r="L2113" s="66"/>
      <c r="M2113" s="79" t="str">
        <f>HYPERLINK("http://www.pristavka.com/catalog/funko/Fun79677/")</f>
        <v>http://www.pristavka.com/catalog/funko/Fun79677/</v>
      </c>
      <c r="N2113" s="71">
        <v>9999</v>
      </c>
      <c r="O2113" s="66" t="s">
        <v>27</v>
      </c>
      <c r="P2113" s="82" t="s">
        <v>8316</v>
      </c>
      <c r="Q2113" s="84" t="s">
        <v>8274</v>
      </c>
      <c r="R2113" s="84" t="s">
        <v>6765</v>
      </c>
      <c r="S2113" s="84">
        <v>0.124</v>
      </c>
      <c r="T2113" s="82" t="s">
        <v>4084</v>
      </c>
      <c r="U2113" s="84" t="s">
        <v>3584</v>
      </c>
      <c r="V2113" s="54"/>
    </row>
    <row r="2114" spans="1:22" s="11" customFormat="1" ht="45" customHeight="1" x14ac:dyDescent="0.2">
      <c r="A2114" s="66" t="s">
        <v>3577</v>
      </c>
      <c r="B2114" s="66" t="s">
        <v>1707</v>
      </c>
      <c r="C2114" s="66" t="s">
        <v>3578</v>
      </c>
      <c r="D2114" s="66">
        <v>82828</v>
      </c>
      <c r="E2114" s="68" t="s">
        <v>8317</v>
      </c>
      <c r="F2114" s="66" t="s">
        <v>8318</v>
      </c>
      <c r="G2114" s="71">
        <v>6500</v>
      </c>
      <c r="H2114" s="73"/>
      <c r="I2114" s="75">
        <v>0.1</v>
      </c>
      <c r="J2114" s="77"/>
      <c r="K2114" s="66"/>
      <c r="L2114" s="66"/>
      <c r="M2114" s="79" t="str">
        <f>HYPERLINK("http://www.pristavka.com/catalog/funko/Fun82828/")</f>
        <v>http://www.pristavka.com/catalog/funko/Fun82828/</v>
      </c>
      <c r="N2114" s="71">
        <v>9999</v>
      </c>
      <c r="O2114" s="66" t="s">
        <v>27</v>
      </c>
      <c r="P2114" s="82" t="s">
        <v>8319</v>
      </c>
      <c r="Q2114" s="84" t="s">
        <v>8274</v>
      </c>
      <c r="R2114" s="84" t="s">
        <v>6765</v>
      </c>
      <c r="S2114" s="84">
        <v>0.122</v>
      </c>
      <c r="T2114" s="82" t="s">
        <v>4084</v>
      </c>
      <c r="U2114" s="84" t="s">
        <v>3584</v>
      </c>
      <c r="V2114" s="54"/>
    </row>
    <row r="2115" spans="1:22" s="11" customFormat="1" ht="45" customHeight="1" x14ac:dyDescent="0.2">
      <c r="A2115" s="66" t="s">
        <v>3577</v>
      </c>
      <c r="B2115" s="66" t="s">
        <v>1707</v>
      </c>
      <c r="C2115" s="66" t="s">
        <v>3578</v>
      </c>
      <c r="D2115" s="66">
        <v>75122</v>
      </c>
      <c r="E2115" s="68" t="s">
        <v>8320</v>
      </c>
      <c r="F2115" s="66" t="s">
        <v>8321</v>
      </c>
      <c r="G2115" s="71">
        <v>6500</v>
      </c>
      <c r="H2115" s="73"/>
      <c r="I2115" s="75">
        <v>0.1</v>
      </c>
      <c r="J2115" s="77"/>
      <c r="K2115" s="66"/>
      <c r="L2115" s="66"/>
      <c r="M2115" s="79" t="str">
        <f>HYPERLINK("http://www.pristavka.com/catalog/funko/Fun75122/")</f>
        <v>http://www.pristavka.com/catalog/funko/Fun75122/</v>
      </c>
      <c r="N2115" s="71">
        <v>9999</v>
      </c>
      <c r="O2115" s="66" t="s">
        <v>28</v>
      </c>
      <c r="P2115" s="82" t="s">
        <v>8322</v>
      </c>
      <c r="Q2115" s="84" t="s">
        <v>8274</v>
      </c>
      <c r="R2115" s="84" t="s">
        <v>6765</v>
      </c>
      <c r="S2115" s="84">
        <v>0.13</v>
      </c>
      <c r="T2115" s="82" t="s">
        <v>4084</v>
      </c>
      <c r="U2115" s="84" t="s">
        <v>3584</v>
      </c>
      <c r="V2115" s="54"/>
    </row>
    <row r="2116" spans="1:22" s="11" customFormat="1" ht="45" customHeight="1" x14ac:dyDescent="0.2">
      <c r="A2116" s="66" t="s">
        <v>3577</v>
      </c>
      <c r="B2116" s="66" t="s">
        <v>1707</v>
      </c>
      <c r="C2116" s="66" t="s">
        <v>3578</v>
      </c>
      <c r="D2116" s="66">
        <v>84421</v>
      </c>
      <c r="E2116" s="68" t="s">
        <v>8323</v>
      </c>
      <c r="F2116" s="66" t="s">
        <v>8324</v>
      </c>
      <c r="G2116" s="71">
        <v>9100</v>
      </c>
      <c r="H2116" s="73"/>
      <c r="I2116" s="75">
        <v>0.1</v>
      </c>
      <c r="J2116" s="77"/>
      <c r="K2116" s="66"/>
      <c r="L2116" s="66"/>
      <c r="M2116" s="79" t="str">
        <f>HYPERLINK("http://www.pristavka.com/catalog/funko/Fun84421/")</f>
        <v>http://www.pristavka.com/catalog/funko/Fun84421/</v>
      </c>
      <c r="N2116" s="71">
        <v>13999</v>
      </c>
      <c r="O2116" s="66" t="s">
        <v>28</v>
      </c>
      <c r="P2116" s="82" t="s">
        <v>8325</v>
      </c>
      <c r="Q2116" s="84" t="s">
        <v>1522</v>
      </c>
      <c r="R2116" s="84" t="s">
        <v>1068</v>
      </c>
      <c r="S2116" s="84">
        <v>0.17399999999999999</v>
      </c>
      <c r="T2116" s="82" t="s">
        <v>5274</v>
      </c>
      <c r="U2116" s="84" t="s">
        <v>3584</v>
      </c>
      <c r="V2116" s="54"/>
    </row>
    <row r="2117" spans="1:22" s="11" customFormat="1" ht="45" customHeight="1" x14ac:dyDescent="0.2">
      <c r="A2117" s="66" t="s">
        <v>3577</v>
      </c>
      <c r="B2117" s="66" t="s">
        <v>1707</v>
      </c>
      <c r="C2117" s="66" t="s">
        <v>3578</v>
      </c>
      <c r="D2117" s="66">
        <v>85329</v>
      </c>
      <c r="E2117" s="68" t="s">
        <v>8326</v>
      </c>
      <c r="F2117" s="66" t="s">
        <v>8327</v>
      </c>
      <c r="G2117" s="71">
        <v>6500</v>
      </c>
      <c r="H2117" s="73"/>
      <c r="I2117" s="75">
        <v>0.1</v>
      </c>
      <c r="J2117" s="77"/>
      <c r="K2117" s="66"/>
      <c r="L2117" s="66"/>
      <c r="M2117" s="79" t="str">
        <f>HYPERLINK("http://www.pristavka.com/catalog/funko/Fun85329/")</f>
        <v>http://www.pristavka.com/catalog/funko/Fun85329/</v>
      </c>
      <c r="N2117" s="71">
        <v>9999</v>
      </c>
      <c r="O2117" s="66" t="s">
        <v>27</v>
      </c>
      <c r="P2117" s="82" t="s">
        <v>8328</v>
      </c>
      <c r="Q2117" s="84" t="s">
        <v>1522</v>
      </c>
      <c r="R2117" s="84" t="s">
        <v>1068</v>
      </c>
      <c r="S2117" s="84">
        <v>0.18</v>
      </c>
      <c r="T2117" s="82" t="s">
        <v>4113</v>
      </c>
      <c r="U2117" s="84" t="s">
        <v>3584</v>
      </c>
      <c r="V2117" s="54"/>
    </row>
    <row r="2118" spans="1:22" s="11" customFormat="1" ht="45" customHeight="1" x14ac:dyDescent="0.2">
      <c r="A2118" s="66" t="s">
        <v>3577</v>
      </c>
      <c r="B2118" s="66" t="s">
        <v>1707</v>
      </c>
      <c r="C2118" s="66" t="s">
        <v>3578</v>
      </c>
      <c r="D2118" s="66">
        <v>80393</v>
      </c>
      <c r="E2118" s="68" t="s">
        <v>8329</v>
      </c>
      <c r="F2118" s="66" t="s">
        <v>8330</v>
      </c>
      <c r="G2118" s="71">
        <v>0</v>
      </c>
      <c r="H2118" s="73"/>
      <c r="I2118" s="75">
        <v>0.1</v>
      </c>
      <c r="J2118" s="77"/>
      <c r="K2118" s="66"/>
      <c r="L2118" s="66"/>
      <c r="M2118" s="79" t="str">
        <f>HYPERLINK("http://www.pristavka.com/catalog/funko/Fun80393/")</f>
        <v>http://www.pristavka.com/catalog/funko/Fun80393/</v>
      </c>
      <c r="N2118" s="71"/>
      <c r="O2118" s="66" t="s">
        <v>28</v>
      </c>
      <c r="P2118" s="82" t="s">
        <v>8331</v>
      </c>
      <c r="Q2118" s="84" t="s">
        <v>1545</v>
      </c>
      <c r="R2118" s="84" t="s">
        <v>1068</v>
      </c>
      <c r="S2118" s="84">
        <v>0.22800000000000001</v>
      </c>
      <c r="T2118" s="82" t="s">
        <v>4113</v>
      </c>
      <c r="U2118" s="84" t="s">
        <v>3584</v>
      </c>
      <c r="V2118" s="54"/>
    </row>
    <row r="2119" spans="1:22" s="11" customFormat="1" ht="45" customHeight="1" x14ac:dyDescent="0.2">
      <c r="A2119" s="66" t="s">
        <v>3577</v>
      </c>
      <c r="B2119" s="66" t="s">
        <v>1707</v>
      </c>
      <c r="C2119" s="66" t="s">
        <v>3578</v>
      </c>
      <c r="D2119" s="66">
        <v>84991</v>
      </c>
      <c r="E2119" s="68" t="s">
        <v>8332</v>
      </c>
      <c r="F2119" s="66" t="s">
        <v>8333</v>
      </c>
      <c r="G2119" s="71">
        <v>6890</v>
      </c>
      <c r="H2119" s="73"/>
      <c r="I2119" s="75">
        <v>0.1</v>
      </c>
      <c r="J2119" s="77"/>
      <c r="K2119" s="66"/>
      <c r="L2119" s="66"/>
      <c r="M2119" s="79" t="str">
        <f>HYPERLINK("http://www.pristavka.com/catalog/funko/Fun84991/")</f>
        <v>http://www.pristavka.com/catalog/funko/Fun84991/</v>
      </c>
      <c r="N2119" s="71">
        <v>10599</v>
      </c>
      <c r="O2119" s="66" t="s">
        <v>28</v>
      </c>
      <c r="P2119" s="82" t="s">
        <v>8334</v>
      </c>
      <c r="Q2119" s="84" t="s">
        <v>1148</v>
      </c>
      <c r="R2119" s="84" t="s">
        <v>1068</v>
      </c>
      <c r="S2119" s="84">
        <v>0.19600000000000001</v>
      </c>
      <c r="T2119" s="82" t="s">
        <v>4574</v>
      </c>
      <c r="U2119" s="84" t="s">
        <v>3584</v>
      </c>
      <c r="V2119" s="54"/>
    </row>
    <row r="2120" spans="1:22" s="11" customFormat="1" ht="45" customHeight="1" x14ac:dyDescent="0.2">
      <c r="A2120" s="66" t="s">
        <v>3577</v>
      </c>
      <c r="B2120" s="66" t="s">
        <v>1707</v>
      </c>
      <c r="C2120" s="66" t="s">
        <v>3578</v>
      </c>
      <c r="D2120" s="66">
        <v>83702</v>
      </c>
      <c r="E2120" s="68" t="s">
        <v>8335</v>
      </c>
      <c r="F2120" s="66" t="s">
        <v>8336</v>
      </c>
      <c r="G2120" s="71">
        <v>6500</v>
      </c>
      <c r="H2120" s="73"/>
      <c r="I2120" s="75">
        <v>0.1</v>
      </c>
      <c r="J2120" s="77"/>
      <c r="K2120" s="66"/>
      <c r="L2120" s="66"/>
      <c r="M2120" s="79" t="str">
        <f>HYPERLINK("http://www.pristavka.com/catalog/funko/Fun83702/")</f>
        <v>http://www.pristavka.com/catalog/funko/Fun83702/</v>
      </c>
      <c r="N2120" s="71">
        <v>9999</v>
      </c>
      <c r="O2120" s="66" t="s">
        <v>27</v>
      </c>
      <c r="P2120" s="82" t="s">
        <v>8337</v>
      </c>
      <c r="Q2120" s="84" t="s">
        <v>4985</v>
      </c>
      <c r="R2120" s="84" t="s">
        <v>1068</v>
      </c>
      <c r="S2120" s="84">
        <v>0.20599999999999999</v>
      </c>
      <c r="T2120" s="82" t="s">
        <v>4091</v>
      </c>
      <c r="U2120" s="84" t="s">
        <v>3584</v>
      </c>
      <c r="V2120" s="54"/>
    </row>
    <row r="2121" spans="1:22" s="11" customFormat="1" ht="45" customHeight="1" x14ac:dyDescent="0.2">
      <c r="A2121" s="66" t="s">
        <v>3577</v>
      </c>
      <c r="B2121" s="66" t="s">
        <v>1707</v>
      </c>
      <c r="C2121" s="66" t="s">
        <v>3578</v>
      </c>
      <c r="D2121" s="66">
        <v>83562</v>
      </c>
      <c r="E2121" s="68" t="s">
        <v>8338</v>
      </c>
      <c r="F2121" s="66" t="s">
        <v>8339</v>
      </c>
      <c r="G2121" s="71">
        <v>0</v>
      </c>
      <c r="H2121" s="73"/>
      <c r="I2121" s="75">
        <v>0.1</v>
      </c>
      <c r="J2121" s="77"/>
      <c r="K2121" s="66"/>
      <c r="L2121" s="66"/>
      <c r="M2121" s="79" t="str">
        <f>HYPERLINK("http://www.pristavka.com/catalog/funko/Fun83562/")</f>
        <v>http://www.pristavka.com/catalog/funko/Fun83562/</v>
      </c>
      <c r="N2121" s="71"/>
      <c r="O2121" s="66" t="s">
        <v>27</v>
      </c>
      <c r="P2121" s="82" t="s">
        <v>8340</v>
      </c>
      <c r="Q2121" s="84" t="s">
        <v>6049</v>
      </c>
      <c r="R2121" s="84" t="s">
        <v>1840</v>
      </c>
      <c r="S2121" s="84">
        <v>0.16600000000000001</v>
      </c>
      <c r="T2121" s="82" t="s">
        <v>4084</v>
      </c>
      <c r="U2121" s="84" t="s">
        <v>3584</v>
      </c>
      <c r="V2121" s="54"/>
    </row>
    <row r="2122" spans="1:22" s="11" customFormat="1" ht="45" customHeight="1" x14ac:dyDescent="0.2">
      <c r="A2122" s="66" t="s">
        <v>3577</v>
      </c>
      <c r="B2122" s="66" t="s">
        <v>1707</v>
      </c>
      <c r="C2122" s="66" t="s">
        <v>3578</v>
      </c>
      <c r="D2122" s="66">
        <v>83984</v>
      </c>
      <c r="E2122" s="68" t="s">
        <v>8341</v>
      </c>
      <c r="F2122" s="66" t="s">
        <v>8342</v>
      </c>
      <c r="G2122" s="71">
        <v>6500</v>
      </c>
      <c r="H2122" s="73"/>
      <c r="I2122" s="75">
        <v>0.1</v>
      </c>
      <c r="J2122" s="77"/>
      <c r="K2122" s="66"/>
      <c r="L2122" s="66"/>
      <c r="M2122" s="79" t="str">
        <f>HYPERLINK("http://www.pristavka.com/catalog/funko/Fun83984/")</f>
        <v>http://www.pristavka.com/catalog/funko/Fun83984/</v>
      </c>
      <c r="N2122" s="71">
        <v>9999</v>
      </c>
      <c r="O2122" s="66" t="s">
        <v>27</v>
      </c>
      <c r="P2122" s="82" t="s">
        <v>8343</v>
      </c>
      <c r="Q2122" s="84" t="s">
        <v>3798</v>
      </c>
      <c r="R2122" s="84" t="s">
        <v>3512</v>
      </c>
      <c r="S2122" s="84">
        <v>0.16500000000000001</v>
      </c>
      <c r="T2122" s="82" t="s">
        <v>4113</v>
      </c>
      <c r="U2122" s="84" t="s">
        <v>3584</v>
      </c>
      <c r="V2122" s="54"/>
    </row>
    <row r="2123" spans="1:22" s="11" customFormat="1" ht="45" customHeight="1" x14ac:dyDescent="0.2">
      <c r="A2123" s="66" t="s">
        <v>3577</v>
      </c>
      <c r="B2123" s="66" t="s">
        <v>1707</v>
      </c>
      <c r="C2123" s="66" t="s">
        <v>3578</v>
      </c>
      <c r="D2123" s="66">
        <v>83985</v>
      </c>
      <c r="E2123" s="68" t="s">
        <v>8344</v>
      </c>
      <c r="F2123" s="66" t="s">
        <v>8345</v>
      </c>
      <c r="G2123" s="71">
        <v>6500</v>
      </c>
      <c r="H2123" s="73"/>
      <c r="I2123" s="75">
        <v>0.1</v>
      </c>
      <c r="J2123" s="77"/>
      <c r="K2123" s="66"/>
      <c r="L2123" s="66"/>
      <c r="M2123" s="79" t="str">
        <f>HYPERLINK("http://www.pristavka.com/catalog/funko/Fun83985/")</f>
        <v>http://www.pristavka.com/catalog/funko/Fun83985/</v>
      </c>
      <c r="N2123" s="71">
        <v>9999</v>
      </c>
      <c r="O2123" s="66" t="s">
        <v>27</v>
      </c>
      <c r="P2123" s="82" t="s">
        <v>8346</v>
      </c>
      <c r="Q2123" s="84" t="s">
        <v>3798</v>
      </c>
      <c r="R2123" s="84" t="s">
        <v>3512</v>
      </c>
      <c r="S2123" s="84">
        <v>0.17199999999999999</v>
      </c>
      <c r="T2123" s="82" t="s">
        <v>4113</v>
      </c>
      <c r="U2123" s="84" t="s">
        <v>3584</v>
      </c>
      <c r="V2123" s="54"/>
    </row>
    <row r="2124" spans="1:22" s="11" customFormat="1" ht="45" customHeight="1" x14ac:dyDescent="0.2">
      <c r="A2124" s="66" t="s">
        <v>3577</v>
      </c>
      <c r="B2124" s="66" t="s">
        <v>1707</v>
      </c>
      <c r="C2124" s="66" t="s">
        <v>3578</v>
      </c>
      <c r="D2124" s="66">
        <v>83987</v>
      </c>
      <c r="E2124" s="68" t="s">
        <v>8347</v>
      </c>
      <c r="F2124" s="66" t="s">
        <v>8348</v>
      </c>
      <c r="G2124" s="71">
        <v>6500</v>
      </c>
      <c r="H2124" s="73"/>
      <c r="I2124" s="75">
        <v>0.1</v>
      </c>
      <c r="J2124" s="77"/>
      <c r="K2124" s="66"/>
      <c r="L2124" s="66"/>
      <c r="M2124" s="79" t="str">
        <f>HYPERLINK("http://www.pristavka.com/catalog/funko/Fun83987/")</f>
        <v>http://www.pristavka.com/catalog/funko/Fun83987/</v>
      </c>
      <c r="N2124" s="71">
        <v>9999</v>
      </c>
      <c r="O2124" s="66" t="s">
        <v>27</v>
      </c>
      <c r="P2124" s="82" t="s">
        <v>8349</v>
      </c>
      <c r="Q2124" s="84" t="s">
        <v>3798</v>
      </c>
      <c r="R2124" s="84" t="s">
        <v>3512</v>
      </c>
      <c r="S2124" s="84">
        <v>0.16500000000000001</v>
      </c>
      <c r="T2124" s="82" t="s">
        <v>4084</v>
      </c>
      <c r="U2124" s="84" t="s">
        <v>3584</v>
      </c>
      <c r="V2124" s="54"/>
    </row>
    <row r="2125" spans="1:22" s="11" customFormat="1" ht="45" customHeight="1" x14ac:dyDescent="0.2">
      <c r="A2125" s="66" t="s">
        <v>3577</v>
      </c>
      <c r="B2125" s="66" t="s">
        <v>1707</v>
      </c>
      <c r="C2125" s="66" t="s">
        <v>3578</v>
      </c>
      <c r="D2125" s="66">
        <v>83986</v>
      </c>
      <c r="E2125" s="68" t="s">
        <v>8350</v>
      </c>
      <c r="F2125" s="66" t="s">
        <v>8351</v>
      </c>
      <c r="G2125" s="71">
        <v>6500</v>
      </c>
      <c r="H2125" s="73"/>
      <c r="I2125" s="75">
        <v>0.1</v>
      </c>
      <c r="J2125" s="77"/>
      <c r="K2125" s="66"/>
      <c r="L2125" s="66"/>
      <c r="M2125" s="79" t="str">
        <f>HYPERLINK("http://www.pristavka.com/catalog/funko/Fun83986/")</f>
        <v>http://www.pristavka.com/catalog/funko/Fun83986/</v>
      </c>
      <c r="N2125" s="71">
        <v>9999</v>
      </c>
      <c r="O2125" s="66" t="s">
        <v>27</v>
      </c>
      <c r="P2125" s="82" t="s">
        <v>8352</v>
      </c>
      <c r="Q2125" s="84" t="s">
        <v>3798</v>
      </c>
      <c r="R2125" s="84" t="s">
        <v>3512</v>
      </c>
      <c r="S2125" s="84">
        <v>0.15</v>
      </c>
      <c r="T2125" s="82" t="s">
        <v>4084</v>
      </c>
      <c r="U2125" s="84" t="s">
        <v>3584</v>
      </c>
      <c r="V2125" s="54"/>
    </row>
    <row r="2126" spans="1:22" s="11" customFormat="1" ht="45" customHeight="1" x14ac:dyDescent="0.2">
      <c r="A2126" s="66" t="s">
        <v>3577</v>
      </c>
      <c r="B2126" s="66" t="s">
        <v>1707</v>
      </c>
      <c r="C2126" s="66" t="s">
        <v>3578</v>
      </c>
      <c r="D2126" s="66">
        <v>83977</v>
      </c>
      <c r="E2126" s="68" t="s">
        <v>8353</v>
      </c>
      <c r="F2126" s="66" t="s">
        <v>8354</v>
      </c>
      <c r="G2126" s="71">
        <v>6500</v>
      </c>
      <c r="H2126" s="73"/>
      <c r="I2126" s="75">
        <v>0.1</v>
      </c>
      <c r="J2126" s="77"/>
      <c r="K2126" s="66"/>
      <c r="L2126" s="66"/>
      <c r="M2126" s="79" t="str">
        <f>HYPERLINK("http://www.pristavka.com/catalog/funko/Fun83977/")</f>
        <v>http://www.pristavka.com/catalog/funko/Fun83977/</v>
      </c>
      <c r="N2126" s="71">
        <v>9999</v>
      </c>
      <c r="O2126" s="66" t="s">
        <v>27</v>
      </c>
      <c r="P2126" s="82" t="s">
        <v>8355</v>
      </c>
      <c r="Q2126" s="84" t="s">
        <v>8356</v>
      </c>
      <c r="R2126" s="84" t="s">
        <v>1315</v>
      </c>
      <c r="S2126" s="84">
        <v>0.186</v>
      </c>
      <c r="T2126" s="82" t="s">
        <v>4084</v>
      </c>
      <c r="U2126" s="84" t="s">
        <v>3584</v>
      </c>
      <c r="V2126" s="54"/>
    </row>
    <row r="2127" spans="1:22" s="11" customFormat="1" ht="45" customHeight="1" x14ac:dyDescent="0.2">
      <c r="A2127" s="66" t="s">
        <v>3577</v>
      </c>
      <c r="B2127" s="66" t="s">
        <v>1707</v>
      </c>
      <c r="C2127" s="66" t="s">
        <v>3578</v>
      </c>
      <c r="D2127" s="66">
        <v>83719</v>
      </c>
      <c r="E2127" s="68" t="s">
        <v>8357</v>
      </c>
      <c r="F2127" s="66" t="s">
        <v>8358</v>
      </c>
      <c r="G2127" s="71">
        <v>6500</v>
      </c>
      <c r="H2127" s="73"/>
      <c r="I2127" s="75">
        <v>0.1</v>
      </c>
      <c r="J2127" s="77"/>
      <c r="K2127" s="66"/>
      <c r="L2127" s="66"/>
      <c r="M2127" s="79" t="str">
        <f>HYPERLINK("http://www.pristavka.com/catalog/funko/Fun83719/")</f>
        <v>http://www.pristavka.com/catalog/funko/Fun83719/</v>
      </c>
      <c r="N2127" s="71">
        <v>9999</v>
      </c>
      <c r="O2127" s="66" t="s">
        <v>27</v>
      </c>
      <c r="P2127" s="82" t="s">
        <v>8359</v>
      </c>
      <c r="Q2127" s="84" t="s">
        <v>2725</v>
      </c>
      <c r="R2127" s="84" t="s">
        <v>1068</v>
      </c>
      <c r="S2127" s="84">
        <v>0.22</v>
      </c>
      <c r="T2127" s="82" t="s">
        <v>4113</v>
      </c>
      <c r="U2127" s="84" t="s">
        <v>3584</v>
      </c>
      <c r="V2127" s="54"/>
    </row>
    <row r="2128" spans="1:22" s="11" customFormat="1" ht="45" customHeight="1" x14ac:dyDescent="0.2">
      <c r="A2128" s="66" t="s">
        <v>3577</v>
      </c>
      <c r="B2128" s="66" t="s">
        <v>1707</v>
      </c>
      <c r="C2128" s="66" t="s">
        <v>3578</v>
      </c>
      <c r="D2128" s="66">
        <v>85826</v>
      </c>
      <c r="E2128" s="68" t="s">
        <v>8360</v>
      </c>
      <c r="F2128" s="66" t="s">
        <v>8361</v>
      </c>
      <c r="G2128" s="71">
        <v>6500</v>
      </c>
      <c r="H2128" s="73"/>
      <c r="I2128" s="75">
        <v>0.1</v>
      </c>
      <c r="J2128" s="77"/>
      <c r="K2128" s="66"/>
      <c r="L2128" s="66"/>
      <c r="M2128" s="79" t="str">
        <f>HYPERLINK("http://www.pristavka.com/catalog/funko/Fun85826/")</f>
        <v>http://www.pristavka.com/catalog/funko/Fun85826/</v>
      </c>
      <c r="N2128" s="71">
        <v>9999</v>
      </c>
      <c r="O2128" s="66" t="s">
        <v>27</v>
      </c>
      <c r="P2128" s="82" t="s">
        <v>8362</v>
      </c>
      <c r="Q2128" s="84" t="s">
        <v>1117</v>
      </c>
      <c r="R2128" s="84" t="s">
        <v>1068</v>
      </c>
      <c r="S2128" s="84">
        <v>0.15</v>
      </c>
      <c r="T2128" s="82" t="s">
        <v>4084</v>
      </c>
      <c r="U2128" s="84" t="s">
        <v>3584</v>
      </c>
      <c r="V2128" s="54"/>
    </row>
    <row r="2129" spans="1:22" s="11" customFormat="1" ht="45" customHeight="1" x14ac:dyDescent="0.2">
      <c r="A2129" s="66" t="s">
        <v>3577</v>
      </c>
      <c r="B2129" s="66" t="s">
        <v>1707</v>
      </c>
      <c r="C2129" s="66" t="s">
        <v>3578</v>
      </c>
      <c r="D2129" s="66">
        <v>85290</v>
      </c>
      <c r="E2129" s="68" t="s">
        <v>8363</v>
      </c>
      <c r="F2129" s="66" t="s">
        <v>8364</v>
      </c>
      <c r="G2129" s="71">
        <v>6500</v>
      </c>
      <c r="H2129" s="73"/>
      <c r="I2129" s="75">
        <v>0.1</v>
      </c>
      <c r="J2129" s="77"/>
      <c r="K2129" s="66"/>
      <c r="L2129" s="66"/>
      <c r="M2129" s="79" t="str">
        <f>HYPERLINK("http://www.pristavka.com/catalog/funko/Fun85290/")</f>
        <v>http://www.pristavka.com/catalog/funko/Fun85290/</v>
      </c>
      <c r="N2129" s="71">
        <v>9999</v>
      </c>
      <c r="O2129" s="66" t="s">
        <v>27</v>
      </c>
      <c r="P2129" s="82" t="s">
        <v>8365</v>
      </c>
      <c r="Q2129" s="84" t="s">
        <v>1117</v>
      </c>
      <c r="R2129" s="84" t="s">
        <v>1068</v>
      </c>
      <c r="S2129" s="84">
        <v>0.17599999999999999</v>
      </c>
      <c r="T2129" s="82" t="s">
        <v>4574</v>
      </c>
      <c r="U2129" s="84" t="s">
        <v>3584</v>
      </c>
      <c r="V2129" s="54"/>
    </row>
    <row r="2130" spans="1:22" s="11" customFormat="1" ht="45" customHeight="1" x14ac:dyDescent="0.2">
      <c r="A2130" s="66" t="s">
        <v>3577</v>
      </c>
      <c r="B2130" s="66" t="s">
        <v>1707</v>
      </c>
      <c r="C2130" s="66" t="s">
        <v>3578</v>
      </c>
      <c r="D2130" s="66">
        <v>86489</v>
      </c>
      <c r="E2130" s="68" t="s">
        <v>8366</v>
      </c>
      <c r="F2130" s="66" t="s">
        <v>8367</v>
      </c>
      <c r="G2130" s="71">
        <v>6500</v>
      </c>
      <c r="H2130" s="73"/>
      <c r="I2130" s="75">
        <v>0.1</v>
      </c>
      <c r="J2130" s="77"/>
      <c r="K2130" s="66"/>
      <c r="L2130" s="66"/>
      <c r="M2130" s="79" t="str">
        <f>HYPERLINK("http://www.pristavka.com/catalog/funko/Fun86489/")</f>
        <v>http://www.pristavka.com/catalog/funko/Fun86489/</v>
      </c>
      <c r="N2130" s="71">
        <v>9999</v>
      </c>
      <c r="O2130" s="66" t="s">
        <v>27</v>
      </c>
      <c r="P2130" s="82" t="s">
        <v>8368</v>
      </c>
      <c r="Q2130" s="84" t="s">
        <v>2367</v>
      </c>
      <c r="R2130" s="84" t="s">
        <v>1068</v>
      </c>
      <c r="S2130" s="84">
        <v>0.22800000000000001</v>
      </c>
      <c r="T2130" s="82" t="s">
        <v>4370</v>
      </c>
      <c r="U2130" s="84" t="s">
        <v>3584</v>
      </c>
      <c r="V2130" s="54"/>
    </row>
    <row r="2131" spans="1:22" s="11" customFormat="1" ht="45" customHeight="1" x14ac:dyDescent="0.2">
      <c r="A2131" s="66" t="s">
        <v>3577</v>
      </c>
      <c r="B2131" s="66" t="s">
        <v>1707</v>
      </c>
      <c r="C2131" s="66" t="s">
        <v>3578</v>
      </c>
      <c r="D2131" s="66">
        <v>86490</v>
      </c>
      <c r="E2131" s="68" t="s">
        <v>8369</v>
      </c>
      <c r="F2131" s="66" t="s">
        <v>8370</v>
      </c>
      <c r="G2131" s="71">
        <v>6500</v>
      </c>
      <c r="H2131" s="73"/>
      <c r="I2131" s="75">
        <v>0.1</v>
      </c>
      <c r="J2131" s="77"/>
      <c r="K2131" s="66"/>
      <c r="L2131" s="66"/>
      <c r="M2131" s="79" t="str">
        <f>HYPERLINK("http://www.pristavka.com/catalog/funko/Fun86490/")</f>
        <v>http://www.pristavka.com/catalog/funko/Fun86490/</v>
      </c>
      <c r="N2131" s="71">
        <v>9999</v>
      </c>
      <c r="O2131" s="66" t="s">
        <v>27</v>
      </c>
      <c r="P2131" s="82" t="s">
        <v>8371</v>
      </c>
      <c r="Q2131" s="84" t="s">
        <v>2367</v>
      </c>
      <c r="R2131" s="84" t="s">
        <v>1068</v>
      </c>
      <c r="S2131" s="84">
        <v>0.24</v>
      </c>
      <c r="T2131" s="82" t="s">
        <v>4370</v>
      </c>
      <c r="U2131" s="84" t="s">
        <v>3584</v>
      </c>
      <c r="V2131" s="54"/>
    </row>
    <row r="2132" spans="1:22" s="11" customFormat="1" ht="45" customHeight="1" x14ac:dyDescent="0.2">
      <c r="A2132" s="66" t="s">
        <v>3577</v>
      </c>
      <c r="B2132" s="66" t="s">
        <v>1707</v>
      </c>
      <c r="C2132" s="66" t="s">
        <v>3578</v>
      </c>
      <c r="D2132" s="66">
        <v>86488</v>
      </c>
      <c r="E2132" s="68" t="s">
        <v>8372</v>
      </c>
      <c r="F2132" s="66" t="s">
        <v>8373</v>
      </c>
      <c r="G2132" s="71">
        <v>6500</v>
      </c>
      <c r="H2132" s="73"/>
      <c r="I2132" s="75">
        <v>0.1</v>
      </c>
      <c r="J2132" s="77"/>
      <c r="K2132" s="66"/>
      <c r="L2132" s="66"/>
      <c r="M2132" s="79" t="str">
        <f>HYPERLINK("http://www.pristavka.com/catalog/funko/Fun86488/")</f>
        <v>http://www.pristavka.com/catalog/funko/Fun86488/</v>
      </c>
      <c r="N2132" s="71">
        <v>9999</v>
      </c>
      <c r="O2132" s="66" t="s">
        <v>27</v>
      </c>
      <c r="P2132" s="82" t="s">
        <v>8374</v>
      </c>
      <c r="Q2132" s="84" t="s">
        <v>2367</v>
      </c>
      <c r="R2132" s="84" t="s">
        <v>1068</v>
      </c>
      <c r="S2132" s="84">
        <v>0.19600000000000001</v>
      </c>
      <c r="T2132" s="82" t="s">
        <v>4370</v>
      </c>
      <c r="U2132" s="84" t="s">
        <v>3584</v>
      </c>
      <c r="V2132" s="54"/>
    </row>
    <row r="2133" spans="1:22" s="11" customFormat="1" ht="45" customHeight="1" x14ac:dyDescent="0.2">
      <c r="A2133" s="66" t="s">
        <v>3577</v>
      </c>
      <c r="B2133" s="66" t="s">
        <v>1707</v>
      </c>
      <c r="C2133" s="66" t="s">
        <v>3578</v>
      </c>
      <c r="D2133" s="66">
        <v>84642</v>
      </c>
      <c r="E2133" s="68" t="s">
        <v>8375</v>
      </c>
      <c r="F2133" s="66" t="s">
        <v>8376</v>
      </c>
      <c r="G2133" s="71">
        <v>6500</v>
      </c>
      <c r="H2133" s="73"/>
      <c r="I2133" s="75">
        <v>0.1</v>
      </c>
      <c r="J2133" s="77"/>
      <c r="K2133" s="66"/>
      <c r="L2133" s="66"/>
      <c r="M2133" s="79" t="str">
        <f>HYPERLINK("http://www.pristavka.com/catalog/funko/Fun84642/")</f>
        <v>http://www.pristavka.com/catalog/funko/Fun84642/</v>
      </c>
      <c r="N2133" s="71">
        <v>9999</v>
      </c>
      <c r="O2133" s="66" t="s">
        <v>28</v>
      </c>
      <c r="P2133" s="82" t="s">
        <v>8377</v>
      </c>
      <c r="Q2133" s="84" t="s">
        <v>1545</v>
      </c>
      <c r="R2133" s="84" t="s">
        <v>1068</v>
      </c>
      <c r="S2133" s="84">
        <v>0.20499999999999999</v>
      </c>
      <c r="T2133" s="82" t="s">
        <v>4113</v>
      </c>
      <c r="U2133" s="84" t="s">
        <v>3584</v>
      </c>
      <c r="V2133" s="54"/>
    </row>
    <row r="2134" spans="1:22" s="11" customFormat="1" ht="45" customHeight="1" x14ac:dyDescent="0.2">
      <c r="A2134" s="66" t="s">
        <v>3577</v>
      </c>
      <c r="B2134" s="66" t="s">
        <v>1707</v>
      </c>
      <c r="C2134" s="66" t="s">
        <v>3578</v>
      </c>
      <c r="D2134" s="66">
        <v>83686</v>
      </c>
      <c r="E2134" s="68" t="s">
        <v>8378</v>
      </c>
      <c r="F2134" s="66" t="s">
        <v>8379</v>
      </c>
      <c r="G2134" s="71">
        <v>6500</v>
      </c>
      <c r="H2134" s="73"/>
      <c r="I2134" s="75">
        <v>0.1</v>
      </c>
      <c r="J2134" s="77"/>
      <c r="K2134" s="66"/>
      <c r="L2134" s="66"/>
      <c r="M2134" s="79" t="str">
        <f>HYPERLINK("http://www.pristavka.com/catalog/funko/Fun83686/")</f>
        <v>http://www.pristavka.com/catalog/funko/Fun83686/</v>
      </c>
      <c r="N2134" s="71">
        <v>9999</v>
      </c>
      <c r="O2134" s="66" t="s">
        <v>27</v>
      </c>
      <c r="P2134" s="82" t="s">
        <v>8380</v>
      </c>
      <c r="Q2134" s="84" t="s">
        <v>1545</v>
      </c>
      <c r="R2134" s="84" t="s">
        <v>1068</v>
      </c>
      <c r="S2134" s="84">
        <v>0.22500000000000001</v>
      </c>
      <c r="T2134" s="82" t="s">
        <v>4113</v>
      </c>
      <c r="U2134" s="84" t="s">
        <v>3584</v>
      </c>
      <c r="V2134" s="54"/>
    </row>
    <row r="2135" spans="1:22" s="11" customFormat="1" ht="45" customHeight="1" x14ac:dyDescent="0.2">
      <c r="A2135" s="66" t="s">
        <v>3577</v>
      </c>
      <c r="B2135" s="66" t="s">
        <v>1707</v>
      </c>
      <c r="C2135" s="66" t="s">
        <v>3578</v>
      </c>
      <c r="D2135" s="66">
        <v>83688</v>
      </c>
      <c r="E2135" s="68" t="s">
        <v>8381</v>
      </c>
      <c r="F2135" s="66" t="s">
        <v>8382</v>
      </c>
      <c r="G2135" s="71">
        <v>6500</v>
      </c>
      <c r="H2135" s="73"/>
      <c r="I2135" s="75">
        <v>0.1</v>
      </c>
      <c r="J2135" s="77"/>
      <c r="K2135" s="66"/>
      <c r="L2135" s="66"/>
      <c r="M2135" s="79" t="str">
        <f>HYPERLINK("http://www.pristavka.com/catalog/funko/Fun83688/")</f>
        <v>http://www.pristavka.com/catalog/funko/Fun83688/</v>
      </c>
      <c r="N2135" s="71">
        <v>9999</v>
      </c>
      <c r="O2135" s="66" t="s">
        <v>27</v>
      </c>
      <c r="P2135" s="82" t="s">
        <v>8383</v>
      </c>
      <c r="Q2135" s="84" t="s">
        <v>1545</v>
      </c>
      <c r="R2135" s="84" t="s">
        <v>1068</v>
      </c>
      <c r="S2135" s="84">
        <v>0.2</v>
      </c>
      <c r="T2135" s="82" t="s">
        <v>4113</v>
      </c>
      <c r="U2135" s="84" t="s">
        <v>3584</v>
      </c>
      <c r="V2135" s="54"/>
    </row>
    <row r="2136" spans="1:22" s="11" customFormat="1" ht="45" customHeight="1" x14ac:dyDescent="0.2">
      <c r="A2136" s="66" t="s">
        <v>3577</v>
      </c>
      <c r="B2136" s="66" t="s">
        <v>1707</v>
      </c>
      <c r="C2136" s="66" t="s">
        <v>3578</v>
      </c>
      <c r="D2136" s="66">
        <v>83805</v>
      </c>
      <c r="E2136" s="68" t="s">
        <v>8384</v>
      </c>
      <c r="F2136" s="66" t="s">
        <v>8385</v>
      </c>
      <c r="G2136" s="71">
        <v>6890</v>
      </c>
      <c r="H2136" s="73"/>
      <c r="I2136" s="75">
        <v>0.1</v>
      </c>
      <c r="J2136" s="77"/>
      <c r="K2136" s="66"/>
      <c r="L2136" s="66"/>
      <c r="M2136" s="79" t="str">
        <f>HYPERLINK("http://www.pristavka.com/catalog/funko/Fun83805/")</f>
        <v>http://www.pristavka.com/catalog/funko/Fun83805/</v>
      </c>
      <c r="N2136" s="71">
        <v>10599</v>
      </c>
      <c r="O2136" s="66" t="s">
        <v>27</v>
      </c>
      <c r="P2136" s="82" t="s">
        <v>8386</v>
      </c>
      <c r="Q2136" s="84" t="s">
        <v>1334</v>
      </c>
      <c r="R2136" s="84" t="s">
        <v>1068</v>
      </c>
      <c r="S2136" s="84">
        <v>0.2</v>
      </c>
      <c r="T2136" s="82" t="s">
        <v>4113</v>
      </c>
      <c r="U2136" s="84" t="s">
        <v>3584</v>
      </c>
      <c r="V2136" s="54"/>
    </row>
    <row r="2137" spans="1:22" s="11" customFormat="1" ht="45" customHeight="1" x14ac:dyDescent="0.2">
      <c r="A2137" s="66" t="s">
        <v>3577</v>
      </c>
      <c r="B2137" s="66" t="s">
        <v>1707</v>
      </c>
      <c r="C2137" s="66" t="s">
        <v>3578</v>
      </c>
      <c r="D2137" s="66">
        <v>83808</v>
      </c>
      <c r="E2137" s="68" t="s">
        <v>8387</v>
      </c>
      <c r="F2137" s="66" t="s">
        <v>8388</v>
      </c>
      <c r="G2137" s="71">
        <v>6500</v>
      </c>
      <c r="H2137" s="73"/>
      <c r="I2137" s="75">
        <v>0.1</v>
      </c>
      <c r="J2137" s="77"/>
      <c r="K2137" s="66"/>
      <c r="L2137" s="66"/>
      <c r="M2137" s="79" t="str">
        <f>HYPERLINK("http://www.pristavka.com/catalog/funko/Fun83808/")</f>
        <v>http://www.pristavka.com/catalog/funko/Fun83808/</v>
      </c>
      <c r="N2137" s="71">
        <v>9999</v>
      </c>
      <c r="O2137" s="66" t="s">
        <v>27</v>
      </c>
      <c r="P2137" s="82" t="s">
        <v>8389</v>
      </c>
      <c r="Q2137" s="84" t="s">
        <v>1148</v>
      </c>
      <c r="R2137" s="84" t="s">
        <v>1068</v>
      </c>
      <c r="S2137" s="84">
        <v>0.19</v>
      </c>
      <c r="T2137" s="82" t="s">
        <v>4084</v>
      </c>
      <c r="U2137" s="84" t="s">
        <v>3584</v>
      </c>
      <c r="V2137" s="54"/>
    </row>
    <row r="2138" spans="1:22" s="11" customFormat="1" ht="45" customHeight="1" x14ac:dyDescent="0.2">
      <c r="A2138" s="66" t="s">
        <v>3577</v>
      </c>
      <c r="B2138" s="66" t="s">
        <v>1707</v>
      </c>
      <c r="C2138" s="66" t="s">
        <v>3578</v>
      </c>
      <c r="D2138" s="66">
        <v>80199</v>
      </c>
      <c r="E2138" s="68" t="s">
        <v>8390</v>
      </c>
      <c r="F2138" s="66" t="s">
        <v>8391</v>
      </c>
      <c r="G2138" s="71">
        <v>6500</v>
      </c>
      <c r="H2138" s="73"/>
      <c r="I2138" s="75">
        <v>0.2</v>
      </c>
      <c r="J2138" s="77"/>
      <c r="K2138" s="66"/>
      <c r="L2138" s="66"/>
      <c r="M2138" s="79" t="str">
        <f>HYPERLINK("http://www.pristavka.com/catalog/funko/Fun80199/")</f>
        <v>http://www.pristavka.com/catalog/funko/Fun80199/</v>
      </c>
      <c r="N2138" s="71">
        <v>9999</v>
      </c>
      <c r="O2138" s="66" t="s">
        <v>28</v>
      </c>
      <c r="P2138" s="82" t="s">
        <v>8392</v>
      </c>
      <c r="Q2138" s="84" t="s">
        <v>8393</v>
      </c>
      <c r="R2138" s="84" t="s">
        <v>3992</v>
      </c>
      <c r="S2138" s="84">
        <v>0.188</v>
      </c>
      <c r="T2138" s="82" t="s">
        <v>4084</v>
      </c>
      <c r="U2138" s="84" t="s">
        <v>3593</v>
      </c>
      <c r="V2138" s="54"/>
    </row>
    <row r="2139" spans="1:22" s="11" customFormat="1" ht="45" customHeight="1" x14ac:dyDescent="0.2">
      <c r="A2139" s="66" t="s">
        <v>3577</v>
      </c>
      <c r="B2139" s="66" t="s">
        <v>1707</v>
      </c>
      <c r="C2139" s="66" t="s">
        <v>3578</v>
      </c>
      <c r="D2139" s="66">
        <v>83851</v>
      </c>
      <c r="E2139" s="68" t="s">
        <v>8394</v>
      </c>
      <c r="F2139" s="66" t="s">
        <v>8395</v>
      </c>
      <c r="G2139" s="71">
        <v>6500</v>
      </c>
      <c r="H2139" s="73"/>
      <c r="I2139" s="75">
        <v>0.1</v>
      </c>
      <c r="J2139" s="77"/>
      <c r="K2139" s="66"/>
      <c r="L2139" s="66"/>
      <c r="M2139" s="79" t="str">
        <f>HYPERLINK("http://www.pristavka.com/catalog/funko/Fun83851/")</f>
        <v>http://www.pristavka.com/catalog/funko/Fun83851/</v>
      </c>
      <c r="N2139" s="71">
        <v>9999</v>
      </c>
      <c r="O2139" s="66" t="s">
        <v>27</v>
      </c>
      <c r="P2139" s="82" t="s">
        <v>8396</v>
      </c>
      <c r="Q2139" s="84" t="s">
        <v>1240</v>
      </c>
      <c r="R2139" s="84" t="s">
        <v>70</v>
      </c>
      <c r="S2139" s="84">
        <v>0.248</v>
      </c>
      <c r="T2139" s="82" t="s">
        <v>4091</v>
      </c>
      <c r="U2139" s="84" t="s">
        <v>3584</v>
      </c>
      <c r="V2139" s="54"/>
    </row>
    <row r="2140" spans="1:22" s="11" customFormat="1" ht="45" customHeight="1" x14ac:dyDescent="0.2">
      <c r="A2140" s="66" t="s">
        <v>3577</v>
      </c>
      <c r="B2140" s="66" t="s">
        <v>1707</v>
      </c>
      <c r="C2140" s="66" t="s">
        <v>3578</v>
      </c>
      <c r="D2140" s="66">
        <v>85015</v>
      </c>
      <c r="E2140" s="68" t="s">
        <v>8397</v>
      </c>
      <c r="F2140" s="66" t="s">
        <v>8398</v>
      </c>
      <c r="G2140" s="71">
        <v>6890</v>
      </c>
      <c r="H2140" s="73"/>
      <c r="I2140" s="75">
        <v>0.1</v>
      </c>
      <c r="J2140" s="77"/>
      <c r="K2140" s="66"/>
      <c r="L2140" s="66"/>
      <c r="M2140" s="79" t="str">
        <f>HYPERLINK("http://www.pristavka.com/catalog/funko/Fun85015/")</f>
        <v>http://www.pristavka.com/catalog/funko/Fun85015/</v>
      </c>
      <c r="N2140" s="71">
        <v>10599</v>
      </c>
      <c r="O2140" s="66" t="s">
        <v>28</v>
      </c>
      <c r="P2140" s="82" t="s">
        <v>8399</v>
      </c>
      <c r="Q2140" s="84" t="s">
        <v>1240</v>
      </c>
      <c r="R2140" s="84" t="s">
        <v>70</v>
      </c>
      <c r="S2140" s="84">
        <v>0.19400000000000001</v>
      </c>
      <c r="T2140" s="82" t="s">
        <v>4084</v>
      </c>
      <c r="U2140" s="84" t="s">
        <v>3584</v>
      </c>
      <c r="V2140" s="54"/>
    </row>
    <row r="2141" spans="1:22" s="11" customFormat="1" ht="45" customHeight="1" x14ac:dyDescent="0.2">
      <c r="A2141" s="66" t="s">
        <v>3577</v>
      </c>
      <c r="B2141" s="66" t="s">
        <v>1707</v>
      </c>
      <c r="C2141" s="66" t="s">
        <v>3578</v>
      </c>
      <c r="D2141" s="66">
        <v>83764</v>
      </c>
      <c r="E2141" s="68" t="s">
        <v>8400</v>
      </c>
      <c r="F2141" s="66" t="s">
        <v>8401</v>
      </c>
      <c r="G2141" s="71">
        <v>6890</v>
      </c>
      <c r="H2141" s="73"/>
      <c r="I2141" s="75">
        <v>0.1</v>
      </c>
      <c r="J2141" s="77"/>
      <c r="K2141" s="66"/>
      <c r="L2141" s="66"/>
      <c r="M2141" s="79" t="str">
        <f>HYPERLINK("http://www.pristavka.com/catalog/funko/Fun83764/")</f>
        <v>http://www.pristavka.com/catalog/funko/Fun83764/</v>
      </c>
      <c r="N2141" s="71">
        <v>10599</v>
      </c>
      <c r="O2141" s="66" t="s">
        <v>27</v>
      </c>
      <c r="P2141" s="82" t="s">
        <v>8402</v>
      </c>
      <c r="Q2141" s="84" t="s">
        <v>1765</v>
      </c>
      <c r="R2141" s="84" t="s">
        <v>1765</v>
      </c>
      <c r="S2141" s="84">
        <v>0.152</v>
      </c>
      <c r="T2141" s="82" t="s">
        <v>4084</v>
      </c>
      <c r="U2141" s="84" t="s">
        <v>3584</v>
      </c>
      <c r="V2141" s="54"/>
    </row>
    <row r="2142" spans="1:22" s="11" customFormat="1" ht="45" customHeight="1" x14ac:dyDescent="0.2">
      <c r="A2142" s="66" t="s">
        <v>3577</v>
      </c>
      <c r="B2142" s="66" t="s">
        <v>1707</v>
      </c>
      <c r="C2142" s="66" t="s">
        <v>3578</v>
      </c>
      <c r="D2142" s="66">
        <v>85001</v>
      </c>
      <c r="E2142" s="68" t="s">
        <v>8403</v>
      </c>
      <c r="F2142" s="66" t="s">
        <v>8404</v>
      </c>
      <c r="G2142" s="71">
        <v>9100</v>
      </c>
      <c r="H2142" s="73"/>
      <c r="I2142" s="75">
        <v>0.1</v>
      </c>
      <c r="J2142" s="77"/>
      <c r="K2142" s="66"/>
      <c r="L2142" s="66"/>
      <c r="M2142" s="79" t="str">
        <f>HYPERLINK("http://www.pristavka.com/catalog/funko/Fun85001/")</f>
        <v>http://www.pristavka.com/catalog/funko/Fun85001/</v>
      </c>
      <c r="N2142" s="71">
        <v>13999</v>
      </c>
      <c r="O2142" s="66" t="s">
        <v>27</v>
      </c>
      <c r="P2142" s="82" t="s">
        <v>8405</v>
      </c>
      <c r="Q2142" s="84" t="s">
        <v>1522</v>
      </c>
      <c r="R2142" s="84" t="s">
        <v>1068</v>
      </c>
      <c r="S2142" s="84">
        <v>0.35199999999999998</v>
      </c>
      <c r="T2142" s="82" t="s">
        <v>8406</v>
      </c>
      <c r="U2142" s="84" t="s">
        <v>3584</v>
      </c>
      <c r="V2142" s="54"/>
    </row>
    <row r="2143" spans="1:22" s="11" customFormat="1" ht="45" customHeight="1" x14ac:dyDescent="0.2">
      <c r="A2143" s="66" t="s">
        <v>3577</v>
      </c>
      <c r="B2143" s="66" t="s">
        <v>1707</v>
      </c>
      <c r="C2143" s="66" t="s">
        <v>3578</v>
      </c>
      <c r="D2143" s="66">
        <v>84428</v>
      </c>
      <c r="E2143" s="68" t="s">
        <v>8407</v>
      </c>
      <c r="F2143" s="66" t="s">
        <v>8408</v>
      </c>
      <c r="G2143" s="71">
        <v>9100</v>
      </c>
      <c r="H2143" s="73"/>
      <c r="I2143" s="75">
        <v>0.1</v>
      </c>
      <c r="J2143" s="77"/>
      <c r="K2143" s="66"/>
      <c r="L2143" s="66"/>
      <c r="M2143" s="79" t="str">
        <f>HYPERLINK("http://www.pristavka.com/catalog/funko/Fun84428/")</f>
        <v>http://www.pristavka.com/catalog/funko/Fun84428/</v>
      </c>
      <c r="N2143" s="71">
        <v>13999</v>
      </c>
      <c r="O2143" s="66" t="s">
        <v>27</v>
      </c>
      <c r="P2143" s="82" t="s">
        <v>8409</v>
      </c>
      <c r="Q2143" s="84" t="s">
        <v>6141</v>
      </c>
      <c r="R2143" s="84" t="s">
        <v>1212</v>
      </c>
      <c r="S2143" s="84">
        <v>0.34200000000000003</v>
      </c>
      <c r="T2143" s="82" t="s">
        <v>3786</v>
      </c>
      <c r="U2143" s="84" t="s">
        <v>3584</v>
      </c>
      <c r="V2143" s="54"/>
    </row>
    <row r="2144" spans="1:22" s="11" customFormat="1" ht="45" customHeight="1" x14ac:dyDescent="0.2">
      <c r="A2144" s="66" t="s">
        <v>3577</v>
      </c>
      <c r="B2144" s="66" t="s">
        <v>1707</v>
      </c>
      <c r="C2144" s="66" t="s">
        <v>3578</v>
      </c>
      <c r="D2144" s="66">
        <v>81071</v>
      </c>
      <c r="E2144" s="68" t="s">
        <v>8410</v>
      </c>
      <c r="F2144" s="66" t="s">
        <v>8411</v>
      </c>
      <c r="G2144" s="71">
        <v>9620</v>
      </c>
      <c r="H2144" s="73"/>
      <c r="I2144" s="75">
        <v>0.1</v>
      </c>
      <c r="J2144" s="77"/>
      <c r="K2144" s="66"/>
      <c r="L2144" s="66"/>
      <c r="M2144" s="79" t="str">
        <f>HYPERLINK("http://www.pristavka.com/catalog/funko/Fun81071/")</f>
        <v>http://www.pristavka.com/catalog/funko/Fun81071/</v>
      </c>
      <c r="N2144" s="71">
        <v>14799</v>
      </c>
      <c r="O2144" s="66" t="s">
        <v>27</v>
      </c>
      <c r="P2144" s="82" t="s">
        <v>8412</v>
      </c>
      <c r="Q2144" s="84" t="s">
        <v>4933</v>
      </c>
      <c r="R2144" s="84" t="s">
        <v>1298</v>
      </c>
      <c r="S2144" s="84">
        <v>0.28599999999999998</v>
      </c>
      <c r="T2144" s="82" t="s">
        <v>3791</v>
      </c>
      <c r="U2144" s="84" t="s">
        <v>3584</v>
      </c>
      <c r="V2144" s="54"/>
    </row>
    <row r="2145" spans="1:22" s="11" customFormat="1" ht="45" customHeight="1" x14ac:dyDescent="0.2">
      <c r="A2145" s="66" t="s">
        <v>3577</v>
      </c>
      <c r="B2145" s="66" t="s">
        <v>1707</v>
      </c>
      <c r="C2145" s="66" t="s">
        <v>3578</v>
      </c>
      <c r="D2145" s="66">
        <v>62221</v>
      </c>
      <c r="E2145" s="68" t="s">
        <v>8413</v>
      </c>
      <c r="F2145" s="66" t="s">
        <v>8414</v>
      </c>
      <c r="G2145" s="71">
        <v>6500</v>
      </c>
      <c r="H2145" s="73"/>
      <c r="I2145" s="75">
        <v>0.1</v>
      </c>
      <c r="J2145" s="77"/>
      <c r="K2145" s="66"/>
      <c r="L2145" s="66"/>
      <c r="M2145" s="79" t="str">
        <f>HYPERLINK("http://www.pristavka.com/catalog/funko/Fun62221/")</f>
        <v>http://www.pristavka.com/catalog/funko/Fun62221/</v>
      </c>
      <c r="N2145" s="71">
        <v>9999</v>
      </c>
      <c r="O2145" s="66" t="s">
        <v>27</v>
      </c>
      <c r="P2145" s="82" t="s">
        <v>8415</v>
      </c>
      <c r="Q2145" s="84" t="s">
        <v>8416</v>
      </c>
      <c r="R2145" s="84" t="s">
        <v>6765</v>
      </c>
      <c r="S2145" s="84">
        <v>0.125</v>
      </c>
      <c r="T2145" s="82" t="s">
        <v>4084</v>
      </c>
      <c r="U2145" s="84" t="s">
        <v>3584</v>
      </c>
      <c r="V2145" s="54"/>
    </row>
    <row r="2146" spans="1:22" s="11" customFormat="1" ht="45" customHeight="1" x14ac:dyDescent="0.2">
      <c r="A2146" s="66" t="s">
        <v>3577</v>
      </c>
      <c r="B2146" s="66" t="s">
        <v>1707</v>
      </c>
      <c r="C2146" s="66" t="s">
        <v>3578</v>
      </c>
      <c r="D2146" s="66">
        <v>72217</v>
      </c>
      <c r="E2146" s="68" t="s">
        <v>8417</v>
      </c>
      <c r="F2146" s="66" t="s">
        <v>8418</v>
      </c>
      <c r="G2146" s="71">
        <v>6500</v>
      </c>
      <c r="H2146" s="73"/>
      <c r="I2146" s="75">
        <v>0.1</v>
      </c>
      <c r="J2146" s="77"/>
      <c r="K2146" s="66"/>
      <c r="L2146" s="66"/>
      <c r="M2146" s="79" t="str">
        <f>HYPERLINK("http://www.pristavka.com/catalog/funko/Fun72217/")</f>
        <v>http://www.pristavka.com/catalog/funko/Fun72217/</v>
      </c>
      <c r="N2146" s="71">
        <v>9999</v>
      </c>
      <c r="O2146" s="66" t="s">
        <v>27</v>
      </c>
      <c r="P2146" s="82" t="s">
        <v>8419</v>
      </c>
      <c r="Q2146" s="84" t="s">
        <v>8416</v>
      </c>
      <c r="R2146" s="84" t="s">
        <v>6765</v>
      </c>
      <c r="S2146" s="84">
        <v>0.14000000000000001</v>
      </c>
      <c r="T2146" s="82" t="s">
        <v>4084</v>
      </c>
      <c r="U2146" s="84" t="s">
        <v>3584</v>
      </c>
      <c r="V2146" s="54"/>
    </row>
    <row r="2147" spans="1:22" s="11" customFormat="1" ht="45" customHeight="1" x14ac:dyDescent="0.2">
      <c r="A2147" s="66" t="s">
        <v>3577</v>
      </c>
      <c r="B2147" s="66" t="s">
        <v>1707</v>
      </c>
      <c r="C2147" s="66" t="s">
        <v>3578</v>
      </c>
      <c r="D2147" s="66">
        <v>72269</v>
      </c>
      <c r="E2147" s="68" t="s">
        <v>8420</v>
      </c>
      <c r="F2147" s="66" t="s">
        <v>8421</v>
      </c>
      <c r="G2147" s="71">
        <v>6500</v>
      </c>
      <c r="H2147" s="73"/>
      <c r="I2147" s="75">
        <v>0.1</v>
      </c>
      <c r="J2147" s="77"/>
      <c r="K2147" s="66"/>
      <c r="L2147" s="66"/>
      <c r="M2147" s="79" t="str">
        <f>HYPERLINK("http://www.pristavka.com/catalog/funko/Fun72269/")</f>
        <v>http://www.pristavka.com/catalog/funko/Fun72269/</v>
      </c>
      <c r="N2147" s="71">
        <v>9999</v>
      </c>
      <c r="O2147" s="66" t="s">
        <v>27</v>
      </c>
      <c r="P2147" s="82" t="s">
        <v>8422</v>
      </c>
      <c r="Q2147" s="84" t="s">
        <v>8416</v>
      </c>
      <c r="R2147" s="84" t="s">
        <v>6765</v>
      </c>
      <c r="S2147" s="84">
        <v>0.13400000000000001</v>
      </c>
      <c r="T2147" s="82" t="s">
        <v>4084</v>
      </c>
      <c r="U2147" s="84" t="s">
        <v>3584</v>
      </c>
      <c r="V2147" s="54"/>
    </row>
    <row r="2148" spans="1:22" s="11" customFormat="1" ht="45" customHeight="1" x14ac:dyDescent="0.2">
      <c r="A2148" s="66" t="s">
        <v>3577</v>
      </c>
      <c r="B2148" s="66" t="s">
        <v>1707</v>
      </c>
      <c r="C2148" s="66" t="s">
        <v>3578</v>
      </c>
      <c r="D2148" s="66">
        <v>86180</v>
      </c>
      <c r="E2148" s="68" t="s">
        <v>8423</v>
      </c>
      <c r="F2148" s="66" t="s">
        <v>8424</v>
      </c>
      <c r="G2148" s="71">
        <v>6500</v>
      </c>
      <c r="H2148" s="73"/>
      <c r="I2148" s="75">
        <v>0.1</v>
      </c>
      <c r="J2148" s="77"/>
      <c r="K2148" s="66"/>
      <c r="L2148" s="66"/>
      <c r="M2148" s="79" t="str">
        <f>HYPERLINK("http://www.pristavka.com/catalog/funko/Fun86180/")</f>
        <v>http://www.pristavka.com/catalog/funko/Fun86180/</v>
      </c>
      <c r="N2148" s="71">
        <v>9999</v>
      </c>
      <c r="O2148" s="66" t="s">
        <v>27</v>
      </c>
      <c r="P2148" s="82" t="s">
        <v>8425</v>
      </c>
      <c r="Q2148" s="84" t="s">
        <v>8416</v>
      </c>
      <c r="R2148" s="84" t="s">
        <v>6765</v>
      </c>
      <c r="S2148" s="84">
        <v>0.13</v>
      </c>
      <c r="T2148" s="82" t="s">
        <v>4113</v>
      </c>
      <c r="U2148" s="84" t="s">
        <v>3584</v>
      </c>
      <c r="V2148" s="54"/>
    </row>
    <row r="2149" spans="1:22" s="11" customFormat="1" ht="45" customHeight="1" x14ac:dyDescent="0.2">
      <c r="A2149" s="66" t="s">
        <v>3577</v>
      </c>
      <c r="B2149" s="66" t="s">
        <v>1707</v>
      </c>
      <c r="C2149" s="66" t="s">
        <v>3578</v>
      </c>
      <c r="D2149" s="66">
        <v>82778</v>
      </c>
      <c r="E2149" s="68" t="s">
        <v>8426</v>
      </c>
      <c r="F2149" s="66" t="s">
        <v>8427</v>
      </c>
      <c r="G2149" s="71">
        <v>6890</v>
      </c>
      <c r="H2149" s="73"/>
      <c r="I2149" s="75">
        <v>0.1</v>
      </c>
      <c r="J2149" s="77"/>
      <c r="K2149" s="66"/>
      <c r="L2149" s="66"/>
      <c r="M2149" s="79" t="str">
        <f>HYPERLINK("https://pristavka.com/catalog/funko_figures/Fun82778/")</f>
        <v>https://pristavka.com/catalog/funko_figures/Fun82778/</v>
      </c>
      <c r="N2149" s="71">
        <v>10599</v>
      </c>
      <c r="O2149" s="66" t="s">
        <v>27</v>
      </c>
      <c r="P2149" s="82" t="s">
        <v>8428</v>
      </c>
      <c r="Q2149" s="84" t="s">
        <v>7503</v>
      </c>
      <c r="R2149" s="84" t="s">
        <v>8429</v>
      </c>
      <c r="S2149" s="84">
        <v>0.16400000000000001</v>
      </c>
      <c r="T2149" s="82" t="s">
        <v>4084</v>
      </c>
      <c r="U2149" s="84" t="s">
        <v>3584</v>
      </c>
      <c r="V2149" s="54"/>
    </row>
    <row r="2150" spans="1:22" s="11" customFormat="1" ht="45" customHeight="1" x14ac:dyDescent="0.2">
      <c r="A2150" s="66" t="s">
        <v>3577</v>
      </c>
      <c r="B2150" s="66" t="s">
        <v>1707</v>
      </c>
      <c r="C2150" s="66" t="s">
        <v>3578</v>
      </c>
      <c r="D2150" s="66">
        <v>81052</v>
      </c>
      <c r="E2150" s="68" t="s">
        <v>8430</v>
      </c>
      <c r="F2150" s="66" t="s">
        <v>8431</v>
      </c>
      <c r="G2150" s="71">
        <v>6500</v>
      </c>
      <c r="H2150" s="73"/>
      <c r="I2150" s="75">
        <v>0.1</v>
      </c>
      <c r="J2150" s="77"/>
      <c r="K2150" s="66"/>
      <c r="L2150" s="66"/>
      <c r="M2150" s="79" t="str">
        <f>HYPERLINK("http://www.pristavka.com/catalog/funko/Fun81052/")</f>
        <v>http://www.pristavka.com/catalog/funko/Fun81052/</v>
      </c>
      <c r="N2150" s="71">
        <v>9999</v>
      </c>
      <c r="O2150" s="66" t="s">
        <v>27</v>
      </c>
      <c r="P2150" s="82" t="s">
        <v>8432</v>
      </c>
      <c r="Q2150" s="84" t="s">
        <v>7503</v>
      </c>
      <c r="R2150" s="84" t="s">
        <v>8429</v>
      </c>
      <c r="S2150" s="84">
        <v>0.18</v>
      </c>
      <c r="T2150" s="82" t="s">
        <v>4084</v>
      </c>
      <c r="U2150" s="84" t="s">
        <v>3584</v>
      </c>
      <c r="V2150" s="54"/>
    </row>
    <row r="2151" spans="1:22" s="11" customFormat="1" ht="45" customHeight="1" x14ac:dyDescent="0.2">
      <c r="A2151" s="66" t="s">
        <v>3577</v>
      </c>
      <c r="B2151" s="66" t="s">
        <v>1707</v>
      </c>
      <c r="C2151" s="66" t="s">
        <v>3578</v>
      </c>
      <c r="D2151" s="66">
        <v>75158</v>
      </c>
      <c r="E2151" s="68" t="s">
        <v>8433</v>
      </c>
      <c r="F2151" s="66" t="s">
        <v>8434</v>
      </c>
      <c r="G2151" s="71">
        <v>6500</v>
      </c>
      <c r="H2151" s="73"/>
      <c r="I2151" s="75">
        <v>0.1</v>
      </c>
      <c r="J2151" s="77"/>
      <c r="K2151" s="66"/>
      <c r="L2151" s="66"/>
      <c r="M2151" s="79" t="str">
        <f>HYPERLINK("http://www.pristavka.com/catalog/funko/Fun75158/")</f>
        <v>http://www.pristavka.com/catalog/funko/Fun75158/</v>
      </c>
      <c r="N2151" s="71">
        <v>9999</v>
      </c>
      <c r="O2151" s="66" t="s">
        <v>27</v>
      </c>
      <c r="P2151" s="82" t="s">
        <v>8435</v>
      </c>
      <c r="Q2151" s="84" t="s">
        <v>7503</v>
      </c>
      <c r="R2151" s="84" t="s">
        <v>8429</v>
      </c>
      <c r="S2151" s="84">
        <v>0.16500000000000001</v>
      </c>
      <c r="T2151" s="82" t="s">
        <v>4084</v>
      </c>
      <c r="U2151" s="84" t="s">
        <v>3584</v>
      </c>
      <c r="V2151" s="54"/>
    </row>
    <row r="2152" spans="1:22" s="11" customFormat="1" ht="45" customHeight="1" x14ac:dyDescent="0.2">
      <c r="A2152" s="66" t="s">
        <v>3577</v>
      </c>
      <c r="B2152" s="66" t="s">
        <v>1707</v>
      </c>
      <c r="C2152" s="66" t="s">
        <v>3578</v>
      </c>
      <c r="D2152" s="66">
        <v>67454</v>
      </c>
      <c r="E2152" s="68" t="s">
        <v>8436</v>
      </c>
      <c r="F2152" s="66" t="s">
        <v>8437</v>
      </c>
      <c r="G2152" s="71">
        <v>6500</v>
      </c>
      <c r="H2152" s="73"/>
      <c r="I2152" s="75">
        <v>0.1</v>
      </c>
      <c r="J2152" s="77"/>
      <c r="K2152" s="66"/>
      <c r="L2152" s="66"/>
      <c r="M2152" s="79" t="str">
        <f>HYPERLINK("http://www.pristavka.com/catalog/funko/Fun67454/")</f>
        <v>http://www.pristavka.com/catalog/funko/Fun67454/</v>
      </c>
      <c r="N2152" s="71">
        <v>9999</v>
      </c>
      <c r="O2152" s="66" t="s">
        <v>27</v>
      </c>
      <c r="P2152" s="82" t="s">
        <v>8438</v>
      </c>
      <c r="Q2152" s="84" t="s">
        <v>7503</v>
      </c>
      <c r="R2152" s="84" t="s">
        <v>8429</v>
      </c>
      <c r="S2152" s="84">
        <v>0.16800000000000001</v>
      </c>
      <c r="T2152" s="82" t="s">
        <v>4084</v>
      </c>
      <c r="U2152" s="84" t="s">
        <v>3584</v>
      </c>
      <c r="V2152" s="54"/>
    </row>
    <row r="2153" spans="1:22" s="11" customFormat="1" ht="45" customHeight="1" x14ac:dyDescent="0.2">
      <c r="A2153" s="66" t="s">
        <v>3577</v>
      </c>
      <c r="B2153" s="66" t="s">
        <v>1707</v>
      </c>
      <c r="C2153" s="66" t="s">
        <v>3578</v>
      </c>
      <c r="D2153" s="66">
        <v>67453</v>
      </c>
      <c r="E2153" s="68" t="s">
        <v>8439</v>
      </c>
      <c r="F2153" s="66" t="s">
        <v>8440</v>
      </c>
      <c r="G2153" s="71">
        <v>6500</v>
      </c>
      <c r="H2153" s="73"/>
      <c r="I2153" s="75">
        <v>0.1</v>
      </c>
      <c r="J2153" s="77"/>
      <c r="K2153" s="66"/>
      <c r="L2153" s="66"/>
      <c r="M2153" s="79" t="str">
        <f>HYPERLINK("http://www.pristavka.com/catalog/funko/Fun67453/")</f>
        <v>http://www.pristavka.com/catalog/funko/Fun67453/</v>
      </c>
      <c r="N2153" s="71">
        <v>9999</v>
      </c>
      <c r="O2153" s="66" t="s">
        <v>27</v>
      </c>
      <c r="P2153" s="82" t="s">
        <v>8441</v>
      </c>
      <c r="Q2153" s="84" t="s">
        <v>7503</v>
      </c>
      <c r="R2153" s="84" t="s">
        <v>8429</v>
      </c>
      <c r="S2153" s="84">
        <v>0.16500000000000001</v>
      </c>
      <c r="T2153" s="82" t="s">
        <v>4113</v>
      </c>
      <c r="U2153" s="84" t="s">
        <v>3584</v>
      </c>
      <c r="V2153" s="54"/>
    </row>
    <row r="2154" spans="1:22" s="11" customFormat="1" ht="45" customHeight="1" x14ac:dyDescent="0.2">
      <c r="A2154" s="66" t="s">
        <v>3577</v>
      </c>
      <c r="B2154" s="66" t="s">
        <v>1707</v>
      </c>
      <c r="C2154" s="66" t="s">
        <v>3578</v>
      </c>
      <c r="D2154" s="66">
        <v>81395</v>
      </c>
      <c r="E2154" s="68" t="s">
        <v>8442</v>
      </c>
      <c r="F2154" s="66" t="s">
        <v>8443</v>
      </c>
      <c r="G2154" s="71">
        <v>6500</v>
      </c>
      <c r="H2154" s="73"/>
      <c r="I2154" s="75">
        <v>0.1</v>
      </c>
      <c r="J2154" s="77"/>
      <c r="K2154" s="66"/>
      <c r="L2154" s="66"/>
      <c r="M2154" s="79" t="str">
        <f>HYPERLINK("http://www.pristavka.com/catalog/funko/Fun81395/")</f>
        <v>http://www.pristavka.com/catalog/funko/Fun81395/</v>
      </c>
      <c r="N2154" s="71">
        <v>9999</v>
      </c>
      <c r="O2154" s="66" t="s">
        <v>28</v>
      </c>
      <c r="P2154" s="82" t="s">
        <v>8444</v>
      </c>
      <c r="Q2154" s="84" t="s">
        <v>8445</v>
      </c>
      <c r="R2154" s="84" t="s">
        <v>1315</v>
      </c>
      <c r="S2154" s="84">
        <v>0.16500000000000001</v>
      </c>
      <c r="T2154" s="82" t="s">
        <v>4091</v>
      </c>
      <c r="U2154" s="84" t="s">
        <v>3584</v>
      </c>
      <c r="V2154" s="54"/>
    </row>
    <row r="2155" spans="1:22" s="11" customFormat="1" ht="45" customHeight="1" x14ac:dyDescent="0.2">
      <c r="A2155" s="66" t="s">
        <v>3577</v>
      </c>
      <c r="B2155" s="66" t="s">
        <v>1707</v>
      </c>
      <c r="C2155" s="66" t="s">
        <v>3578</v>
      </c>
      <c r="D2155" s="66">
        <v>83818</v>
      </c>
      <c r="E2155" s="68" t="s">
        <v>8446</v>
      </c>
      <c r="F2155" s="66" t="s">
        <v>8447</v>
      </c>
      <c r="G2155" s="71">
        <v>6500</v>
      </c>
      <c r="H2155" s="73"/>
      <c r="I2155" s="75">
        <v>0.1</v>
      </c>
      <c r="J2155" s="77"/>
      <c r="K2155" s="66"/>
      <c r="L2155" s="66"/>
      <c r="M2155" s="79" t="str">
        <f>HYPERLINK("http://www.pristavka.com/catalog/funko/Fun83818/")</f>
        <v>http://www.pristavka.com/catalog/funko/Fun83818/</v>
      </c>
      <c r="N2155" s="71">
        <v>9999</v>
      </c>
      <c r="O2155" s="66" t="s">
        <v>27</v>
      </c>
      <c r="P2155" s="82" t="s">
        <v>8448</v>
      </c>
      <c r="Q2155" s="84" t="s">
        <v>8449</v>
      </c>
      <c r="R2155" s="84" t="s">
        <v>6171</v>
      </c>
      <c r="S2155" s="84">
        <v>0.16500000000000001</v>
      </c>
      <c r="T2155" s="82" t="s">
        <v>4084</v>
      </c>
      <c r="U2155" s="84" t="s">
        <v>3584</v>
      </c>
      <c r="V2155" s="54"/>
    </row>
    <row r="2156" spans="1:22" s="11" customFormat="1" ht="45" customHeight="1" x14ac:dyDescent="0.2">
      <c r="A2156" s="66" t="s">
        <v>3577</v>
      </c>
      <c r="B2156" s="66" t="s">
        <v>1707</v>
      </c>
      <c r="C2156" s="66" t="s">
        <v>3578</v>
      </c>
      <c r="D2156" s="66">
        <v>67429</v>
      </c>
      <c r="E2156" s="68" t="s">
        <v>8450</v>
      </c>
      <c r="F2156" s="66" t="s">
        <v>8451</v>
      </c>
      <c r="G2156" s="71">
        <v>6500</v>
      </c>
      <c r="H2156" s="73"/>
      <c r="I2156" s="75">
        <v>0.1</v>
      </c>
      <c r="J2156" s="77"/>
      <c r="K2156" s="66"/>
      <c r="L2156" s="66"/>
      <c r="M2156" s="79" t="str">
        <f>HYPERLINK("http://www.pristavka.com/catalog/funko/Fun67429/")</f>
        <v>http://www.pristavka.com/catalog/funko/Fun67429/</v>
      </c>
      <c r="N2156" s="71">
        <v>9999</v>
      </c>
      <c r="O2156" s="66" t="s">
        <v>27</v>
      </c>
      <c r="P2156" s="82" t="s">
        <v>8452</v>
      </c>
      <c r="Q2156" s="84" t="s">
        <v>8449</v>
      </c>
      <c r="R2156" s="84" t="s">
        <v>8429</v>
      </c>
      <c r="S2156" s="84">
        <v>0.154</v>
      </c>
      <c r="T2156" s="82" t="s">
        <v>4946</v>
      </c>
      <c r="U2156" s="84" t="s">
        <v>3584</v>
      </c>
      <c r="V2156" s="54"/>
    </row>
    <row r="2157" spans="1:22" s="11" customFormat="1" ht="45" customHeight="1" x14ac:dyDescent="0.2">
      <c r="A2157" s="66" t="s">
        <v>3577</v>
      </c>
      <c r="B2157" s="66" t="s">
        <v>1707</v>
      </c>
      <c r="C2157" s="66" t="s">
        <v>3578</v>
      </c>
      <c r="D2157" s="66">
        <v>84909</v>
      </c>
      <c r="E2157" s="68" t="s">
        <v>8453</v>
      </c>
      <c r="F2157" s="66" t="s">
        <v>8454</v>
      </c>
      <c r="G2157" s="71">
        <v>6500</v>
      </c>
      <c r="H2157" s="73"/>
      <c r="I2157" s="75">
        <v>0.1</v>
      </c>
      <c r="J2157" s="77"/>
      <c r="K2157" s="66"/>
      <c r="L2157" s="66"/>
      <c r="M2157" s="79" t="str">
        <f>HYPERLINK("http://www.pristavka.com/catalog/funko/Fun84909/")</f>
        <v>http://www.pristavka.com/catalog/funko/Fun84909/</v>
      </c>
      <c r="N2157" s="71">
        <v>9999</v>
      </c>
      <c r="O2157" s="66" t="s">
        <v>27</v>
      </c>
      <c r="P2157" s="82" t="s">
        <v>8455</v>
      </c>
      <c r="Q2157" s="84" t="s">
        <v>8449</v>
      </c>
      <c r="R2157" s="84" t="s">
        <v>6171</v>
      </c>
      <c r="S2157" s="84">
        <v>0.16500000000000001</v>
      </c>
      <c r="T2157" s="82" t="s">
        <v>4084</v>
      </c>
      <c r="U2157" s="84" t="s">
        <v>3584</v>
      </c>
      <c r="V2157" s="54"/>
    </row>
    <row r="2158" spans="1:22" s="11" customFormat="1" ht="45" customHeight="1" x14ac:dyDescent="0.2">
      <c r="A2158" s="66" t="s">
        <v>3577</v>
      </c>
      <c r="B2158" s="66" t="s">
        <v>1707</v>
      </c>
      <c r="C2158" s="66" t="s">
        <v>3578</v>
      </c>
      <c r="D2158" s="66">
        <v>83819</v>
      </c>
      <c r="E2158" s="68" t="s">
        <v>8456</v>
      </c>
      <c r="F2158" s="66" t="s">
        <v>8457</v>
      </c>
      <c r="G2158" s="71">
        <v>6500</v>
      </c>
      <c r="H2158" s="73"/>
      <c r="I2158" s="75">
        <v>0.1</v>
      </c>
      <c r="J2158" s="77"/>
      <c r="K2158" s="66"/>
      <c r="L2158" s="66"/>
      <c r="M2158" s="79" t="str">
        <f>HYPERLINK("http://www.pristavka.com/catalog/funko/Fun83819/")</f>
        <v>http://www.pristavka.com/catalog/funko/Fun83819/</v>
      </c>
      <c r="N2158" s="71">
        <v>9999</v>
      </c>
      <c r="O2158" s="66" t="s">
        <v>27</v>
      </c>
      <c r="P2158" s="82" t="s">
        <v>8458</v>
      </c>
      <c r="Q2158" s="84" t="s">
        <v>8449</v>
      </c>
      <c r="R2158" s="84" t="s">
        <v>6171</v>
      </c>
      <c r="S2158" s="84">
        <v>0.155</v>
      </c>
      <c r="T2158" s="82" t="s">
        <v>4084</v>
      </c>
      <c r="U2158" s="84" t="s">
        <v>3584</v>
      </c>
      <c r="V2158" s="54"/>
    </row>
    <row r="2159" spans="1:22" s="11" customFormat="1" ht="45" customHeight="1" x14ac:dyDescent="0.2">
      <c r="A2159" s="66" t="s">
        <v>3577</v>
      </c>
      <c r="B2159" s="66" t="s">
        <v>1707</v>
      </c>
      <c r="C2159" s="66" t="s">
        <v>3578</v>
      </c>
      <c r="D2159" s="66">
        <v>83816</v>
      </c>
      <c r="E2159" s="68" t="s">
        <v>8459</v>
      </c>
      <c r="F2159" s="66" t="s">
        <v>8460</v>
      </c>
      <c r="G2159" s="71">
        <v>6500</v>
      </c>
      <c r="H2159" s="73"/>
      <c r="I2159" s="75">
        <v>0.1</v>
      </c>
      <c r="J2159" s="77"/>
      <c r="K2159" s="66"/>
      <c r="L2159" s="66"/>
      <c r="M2159" s="79" t="str">
        <f>HYPERLINK("http://www.pristavka.com/catalog/funko/Fun83816/")</f>
        <v>http://www.pristavka.com/catalog/funko/Fun83816/</v>
      </c>
      <c r="N2159" s="71">
        <v>9999</v>
      </c>
      <c r="O2159" s="66" t="s">
        <v>27</v>
      </c>
      <c r="P2159" s="82" t="s">
        <v>8461</v>
      </c>
      <c r="Q2159" s="84"/>
      <c r="R2159" s="84"/>
      <c r="S2159" s="84">
        <v>0.13500000000000001</v>
      </c>
      <c r="T2159" s="82" t="s">
        <v>4113</v>
      </c>
      <c r="U2159" s="84" t="s">
        <v>3584</v>
      </c>
      <c r="V2159" s="54"/>
    </row>
    <row r="2160" spans="1:22" s="11" customFormat="1" ht="45" customHeight="1" x14ac:dyDescent="0.2">
      <c r="A2160" s="66" t="s">
        <v>3577</v>
      </c>
      <c r="B2160" s="66" t="s">
        <v>1707</v>
      </c>
      <c r="C2160" s="66" t="s">
        <v>3578</v>
      </c>
      <c r="D2160" s="66">
        <v>83817</v>
      </c>
      <c r="E2160" s="68" t="s">
        <v>8462</v>
      </c>
      <c r="F2160" s="66" t="s">
        <v>8463</v>
      </c>
      <c r="G2160" s="71">
        <v>6500</v>
      </c>
      <c r="H2160" s="73"/>
      <c r="I2160" s="75">
        <v>0.1</v>
      </c>
      <c r="J2160" s="77"/>
      <c r="K2160" s="66"/>
      <c r="L2160" s="66"/>
      <c r="M2160" s="79" t="str">
        <f>HYPERLINK("http://www.pristavka.com/catalog/funko/Fun83817/")</f>
        <v>http://www.pristavka.com/catalog/funko/Fun83817/</v>
      </c>
      <c r="N2160" s="71">
        <v>9999</v>
      </c>
      <c r="O2160" s="66" t="s">
        <v>27</v>
      </c>
      <c r="P2160" s="82" t="s">
        <v>8464</v>
      </c>
      <c r="Q2160" s="84"/>
      <c r="R2160" s="84"/>
      <c r="S2160" s="84">
        <v>0.13800000000000001</v>
      </c>
      <c r="T2160" s="82" t="s">
        <v>4091</v>
      </c>
      <c r="U2160" s="84" t="s">
        <v>3584</v>
      </c>
      <c r="V2160" s="54"/>
    </row>
    <row r="2161" spans="1:22" s="11" customFormat="1" ht="45" customHeight="1" x14ac:dyDescent="0.2">
      <c r="A2161" s="66" t="s">
        <v>3577</v>
      </c>
      <c r="B2161" s="66" t="s">
        <v>1707</v>
      </c>
      <c r="C2161" s="66" t="s">
        <v>3578</v>
      </c>
      <c r="D2161" s="66">
        <v>79987</v>
      </c>
      <c r="E2161" s="68" t="s">
        <v>8465</v>
      </c>
      <c r="F2161" s="66" t="s">
        <v>8466</v>
      </c>
      <c r="G2161" s="71">
        <v>6500</v>
      </c>
      <c r="H2161" s="73"/>
      <c r="I2161" s="75">
        <v>0.1</v>
      </c>
      <c r="J2161" s="77"/>
      <c r="K2161" s="66"/>
      <c r="L2161" s="66"/>
      <c r="M2161" s="79" t="str">
        <f>HYPERLINK("http://www.pristavka.com/catalog/funko/Fun79987/")</f>
        <v>http://www.pristavka.com/catalog/funko/Fun79987/</v>
      </c>
      <c r="N2161" s="71">
        <v>9999</v>
      </c>
      <c r="O2161" s="66" t="s">
        <v>27</v>
      </c>
      <c r="P2161" s="82" t="s">
        <v>8467</v>
      </c>
      <c r="Q2161" s="84" t="s">
        <v>1765</v>
      </c>
      <c r="R2161" s="84" t="s">
        <v>1765</v>
      </c>
      <c r="S2161" s="84">
        <v>0.126</v>
      </c>
      <c r="T2161" s="82" t="s">
        <v>4084</v>
      </c>
      <c r="U2161" s="84" t="s">
        <v>3584</v>
      </c>
      <c r="V2161" s="54"/>
    </row>
    <row r="2162" spans="1:22" s="11" customFormat="1" ht="45" customHeight="1" x14ac:dyDescent="0.2">
      <c r="A2162" s="66" t="s">
        <v>3577</v>
      </c>
      <c r="B2162" s="66" t="s">
        <v>1707</v>
      </c>
      <c r="C2162" s="66" t="s">
        <v>3578</v>
      </c>
      <c r="D2162" s="66">
        <v>30969</v>
      </c>
      <c r="E2162" s="68" t="s">
        <v>8468</v>
      </c>
      <c r="F2162" s="66" t="s">
        <v>8469</v>
      </c>
      <c r="G2162" s="71">
        <v>6500</v>
      </c>
      <c r="H2162" s="73"/>
      <c r="I2162" s="75">
        <v>0.1</v>
      </c>
      <c r="J2162" s="77"/>
      <c r="K2162" s="66"/>
      <c r="L2162" s="66"/>
      <c r="M2162" s="79" t="str">
        <f>HYPERLINK("http://www.pristavka.com/catalog/funko/Fun1305/")</f>
        <v>http://www.pristavka.com/catalog/funko/Fun1305/</v>
      </c>
      <c r="N2162" s="71">
        <v>9999</v>
      </c>
      <c r="O2162" s="66" t="s">
        <v>28</v>
      </c>
      <c r="P2162" s="82" t="s">
        <v>8470</v>
      </c>
      <c r="Q2162" s="84" t="s">
        <v>3798</v>
      </c>
      <c r="R2162" s="84" t="s">
        <v>3512</v>
      </c>
      <c r="S2162" s="84">
        <v>0.184</v>
      </c>
      <c r="T2162" s="82" t="s">
        <v>4620</v>
      </c>
      <c r="U2162" s="84" t="s">
        <v>3584</v>
      </c>
      <c r="V2162" s="54"/>
    </row>
    <row r="2163" spans="1:22" s="11" customFormat="1" ht="45" customHeight="1" x14ac:dyDescent="0.2">
      <c r="A2163" s="66" t="s">
        <v>3577</v>
      </c>
      <c r="B2163" s="66" t="s">
        <v>1707</v>
      </c>
      <c r="C2163" s="66" t="s">
        <v>3578</v>
      </c>
      <c r="D2163" s="66">
        <v>76819</v>
      </c>
      <c r="E2163" s="68" t="s">
        <v>8471</v>
      </c>
      <c r="F2163" s="66" t="s">
        <v>8472</v>
      </c>
      <c r="G2163" s="71">
        <v>19500</v>
      </c>
      <c r="H2163" s="73"/>
      <c r="I2163" s="75">
        <v>0.1</v>
      </c>
      <c r="J2163" s="77"/>
      <c r="K2163" s="66"/>
      <c r="L2163" s="66"/>
      <c r="M2163" s="79" t="str">
        <f>HYPERLINK("http://www.pristavka.com/catalog/funko/Fun76819/")</f>
        <v>http://www.pristavka.com/catalog/funko/Fun76819/</v>
      </c>
      <c r="N2163" s="71">
        <v>29999</v>
      </c>
      <c r="O2163" s="66" t="s">
        <v>27</v>
      </c>
      <c r="P2163" s="82" t="s">
        <v>8473</v>
      </c>
      <c r="Q2163" s="84" t="s">
        <v>5344</v>
      </c>
      <c r="R2163" s="84" t="s">
        <v>3512</v>
      </c>
      <c r="S2163" s="84">
        <v>0.28499999999999998</v>
      </c>
      <c r="T2163" s="82" t="s">
        <v>4989</v>
      </c>
      <c r="U2163" s="84" t="s">
        <v>3584</v>
      </c>
      <c r="V2163" s="54"/>
    </row>
    <row r="2164" spans="1:22" s="11" customFormat="1" ht="45" customHeight="1" x14ac:dyDescent="0.2">
      <c r="A2164" s="66" t="s">
        <v>3577</v>
      </c>
      <c r="B2164" s="66" t="s">
        <v>1707</v>
      </c>
      <c r="C2164" s="66" t="s">
        <v>3578</v>
      </c>
      <c r="D2164" s="66">
        <v>70132</v>
      </c>
      <c r="E2164" s="68" t="s">
        <v>8474</v>
      </c>
      <c r="F2164" s="66" t="s">
        <v>8475</v>
      </c>
      <c r="G2164" s="71">
        <v>19500</v>
      </c>
      <c r="H2164" s="73"/>
      <c r="I2164" s="75">
        <v>0.1</v>
      </c>
      <c r="J2164" s="77"/>
      <c r="K2164" s="66"/>
      <c r="L2164" s="66"/>
      <c r="M2164" s="79" t="str">
        <f>HYPERLINK("http://www.pristavka.com/catalog/funko/Fun70132/")</f>
        <v>http://www.pristavka.com/catalog/funko/Fun70132/</v>
      </c>
      <c r="N2164" s="71">
        <v>29999</v>
      </c>
      <c r="O2164" s="66" t="s">
        <v>28</v>
      </c>
      <c r="P2164" s="82" t="s">
        <v>8476</v>
      </c>
      <c r="Q2164" s="84" t="s">
        <v>1321</v>
      </c>
      <c r="R2164" s="84" t="s">
        <v>1322</v>
      </c>
      <c r="S2164" s="84">
        <v>0.61499999999999999</v>
      </c>
      <c r="T2164" s="82" t="s">
        <v>8477</v>
      </c>
      <c r="U2164" s="84" t="s">
        <v>3584</v>
      </c>
      <c r="V2164" s="54"/>
    </row>
    <row r="2165" spans="1:22" s="11" customFormat="1" ht="45" customHeight="1" x14ac:dyDescent="0.2">
      <c r="A2165" s="66" t="s">
        <v>3577</v>
      </c>
      <c r="B2165" s="66" t="s">
        <v>1707</v>
      </c>
      <c r="C2165" s="66" t="s">
        <v>3578</v>
      </c>
      <c r="D2165" s="66">
        <v>80766</v>
      </c>
      <c r="E2165" s="68" t="s">
        <v>8478</v>
      </c>
      <c r="F2165" s="66" t="s">
        <v>8479</v>
      </c>
      <c r="G2165" s="71">
        <v>0</v>
      </c>
      <c r="H2165" s="73"/>
      <c r="I2165" s="75">
        <v>0.1</v>
      </c>
      <c r="J2165" s="77"/>
      <c r="K2165" s="66"/>
      <c r="L2165" s="66"/>
      <c r="M2165" s="79" t="str">
        <f>HYPERLINK("http://www.pristavka.com/catalog/funko/Fun80766/")</f>
        <v>http://www.pristavka.com/catalog/funko/Fun80766/</v>
      </c>
      <c r="N2165" s="71"/>
      <c r="O2165" s="66" t="s">
        <v>27</v>
      </c>
      <c r="P2165" s="82" t="s">
        <v>8480</v>
      </c>
      <c r="Q2165" s="84" t="s">
        <v>1321</v>
      </c>
      <c r="R2165" s="84" t="s">
        <v>1322</v>
      </c>
      <c r="S2165" s="84">
        <v>0.32</v>
      </c>
      <c r="T2165" s="82" t="s">
        <v>8481</v>
      </c>
      <c r="U2165" s="84" t="s">
        <v>3584</v>
      </c>
      <c r="V2165" s="54"/>
    </row>
    <row r="2166" spans="1:22" s="11" customFormat="1" ht="45" customHeight="1" x14ac:dyDescent="0.2">
      <c r="A2166" s="66" t="s">
        <v>3577</v>
      </c>
      <c r="B2166" s="66" t="s">
        <v>1707</v>
      </c>
      <c r="C2166" s="66" t="s">
        <v>3578</v>
      </c>
      <c r="D2166" s="66">
        <v>80769</v>
      </c>
      <c r="E2166" s="68" t="s">
        <v>8482</v>
      </c>
      <c r="F2166" s="66" t="s">
        <v>8483</v>
      </c>
      <c r="G2166" s="71">
        <v>0</v>
      </c>
      <c r="H2166" s="73"/>
      <c r="I2166" s="75">
        <v>0.1</v>
      </c>
      <c r="J2166" s="77"/>
      <c r="K2166" s="66"/>
      <c r="L2166" s="66"/>
      <c r="M2166" s="79" t="str">
        <f>HYPERLINK("http://www.pristavka.com/catalog/funko/Fun80769/")</f>
        <v>http://www.pristavka.com/catalog/funko/Fun80769/</v>
      </c>
      <c r="N2166" s="71"/>
      <c r="O2166" s="66" t="s">
        <v>27</v>
      </c>
      <c r="P2166" s="82" t="s">
        <v>8484</v>
      </c>
      <c r="Q2166" s="84" t="s">
        <v>1321</v>
      </c>
      <c r="R2166" s="84" t="s">
        <v>1322</v>
      </c>
      <c r="S2166" s="84">
        <v>0.378</v>
      </c>
      <c r="T2166" s="82" t="s">
        <v>6153</v>
      </c>
      <c r="U2166" s="84" t="s">
        <v>3584</v>
      </c>
      <c r="V2166" s="54"/>
    </row>
    <row r="2167" spans="1:22" s="11" customFormat="1" ht="45" customHeight="1" x14ac:dyDescent="0.2">
      <c r="A2167" s="66" t="s">
        <v>3577</v>
      </c>
      <c r="B2167" s="66" t="s">
        <v>1707</v>
      </c>
      <c r="C2167" s="66" t="s">
        <v>3578</v>
      </c>
      <c r="D2167" s="66">
        <v>76014</v>
      </c>
      <c r="E2167" s="68" t="s">
        <v>8485</v>
      </c>
      <c r="F2167" s="66" t="s">
        <v>8486</v>
      </c>
      <c r="G2167" s="71">
        <v>18200</v>
      </c>
      <c r="H2167" s="73"/>
      <c r="I2167" s="75">
        <v>0.1</v>
      </c>
      <c r="J2167" s="77"/>
      <c r="K2167" s="66"/>
      <c r="L2167" s="66"/>
      <c r="M2167" s="79" t="str">
        <f>HYPERLINK("http://www.pristavka.com/catalog/funko/Fun76014/")</f>
        <v>http://www.pristavka.com/catalog/funko/Fun76014/</v>
      </c>
      <c r="N2167" s="71">
        <v>27999</v>
      </c>
      <c r="O2167" s="66" t="s">
        <v>27</v>
      </c>
      <c r="P2167" s="82" t="s">
        <v>8487</v>
      </c>
      <c r="Q2167" s="84" t="s">
        <v>1321</v>
      </c>
      <c r="R2167" s="84" t="s">
        <v>1322</v>
      </c>
      <c r="S2167" s="84">
        <v>0.25800000000000001</v>
      </c>
      <c r="T2167" s="82" t="s">
        <v>8488</v>
      </c>
      <c r="U2167" s="84" t="s">
        <v>3584</v>
      </c>
      <c r="V2167" s="54"/>
    </row>
    <row r="2168" spans="1:22" s="11" customFormat="1" ht="45" customHeight="1" x14ac:dyDescent="0.2">
      <c r="A2168" s="66" t="s">
        <v>3577</v>
      </c>
      <c r="B2168" s="66" t="s">
        <v>1707</v>
      </c>
      <c r="C2168" s="66" t="s">
        <v>3578</v>
      </c>
      <c r="D2168" s="66">
        <v>80689</v>
      </c>
      <c r="E2168" s="68" t="s">
        <v>8489</v>
      </c>
      <c r="F2168" s="66" t="s">
        <v>8490</v>
      </c>
      <c r="G2168" s="71">
        <v>0</v>
      </c>
      <c r="H2168" s="73"/>
      <c r="I2168" s="75">
        <v>0.1</v>
      </c>
      <c r="J2168" s="77"/>
      <c r="K2168" s="66"/>
      <c r="L2168" s="66"/>
      <c r="M2168" s="79" t="str">
        <f>HYPERLINK("http://www.pristavka.com/catalog/funko/Fun80689/")</f>
        <v>http://www.pristavka.com/catalog/funko/Fun80689/</v>
      </c>
      <c r="N2168" s="71"/>
      <c r="O2168" s="66" t="s">
        <v>27</v>
      </c>
      <c r="P2168" s="82" t="s">
        <v>8491</v>
      </c>
      <c r="Q2168" s="84" t="s">
        <v>3604</v>
      </c>
      <c r="R2168" s="84" t="s">
        <v>3566</v>
      </c>
      <c r="S2168" s="84">
        <v>0.55200000000000005</v>
      </c>
      <c r="T2168" s="82" t="s">
        <v>7389</v>
      </c>
      <c r="U2168" s="84" t="s">
        <v>3584</v>
      </c>
      <c r="V2168" s="54"/>
    </row>
    <row r="2169" spans="1:22" s="11" customFormat="1" ht="45" customHeight="1" x14ac:dyDescent="0.2">
      <c r="A2169" s="66" t="s">
        <v>3577</v>
      </c>
      <c r="B2169" s="66" t="s">
        <v>1707</v>
      </c>
      <c r="C2169" s="66" t="s">
        <v>3578</v>
      </c>
      <c r="D2169" s="66">
        <v>80994</v>
      </c>
      <c r="E2169" s="68" t="s">
        <v>8492</v>
      </c>
      <c r="F2169" s="66" t="s">
        <v>8493</v>
      </c>
      <c r="G2169" s="71">
        <v>16900</v>
      </c>
      <c r="H2169" s="73"/>
      <c r="I2169" s="75">
        <v>0.1</v>
      </c>
      <c r="J2169" s="77"/>
      <c r="K2169" s="66"/>
      <c r="L2169" s="66"/>
      <c r="M2169" s="79" t="str">
        <f>HYPERLINK("http://www.pristavka.com/catalog/funko/Fun80994/")</f>
        <v>http://www.pristavka.com/catalog/funko/Fun80994/</v>
      </c>
      <c r="N2169" s="71">
        <v>25999</v>
      </c>
      <c r="O2169" s="66" t="s">
        <v>27</v>
      </c>
      <c r="P2169" s="82" t="s">
        <v>8494</v>
      </c>
      <c r="Q2169" s="84" t="s">
        <v>6587</v>
      </c>
      <c r="R2169" s="84" t="s">
        <v>1315</v>
      </c>
      <c r="S2169" s="84">
        <v>0.5</v>
      </c>
      <c r="T2169" s="82" t="s">
        <v>4989</v>
      </c>
      <c r="U2169" s="84" t="s">
        <v>3584</v>
      </c>
      <c r="V2169" s="54"/>
    </row>
    <row r="2170" spans="1:22" s="11" customFormat="1" ht="45" customHeight="1" x14ac:dyDescent="0.2">
      <c r="A2170" s="66" t="s">
        <v>3577</v>
      </c>
      <c r="B2170" s="66" t="s">
        <v>1707</v>
      </c>
      <c r="C2170" s="66" t="s">
        <v>3578</v>
      </c>
      <c r="D2170" s="66">
        <v>80693</v>
      </c>
      <c r="E2170" s="68" t="s">
        <v>8495</v>
      </c>
      <c r="F2170" s="66" t="s">
        <v>8496</v>
      </c>
      <c r="G2170" s="71">
        <v>0</v>
      </c>
      <c r="H2170" s="73"/>
      <c r="I2170" s="75">
        <v>0.1</v>
      </c>
      <c r="J2170" s="77"/>
      <c r="K2170" s="66"/>
      <c r="L2170" s="66"/>
      <c r="M2170" s="79" t="str">
        <f>HYPERLINK("http://www.pristavka.com/catalog/funko/Fun80693/")</f>
        <v>http://www.pristavka.com/catalog/funko/Fun80693/</v>
      </c>
      <c r="N2170" s="71"/>
      <c r="O2170" s="66" t="s">
        <v>27</v>
      </c>
      <c r="P2170" s="82" t="s">
        <v>8497</v>
      </c>
      <c r="Q2170" s="84" t="s">
        <v>1840</v>
      </c>
      <c r="R2170" s="84" t="s">
        <v>1840</v>
      </c>
      <c r="S2170" s="84">
        <v>0.53900000000000003</v>
      </c>
      <c r="T2170" s="82" t="s">
        <v>7389</v>
      </c>
      <c r="U2170" s="84" t="s">
        <v>3584</v>
      </c>
      <c r="V2170" s="54"/>
    </row>
    <row r="2171" spans="1:22" s="11" customFormat="1" ht="45" customHeight="1" x14ac:dyDescent="0.2">
      <c r="A2171" s="66" t="s">
        <v>3577</v>
      </c>
      <c r="B2171" s="66" t="s">
        <v>1707</v>
      </c>
      <c r="C2171" s="66" t="s">
        <v>3578</v>
      </c>
      <c r="D2171" s="66">
        <v>75584</v>
      </c>
      <c r="E2171" s="68" t="s">
        <v>8498</v>
      </c>
      <c r="F2171" s="66" t="s">
        <v>8499</v>
      </c>
      <c r="G2171" s="71">
        <v>13650</v>
      </c>
      <c r="H2171" s="73"/>
      <c r="I2171" s="75">
        <v>0.1</v>
      </c>
      <c r="J2171" s="77"/>
      <c r="K2171" s="66"/>
      <c r="L2171" s="66"/>
      <c r="M2171" s="79" t="str">
        <f>HYPERLINK("http://www.pristavka.com/catalog/funko/Fun75584/")</f>
        <v>http://www.pristavka.com/catalog/funko/Fun75584/</v>
      </c>
      <c r="N2171" s="71">
        <v>20999</v>
      </c>
      <c r="O2171" s="66" t="s">
        <v>27</v>
      </c>
      <c r="P2171" s="82" t="s">
        <v>8500</v>
      </c>
      <c r="Q2171" s="84" t="s">
        <v>1148</v>
      </c>
      <c r="R2171" s="84" t="s">
        <v>1068</v>
      </c>
      <c r="S2171" s="84">
        <v>0.35</v>
      </c>
      <c r="T2171" s="82" t="s">
        <v>8501</v>
      </c>
      <c r="U2171" s="84" t="s">
        <v>3584</v>
      </c>
      <c r="V2171" s="54"/>
    </row>
    <row r="2172" spans="1:22" s="11" customFormat="1" ht="45" customHeight="1" x14ac:dyDescent="0.2">
      <c r="A2172" s="66" t="s">
        <v>3577</v>
      </c>
      <c r="B2172" s="66" t="s">
        <v>1707</v>
      </c>
      <c r="C2172" s="66" t="s">
        <v>3578</v>
      </c>
      <c r="D2172" s="66">
        <v>70584</v>
      </c>
      <c r="E2172" s="68" t="s">
        <v>8502</v>
      </c>
      <c r="F2172" s="66" t="s">
        <v>8503</v>
      </c>
      <c r="G2172" s="71">
        <v>17550</v>
      </c>
      <c r="H2172" s="73"/>
      <c r="I2172" s="75">
        <v>0.1</v>
      </c>
      <c r="J2172" s="77"/>
      <c r="K2172" s="66"/>
      <c r="L2172" s="66"/>
      <c r="M2172" s="79" t="str">
        <f>HYPERLINK("http://www.pristavka.com/catalog/funko/Fun70584/")</f>
        <v>http://www.pristavka.com/catalog/funko/Fun70584/</v>
      </c>
      <c r="N2172" s="71">
        <v>26999</v>
      </c>
      <c r="O2172" s="66" t="s">
        <v>27</v>
      </c>
      <c r="P2172" s="82" t="s">
        <v>8504</v>
      </c>
      <c r="Q2172" s="84" t="s">
        <v>1240</v>
      </c>
      <c r="R2172" s="84" t="s">
        <v>70</v>
      </c>
      <c r="S2172" s="84">
        <v>0.42499999999999999</v>
      </c>
      <c r="T2172" s="82" t="s">
        <v>4989</v>
      </c>
      <c r="U2172" s="84" t="s">
        <v>3584</v>
      </c>
      <c r="V2172" s="54"/>
    </row>
    <row r="2173" spans="1:22" s="11" customFormat="1" ht="45" customHeight="1" x14ac:dyDescent="0.2">
      <c r="A2173" s="66" t="s">
        <v>3577</v>
      </c>
      <c r="B2173" s="66" t="s">
        <v>1707</v>
      </c>
      <c r="C2173" s="66" t="s">
        <v>3578</v>
      </c>
      <c r="D2173" s="66">
        <v>81205</v>
      </c>
      <c r="E2173" s="68" t="s">
        <v>8505</v>
      </c>
      <c r="F2173" s="66" t="s">
        <v>8506</v>
      </c>
      <c r="G2173" s="71">
        <v>0</v>
      </c>
      <c r="H2173" s="73"/>
      <c r="I2173" s="75">
        <v>0.1</v>
      </c>
      <c r="J2173" s="77"/>
      <c r="K2173" s="66"/>
      <c r="L2173" s="66"/>
      <c r="M2173" s="79" t="str">
        <f>HYPERLINK("http://www.pristavka.com/catalog/funko/Fun81205/")</f>
        <v>http://www.pristavka.com/catalog/funko/Fun81205/</v>
      </c>
      <c r="N2173" s="71"/>
      <c r="O2173" s="66" t="s">
        <v>27</v>
      </c>
      <c r="P2173" s="82" t="s">
        <v>8507</v>
      </c>
      <c r="Q2173" s="84" t="s">
        <v>8508</v>
      </c>
      <c r="R2173" s="84" t="s">
        <v>1612</v>
      </c>
      <c r="S2173" s="84">
        <v>0.246</v>
      </c>
      <c r="T2173" s="82" t="s">
        <v>8509</v>
      </c>
      <c r="U2173" s="84" t="s">
        <v>3584</v>
      </c>
      <c r="V2173" s="54"/>
    </row>
    <row r="2174" spans="1:22" s="11" customFormat="1" ht="45" customHeight="1" x14ac:dyDescent="0.2">
      <c r="A2174" s="66" t="s">
        <v>3577</v>
      </c>
      <c r="B2174" s="66" t="s">
        <v>1707</v>
      </c>
      <c r="C2174" s="66" t="s">
        <v>3578</v>
      </c>
      <c r="D2174" s="66">
        <v>45432</v>
      </c>
      <c r="E2174" s="68" t="s">
        <v>8510</v>
      </c>
      <c r="F2174" s="66" t="s">
        <v>8511</v>
      </c>
      <c r="G2174" s="71">
        <v>6500</v>
      </c>
      <c r="H2174" s="73"/>
      <c r="I2174" s="75">
        <v>0.1</v>
      </c>
      <c r="J2174" s="77"/>
      <c r="K2174" s="66"/>
      <c r="L2174" s="66"/>
      <c r="M2174" s="79" t="str">
        <f>HYPERLINK("http://www.pristavka.com/catalog/funko/Fun2549374/")</f>
        <v>http://www.pristavka.com/catalog/funko/Fun2549374/</v>
      </c>
      <c r="N2174" s="71">
        <v>9999</v>
      </c>
      <c r="O2174" s="66" t="s">
        <v>28</v>
      </c>
      <c r="P2174" s="82" t="s">
        <v>8512</v>
      </c>
      <c r="Q2174" s="84" t="s">
        <v>1075</v>
      </c>
      <c r="R2174" s="84" t="s">
        <v>1075</v>
      </c>
      <c r="S2174" s="84">
        <v>0.14000000000000001</v>
      </c>
      <c r="T2174" s="82" t="s">
        <v>4091</v>
      </c>
      <c r="U2174" s="84" t="s">
        <v>3584</v>
      </c>
      <c r="V2174" s="54"/>
    </row>
    <row r="2175" spans="1:22" s="11" customFormat="1" ht="45" customHeight="1" x14ac:dyDescent="0.2">
      <c r="A2175" s="66" t="s">
        <v>3577</v>
      </c>
      <c r="B2175" s="66" t="s">
        <v>1707</v>
      </c>
      <c r="C2175" s="66" t="s">
        <v>3578</v>
      </c>
      <c r="D2175" s="66">
        <v>79804</v>
      </c>
      <c r="E2175" s="68" t="s">
        <v>8513</v>
      </c>
      <c r="F2175" s="66" t="s">
        <v>8514</v>
      </c>
      <c r="G2175" s="71">
        <v>6500</v>
      </c>
      <c r="H2175" s="73"/>
      <c r="I2175" s="75">
        <v>0.1</v>
      </c>
      <c r="J2175" s="77"/>
      <c r="K2175" s="66"/>
      <c r="L2175" s="66"/>
      <c r="M2175" s="79" t="str">
        <f>HYPERLINK("http://www.pristavka.com/catalog/funko/Fun79804/")</f>
        <v>http://www.pristavka.com/catalog/funko/Fun79804/</v>
      </c>
      <c r="N2175" s="71">
        <v>9999</v>
      </c>
      <c r="O2175" s="66" t="s">
        <v>27</v>
      </c>
      <c r="P2175" s="82" t="s">
        <v>8515</v>
      </c>
      <c r="Q2175" s="84" t="s">
        <v>1594</v>
      </c>
      <c r="R2175" s="84" t="s">
        <v>1075</v>
      </c>
      <c r="S2175" s="84">
        <v>0.158</v>
      </c>
      <c r="T2175" s="82" t="s">
        <v>4084</v>
      </c>
      <c r="U2175" s="84" t="s">
        <v>3584</v>
      </c>
      <c r="V2175" s="54"/>
    </row>
    <row r="2176" spans="1:22" s="11" customFormat="1" ht="45" customHeight="1" x14ac:dyDescent="0.2">
      <c r="A2176" s="66" t="s">
        <v>3577</v>
      </c>
      <c r="B2176" s="66" t="s">
        <v>1707</v>
      </c>
      <c r="C2176" s="66" t="s">
        <v>3578</v>
      </c>
      <c r="D2176" s="66">
        <v>36318</v>
      </c>
      <c r="E2176" s="68" t="s">
        <v>8516</v>
      </c>
      <c r="F2176" s="66" t="s">
        <v>8517</v>
      </c>
      <c r="G2176" s="71">
        <v>6500</v>
      </c>
      <c r="H2176" s="73"/>
      <c r="I2176" s="75">
        <v>0.1</v>
      </c>
      <c r="J2176" s="77"/>
      <c r="K2176" s="66"/>
      <c r="L2176" s="66"/>
      <c r="M2176" s="79" t="str">
        <f>HYPERLINK("http://www.pristavka.com/catalog/funko/Fun1959/")</f>
        <v>http://www.pristavka.com/catalog/funko/Fun1959/</v>
      </c>
      <c r="N2176" s="71">
        <v>9999</v>
      </c>
      <c r="O2176" s="66" t="s">
        <v>27</v>
      </c>
      <c r="P2176" s="82" t="s">
        <v>8518</v>
      </c>
      <c r="Q2176" s="84" t="s">
        <v>1594</v>
      </c>
      <c r="R2176" s="84" t="s">
        <v>1075</v>
      </c>
      <c r="S2176" s="84">
        <v>0.14000000000000001</v>
      </c>
      <c r="T2176" s="82" t="s">
        <v>4370</v>
      </c>
      <c r="U2176" s="84" t="s">
        <v>3584</v>
      </c>
      <c r="V2176" s="54"/>
    </row>
    <row r="2177" spans="1:22" s="11" customFormat="1" ht="45" customHeight="1" x14ac:dyDescent="0.2">
      <c r="A2177" s="66" t="s">
        <v>3577</v>
      </c>
      <c r="B2177" s="66" t="s">
        <v>1707</v>
      </c>
      <c r="C2177" s="66" t="s">
        <v>3578</v>
      </c>
      <c r="D2177" s="66">
        <v>70596</v>
      </c>
      <c r="E2177" s="68" t="s">
        <v>8519</v>
      </c>
      <c r="F2177" s="66" t="s">
        <v>8520</v>
      </c>
      <c r="G2177" s="71">
        <v>6500</v>
      </c>
      <c r="H2177" s="73"/>
      <c r="I2177" s="75">
        <v>0.1</v>
      </c>
      <c r="J2177" s="77"/>
      <c r="K2177" s="66"/>
      <c r="L2177" s="66"/>
      <c r="M2177" s="79" t="str">
        <f>HYPERLINK("http://www.pristavka.com/catalog/funko/Fun70596/")</f>
        <v>http://www.pristavka.com/catalog/funko/Fun70596/</v>
      </c>
      <c r="N2177" s="71">
        <v>9999</v>
      </c>
      <c r="O2177" s="66" t="s">
        <v>27</v>
      </c>
      <c r="P2177" s="82" t="s">
        <v>8521</v>
      </c>
      <c r="Q2177" s="84" t="s">
        <v>1594</v>
      </c>
      <c r="R2177" s="84" t="s">
        <v>1075</v>
      </c>
      <c r="S2177" s="84">
        <v>0.14499999999999999</v>
      </c>
      <c r="T2177" s="82" t="s">
        <v>4084</v>
      </c>
      <c r="U2177" s="84" t="s">
        <v>3584</v>
      </c>
      <c r="V2177" s="54"/>
    </row>
    <row r="2178" spans="1:22" s="11" customFormat="1" ht="45" customHeight="1" x14ac:dyDescent="0.2">
      <c r="A2178" s="66" t="s">
        <v>3577</v>
      </c>
      <c r="B2178" s="66" t="s">
        <v>1707</v>
      </c>
      <c r="C2178" s="66" t="s">
        <v>3578</v>
      </c>
      <c r="D2178" s="66">
        <v>67452</v>
      </c>
      <c r="E2178" s="68" t="s">
        <v>8522</v>
      </c>
      <c r="F2178" s="66" t="s">
        <v>8523</v>
      </c>
      <c r="G2178" s="71">
        <v>6500</v>
      </c>
      <c r="H2178" s="73"/>
      <c r="I2178" s="75">
        <v>0.1</v>
      </c>
      <c r="J2178" s="77"/>
      <c r="K2178" s="66"/>
      <c r="L2178" s="66"/>
      <c r="M2178" s="79" t="str">
        <f>HYPERLINK("http://www.pristavka.com/catalog/funko/Fun67452/")</f>
        <v>http://www.pristavka.com/catalog/funko/Fun67452/</v>
      </c>
      <c r="N2178" s="71">
        <v>9999</v>
      </c>
      <c r="O2178" s="66" t="s">
        <v>27</v>
      </c>
      <c r="P2178" s="82" t="s">
        <v>8524</v>
      </c>
      <c r="Q2178" s="84" t="s">
        <v>2696</v>
      </c>
      <c r="R2178" s="84" t="s">
        <v>1075</v>
      </c>
      <c r="S2178" s="84">
        <v>0.129</v>
      </c>
      <c r="T2178" s="82" t="s">
        <v>4091</v>
      </c>
      <c r="U2178" s="84" t="s">
        <v>3584</v>
      </c>
      <c r="V2178" s="54"/>
    </row>
    <row r="2179" spans="1:22" s="11" customFormat="1" ht="45" customHeight="1" x14ac:dyDescent="0.2">
      <c r="A2179" s="66" t="s">
        <v>3577</v>
      </c>
      <c r="B2179" s="66" t="s">
        <v>1707</v>
      </c>
      <c r="C2179" s="66" t="s">
        <v>3578</v>
      </c>
      <c r="D2179" s="66">
        <v>79715</v>
      </c>
      <c r="E2179" s="68" t="s">
        <v>8525</v>
      </c>
      <c r="F2179" s="66" t="s">
        <v>8526</v>
      </c>
      <c r="G2179" s="71">
        <v>6500</v>
      </c>
      <c r="H2179" s="73"/>
      <c r="I2179" s="75">
        <v>0.1</v>
      </c>
      <c r="J2179" s="77"/>
      <c r="K2179" s="66"/>
      <c r="L2179" s="66"/>
      <c r="M2179" s="79" t="str">
        <f>HYPERLINK("http://www.pristavka.com/catalog/funko/Fun79715/")</f>
        <v>http://www.pristavka.com/catalog/funko/Fun79715/</v>
      </c>
      <c r="N2179" s="71">
        <v>9999</v>
      </c>
      <c r="O2179" s="66" t="s">
        <v>27</v>
      </c>
      <c r="P2179" s="82" t="s">
        <v>8527</v>
      </c>
      <c r="Q2179" s="84" t="s">
        <v>1594</v>
      </c>
      <c r="R2179" s="84" t="s">
        <v>1075</v>
      </c>
      <c r="S2179" s="84">
        <v>0.124</v>
      </c>
      <c r="T2179" s="82" t="s">
        <v>4084</v>
      </c>
      <c r="U2179" s="84" t="s">
        <v>3584</v>
      </c>
      <c r="V2179" s="54"/>
    </row>
    <row r="2180" spans="1:22" s="11" customFormat="1" ht="45" customHeight="1" x14ac:dyDescent="0.2">
      <c r="A2180" s="66" t="s">
        <v>3577</v>
      </c>
      <c r="B2180" s="66" t="s">
        <v>1707</v>
      </c>
      <c r="C2180" s="66" t="s">
        <v>3578</v>
      </c>
      <c r="D2180" s="66">
        <v>83823</v>
      </c>
      <c r="E2180" s="68" t="s">
        <v>8528</v>
      </c>
      <c r="F2180" s="66" t="s">
        <v>8529</v>
      </c>
      <c r="G2180" s="71">
        <v>6500</v>
      </c>
      <c r="H2180" s="73"/>
      <c r="I2180" s="75">
        <v>0.1</v>
      </c>
      <c r="J2180" s="77"/>
      <c r="K2180" s="66"/>
      <c r="L2180" s="66"/>
      <c r="M2180" s="79" t="str">
        <f>HYPERLINK("http://www.pristavka.com/catalog/funko/Fun83823/")</f>
        <v>http://www.pristavka.com/catalog/funko/Fun83823/</v>
      </c>
      <c r="N2180" s="71">
        <v>9999</v>
      </c>
      <c r="O2180" s="66" t="s">
        <v>27</v>
      </c>
      <c r="P2180" s="82" t="s">
        <v>8530</v>
      </c>
      <c r="Q2180" s="84" t="s">
        <v>1594</v>
      </c>
      <c r="R2180" s="84" t="s">
        <v>1075</v>
      </c>
      <c r="S2180" s="84">
        <v>0.14499999999999999</v>
      </c>
      <c r="T2180" s="82" t="s">
        <v>4113</v>
      </c>
      <c r="U2180" s="84" t="s">
        <v>3584</v>
      </c>
      <c r="V2180" s="54"/>
    </row>
    <row r="2181" spans="1:22" s="11" customFormat="1" ht="45" customHeight="1" x14ac:dyDescent="0.2">
      <c r="A2181" s="66" t="s">
        <v>3577</v>
      </c>
      <c r="B2181" s="66" t="s">
        <v>1707</v>
      </c>
      <c r="C2181" s="66" t="s">
        <v>3578</v>
      </c>
      <c r="D2181" s="66">
        <v>75384</v>
      </c>
      <c r="E2181" s="68" t="s">
        <v>8531</v>
      </c>
      <c r="F2181" s="66" t="s">
        <v>8532</v>
      </c>
      <c r="G2181" s="71">
        <v>6500</v>
      </c>
      <c r="H2181" s="73"/>
      <c r="I2181" s="75">
        <v>0.1</v>
      </c>
      <c r="J2181" s="77"/>
      <c r="K2181" s="66"/>
      <c r="L2181" s="66"/>
      <c r="M2181" s="79" t="str">
        <f>HYPERLINK("http://www.pristavka.com/catalog/funko/Fun75384/")</f>
        <v>http://www.pristavka.com/catalog/funko/Fun75384/</v>
      </c>
      <c r="N2181" s="71">
        <v>9999</v>
      </c>
      <c r="O2181" s="66" t="s">
        <v>27</v>
      </c>
      <c r="P2181" s="82" t="s">
        <v>8533</v>
      </c>
      <c r="Q2181" s="84" t="s">
        <v>1594</v>
      </c>
      <c r="R2181" s="84" t="s">
        <v>1075</v>
      </c>
      <c r="S2181" s="84">
        <v>0.13</v>
      </c>
      <c r="T2181" s="82" t="s">
        <v>4084</v>
      </c>
      <c r="U2181" s="84" t="s">
        <v>3584</v>
      </c>
      <c r="V2181" s="54"/>
    </row>
    <row r="2182" spans="1:22" s="11" customFormat="1" ht="45" customHeight="1" x14ac:dyDescent="0.2">
      <c r="A2182" s="66" t="s">
        <v>3577</v>
      </c>
      <c r="B2182" s="66" t="s">
        <v>1707</v>
      </c>
      <c r="C2182" s="66" t="s">
        <v>3578</v>
      </c>
      <c r="D2182" s="66">
        <v>75385</v>
      </c>
      <c r="E2182" s="68" t="s">
        <v>8534</v>
      </c>
      <c r="F2182" s="66" t="s">
        <v>8535</v>
      </c>
      <c r="G2182" s="71">
        <v>6500</v>
      </c>
      <c r="H2182" s="73"/>
      <c r="I2182" s="75">
        <v>0.1</v>
      </c>
      <c r="J2182" s="77"/>
      <c r="K2182" s="66"/>
      <c r="L2182" s="66"/>
      <c r="M2182" s="79" t="str">
        <f>HYPERLINK("http://www.pristavka.com/catalog/funko/Fun75385/")</f>
        <v>http://www.pristavka.com/catalog/funko/Fun75385/</v>
      </c>
      <c r="N2182" s="71">
        <v>9999</v>
      </c>
      <c r="O2182" s="66" t="s">
        <v>27</v>
      </c>
      <c r="P2182" s="82" t="s">
        <v>8536</v>
      </c>
      <c r="Q2182" s="84" t="s">
        <v>1075</v>
      </c>
      <c r="R2182" s="84" t="s">
        <v>1075</v>
      </c>
      <c r="S2182" s="84">
        <v>0.14499999999999999</v>
      </c>
      <c r="T2182" s="82" t="s">
        <v>4084</v>
      </c>
      <c r="U2182" s="84" t="s">
        <v>3584</v>
      </c>
      <c r="V2182" s="54"/>
    </row>
    <row r="2183" spans="1:22" s="11" customFormat="1" ht="45" customHeight="1" x14ac:dyDescent="0.2">
      <c r="A2183" s="66" t="s">
        <v>3577</v>
      </c>
      <c r="B2183" s="66" t="s">
        <v>1707</v>
      </c>
      <c r="C2183" s="66" t="s">
        <v>3578</v>
      </c>
      <c r="D2183" s="66">
        <v>66454</v>
      </c>
      <c r="E2183" s="68" t="s">
        <v>8537</v>
      </c>
      <c r="F2183" s="66" t="s">
        <v>8538</v>
      </c>
      <c r="G2183" s="71">
        <v>6500</v>
      </c>
      <c r="H2183" s="73"/>
      <c r="I2183" s="75">
        <v>0.1</v>
      </c>
      <c r="J2183" s="77"/>
      <c r="K2183" s="66"/>
      <c r="L2183" s="66"/>
      <c r="M2183" s="79" t="str">
        <f>HYPERLINK("http://www.pristavka.com/catalog/funko/Fun66454/")</f>
        <v>http://www.pristavka.com/catalog/funko/Fun66454/</v>
      </c>
      <c r="N2183" s="71">
        <v>9999</v>
      </c>
      <c r="O2183" s="66" t="s">
        <v>28</v>
      </c>
      <c r="P2183" s="82" t="s">
        <v>8539</v>
      </c>
      <c r="Q2183" s="84" t="s">
        <v>1075</v>
      </c>
      <c r="R2183" s="84" t="s">
        <v>1075</v>
      </c>
      <c r="S2183" s="84">
        <v>0.14799999999999999</v>
      </c>
      <c r="T2183" s="82" t="s">
        <v>4084</v>
      </c>
      <c r="U2183" s="84" t="s">
        <v>3584</v>
      </c>
      <c r="V2183" s="54"/>
    </row>
    <row r="2184" spans="1:22" s="11" customFormat="1" ht="45" customHeight="1" x14ac:dyDescent="0.2">
      <c r="A2184" s="66" t="s">
        <v>3577</v>
      </c>
      <c r="B2184" s="66" t="s">
        <v>1707</v>
      </c>
      <c r="C2184" s="66" t="s">
        <v>3578</v>
      </c>
      <c r="D2184" s="66">
        <v>67839</v>
      </c>
      <c r="E2184" s="68" t="s">
        <v>8540</v>
      </c>
      <c r="F2184" s="66" t="s">
        <v>8541</v>
      </c>
      <c r="G2184" s="71">
        <v>6500</v>
      </c>
      <c r="H2184" s="73"/>
      <c r="I2184" s="75">
        <v>0.1</v>
      </c>
      <c r="J2184" s="77"/>
      <c r="K2184" s="66"/>
      <c r="L2184" s="66"/>
      <c r="M2184" s="79" t="str">
        <f>HYPERLINK("http://www.pristavka.com/catalog/funko/Fun67839/")</f>
        <v>http://www.pristavka.com/catalog/funko/Fun67839/</v>
      </c>
      <c r="N2184" s="71">
        <v>9999</v>
      </c>
      <c r="O2184" s="66" t="s">
        <v>28</v>
      </c>
      <c r="P2184" s="82" t="s">
        <v>8542</v>
      </c>
      <c r="Q2184" s="84" t="s">
        <v>1075</v>
      </c>
      <c r="R2184" s="84" t="s">
        <v>1075</v>
      </c>
      <c r="S2184" s="84">
        <v>0.14000000000000001</v>
      </c>
      <c r="T2184" s="82" t="s">
        <v>4091</v>
      </c>
      <c r="U2184" s="84" t="s">
        <v>3584</v>
      </c>
      <c r="V2184" s="54"/>
    </row>
    <row r="2185" spans="1:22" s="11" customFormat="1" ht="45" customHeight="1" x14ac:dyDescent="0.2">
      <c r="A2185" s="66" t="s">
        <v>3577</v>
      </c>
      <c r="B2185" s="66" t="s">
        <v>1707</v>
      </c>
      <c r="C2185" s="66" t="s">
        <v>3578</v>
      </c>
      <c r="D2185" s="66">
        <v>79707</v>
      </c>
      <c r="E2185" s="68" t="s">
        <v>8543</v>
      </c>
      <c r="F2185" s="66" t="s">
        <v>8544</v>
      </c>
      <c r="G2185" s="71">
        <v>6500</v>
      </c>
      <c r="H2185" s="73"/>
      <c r="I2185" s="75">
        <v>0.1</v>
      </c>
      <c r="J2185" s="77"/>
      <c r="K2185" s="66"/>
      <c r="L2185" s="66"/>
      <c r="M2185" s="79" t="str">
        <f>HYPERLINK("http://www.pristavka.com/catalog/funko/Fun79707/")</f>
        <v>http://www.pristavka.com/catalog/funko/Fun79707/</v>
      </c>
      <c r="N2185" s="71">
        <v>9999</v>
      </c>
      <c r="O2185" s="66" t="s">
        <v>27</v>
      </c>
      <c r="P2185" s="82" t="s">
        <v>8545</v>
      </c>
      <c r="Q2185" s="84" t="s">
        <v>1594</v>
      </c>
      <c r="R2185" s="84" t="s">
        <v>1075</v>
      </c>
      <c r="S2185" s="84">
        <v>0.13500000000000001</v>
      </c>
      <c r="T2185" s="82" t="s">
        <v>4084</v>
      </c>
      <c r="U2185" s="84" t="s">
        <v>3584</v>
      </c>
      <c r="V2185" s="54"/>
    </row>
    <row r="2186" spans="1:22" s="11" customFormat="1" ht="45" customHeight="1" x14ac:dyDescent="0.2">
      <c r="A2186" s="66" t="s">
        <v>3577</v>
      </c>
      <c r="B2186" s="66" t="s">
        <v>1707</v>
      </c>
      <c r="C2186" s="66" t="s">
        <v>3578</v>
      </c>
      <c r="D2186" s="66">
        <v>83835</v>
      </c>
      <c r="E2186" s="68" t="s">
        <v>8546</v>
      </c>
      <c r="F2186" s="66" t="s">
        <v>8547</v>
      </c>
      <c r="G2186" s="71">
        <v>6500</v>
      </c>
      <c r="H2186" s="73"/>
      <c r="I2186" s="75">
        <v>0.1</v>
      </c>
      <c r="J2186" s="77"/>
      <c r="K2186" s="66"/>
      <c r="L2186" s="66"/>
      <c r="M2186" s="79" t="str">
        <f>HYPERLINK("http://www.pristavka.com/catalog/funko/Fun83835/")</f>
        <v>http://www.pristavka.com/catalog/funko/Fun83835/</v>
      </c>
      <c r="N2186" s="71">
        <v>9999</v>
      </c>
      <c r="O2186" s="66" t="s">
        <v>27</v>
      </c>
      <c r="P2186" s="82" t="s">
        <v>8548</v>
      </c>
      <c r="Q2186" s="84" t="s">
        <v>1594</v>
      </c>
      <c r="R2186" s="84" t="s">
        <v>1075</v>
      </c>
      <c r="S2186" s="84">
        <v>0.16</v>
      </c>
      <c r="T2186" s="82" t="s">
        <v>4113</v>
      </c>
      <c r="U2186" s="84" t="s">
        <v>3584</v>
      </c>
      <c r="V2186" s="54"/>
    </row>
    <row r="2187" spans="1:22" s="11" customFormat="1" ht="45" customHeight="1" x14ac:dyDescent="0.2">
      <c r="A2187" s="66" t="s">
        <v>3577</v>
      </c>
      <c r="B2187" s="66" t="s">
        <v>1707</v>
      </c>
      <c r="C2187" s="66" t="s">
        <v>3578</v>
      </c>
      <c r="D2187" s="66">
        <v>78658</v>
      </c>
      <c r="E2187" s="68" t="s">
        <v>8549</v>
      </c>
      <c r="F2187" s="66" t="s">
        <v>8550</v>
      </c>
      <c r="G2187" s="71">
        <v>0</v>
      </c>
      <c r="H2187" s="73"/>
      <c r="I2187" s="75">
        <v>0.1</v>
      </c>
      <c r="J2187" s="77"/>
      <c r="K2187" s="66"/>
      <c r="L2187" s="66"/>
      <c r="M2187" s="79" t="str">
        <f>HYPERLINK("https://pristavka.com/catalog/funko_figures/Fun78658/")</f>
        <v>https://pristavka.com/catalog/funko_figures/Fun78658/</v>
      </c>
      <c r="N2187" s="71"/>
      <c r="O2187" s="66" t="s">
        <v>27</v>
      </c>
      <c r="P2187" s="82" t="s">
        <v>8551</v>
      </c>
      <c r="Q2187" s="84" t="s">
        <v>1594</v>
      </c>
      <c r="R2187" s="84" t="s">
        <v>1075</v>
      </c>
      <c r="S2187" s="84">
        <v>0.13400000000000001</v>
      </c>
      <c r="T2187" s="82" t="s">
        <v>4113</v>
      </c>
      <c r="U2187" s="84" t="s">
        <v>3584</v>
      </c>
      <c r="V2187" s="54"/>
    </row>
    <row r="2188" spans="1:22" s="11" customFormat="1" ht="45" customHeight="1" x14ac:dyDescent="0.2">
      <c r="A2188" s="66" t="s">
        <v>3577</v>
      </c>
      <c r="B2188" s="66" t="s">
        <v>1707</v>
      </c>
      <c r="C2188" s="66" t="s">
        <v>3578</v>
      </c>
      <c r="D2188" s="66">
        <v>79812</v>
      </c>
      <c r="E2188" s="68" t="s">
        <v>8552</v>
      </c>
      <c r="F2188" s="66" t="s">
        <v>8553</v>
      </c>
      <c r="G2188" s="71">
        <v>6500</v>
      </c>
      <c r="H2188" s="73"/>
      <c r="I2188" s="75">
        <v>0.1</v>
      </c>
      <c r="J2188" s="77"/>
      <c r="K2188" s="66"/>
      <c r="L2188" s="66"/>
      <c r="M2188" s="79" t="str">
        <f>HYPERLINK("http://www.pristavka.com/catalog/funko/Fun79812/")</f>
        <v>http://www.pristavka.com/catalog/funko/Fun79812/</v>
      </c>
      <c r="N2188" s="71">
        <v>9999</v>
      </c>
      <c r="O2188" s="66" t="s">
        <v>27</v>
      </c>
      <c r="P2188" s="82" t="s">
        <v>8554</v>
      </c>
      <c r="Q2188" s="84" t="s">
        <v>1594</v>
      </c>
      <c r="R2188" s="84" t="s">
        <v>1075</v>
      </c>
      <c r="S2188" s="84">
        <v>0.17399999999999999</v>
      </c>
      <c r="T2188" s="82" t="s">
        <v>4113</v>
      </c>
      <c r="U2188" s="84" t="s">
        <v>3584</v>
      </c>
      <c r="V2188" s="54"/>
    </row>
    <row r="2189" spans="1:22" s="11" customFormat="1" ht="45" customHeight="1" x14ac:dyDescent="0.2">
      <c r="A2189" s="66" t="s">
        <v>3577</v>
      </c>
      <c r="B2189" s="66" t="s">
        <v>1707</v>
      </c>
      <c r="C2189" s="66" t="s">
        <v>3578</v>
      </c>
      <c r="D2189" s="66">
        <v>83834</v>
      </c>
      <c r="E2189" s="68" t="s">
        <v>8555</v>
      </c>
      <c r="F2189" s="66" t="s">
        <v>8556</v>
      </c>
      <c r="G2189" s="71">
        <v>6500</v>
      </c>
      <c r="H2189" s="73"/>
      <c r="I2189" s="75">
        <v>0.1</v>
      </c>
      <c r="J2189" s="77"/>
      <c r="K2189" s="66"/>
      <c r="L2189" s="66"/>
      <c r="M2189" s="79" t="str">
        <f>HYPERLINK("http://www.pristavka.com/catalog/funko/Fun83834/")</f>
        <v>http://www.pristavka.com/catalog/funko/Fun83834/</v>
      </c>
      <c r="N2189" s="71">
        <v>9999</v>
      </c>
      <c r="O2189" s="66" t="s">
        <v>27</v>
      </c>
      <c r="P2189" s="82" t="s">
        <v>8557</v>
      </c>
      <c r="Q2189" s="84" t="s">
        <v>1594</v>
      </c>
      <c r="R2189" s="84" t="s">
        <v>1075</v>
      </c>
      <c r="S2189" s="84">
        <v>0.125</v>
      </c>
      <c r="T2189" s="82" t="s">
        <v>4113</v>
      </c>
      <c r="U2189" s="84" t="s">
        <v>3584</v>
      </c>
      <c r="V2189" s="54"/>
    </row>
    <row r="2190" spans="1:22" s="11" customFormat="1" ht="45" customHeight="1" x14ac:dyDescent="0.2">
      <c r="A2190" s="66" t="s">
        <v>3577</v>
      </c>
      <c r="B2190" s="66" t="s">
        <v>1707</v>
      </c>
      <c r="C2190" s="66" t="s">
        <v>3578</v>
      </c>
      <c r="D2190" s="66">
        <v>64043</v>
      </c>
      <c r="E2190" s="68" t="s">
        <v>8558</v>
      </c>
      <c r="F2190" s="66" t="s">
        <v>8559</v>
      </c>
      <c r="G2190" s="71">
        <v>6500</v>
      </c>
      <c r="H2190" s="73"/>
      <c r="I2190" s="75">
        <v>0.1</v>
      </c>
      <c r="J2190" s="77"/>
      <c r="K2190" s="66"/>
      <c r="L2190" s="66"/>
      <c r="M2190" s="79" t="str">
        <f>HYPERLINK("http://www.pristavka.com/catalog/funko/Fun64043/")</f>
        <v>http://www.pristavka.com/catalog/funko/Fun64043/</v>
      </c>
      <c r="N2190" s="71">
        <v>9999</v>
      </c>
      <c r="O2190" s="66" t="s">
        <v>27</v>
      </c>
      <c r="P2190" s="82" t="s">
        <v>8560</v>
      </c>
      <c r="Q2190" s="84" t="s">
        <v>2696</v>
      </c>
      <c r="R2190" s="84" t="s">
        <v>1075</v>
      </c>
      <c r="S2190" s="84">
        <v>0.13700000000000001</v>
      </c>
      <c r="T2190" s="82" t="s">
        <v>4558</v>
      </c>
      <c r="U2190" s="84" t="s">
        <v>3584</v>
      </c>
      <c r="V2190" s="54"/>
    </row>
    <row r="2191" spans="1:22" s="11" customFormat="1" ht="45" customHeight="1" x14ac:dyDescent="0.2">
      <c r="A2191" s="66" t="s">
        <v>3577</v>
      </c>
      <c r="B2191" s="66" t="s">
        <v>1707</v>
      </c>
      <c r="C2191" s="66" t="s">
        <v>3578</v>
      </c>
      <c r="D2191" s="66">
        <v>72578</v>
      </c>
      <c r="E2191" s="68" t="s">
        <v>8561</v>
      </c>
      <c r="F2191" s="66" t="s">
        <v>8562</v>
      </c>
      <c r="G2191" s="71">
        <v>6500</v>
      </c>
      <c r="H2191" s="73"/>
      <c r="I2191" s="75">
        <v>0.1</v>
      </c>
      <c r="J2191" s="77"/>
      <c r="K2191" s="66"/>
      <c r="L2191" s="66"/>
      <c r="M2191" s="79" t="str">
        <f>HYPERLINK("http://www.pristavka.com/catalog/funko/Fun72578/")</f>
        <v>http://www.pristavka.com/catalog/funko/Fun72578/</v>
      </c>
      <c r="N2191" s="71">
        <v>9999</v>
      </c>
      <c r="O2191" s="66" t="s">
        <v>28</v>
      </c>
      <c r="P2191" s="82" t="s">
        <v>8563</v>
      </c>
      <c r="Q2191" s="84" t="s">
        <v>2696</v>
      </c>
      <c r="R2191" s="84" t="s">
        <v>1075</v>
      </c>
      <c r="S2191" s="84">
        <v>0.14199999999999999</v>
      </c>
      <c r="T2191" s="82" t="s">
        <v>4165</v>
      </c>
      <c r="U2191" s="84" t="s">
        <v>3584</v>
      </c>
      <c r="V2191" s="54"/>
    </row>
    <row r="2192" spans="1:22" s="11" customFormat="1" ht="45" customHeight="1" x14ac:dyDescent="0.2">
      <c r="A2192" s="66" t="s">
        <v>3577</v>
      </c>
      <c r="B2192" s="66" t="s">
        <v>1707</v>
      </c>
      <c r="C2192" s="66" t="s">
        <v>3578</v>
      </c>
      <c r="D2192" s="66">
        <v>85963</v>
      </c>
      <c r="E2192" s="68" t="s">
        <v>8564</v>
      </c>
      <c r="F2192" s="66" t="s">
        <v>8565</v>
      </c>
      <c r="G2192" s="71">
        <v>6500</v>
      </c>
      <c r="H2192" s="73"/>
      <c r="I2192" s="75">
        <v>0.1</v>
      </c>
      <c r="J2192" s="77"/>
      <c r="K2192" s="66"/>
      <c r="L2192" s="66"/>
      <c r="M2192" s="79" t="str">
        <f>HYPERLINK("http://www.pristavka.com/catalog/funko/Fun85963/")</f>
        <v>http://www.pristavka.com/catalog/funko/Fun85963/</v>
      </c>
      <c r="N2192" s="71">
        <v>9999</v>
      </c>
      <c r="O2192" s="66" t="s">
        <v>27</v>
      </c>
      <c r="P2192" s="82" t="s">
        <v>8566</v>
      </c>
      <c r="Q2192" s="84" t="s">
        <v>2696</v>
      </c>
      <c r="R2192" s="84" t="s">
        <v>1075</v>
      </c>
      <c r="S2192" s="84">
        <v>0.17</v>
      </c>
      <c r="T2192" s="82" t="s">
        <v>4370</v>
      </c>
      <c r="U2192" s="84" t="s">
        <v>3584</v>
      </c>
      <c r="V2192" s="54"/>
    </row>
    <row r="2193" spans="1:22" s="11" customFormat="1" ht="45" customHeight="1" x14ac:dyDescent="0.2">
      <c r="A2193" s="66" t="s">
        <v>3577</v>
      </c>
      <c r="B2193" s="66" t="s">
        <v>1707</v>
      </c>
      <c r="C2193" s="66" t="s">
        <v>3578</v>
      </c>
      <c r="D2193" s="66">
        <v>85964</v>
      </c>
      <c r="E2193" s="68" t="s">
        <v>8567</v>
      </c>
      <c r="F2193" s="66" t="s">
        <v>8568</v>
      </c>
      <c r="G2193" s="71">
        <v>6500</v>
      </c>
      <c r="H2193" s="73"/>
      <c r="I2193" s="75">
        <v>0.1</v>
      </c>
      <c r="J2193" s="77"/>
      <c r="K2193" s="66"/>
      <c r="L2193" s="66"/>
      <c r="M2193" s="79" t="str">
        <f>HYPERLINK("http://www.pristavka.com/catalog/funko/Fun85964/")</f>
        <v>http://www.pristavka.com/catalog/funko/Fun85964/</v>
      </c>
      <c r="N2193" s="71">
        <v>9999</v>
      </c>
      <c r="O2193" s="66" t="s">
        <v>27</v>
      </c>
      <c r="P2193" s="82" t="s">
        <v>8569</v>
      </c>
      <c r="Q2193" s="84" t="s">
        <v>2696</v>
      </c>
      <c r="R2193" s="84" t="s">
        <v>1075</v>
      </c>
      <c r="S2193" s="84">
        <v>0.16200000000000001</v>
      </c>
      <c r="T2193" s="82" t="s">
        <v>4091</v>
      </c>
      <c r="U2193" s="84" t="s">
        <v>3584</v>
      </c>
      <c r="V2193" s="54"/>
    </row>
    <row r="2194" spans="1:22" s="11" customFormat="1" ht="45" customHeight="1" x14ac:dyDescent="0.2">
      <c r="A2194" s="66" t="s">
        <v>3577</v>
      </c>
      <c r="B2194" s="66" t="s">
        <v>1707</v>
      </c>
      <c r="C2194" s="66" t="s">
        <v>3578</v>
      </c>
      <c r="D2194" s="66">
        <v>85965</v>
      </c>
      <c r="E2194" s="68" t="s">
        <v>8570</v>
      </c>
      <c r="F2194" s="66" t="s">
        <v>8571</v>
      </c>
      <c r="G2194" s="71">
        <v>6500</v>
      </c>
      <c r="H2194" s="73"/>
      <c r="I2194" s="75">
        <v>0.1</v>
      </c>
      <c r="J2194" s="77"/>
      <c r="K2194" s="66"/>
      <c r="L2194" s="66"/>
      <c r="M2194" s="79" t="str">
        <f>HYPERLINK("http://www.pristavka.com/catalog/funko/Fun85965/")</f>
        <v>http://www.pristavka.com/catalog/funko/Fun85965/</v>
      </c>
      <c r="N2194" s="71">
        <v>9999</v>
      </c>
      <c r="O2194" s="66" t="s">
        <v>27</v>
      </c>
      <c r="P2194" s="82" t="s">
        <v>8572</v>
      </c>
      <c r="Q2194" s="84" t="s">
        <v>2696</v>
      </c>
      <c r="R2194" s="84" t="s">
        <v>1075</v>
      </c>
      <c r="S2194" s="84">
        <v>0.17399999999999999</v>
      </c>
      <c r="T2194" s="82" t="s">
        <v>4113</v>
      </c>
      <c r="U2194" s="84" t="s">
        <v>3584</v>
      </c>
      <c r="V2194" s="54"/>
    </row>
    <row r="2195" spans="1:22" s="11" customFormat="1" ht="45" customHeight="1" x14ac:dyDescent="0.2">
      <c r="A2195" s="66" t="s">
        <v>3577</v>
      </c>
      <c r="B2195" s="66" t="s">
        <v>1707</v>
      </c>
      <c r="C2195" s="66" t="s">
        <v>3578</v>
      </c>
      <c r="D2195" s="66">
        <v>85966</v>
      </c>
      <c r="E2195" s="68" t="s">
        <v>8573</v>
      </c>
      <c r="F2195" s="66" t="s">
        <v>8574</v>
      </c>
      <c r="G2195" s="71">
        <v>6500</v>
      </c>
      <c r="H2195" s="73"/>
      <c r="I2195" s="75">
        <v>0.1</v>
      </c>
      <c r="J2195" s="77"/>
      <c r="K2195" s="66"/>
      <c r="L2195" s="66"/>
      <c r="M2195" s="79" t="str">
        <f>HYPERLINK("http://www.pristavka.com/catalog/funko/Fun85966/")</f>
        <v>http://www.pristavka.com/catalog/funko/Fun85966/</v>
      </c>
      <c r="N2195" s="71">
        <v>9999</v>
      </c>
      <c r="O2195" s="66" t="s">
        <v>27</v>
      </c>
      <c r="P2195" s="82" t="s">
        <v>8575</v>
      </c>
      <c r="Q2195" s="84" t="s">
        <v>2696</v>
      </c>
      <c r="R2195" s="84" t="s">
        <v>1075</v>
      </c>
      <c r="S2195" s="84">
        <v>0.19</v>
      </c>
      <c r="T2195" s="82" t="s">
        <v>4084</v>
      </c>
      <c r="U2195" s="84" t="s">
        <v>3584</v>
      </c>
      <c r="V2195" s="54"/>
    </row>
    <row r="2196" spans="1:22" s="11" customFormat="1" ht="45" customHeight="1" x14ac:dyDescent="0.2">
      <c r="A2196" s="66" t="s">
        <v>3577</v>
      </c>
      <c r="B2196" s="66" t="s">
        <v>1707</v>
      </c>
      <c r="C2196" s="66" t="s">
        <v>3578</v>
      </c>
      <c r="D2196" s="66">
        <v>85967</v>
      </c>
      <c r="E2196" s="68" t="s">
        <v>8576</v>
      </c>
      <c r="F2196" s="66" t="s">
        <v>8577</v>
      </c>
      <c r="G2196" s="71">
        <v>6500</v>
      </c>
      <c r="H2196" s="73"/>
      <c r="I2196" s="75">
        <v>0.1</v>
      </c>
      <c r="J2196" s="77"/>
      <c r="K2196" s="66"/>
      <c r="L2196" s="66"/>
      <c r="M2196" s="79" t="str">
        <f>HYPERLINK("http://www.pristavka.com/catalog/funko/Fun85967/")</f>
        <v>http://www.pristavka.com/catalog/funko/Fun85967/</v>
      </c>
      <c r="N2196" s="71">
        <v>9999</v>
      </c>
      <c r="O2196" s="66" t="s">
        <v>27</v>
      </c>
      <c r="P2196" s="82" t="s">
        <v>8578</v>
      </c>
      <c r="Q2196" s="84" t="s">
        <v>2696</v>
      </c>
      <c r="R2196" s="84" t="s">
        <v>1075</v>
      </c>
      <c r="S2196" s="84">
        <v>0.19600000000000001</v>
      </c>
      <c r="T2196" s="82" t="s">
        <v>4370</v>
      </c>
      <c r="U2196" s="84" t="s">
        <v>3584</v>
      </c>
      <c r="V2196" s="54"/>
    </row>
    <row r="2197" spans="1:22" s="11" customFormat="1" ht="45" customHeight="1" x14ac:dyDescent="0.2">
      <c r="A2197" s="66" t="s">
        <v>3577</v>
      </c>
      <c r="B2197" s="66" t="s">
        <v>1707</v>
      </c>
      <c r="C2197" s="66" t="s">
        <v>3578</v>
      </c>
      <c r="D2197" s="66">
        <v>85968</v>
      </c>
      <c r="E2197" s="68" t="s">
        <v>8579</v>
      </c>
      <c r="F2197" s="66" t="s">
        <v>8580</v>
      </c>
      <c r="G2197" s="71">
        <v>6500</v>
      </c>
      <c r="H2197" s="73"/>
      <c r="I2197" s="75">
        <v>0.1</v>
      </c>
      <c r="J2197" s="77"/>
      <c r="K2197" s="66"/>
      <c r="L2197" s="66"/>
      <c r="M2197" s="79" t="str">
        <f>HYPERLINK("http://www.pristavka.com/catalog/funko/Fun85968/")</f>
        <v>http://www.pristavka.com/catalog/funko/Fun85968/</v>
      </c>
      <c r="N2197" s="71">
        <v>9999</v>
      </c>
      <c r="O2197" s="66" t="s">
        <v>27</v>
      </c>
      <c r="P2197" s="82" t="s">
        <v>8581</v>
      </c>
      <c r="Q2197" s="84" t="s">
        <v>2696</v>
      </c>
      <c r="R2197" s="84" t="s">
        <v>1075</v>
      </c>
      <c r="S2197" s="84">
        <v>0.16200000000000001</v>
      </c>
      <c r="T2197" s="82" t="s">
        <v>4113</v>
      </c>
      <c r="U2197" s="84" t="s">
        <v>3584</v>
      </c>
      <c r="V2197" s="54"/>
    </row>
    <row r="2198" spans="1:22" s="11" customFormat="1" ht="45" customHeight="1" x14ac:dyDescent="0.2">
      <c r="A2198" s="66" t="s">
        <v>3577</v>
      </c>
      <c r="B2198" s="66" t="s">
        <v>1707</v>
      </c>
      <c r="C2198" s="66" t="s">
        <v>3578</v>
      </c>
      <c r="D2198" s="66">
        <v>85969</v>
      </c>
      <c r="E2198" s="68" t="s">
        <v>8582</v>
      </c>
      <c r="F2198" s="66" t="s">
        <v>8583</v>
      </c>
      <c r="G2198" s="71">
        <v>6500</v>
      </c>
      <c r="H2198" s="73"/>
      <c r="I2198" s="75">
        <v>0.1</v>
      </c>
      <c r="J2198" s="77"/>
      <c r="K2198" s="66"/>
      <c r="L2198" s="66"/>
      <c r="M2198" s="79" t="str">
        <f>HYPERLINK("http://www.pristavka.com/catalog/funko/Fun85969/")</f>
        <v>http://www.pristavka.com/catalog/funko/Fun85969/</v>
      </c>
      <c r="N2198" s="71">
        <v>9999</v>
      </c>
      <c r="O2198" s="66" t="s">
        <v>27</v>
      </c>
      <c r="P2198" s="82" t="s">
        <v>8584</v>
      </c>
      <c r="Q2198" s="84" t="s">
        <v>2696</v>
      </c>
      <c r="R2198" s="84" t="s">
        <v>1075</v>
      </c>
      <c r="S2198" s="84">
        <v>0.2</v>
      </c>
      <c r="T2198" s="82" t="s">
        <v>4091</v>
      </c>
      <c r="U2198" s="84" t="s">
        <v>3584</v>
      </c>
      <c r="V2198" s="54"/>
    </row>
    <row r="2199" spans="1:22" s="11" customFormat="1" ht="45" customHeight="1" x14ac:dyDescent="0.2">
      <c r="A2199" s="66" t="s">
        <v>3577</v>
      </c>
      <c r="B2199" s="66" t="s">
        <v>1707</v>
      </c>
      <c r="C2199" s="66" t="s">
        <v>3578</v>
      </c>
      <c r="D2199" s="66">
        <v>79704</v>
      </c>
      <c r="E2199" s="68" t="s">
        <v>8585</v>
      </c>
      <c r="F2199" s="66" t="s">
        <v>8586</v>
      </c>
      <c r="G2199" s="71">
        <v>6500</v>
      </c>
      <c r="H2199" s="73"/>
      <c r="I2199" s="75">
        <v>0.1</v>
      </c>
      <c r="J2199" s="77"/>
      <c r="K2199" s="66"/>
      <c r="L2199" s="66"/>
      <c r="M2199" s="79" t="str">
        <f>HYPERLINK("http://www.pristavka.com/catalog/funko/Fun79704/")</f>
        <v>http://www.pristavka.com/catalog/funko/Fun79704/</v>
      </c>
      <c r="N2199" s="71">
        <v>9999</v>
      </c>
      <c r="O2199" s="66" t="s">
        <v>27</v>
      </c>
      <c r="P2199" s="82" t="s">
        <v>8587</v>
      </c>
      <c r="Q2199" s="84" t="s">
        <v>1075</v>
      </c>
      <c r="R2199" s="84" t="s">
        <v>1075</v>
      </c>
      <c r="S2199" s="84">
        <v>0.13800000000000001</v>
      </c>
      <c r="T2199" s="82" t="s">
        <v>4084</v>
      </c>
      <c r="U2199" s="84" t="s">
        <v>3584</v>
      </c>
      <c r="V2199" s="54"/>
    </row>
    <row r="2200" spans="1:22" s="11" customFormat="1" ht="45" customHeight="1" x14ac:dyDescent="0.2">
      <c r="A2200" s="66" t="s">
        <v>3577</v>
      </c>
      <c r="B2200" s="66" t="s">
        <v>1707</v>
      </c>
      <c r="C2200" s="66" t="s">
        <v>3578</v>
      </c>
      <c r="D2200" s="66">
        <v>75275</v>
      </c>
      <c r="E2200" s="68" t="s">
        <v>8588</v>
      </c>
      <c r="F2200" s="66" t="s">
        <v>8589</v>
      </c>
      <c r="G2200" s="71">
        <v>6500</v>
      </c>
      <c r="H2200" s="73"/>
      <c r="I2200" s="75">
        <v>0.1</v>
      </c>
      <c r="J2200" s="77"/>
      <c r="K2200" s="66"/>
      <c r="L2200" s="66"/>
      <c r="M2200" s="79" t="str">
        <f>HYPERLINK("http://www.pristavka.com/catalog/funko/Fun75275/")</f>
        <v>http://www.pristavka.com/catalog/funko/Fun75275/</v>
      </c>
      <c r="N2200" s="71">
        <v>9999</v>
      </c>
      <c r="O2200" s="66" t="s">
        <v>27</v>
      </c>
      <c r="P2200" s="82" t="s">
        <v>8590</v>
      </c>
      <c r="Q2200" s="84" t="s">
        <v>1075</v>
      </c>
      <c r="R2200" s="84" t="s">
        <v>1075</v>
      </c>
      <c r="S2200" s="84">
        <v>0.14599999999999999</v>
      </c>
      <c r="T2200" s="82" t="s">
        <v>4084</v>
      </c>
      <c r="U2200" s="84" t="s">
        <v>3584</v>
      </c>
      <c r="V2200" s="54"/>
    </row>
    <row r="2201" spans="1:22" s="11" customFormat="1" ht="45" customHeight="1" x14ac:dyDescent="0.2">
      <c r="A2201" s="66" t="s">
        <v>3577</v>
      </c>
      <c r="B2201" s="66" t="s">
        <v>1707</v>
      </c>
      <c r="C2201" s="66" t="s">
        <v>3578</v>
      </c>
      <c r="D2201" s="66">
        <v>85997</v>
      </c>
      <c r="E2201" s="68" t="s">
        <v>8591</v>
      </c>
      <c r="F2201" s="66" t="s">
        <v>8592</v>
      </c>
      <c r="G2201" s="71">
        <v>0</v>
      </c>
      <c r="H2201" s="73"/>
      <c r="I2201" s="75">
        <v>0.1</v>
      </c>
      <c r="J2201" s="77"/>
      <c r="K2201" s="66"/>
      <c r="L2201" s="66"/>
      <c r="M2201" s="79" t="str">
        <f>HYPERLINK("http://www.pristavka.com/catalog/funko/Fun85997/")</f>
        <v>http://www.pristavka.com/catalog/funko/Fun85997/</v>
      </c>
      <c r="N2201" s="71"/>
      <c r="O2201" s="66" t="s">
        <v>27</v>
      </c>
      <c r="P2201" s="82" t="s">
        <v>8593</v>
      </c>
      <c r="Q2201" s="84" t="s">
        <v>1594</v>
      </c>
      <c r="R2201" s="84" t="s">
        <v>1075</v>
      </c>
      <c r="S2201" s="84">
        <v>0.14000000000000001</v>
      </c>
      <c r="T2201" s="82" t="s">
        <v>4113</v>
      </c>
      <c r="U2201" s="84" t="s">
        <v>3584</v>
      </c>
      <c r="V2201" s="54"/>
    </row>
    <row r="2202" spans="1:22" s="11" customFormat="1" ht="45" customHeight="1" x14ac:dyDescent="0.2">
      <c r="A2202" s="66" t="s">
        <v>3577</v>
      </c>
      <c r="B2202" s="66" t="s">
        <v>1707</v>
      </c>
      <c r="C2202" s="66" t="s">
        <v>3578</v>
      </c>
      <c r="D2202" s="66">
        <v>70594</v>
      </c>
      <c r="E2202" s="68" t="s">
        <v>8594</v>
      </c>
      <c r="F2202" s="66" t="s">
        <v>8595</v>
      </c>
      <c r="G2202" s="71">
        <v>6500</v>
      </c>
      <c r="H2202" s="73"/>
      <c r="I2202" s="75">
        <v>0.1</v>
      </c>
      <c r="J2202" s="77"/>
      <c r="K2202" s="66"/>
      <c r="L2202" s="66"/>
      <c r="M2202" s="79" t="str">
        <f>HYPERLINK("http://www.pristavka.com/catalog/funko/Fun70594/")</f>
        <v>http://www.pristavka.com/catalog/funko/Fun70594/</v>
      </c>
      <c r="N2202" s="71">
        <v>9999</v>
      </c>
      <c r="O2202" s="66" t="s">
        <v>27</v>
      </c>
      <c r="P2202" s="82" t="s">
        <v>8596</v>
      </c>
      <c r="Q2202" s="84" t="s">
        <v>1594</v>
      </c>
      <c r="R2202" s="84" t="s">
        <v>1075</v>
      </c>
      <c r="S2202" s="84">
        <v>0.13</v>
      </c>
      <c r="T2202" s="82" t="s">
        <v>4102</v>
      </c>
      <c r="U2202" s="84" t="s">
        <v>3584</v>
      </c>
      <c r="V2202" s="54"/>
    </row>
    <row r="2203" spans="1:22" s="11" customFormat="1" ht="45" customHeight="1" x14ac:dyDescent="0.2">
      <c r="A2203" s="66" t="s">
        <v>3577</v>
      </c>
      <c r="B2203" s="66" t="s">
        <v>1707</v>
      </c>
      <c r="C2203" s="66" t="s">
        <v>3578</v>
      </c>
      <c r="D2203" s="66">
        <v>40140</v>
      </c>
      <c r="E2203" s="68" t="s">
        <v>8597</v>
      </c>
      <c r="F2203" s="66" t="s">
        <v>8598</v>
      </c>
      <c r="G2203" s="71">
        <v>6500</v>
      </c>
      <c r="H2203" s="73"/>
      <c r="I2203" s="75">
        <v>0.1</v>
      </c>
      <c r="J2203" s="77"/>
      <c r="K2203" s="66"/>
      <c r="L2203" s="66"/>
      <c r="M2203" s="79" t="str">
        <f>HYPERLINK("http://www.pristavka.com/catalog/funko/Fun25491021/")</f>
        <v>http://www.pristavka.com/catalog/funko/Fun25491021/</v>
      </c>
      <c r="N2203" s="71">
        <v>9999</v>
      </c>
      <c r="O2203" s="66" t="s">
        <v>27</v>
      </c>
      <c r="P2203" s="82" t="s">
        <v>8599</v>
      </c>
      <c r="Q2203" s="84" t="s">
        <v>1594</v>
      </c>
      <c r="R2203" s="84" t="s">
        <v>1075</v>
      </c>
      <c r="S2203" s="84">
        <v>0.14000000000000001</v>
      </c>
      <c r="T2203" s="82" t="s">
        <v>8158</v>
      </c>
      <c r="U2203" s="84" t="s">
        <v>3584</v>
      </c>
      <c r="V2203" s="54"/>
    </row>
    <row r="2204" spans="1:22" s="11" customFormat="1" ht="45" customHeight="1" x14ac:dyDescent="0.2">
      <c r="A2204" s="66" t="s">
        <v>3577</v>
      </c>
      <c r="B2204" s="66" t="s">
        <v>1707</v>
      </c>
      <c r="C2204" s="66" t="s">
        <v>3578</v>
      </c>
      <c r="D2204" s="66">
        <v>36650</v>
      </c>
      <c r="E2204" s="68" t="s">
        <v>8600</v>
      </c>
      <c r="F2204" s="66" t="s">
        <v>8601</v>
      </c>
      <c r="G2204" s="71">
        <v>6890</v>
      </c>
      <c r="H2204" s="73"/>
      <c r="I2204" s="75">
        <v>0.1</v>
      </c>
      <c r="J2204" s="77"/>
      <c r="K2204" s="66"/>
      <c r="L2204" s="66"/>
      <c r="M2204" s="79" t="str">
        <f>HYPERLINK("http://www.pristavka.com/catalog/funko/Fun2549764/")</f>
        <v>http://www.pristavka.com/catalog/funko/Fun2549764/</v>
      </c>
      <c r="N2204" s="71">
        <v>10599</v>
      </c>
      <c r="O2204" s="66" t="s">
        <v>27</v>
      </c>
      <c r="P2204" s="82" t="s">
        <v>8602</v>
      </c>
      <c r="Q2204" s="84" t="s">
        <v>1594</v>
      </c>
      <c r="R2204" s="84" t="s">
        <v>1075</v>
      </c>
      <c r="S2204" s="84">
        <v>0.13</v>
      </c>
      <c r="T2204" s="82" t="s">
        <v>4102</v>
      </c>
      <c r="U2204" s="84" t="s">
        <v>3584</v>
      </c>
      <c r="V2204" s="54"/>
    </row>
    <row r="2205" spans="1:22" s="11" customFormat="1" ht="45" customHeight="1" x14ac:dyDescent="0.2">
      <c r="A2205" s="66" t="s">
        <v>3577</v>
      </c>
      <c r="B2205" s="66" t="s">
        <v>1707</v>
      </c>
      <c r="C2205" s="66" t="s">
        <v>3578</v>
      </c>
      <c r="D2205" s="66">
        <v>79985</v>
      </c>
      <c r="E2205" s="68" t="s">
        <v>8603</v>
      </c>
      <c r="F2205" s="66" t="s">
        <v>8604</v>
      </c>
      <c r="G2205" s="71">
        <v>6500</v>
      </c>
      <c r="H2205" s="73"/>
      <c r="I2205" s="75">
        <v>0.1</v>
      </c>
      <c r="J2205" s="77"/>
      <c r="K2205" s="66"/>
      <c r="L2205" s="66"/>
      <c r="M2205" s="79" t="str">
        <f>HYPERLINK("http://www.pristavka.com/catalog/funko/Fun79985/")</f>
        <v>http://www.pristavka.com/catalog/funko/Fun79985/</v>
      </c>
      <c r="N2205" s="71">
        <v>9999</v>
      </c>
      <c r="O2205" s="66" t="s">
        <v>27</v>
      </c>
      <c r="P2205" s="82" t="s">
        <v>8605</v>
      </c>
      <c r="Q2205" s="84" t="s">
        <v>1594</v>
      </c>
      <c r="R2205" s="84" t="s">
        <v>1075</v>
      </c>
      <c r="S2205" s="84">
        <v>0.156</v>
      </c>
      <c r="T2205" s="82" t="s">
        <v>4746</v>
      </c>
      <c r="U2205" s="84" t="s">
        <v>3584</v>
      </c>
      <c r="V2205" s="54"/>
    </row>
    <row r="2206" spans="1:22" s="11" customFormat="1" ht="45" customHeight="1" x14ac:dyDescent="0.2">
      <c r="A2206" s="66" t="s">
        <v>3577</v>
      </c>
      <c r="B2206" s="66" t="s">
        <v>1707</v>
      </c>
      <c r="C2206" s="66" t="s">
        <v>3578</v>
      </c>
      <c r="D2206" s="66">
        <v>83837</v>
      </c>
      <c r="E2206" s="68" t="s">
        <v>8606</v>
      </c>
      <c r="F2206" s="66" t="s">
        <v>8607</v>
      </c>
      <c r="G2206" s="71">
        <v>6500</v>
      </c>
      <c r="H2206" s="73"/>
      <c r="I2206" s="75">
        <v>0.1</v>
      </c>
      <c r="J2206" s="77"/>
      <c r="K2206" s="66"/>
      <c r="L2206" s="66"/>
      <c r="M2206" s="79" t="str">
        <f>HYPERLINK("http://www.pristavka.com/catalog/funko/Fun83837/")</f>
        <v>http://www.pristavka.com/catalog/funko/Fun83837/</v>
      </c>
      <c r="N2206" s="71">
        <v>9999</v>
      </c>
      <c r="O2206" s="66" t="s">
        <v>27</v>
      </c>
      <c r="P2206" s="82" t="s">
        <v>8608</v>
      </c>
      <c r="Q2206" s="84" t="s">
        <v>1075</v>
      </c>
      <c r="R2206" s="84" t="s">
        <v>1075</v>
      </c>
      <c r="S2206" s="84">
        <v>0.14000000000000001</v>
      </c>
      <c r="T2206" s="82" t="s">
        <v>4113</v>
      </c>
      <c r="U2206" s="84" t="s">
        <v>3584</v>
      </c>
      <c r="V2206" s="54"/>
    </row>
    <row r="2207" spans="1:22" s="11" customFormat="1" ht="45" customHeight="1" x14ac:dyDescent="0.2">
      <c r="A2207" s="66" t="s">
        <v>3577</v>
      </c>
      <c r="B2207" s="66" t="s">
        <v>1707</v>
      </c>
      <c r="C2207" s="66" t="s">
        <v>3578</v>
      </c>
      <c r="D2207" s="66">
        <v>72565</v>
      </c>
      <c r="E2207" s="68" t="s">
        <v>8609</v>
      </c>
      <c r="F2207" s="66" t="s">
        <v>8610</v>
      </c>
      <c r="G2207" s="71">
        <v>0</v>
      </c>
      <c r="H2207" s="73"/>
      <c r="I2207" s="75">
        <v>0.1</v>
      </c>
      <c r="J2207" s="77"/>
      <c r="K2207" s="66"/>
      <c r="L2207" s="66"/>
      <c r="M2207" s="79" t="str">
        <f>HYPERLINK("http://www.pristavka.com/catalog/funko/Fun72565/")</f>
        <v>http://www.pristavka.com/catalog/funko/Fun72565/</v>
      </c>
      <c r="N2207" s="71"/>
      <c r="O2207" s="66" t="s">
        <v>27</v>
      </c>
      <c r="P2207" s="82" t="s">
        <v>8611</v>
      </c>
      <c r="Q2207" s="84" t="s">
        <v>1594</v>
      </c>
      <c r="R2207" s="84" t="s">
        <v>1075</v>
      </c>
      <c r="S2207" s="84">
        <v>0.99</v>
      </c>
      <c r="T2207" s="82" t="s">
        <v>4084</v>
      </c>
      <c r="U2207" s="84" t="s">
        <v>3584</v>
      </c>
      <c r="V2207" s="54"/>
    </row>
    <row r="2208" spans="1:22" s="11" customFormat="1" ht="45" customHeight="1" x14ac:dyDescent="0.2">
      <c r="A2208" s="66" t="s">
        <v>3577</v>
      </c>
      <c r="B2208" s="66" t="s">
        <v>1707</v>
      </c>
      <c r="C2208" s="66" t="s">
        <v>3578</v>
      </c>
      <c r="D2208" s="66">
        <v>80482</v>
      </c>
      <c r="E2208" s="68" t="s">
        <v>8612</v>
      </c>
      <c r="F2208" s="66" t="s">
        <v>8613</v>
      </c>
      <c r="G2208" s="71">
        <v>6500</v>
      </c>
      <c r="H2208" s="73"/>
      <c r="I2208" s="75">
        <v>0.1</v>
      </c>
      <c r="J2208" s="77"/>
      <c r="K2208" s="66"/>
      <c r="L2208" s="66"/>
      <c r="M2208" s="79" t="str">
        <f>HYPERLINK("http://www.pristavka.com/catalog/funko/Fun80482/")</f>
        <v>http://www.pristavka.com/catalog/funko/Fun80482/</v>
      </c>
      <c r="N2208" s="71">
        <v>9999</v>
      </c>
      <c r="O2208" s="66" t="s">
        <v>27</v>
      </c>
      <c r="P2208" s="82" t="s">
        <v>8614</v>
      </c>
      <c r="Q2208" s="84" t="s">
        <v>1594</v>
      </c>
      <c r="R2208" s="84" t="s">
        <v>1075</v>
      </c>
      <c r="S2208" s="84">
        <v>0.13400000000000001</v>
      </c>
      <c r="T2208" s="82" t="s">
        <v>4113</v>
      </c>
      <c r="U2208" s="84" t="s">
        <v>3584</v>
      </c>
      <c r="V2208" s="54"/>
    </row>
    <row r="2209" spans="1:22" s="11" customFormat="1" ht="45" customHeight="1" x14ac:dyDescent="0.2">
      <c r="A2209" s="66" t="s">
        <v>3577</v>
      </c>
      <c r="B2209" s="66" t="s">
        <v>1707</v>
      </c>
      <c r="C2209" s="66" t="s">
        <v>3578</v>
      </c>
      <c r="D2209" s="66">
        <v>80483</v>
      </c>
      <c r="E2209" s="68" t="s">
        <v>8615</v>
      </c>
      <c r="F2209" s="66" t="s">
        <v>8616</v>
      </c>
      <c r="G2209" s="71">
        <v>6500</v>
      </c>
      <c r="H2209" s="73"/>
      <c r="I2209" s="75">
        <v>0.1</v>
      </c>
      <c r="J2209" s="77"/>
      <c r="K2209" s="66"/>
      <c r="L2209" s="66"/>
      <c r="M2209" s="79" t="str">
        <f>HYPERLINK("http://www.pristavka.com/catalog/funko/Fun80483/")</f>
        <v>http://www.pristavka.com/catalog/funko/Fun80483/</v>
      </c>
      <c r="N2209" s="71">
        <v>9999</v>
      </c>
      <c r="O2209" s="66" t="s">
        <v>27</v>
      </c>
      <c r="P2209" s="82" t="s">
        <v>8617</v>
      </c>
      <c r="Q2209" s="84" t="s">
        <v>1594</v>
      </c>
      <c r="R2209" s="84" t="s">
        <v>1075</v>
      </c>
      <c r="S2209" s="84">
        <v>0.14000000000000001</v>
      </c>
      <c r="T2209" s="82" t="s">
        <v>4084</v>
      </c>
      <c r="U2209" s="84" t="s">
        <v>3584</v>
      </c>
      <c r="V2209" s="54"/>
    </row>
    <row r="2210" spans="1:22" s="11" customFormat="1" ht="45" customHeight="1" x14ac:dyDescent="0.2">
      <c r="A2210" s="66" t="s">
        <v>3577</v>
      </c>
      <c r="B2210" s="66" t="s">
        <v>1707</v>
      </c>
      <c r="C2210" s="66" t="s">
        <v>3578</v>
      </c>
      <c r="D2210" s="66">
        <v>80484</v>
      </c>
      <c r="E2210" s="68" t="s">
        <v>8618</v>
      </c>
      <c r="F2210" s="66" t="s">
        <v>8619</v>
      </c>
      <c r="G2210" s="71">
        <v>6500</v>
      </c>
      <c r="H2210" s="73"/>
      <c r="I2210" s="75">
        <v>0.1</v>
      </c>
      <c r="J2210" s="77"/>
      <c r="K2210" s="66"/>
      <c r="L2210" s="66"/>
      <c r="M2210" s="79" t="str">
        <f>HYPERLINK("http://www.pristavka.com/catalog/funko/Fun80484/")</f>
        <v>http://www.pristavka.com/catalog/funko/Fun80484/</v>
      </c>
      <c r="N2210" s="71">
        <v>9999</v>
      </c>
      <c r="O2210" s="66" t="s">
        <v>27</v>
      </c>
      <c r="P2210" s="82" t="s">
        <v>8620</v>
      </c>
      <c r="Q2210" s="84" t="s">
        <v>1594</v>
      </c>
      <c r="R2210" s="84" t="s">
        <v>1075</v>
      </c>
      <c r="S2210" s="84">
        <v>0.19800000000000001</v>
      </c>
      <c r="T2210" s="82" t="s">
        <v>4113</v>
      </c>
      <c r="U2210" s="84" t="s">
        <v>3584</v>
      </c>
      <c r="V2210" s="54"/>
    </row>
    <row r="2211" spans="1:22" s="11" customFormat="1" ht="45" customHeight="1" x14ac:dyDescent="0.2">
      <c r="A2211" s="66" t="s">
        <v>3577</v>
      </c>
      <c r="B2211" s="66" t="s">
        <v>1707</v>
      </c>
      <c r="C2211" s="66" t="s">
        <v>3578</v>
      </c>
      <c r="D2211" s="66">
        <v>87796</v>
      </c>
      <c r="E2211" s="68" t="s">
        <v>8621</v>
      </c>
      <c r="F2211" s="66" t="s">
        <v>8622</v>
      </c>
      <c r="G2211" s="71">
        <v>6500</v>
      </c>
      <c r="H2211" s="73"/>
      <c r="I2211" s="75">
        <v>0.1</v>
      </c>
      <c r="J2211" s="77"/>
      <c r="K2211" s="66"/>
      <c r="L2211" s="66"/>
      <c r="M2211" s="79" t="str">
        <f>HYPERLINK("http://www.pristavka.com/catalog/funko/Fun87796/")</f>
        <v>http://www.pristavka.com/catalog/funko/Fun87796/</v>
      </c>
      <c r="N2211" s="71">
        <v>9999</v>
      </c>
      <c r="O2211" s="66" t="s">
        <v>27</v>
      </c>
      <c r="P2211" s="82" t="s">
        <v>8623</v>
      </c>
      <c r="Q2211" s="84" t="s">
        <v>1594</v>
      </c>
      <c r="R2211" s="84" t="s">
        <v>1075</v>
      </c>
      <c r="S2211" s="84">
        <v>0.14000000000000001</v>
      </c>
      <c r="T2211" s="82" t="s">
        <v>4113</v>
      </c>
      <c r="U2211" s="84" t="s">
        <v>3584</v>
      </c>
      <c r="V2211" s="54"/>
    </row>
    <row r="2212" spans="1:22" s="11" customFormat="1" ht="45" customHeight="1" x14ac:dyDescent="0.2">
      <c r="A2212" s="66" t="s">
        <v>3577</v>
      </c>
      <c r="B2212" s="66" t="s">
        <v>1707</v>
      </c>
      <c r="C2212" s="66" t="s">
        <v>3578</v>
      </c>
      <c r="D2212" s="66">
        <v>80487</v>
      </c>
      <c r="E2212" s="68" t="s">
        <v>8624</v>
      </c>
      <c r="F2212" s="66" t="s">
        <v>8625</v>
      </c>
      <c r="G2212" s="71">
        <v>0</v>
      </c>
      <c r="H2212" s="73"/>
      <c r="I2212" s="75">
        <v>0.1</v>
      </c>
      <c r="J2212" s="77"/>
      <c r="K2212" s="66"/>
      <c r="L2212" s="66"/>
      <c r="M2212" s="79" t="str">
        <f>HYPERLINK("http://www.pristavka.com/catalog/funko/Fun80487/")</f>
        <v>http://www.pristavka.com/catalog/funko/Fun80487/</v>
      </c>
      <c r="N2212" s="71"/>
      <c r="O2212" s="66" t="s">
        <v>27</v>
      </c>
      <c r="P2212" s="82" t="s">
        <v>8626</v>
      </c>
      <c r="Q2212" s="84" t="s">
        <v>1594</v>
      </c>
      <c r="R2212" s="84" t="s">
        <v>1075</v>
      </c>
      <c r="S2212" s="84">
        <v>0.13200000000000001</v>
      </c>
      <c r="T2212" s="82" t="s">
        <v>4084</v>
      </c>
      <c r="U2212" s="84" t="s">
        <v>3584</v>
      </c>
      <c r="V2212" s="54"/>
    </row>
    <row r="2213" spans="1:22" s="11" customFormat="1" ht="45" customHeight="1" x14ac:dyDescent="0.2">
      <c r="A2213" s="66" t="s">
        <v>3577</v>
      </c>
      <c r="B2213" s="66" t="s">
        <v>1707</v>
      </c>
      <c r="C2213" s="66" t="s">
        <v>3578</v>
      </c>
      <c r="D2213" s="66">
        <v>80489</v>
      </c>
      <c r="E2213" s="68" t="s">
        <v>8627</v>
      </c>
      <c r="F2213" s="66" t="s">
        <v>8628</v>
      </c>
      <c r="G2213" s="71">
        <v>0</v>
      </c>
      <c r="H2213" s="73"/>
      <c r="I2213" s="75">
        <v>0.1</v>
      </c>
      <c r="J2213" s="77"/>
      <c r="K2213" s="66"/>
      <c r="L2213" s="66"/>
      <c r="M2213" s="79" t="str">
        <f>HYPERLINK("http://www.pristavka.com/catalog/funko/Fun80489/")</f>
        <v>http://www.pristavka.com/catalog/funko/Fun80489/</v>
      </c>
      <c r="N2213" s="71"/>
      <c r="O2213" s="66" t="s">
        <v>27</v>
      </c>
      <c r="P2213" s="82" t="s">
        <v>8629</v>
      </c>
      <c r="Q2213" s="84" t="s">
        <v>1594</v>
      </c>
      <c r="R2213" s="84" t="s">
        <v>1075</v>
      </c>
      <c r="S2213" s="84">
        <v>0.41599999999999998</v>
      </c>
      <c r="T2213" s="82" t="s">
        <v>8630</v>
      </c>
      <c r="U2213" s="84" t="s">
        <v>3584</v>
      </c>
      <c r="V2213" s="54"/>
    </row>
    <row r="2214" spans="1:22" s="11" customFormat="1" ht="45" customHeight="1" x14ac:dyDescent="0.2">
      <c r="A2214" s="66" t="s">
        <v>3577</v>
      </c>
      <c r="B2214" s="66" t="s">
        <v>1707</v>
      </c>
      <c r="C2214" s="66" t="s">
        <v>3578</v>
      </c>
      <c r="D2214" s="66">
        <v>84021</v>
      </c>
      <c r="E2214" s="68" t="s">
        <v>8631</v>
      </c>
      <c r="F2214" s="66" t="s">
        <v>8632</v>
      </c>
      <c r="G2214" s="71">
        <v>0</v>
      </c>
      <c r="H2214" s="73"/>
      <c r="I2214" s="75">
        <v>0.1</v>
      </c>
      <c r="J2214" s="77"/>
      <c r="K2214" s="66"/>
      <c r="L2214" s="66"/>
      <c r="M2214" s="79" t="str">
        <f>HYPERLINK("http://www.pristavka.com/catalog/funko/Fun84021/")</f>
        <v>http://www.pristavka.com/catalog/funko/Fun84021/</v>
      </c>
      <c r="N2214" s="71"/>
      <c r="O2214" s="66" t="s">
        <v>27</v>
      </c>
      <c r="P2214" s="82" t="s">
        <v>8633</v>
      </c>
      <c r="Q2214" s="84" t="s">
        <v>1594</v>
      </c>
      <c r="R2214" s="84" t="s">
        <v>1075</v>
      </c>
      <c r="S2214" s="84">
        <v>0.17199999999999999</v>
      </c>
      <c r="T2214" s="82" t="s">
        <v>4091</v>
      </c>
      <c r="U2214" s="84" t="s">
        <v>3584</v>
      </c>
      <c r="V2214" s="54"/>
    </row>
    <row r="2215" spans="1:22" s="11" customFormat="1" ht="45" customHeight="1" x14ac:dyDescent="0.2">
      <c r="A2215" s="66" t="s">
        <v>3577</v>
      </c>
      <c r="B2215" s="66" t="s">
        <v>1707</v>
      </c>
      <c r="C2215" s="66" t="s">
        <v>3578</v>
      </c>
      <c r="D2215" s="66">
        <v>84022</v>
      </c>
      <c r="E2215" s="68" t="s">
        <v>8634</v>
      </c>
      <c r="F2215" s="66" t="s">
        <v>8635</v>
      </c>
      <c r="G2215" s="71">
        <v>6500</v>
      </c>
      <c r="H2215" s="73"/>
      <c r="I2215" s="75">
        <v>0.1</v>
      </c>
      <c r="J2215" s="77"/>
      <c r="K2215" s="66"/>
      <c r="L2215" s="66"/>
      <c r="M2215" s="79" t="str">
        <f>HYPERLINK("http://www.pristavka.com/catalog/funko/Fun84022/")</f>
        <v>http://www.pristavka.com/catalog/funko/Fun84022/</v>
      </c>
      <c r="N2215" s="71">
        <v>9999</v>
      </c>
      <c r="O2215" s="66" t="s">
        <v>27</v>
      </c>
      <c r="P2215" s="82" t="s">
        <v>8636</v>
      </c>
      <c r="Q2215" s="84" t="s">
        <v>1594</v>
      </c>
      <c r="R2215" s="84" t="s">
        <v>1075</v>
      </c>
      <c r="S2215" s="84">
        <v>0.13500000000000001</v>
      </c>
      <c r="T2215" s="82" t="s">
        <v>4113</v>
      </c>
      <c r="U2215" s="84" t="s">
        <v>3584</v>
      </c>
      <c r="V2215" s="54"/>
    </row>
    <row r="2216" spans="1:22" s="11" customFormat="1" ht="45" customHeight="1" x14ac:dyDescent="0.2">
      <c r="A2216" s="66" t="s">
        <v>3577</v>
      </c>
      <c r="B2216" s="66" t="s">
        <v>1707</v>
      </c>
      <c r="C2216" s="66" t="s">
        <v>3578</v>
      </c>
      <c r="D2216" s="66">
        <v>80488</v>
      </c>
      <c r="E2216" s="68" t="s">
        <v>8637</v>
      </c>
      <c r="F2216" s="66" t="s">
        <v>8638</v>
      </c>
      <c r="G2216" s="71">
        <v>0</v>
      </c>
      <c r="H2216" s="73"/>
      <c r="I2216" s="75">
        <v>0.1</v>
      </c>
      <c r="J2216" s="77"/>
      <c r="K2216" s="66"/>
      <c r="L2216" s="66"/>
      <c r="M2216" s="79" t="str">
        <f>HYPERLINK("http://www.pristavka.com/catalog/funko/Fun80488/")</f>
        <v>http://www.pristavka.com/catalog/funko/Fun80488/</v>
      </c>
      <c r="N2216" s="71"/>
      <c r="O2216" s="66" t="s">
        <v>27</v>
      </c>
      <c r="P2216" s="82" t="s">
        <v>8639</v>
      </c>
      <c r="Q2216" s="84" t="s">
        <v>1594</v>
      </c>
      <c r="R2216" s="84" t="s">
        <v>1075</v>
      </c>
      <c r="S2216" s="84">
        <v>0.186</v>
      </c>
      <c r="T2216" s="82" t="s">
        <v>4084</v>
      </c>
      <c r="U2216" s="84" t="s">
        <v>3584</v>
      </c>
      <c r="V2216" s="54"/>
    </row>
    <row r="2217" spans="1:22" s="11" customFormat="1" ht="45" customHeight="1" x14ac:dyDescent="0.2">
      <c r="A2217" s="66" t="s">
        <v>3577</v>
      </c>
      <c r="B2217" s="66" t="s">
        <v>1707</v>
      </c>
      <c r="C2217" s="66" t="s">
        <v>3578</v>
      </c>
      <c r="D2217" s="66">
        <v>75304</v>
      </c>
      <c r="E2217" s="68" t="s">
        <v>8640</v>
      </c>
      <c r="F2217" s="66" t="s">
        <v>8641</v>
      </c>
      <c r="G2217" s="71">
        <v>6500</v>
      </c>
      <c r="H2217" s="73"/>
      <c r="I2217" s="75">
        <v>0.1</v>
      </c>
      <c r="J2217" s="77"/>
      <c r="K2217" s="66"/>
      <c r="L2217" s="66"/>
      <c r="M2217" s="79" t="str">
        <f>HYPERLINK("http://www.pristavka.com/catalog/funko/Fun75304/")</f>
        <v>http://www.pristavka.com/catalog/funko/Fun75304/</v>
      </c>
      <c r="N2217" s="71">
        <v>9999</v>
      </c>
      <c r="O2217" s="66" t="s">
        <v>27</v>
      </c>
      <c r="P2217" s="82" t="s">
        <v>8642</v>
      </c>
      <c r="Q2217" s="84" t="s">
        <v>1075</v>
      </c>
      <c r="R2217" s="84" t="s">
        <v>1075</v>
      </c>
      <c r="S2217" s="84">
        <v>0.11899999999999999</v>
      </c>
      <c r="T2217" s="82" t="s">
        <v>4084</v>
      </c>
      <c r="U2217" s="84" t="s">
        <v>3584</v>
      </c>
      <c r="V2217" s="54"/>
    </row>
    <row r="2218" spans="1:22" s="11" customFormat="1" ht="45" customHeight="1" x14ac:dyDescent="0.2">
      <c r="A2218" s="66" t="s">
        <v>3577</v>
      </c>
      <c r="B2218" s="66" t="s">
        <v>1707</v>
      </c>
      <c r="C2218" s="66" t="s">
        <v>3578</v>
      </c>
      <c r="D2218" s="66">
        <v>79696</v>
      </c>
      <c r="E2218" s="68" t="s">
        <v>8643</v>
      </c>
      <c r="F2218" s="66" t="s">
        <v>8644</v>
      </c>
      <c r="G2218" s="71">
        <v>6500</v>
      </c>
      <c r="H2218" s="73"/>
      <c r="I2218" s="75">
        <v>0.1</v>
      </c>
      <c r="J2218" s="77"/>
      <c r="K2218" s="66"/>
      <c r="L2218" s="66"/>
      <c r="M2218" s="79" t="str">
        <f>HYPERLINK("http://www.pristavka.com/catalog/funko/Fun79696/")</f>
        <v>http://www.pristavka.com/catalog/funko/Fun79696/</v>
      </c>
      <c r="N2218" s="71">
        <v>9999</v>
      </c>
      <c r="O2218" s="66" t="s">
        <v>27</v>
      </c>
      <c r="P2218" s="82" t="s">
        <v>8645</v>
      </c>
      <c r="Q2218" s="84" t="s">
        <v>1594</v>
      </c>
      <c r="R2218" s="84" t="s">
        <v>1075</v>
      </c>
      <c r="S2218" s="84">
        <v>0.14599999999999999</v>
      </c>
      <c r="T2218" s="82" t="s">
        <v>4084</v>
      </c>
      <c r="U2218" s="84" t="s">
        <v>3584</v>
      </c>
      <c r="V2218" s="54"/>
    </row>
    <row r="2219" spans="1:22" s="11" customFormat="1" ht="45" customHeight="1" x14ac:dyDescent="0.2">
      <c r="A2219" s="66" t="s">
        <v>3577</v>
      </c>
      <c r="B2219" s="66" t="s">
        <v>1707</v>
      </c>
      <c r="C2219" s="66" t="s">
        <v>3578</v>
      </c>
      <c r="D2219" s="66">
        <v>72566</v>
      </c>
      <c r="E2219" s="68" t="s">
        <v>8646</v>
      </c>
      <c r="F2219" s="66" t="s">
        <v>8647</v>
      </c>
      <c r="G2219" s="71">
        <v>6500</v>
      </c>
      <c r="H2219" s="73"/>
      <c r="I2219" s="75">
        <v>0.1</v>
      </c>
      <c r="J2219" s="77"/>
      <c r="K2219" s="66"/>
      <c r="L2219" s="66"/>
      <c r="M2219" s="79" t="str">
        <f>HYPERLINK("http://www.pristavka.com/catalog/funko/Fun72566/")</f>
        <v>http://www.pristavka.com/catalog/funko/Fun72566/</v>
      </c>
      <c r="N2219" s="71">
        <v>9999</v>
      </c>
      <c r="O2219" s="66" t="s">
        <v>27</v>
      </c>
      <c r="P2219" s="82" t="s">
        <v>8648</v>
      </c>
      <c r="Q2219" s="84" t="s">
        <v>1594</v>
      </c>
      <c r="R2219" s="84" t="s">
        <v>1075</v>
      </c>
      <c r="S2219" s="84">
        <v>0.156</v>
      </c>
      <c r="T2219" s="82" t="s">
        <v>4370</v>
      </c>
      <c r="U2219" s="84" t="s">
        <v>3584</v>
      </c>
      <c r="V2219" s="54"/>
    </row>
    <row r="2220" spans="1:22" s="11" customFormat="1" ht="45" customHeight="1" x14ac:dyDescent="0.2">
      <c r="A2220" s="66" t="s">
        <v>3577</v>
      </c>
      <c r="B2220" s="66" t="s">
        <v>1707</v>
      </c>
      <c r="C2220" s="66" t="s">
        <v>3578</v>
      </c>
      <c r="D2220" s="66">
        <v>64041</v>
      </c>
      <c r="E2220" s="68" t="s">
        <v>8649</v>
      </c>
      <c r="F2220" s="66" t="s">
        <v>8650</v>
      </c>
      <c r="G2220" s="71">
        <v>6500</v>
      </c>
      <c r="H2220" s="73"/>
      <c r="I2220" s="75">
        <v>0.1</v>
      </c>
      <c r="J2220" s="77"/>
      <c r="K2220" s="66"/>
      <c r="L2220" s="66"/>
      <c r="M2220" s="79" t="str">
        <f>HYPERLINK("http://www.pristavka.com/catalog/funko/Fun64041/")</f>
        <v>http://www.pristavka.com/catalog/funko/Fun64041/</v>
      </c>
      <c r="N2220" s="71">
        <v>9999</v>
      </c>
      <c r="O2220" s="66" t="s">
        <v>27</v>
      </c>
      <c r="P2220" s="82" t="s">
        <v>8651</v>
      </c>
      <c r="Q2220" s="84" t="s">
        <v>1594</v>
      </c>
      <c r="R2220" s="84" t="s">
        <v>1075</v>
      </c>
      <c r="S2220" s="84">
        <v>0.13600000000000001</v>
      </c>
      <c r="T2220" s="82" t="s">
        <v>4370</v>
      </c>
      <c r="U2220" s="84" t="s">
        <v>3584</v>
      </c>
      <c r="V2220" s="54"/>
    </row>
    <row r="2221" spans="1:22" s="11" customFormat="1" ht="45" customHeight="1" x14ac:dyDescent="0.2">
      <c r="A2221" s="66" t="s">
        <v>3577</v>
      </c>
      <c r="B2221" s="66" t="s">
        <v>1707</v>
      </c>
      <c r="C2221" s="66" t="s">
        <v>3578</v>
      </c>
      <c r="D2221" s="66">
        <v>75274</v>
      </c>
      <c r="E2221" s="68" t="s">
        <v>8652</v>
      </c>
      <c r="F2221" s="66" t="s">
        <v>8653</v>
      </c>
      <c r="G2221" s="71">
        <v>6500</v>
      </c>
      <c r="H2221" s="73"/>
      <c r="I2221" s="75">
        <v>0.1</v>
      </c>
      <c r="J2221" s="77"/>
      <c r="K2221" s="66"/>
      <c r="L2221" s="66"/>
      <c r="M2221" s="79" t="str">
        <f>HYPERLINK("http://www.pristavka.com/catalog/funko/Fun75274/")</f>
        <v>http://www.pristavka.com/catalog/funko/Fun75274/</v>
      </c>
      <c r="N2221" s="71">
        <v>9999</v>
      </c>
      <c r="O2221" s="66" t="s">
        <v>27</v>
      </c>
      <c r="P2221" s="82" t="s">
        <v>8654</v>
      </c>
      <c r="Q2221" s="84" t="s">
        <v>1075</v>
      </c>
      <c r="R2221" s="84" t="s">
        <v>1075</v>
      </c>
      <c r="S2221" s="84">
        <v>0.14099999999999999</v>
      </c>
      <c r="T2221" s="82" t="s">
        <v>4084</v>
      </c>
      <c r="U2221" s="84" t="s">
        <v>3584</v>
      </c>
      <c r="V2221" s="54"/>
    </row>
    <row r="2222" spans="1:22" s="11" customFormat="1" ht="45" customHeight="1" x14ac:dyDescent="0.2">
      <c r="A2222" s="66" t="s">
        <v>3577</v>
      </c>
      <c r="B2222" s="66" t="s">
        <v>1707</v>
      </c>
      <c r="C2222" s="66" t="s">
        <v>3578</v>
      </c>
      <c r="D2222" s="66">
        <v>75398</v>
      </c>
      <c r="E2222" s="68" t="s">
        <v>8655</v>
      </c>
      <c r="F2222" s="66" t="s">
        <v>8656</v>
      </c>
      <c r="G2222" s="71">
        <v>6500</v>
      </c>
      <c r="H2222" s="73"/>
      <c r="I2222" s="75">
        <v>0.1</v>
      </c>
      <c r="J2222" s="77"/>
      <c r="K2222" s="66"/>
      <c r="L2222" s="66"/>
      <c r="M2222" s="79" t="str">
        <f>HYPERLINK("http://www.pristavka.com/catalog/funko/Fun75398/")</f>
        <v>http://www.pristavka.com/catalog/funko/Fun75398/</v>
      </c>
      <c r="N2222" s="71">
        <v>9999</v>
      </c>
      <c r="O2222" s="66" t="s">
        <v>27</v>
      </c>
      <c r="P2222" s="82" t="s">
        <v>8657</v>
      </c>
      <c r="Q2222" s="84" t="s">
        <v>1075</v>
      </c>
      <c r="R2222" s="84" t="s">
        <v>1075</v>
      </c>
      <c r="S2222" s="84">
        <v>0.14499999999999999</v>
      </c>
      <c r="T2222" s="82" t="s">
        <v>4084</v>
      </c>
      <c r="U2222" s="84" t="s">
        <v>3584</v>
      </c>
      <c r="V2222" s="54"/>
    </row>
    <row r="2223" spans="1:22" s="11" customFormat="1" ht="45" customHeight="1" x14ac:dyDescent="0.2">
      <c r="A2223" s="66" t="s">
        <v>3577</v>
      </c>
      <c r="B2223" s="66" t="s">
        <v>1707</v>
      </c>
      <c r="C2223" s="66" t="s">
        <v>3578</v>
      </c>
      <c r="D2223" s="66">
        <v>72590</v>
      </c>
      <c r="E2223" s="68" t="s">
        <v>8658</v>
      </c>
      <c r="F2223" s="66" t="s">
        <v>8659</v>
      </c>
      <c r="G2223" s="71">
        <v>6500</v>
      </c>
      <c r="H2223" s="73"/>
      <c r="I2223" s="75">
        <v>0.1</v>
      </c>
      <c r="J2223" s="77"/>
      <c r="K2223" s="66"/>
      <c r="L2223" s="66"/>
      <c r="M2223" s="79" t="str">
        <f>HYPERLINK("http://www.pristavka.com/catalog/funko/Fun72590/")</f>
        <v>http://www.pristavka.com/catalog/funko/Fun72590/</v>
      </c>
      <c r="N2223" s="71">
        <v>9999</v>
      </c>
      <c r="O2223" s="66" t="s">
        <v>27</v>
      </c>
      <c r="P2223" s="82" t="s">
        <v>8660</v>
      </c>
      <c r="Q2223" s="84" t="s">
        <v>1075</v>
      </c>
      <c r="R2223" s="84" t="s">
        <v>1075</v>
      </c>
      <c r="S2223" s="84">
        <v>0.14000000000000001</v>
      </c>
      <c r="T2223" s="82" t="s">
        <v>4084</v>
      </c>
      <c r="U2223" s="84" t="s">
        <v>3584</v>
      </c>
      <c r="V2223" s="54"/>
    </row>
    <row r="2224" spans="1:22" s="11" customFormat="1" ht="45" customHeight="1" x14ac:dyDescent="0.2">
      <c r="A2224" s="66" t="s">
        <v>3577</v>
      </c>
      <c r="B2224" s="66" t="s">
        <v>1707</v>
      </c>
      <c r="C2224" s="66" t="s">
        <v>3578</v>
      </c>
      <c r="D2224" s="66">
        <v>75386</v>
      </c>
      <c r="E2224" s="68" t="s">
        <v>8661</v>
      </c>
      <c r="F2224" s="66" t="s">
        <v>8662</v>
      </c>
      <c r="G2224" s="71">
        <v>6500</v>
      </c>
      <c r="H2224" s="73"/>
      <c r="I2224" s="75">
        <v>0.1</v>
      </c>
      <c r="J2224" s="77"/>
      <c r="K2224" s="66"/>
      <c r="L2224" s="66"/>
      <c r="M2224" s="79" t="str">
        <f>HYPERLINK("http://www.pristavka.com/catalog/funko/Fun75386/")</f>
        <v>http://www.pristavka.com/catalog/funko/Fun75386/</v>
      </c>
      <c r="N2224" s="71">
        <v>9999</v>
      </c>
      <c r="O2224" s="66" t="s">
        <v>27</v>
      </c>
      <c r="P2224" s="82" t="s">
        <v>8663</v>
      </c>
      <c r="Q2224" s="84" t="s">
        <v>1075</v>
      </c>
      <c r="R2224" s="84" t="s">
        <v>1075</v>
      </c>
      <c r="S2224" s="84">
        <v>0.16500000000000001</v>
      </c>
      <c r="T2224" s="82" t="s">
        <v>4084</v>
      </c>
      <c r="U2224" s="84" t="s">
        <v>3584</v>
      </c>
      <c r="V2224" s="54"/>
    </row>
    <row r="2225" spans="1:22" s="11" customFormat="1" ht="45" customHeight="1" x14ac:dyDescent="0.2">
      <c r="A2225" s="66" t="s">
        <v>3577</v>
      </c>
      <c r="B2225" s="66" t="s">
        <v>1707</v>
      </c>
      <c r="C2225" s="66" t="s">
        <v>3578</v>
      </c>
      <c r="D2225" s="66">
        <v>72591</v>
      </c>
      <c r="E2225" s="68" t="s">
        <v>8664</v>
      </c>
      <c r="F2225" s="66" t="s">
        <v>8665</v>
      </c>
      <c r="G2225" s="71">
        <v>6500</v>
      </c>
      <c r="H2225" s="73"/>
      <c r="I2225" s="75">
        <v>0.1</v>
      </c>
      <c r="J2225" s="77"/>
      <c r="K2225" s="66"/>
      <c r="L2225" s="66"/>
      <c r="M2225" s="79" t="str">
        <f>HYPERLINK("http://www.pristavka.com/catalog/funko/Fun72591/")</f>
        <v>http://www.pristavka.com/catalog/funko/Fun72591/</v>
      </c>
      <c r="N2225" s="71">
        <v>9999</v>
      </c>
      <c r="O2225" s="66" t="s">
        <v>27</v>
      </c>
      <c r="P2225" s="82" t="s">
        <v>8666</v>
      </c>
      <c r="Q2225" s="84" t="s">
        <v>1075</v>
      </c>
      <c r="R2225" s="84" t="s">
        <v>1075</v>
      </c>
      <c r="S2225" s="84">
        <v>0.13200000000000001</v>
      </c>
      <c r="T2225" s="82" t="s">
        <v>4113</v>
      </c>
      <c r="U2225" s="84" t="s">
        <v>3584</v>
      </c>
      <c r="V2225" s="54"/>
    </row>
    <row r="2226" spans="1:22" s="11" customFormat="1" ht="45" customHeight="1" x14ac:dyDescent="0.2">
      <c r="A2226" s="66" t="s">
        <v>3577</v>
      </c>
      <c r="B2226" s="66" t="s">
        <v>1707</v>
      </c>
      <c r="C2226" s="66" t="s">
        <v>3578</v>
      </c>
      <c r="D2226" s="66">
        <v>79702</v>
      </c>
      <c r="E2226" s="68" t="s">
        <v>8667</v>
      </c>
      <c r="F2226" s="66" t="s">
        <v>8668</v>
      </c>
      <c r="G2226" s="71">
        <v>6500</v>
      </c>
      <c r="H2226" s="73"/>
      <c r="I2226" s="75">
        <v>0.1</v>
      </c>
      <c r="J2226" s="77"/>
      <c r="K2226" s="66"/>
      <c r="L2226" s="66"/>
      <c r="M2226" s="79" t="str">
        <f>HYPERLINK("http://www.pristavka.com/catalog/funko/Fun79702/")</f>
        <v>http://www.pristavka.com/catalog/funko/Fun79702/</v>
      </c>
      <c r="N2226" s="71">
        <v>9999</v>
      </c>
      <c r="O2226" s="66" t="s">
        <v>27</v>
      </c>
      <c r="P2226" s="82" t="s">
        <v>8669</v>
      </c>
      <c r="Q2226" s="84" t="s">
        <v>1594</v>
      </c>
      <c r="R2226" s="84" t="s">
        <v>1075</v>
      </c>
      <c r="S2226" s="84">
        <v>0.13200000000000001</v>
      </c>
      <c r="T2226" s="82" t="s">
        <v>4946</v>
      </c>
      <c r="U2226" s="84" t="s">
        <v>3584</v>
      </c>
      <c r="V2226" s="54"/>
    </row>
    <row r="2227" spans="1:22" s="11" customFormat="1" ht="45" customHeight="1" x14ac:dyDescent="0.2">
      <c r="A2227" s="66" t="s">
        <v>3577</v>
      </c>
      <c r="B2227" s="66" t="s">
        <v>1707</v>
      </c>
      <c r="C2227" s="66" t="s">
        <v>3578</v>
      </c>
      <c r="D2227" s="66">
        <v>85679</v>
      </c>
      <c r="E2227" s="68" t="s">
        <v>8670</v>
      </c>
      <c r="F2227" s="66" t="s">
        <v>8671</v>
      </c>
      <c r="G2227" s="71">
        <v>6500</v>
      </c>
      <c r="H2227" s="73"/>
      <c r="I2227" s="75">
        <v>0.1</v>
      </c>
      <c r="J2227" s="77"/>
      <c r="K2227" s="66"/>
      <c r="L2227" s="66"/>
      <c r="M2227" s="79" t="str">
        <f>HYPERLINK("http://www.pristavka.com/catalog/funko/Fun85679/")</f>
        <v>http://www.pristavka.com/catalog/funko/Fun85679/</v>
      </c>
      <c r="N2227" s="71">
        <v>9999</v>
      </c>
      <c r="O2227" s="66" t="s">
        <v>27</v>
      </c>
      <c r="P2227" s="82" t="s">
        <v>8672</v>
      </c>
      <c r="Q2227" s="84" t="s">
        <v>1594</v>
      </c>
      <c r="R2227" s="84" t="s">
        <v>1075</v>
      </c>
      <c r="S2227" s="84">
        <v>0.125</v>
      </c>
      <c r="T2227" s="82" t="s">
        <v>4113</v>
      </c>
      <c r="U2227" s="84" t="s">
        <v>3584</v>
      </c>
      <c r="V2227" s="54"/>
    </row>
    <row r="2228" spans="1:22" s="11" customFormat="1" ht="45" customHeight="1" x14ac:dyDescent="0.2">
      <c r="A2228" s="66" t="s">
        <v>3577</v>
      </c>
      <c r="B2228" s="66" t="s">
        <v>1707</v>
      </c>
      <c r="C2228" s="66" t="s">
        <v>3578</v>
      </c>
      <c r="D2228" s="66">
        <v>85680</v>
      </c>
      <c r="E2228" s="68" t="s">
        <v>8673</v>
      </c>
      <c r="F2228" s="66" t="s">
        <v>8674</v>
      </c>
      <c r="G2228" s="71">
        <v>6500</v>
      </c>
      <c r="H2228" s="73"/>
      <c r="I2228" s="75">
        <v>0.1</v>
      </c>
      <c r="J2228" s="77"/>
      <c r="K2228" s="66"/>
      <c r="L2228" s="66"/>
      <c r="M2228" s="79" t="str">
        <f>HYPERLINK("http://www.pristavka.com/catalog/funko/Fun85680/")</f>
        <v>http://www.pristavka.com/catalog/funko/Fun85680/</v>
      </c>
      <c r="N2228" s="71">
        <v>9999</v>
      </c>
      <c r="O2228" s="66" t="s">
        <v>27</v>
      </c>
      <c r="P2228" s="82" t="s">
        <v>8675</v>
      </c>
      <c r="Q2228" s="84" t="s">
        <v>1594</v>
      </c>
      <c r="R2228" s="84" t="s">
        <v>1075</v>
      </c>
      <c r="S2228" s="84">
        <v>0.152</v>
      </c>
      <c r="T2228" s="82" t="s">
        <v>4113</v>
      </c>
      <c r="U2228" s="84" t="s">
        <v>3584</v>
      </c>
      <c r="V2228" s="54"/>
    </row>
    <row r="2229" spans="1:22" s="11" customFormat="1" ht="45" customHeight="1" x14ac:dyDescent="0.2">
      <c r="A2229" s="66" t="s">
        <v>3577</v>
      </c>
      <c r="B2229" s="66" t="s">
        <v>1707</v>
      </c>
      <c r="C2229" s="66" t="s">
        <v>3578</v>
      </c>
      <c r="D2229" s="66">
        <v>85681</v>
      </c>
      <c r="E2229" s="68" t="s">
        <v>8676</v>
      </c>
      <c r="F2229" s="66" t="s">
        <v>8677</v>
      </c>
      <c r="G2229" s="71">
        <v>6500</v>
      </c>
      <c r="H2229" s="73"/>
      <c r="I2229" s="75">
        <v>0.1</v>
      </c>
      <c r="J2229" s="77"/>
      <c r="K2229" s="66"/>
      <c r="L2229" s="66"/>
      <c r="M2229" s="79" t="str">
        <f>HYPERLINK("http://www.pristavka.com/catalog/funko/Fun85681/")</f>
        <v>http://www.pristavka.com/catalog/funko/Fun85681/</v>
      </c>
      <c r="N2229" s="71">
        <v>9999</v>
      </c>
      <c r="O2229" s="66" t="s">
        <v>27</v>
      </c>
      <c r="P2229" s="82" t="s">
        <v>8678</v>
      </c>
      <c r="Q2229" s="84" t="s">
        <v>1594</v>
      </c>
      <c r="R2229" s="84" t="s">
        <v>1075</v>
      </c>
      <c r="S2229" s="84">
        <v>0.15</v>
      </c>
      <c r="T2229" s="82" t="s">
        <v>4113</v>
      </c>
      <c r="U2229" s="84" t="s">
        <v>3584</v>
      </c>
      <c r="V2229" s="54"/>
    </row>
    <row r="2230" spans="1:22" s="11" customFormat="1" ht="45" customHeight="1" x14ac:dyDescent="0.2">
      <c r="A2230" s="66" t="s">
        <v>3577</v>
      </c>
      <c r="B2230" s="66" t="s">
        <v>1707</v>
      </c>
      <c r="C2230" s="66" t="s">
        <v>3578</v>
      </c>
      <c r="D2230" s="66">
        <v>85682</v>
      </c>
      <c r="E2230" s="68" t="s">
        <v>8679</v>
      </c>
      <c r="F2230" s="66" t="s">
        <v>8680</v>
      </c>
      <c r="G2230" s="71">
        <v>6500</v>
      </c>
      <c r="H2230" s="73"/>
      <c r="I2230" s="75">
        <v>0.1</v>
      </c>
      <c r="J2230" s="77"/>
      <c r="K2230" s="66"/>
      <c r="L2230" s="66"/>
      <c r="M2230" s="79" t="str">
        <f>HYPERLINK("http://www.pristavka.com/catalog/funko/Fun85682/")</f>
        <v>http://www.pristavka.com/catalog/funko/Fun85682/</v>
      </c>
      <c r="N2230" s="71">
        <v>9999</v>
      </c>
      <c r="O2230" s="66" t="s">
        <v>27</v>
      </c>
      <c r="P2230" s="82" t="s">
        <v>8681</v>
      </c>
      <c r="Q2230" s="84" t="s">
        <v>1594</v>
      </c>
      <c r="R2230" s="84" t="s">
        <v>1075</v>
      </c>
      <c r="S2230" s="84">
        <v>0.14000000000000001</v>
      </c>
      <c r="T2230" s="82" t="s">
        <v>4091</v>
      </c>
      <c r="U2230" s="84" t="s">
        <v>3584</v>
      </c>
      <c r="V2230" s="54"/>
    </row>
    <row r="2231" spans="1:22" s="11" customFormat="1" ht="45" customHeight="1" x14ac:dyDescent="0.2">
      <c r="A2231" s="66" t="s">
        <v>3577</v>
      </c>
      <c r="B2231" s="66" t="s">
        <v>1707</v>
      </c>
      <c r="C2231" s="66" t="s">
        <v>3578</v>
      </c>
      <c r="D2231" s="66">
        <v>85683</v>
      </c>
      <c r="E2231" s="68" t="s">
        <v>8682</v>
      </c>
      <c r="F2231" s="66" t="s">
        <v>8683</v>
      </c>
      <c r="G2231" s="71">
        <v>6500</v>
      </c>
      <c r="H2231" s="73"/>
      <c r="I2231" s="75">
        <v>0.1</v>
      </c>
      <c r="J2231" s="77"/>
      <c r="K2231" s="66"/>
      <c r="L2231" s="66"/>
      <c r="M2231" s="79" t="str">
        <f>HYPERLINK("http://www.pristavka.com/catalog/funko/Fun85683/")</f>
        <v>http://www.pristavka.com/catalog/funko/Fun85683/</v>
      </c>
      <c r="N2231" s="71">
        <v>9999</v>
      </c>
      <c r="O2231" s="66" t="s">
        <v>27</v>
      </c>
      <c r="P2231" s="82" t="s">
        <v>8684</v>
      </c>
      <c r="Q2231" s="84" t="s">
        <v>1594</v>
      </c>
      <c r="R2231" s="84" t="s">
        <v>1075</v>
      </c>
      <c r="S2231" s="84">
        <v>0.15</v>
      </c>
      <c r="T2231" s="82" t="s">
        <v>4113</v>
      </c>
      <c r="U2231" s="84" t="s">
        <v>3584</v>
      </c>
      <c r="V2231" s="54"/>
    </row>
    <row r="2232" spans="1:22" s="11" customFormat="1" ht="45" customHeight="1" x14ac:dyDescent="0.2">
      <c r="A2232" s="66" t="s">
        <v>3577</v>
      </c>
      <c r="B2232" s="66" t="s">
        <v>1707</v>
      </c>
      <c r="C2232" s="66" t="s">
        <v>3578</v>
      </c>
      <c r="D2232" s="66">
        <v>83824</v>
      </c>
      <c r="E2232" s="68" t="s">
        <v>8685</v>
      </c>
      <c r="F2232" s="66" t="s">
        <v>8686</v>
      </c>
      <c r="G2232" s="71">
        <v>6500</v>
      </c>
      <c r="H2232" s="73"/>
      <c r="I2232" s="75">
        <v>0.1</v>
      </c>
      <c r="J2232" s="77"/>
      <c r="K2232" s="66"/>
      <c r="L2232" s="66"/>
      <c r="M2232" s="79" t="str">
        <f>HYPERLINK("http://www.pristavka.com/catalog/funko/Fun83824/")</f>
        <v>http://www.pristavka.com/catalog/funko/Fun83824/</v>
      </c>
      <c r="N2232" s="71">
        <v>9999</v>
      </c>
      <c r="O2232" s="66" t="s">
        <v>27</v>
      </c>
      <c r="P2232" s="82" t="s">
        <v>8687</v>
      </c>
      <c r="Q2232" s="84" t="s">
        <v>1594</v>
      </c>
      <c r="R2232" s="84" t="s">
        <v>1075</v>
      </c>
      <c r="S2232" s="84">
        <v>0.14499999999999999</v>
      </c>
      <c r="T2232" s="82" t="s">
        <v>4113</v>
      </c>
      <c r="U2232" s="84" t="s">
        <v>3584</v>
      </c>
      <c r="V2232" s="54"/>
    </row>
    <row r="2233" spans="1:22" s="11" customFormat="1" ht="45" customHeight="1" x14ac:dyDescent="0.2">
      <c r="A2233" s="66" t="s">
        <v>3577</v>
      </c>
      <c r="B2233" s="66" t="s">
        <v>1707</v>
      </c>
      <c r="C2233" s="66" t="s">
        <v>3578</v>
      </c>
      <c r="D2233" s="66">
        <v>31550</v>
      </c>
      <c r="E2233" s="68" t="s">
        <v>8688</v>
      </c>
      <c r="F2233" s="66" t="s">
        <v>8689</v>
      </c>
      <c r="G2233" s="71">
        <v>6500</v>
      </c>
      <c r="H2233" s="73"/>
      <c r="I2233" s="75">
        <v>0.1</v>
      </c>
      <c r="J2233" s="77"/>
      <c r="K2233" s="66"/>
      <c r="L2233" s="66"/>
      <c r="M2233" s="79" t="str">
        <f>HYPERLINK("http://www.pristavka.com/catalog/funko/Fun1738/")</f>
        <v>http://www.pristavka.com/catalog/funko/Fun1738/</v>
      </c>
      <c r="N2233" s="71">
        <v>9999</v>
      </c>
      <c r="O2233" s="66" t="s">
        <v>27</v>
      </c>
      <c r="P2233" s="82" t="s">
        <v>8690</v>
      </c>
      <c r="Q2233" s="84" t="s">
        <v>1594</v>
      </c>
      <c r="R2233" s="84" t="s">
        <v>1075</v>
      </c>
      <c r="S2233" s="84">
        <v>0.14000000000000001</v>
      </c>
      <c r="T2233" s="82" t="s">
        <v>4091</v>
      </c>
      <c r="U2233" s="84" t="s">
        <v>3584</v>
      </c>
      <c r="V2233" s="54"/>
    </row>
    <row r="2234" spans="1:22" s="11" customFormat="1" ht="45" customHeight="1" x14ac:dyDescent="0.2">
      <c r="A2234" s="66" t="s">
        <v>3577</v>
      </c>
      <c r="B2234" s="66" t="s">
        <v>1707</v>
      </c>
      <c r="C2234" s="66" t="s">
        <v>3578</v>
      </c>
      <c r="D2234" s="66">
        <v>57763</v>
      </c>
      <c r="E2234" s="68" t="s">
        <v>8691</v>
      </c>
      <c r="F2234" s="66" t="s">
        <v>8692</v>
      </c>
      <c r="G2234" s="71">
        <v>6500</v>
      </c>
      <c r="H2234" s="73"/>
      <c r="I2234" s="75">
        <v>0.1</v>
      </c>
      <c r="J2234" s="77"/>
      <c r="K2234" s="66"/>
      <c r="L2234" s="66"/>
      <c r="M2234" s="79" t="str">
        <f>HYPERLINK("http://www.pristavka.com/catalog/funko/Fun57763/")</f>
        <v>http://www.pristavka.com/catalog/funko/Fun57763/</v>
      </c>
      <c r="N2234" s="71">
        <v>9999</v>
      </c>
      <c r="O2234" s="66" t="s">
        <v>28</v>
      </c>
      <c r="P2234" s="82" t="s">
        <v>8693</v>
      </c>
      <c r="Q2234" s="84" t="s">
        <v>1594</v>
      </c>
      <c r="R2234" s="84" t="s">
        <v>1594</v>
      </c>
      <c r="S2234" s="84">
        <v>0.14099999999999999</v>
      </c>
      <c r="T2234" s="82" t="s">
        <v>4558</v>
      </c>
      <c r="U2234" s="84" t="s">
        <v>3584</v>
      </c>
      <c r="V2234" s="54"/>
    </row>
    <row r="2235" spans="1:22" s="11" customFormat="1" ht="45" customHeight="1" x14ac:dyDescent="0.2">
      <c r="A2235" s="66" t="s">
        <v>3577</v>
      </c>
      <c r="B2235" s="66" t="s">
        <v>1707</v>
      </c>
      <c r="C2235" s="66" t="s">
        <v>3578</v>
      </c>
      <c r="D2235" s="66">
        <v>57764</v>
      </c>
      <c r="E2235" s="68" t="s">
        <v>8694</v>
      </c>
      <c r="F2235" s="66" t="s">
        <v>8695</v>
      </c>
      <c r="G2235" s="71">
        <v>6500</v>
      </c>
      <c r="H2235" s="73"/>
      <c r="I2235" s="75">
        <v>0.1</v>
      </c>
      <c r="J2235" s="77"/>
      <c r="K2235" s="66"/>
      <c r="L2235" s="66"/>
      <c r="M2235" s="79" t="str">
        <f>HYPERLINK("http://www.pristavka.com/catalog/funko/Fun57764/")</f>
        <v>http://www.pristavka.com/catalog/funko/Fun57764/</v>
      </c>
      <c r="N2235" s="71">
        <v>9999</v>
      </c>
      <c r="O2235" s="66" t="s">
        <v>27</v>
      </c>
      <c r="P2235" s="82" t="s">
        <v>8696</v>
      </c>
      <c r="Q2235" s="84" t="s">
        <v>1594</v>
      </c>
      <c r="R2235" s="84" t="s">
        <v>1075</v>
      </c>
      <c r="S2235" s="84">
        <v>0.16400000000000001</v>
      </c>
      <c r="T2235" s="82" t="s">
        <v>4113</v>
      </c>
      <c r="U2235" s="84" t="s">
        <v>3584</v>
      </c>
      <c r="V2235" s="54"/>
    </row>
    <row r="2236" spans="1:22" s="11" customFormat="1" ht="45" customHeight="1" x14ac:dyDescent="0.2">
      <c r="A2236" s="66" t="s">
        <v>3577</v>
      </c>
      <c r="B2236" s="66" t="s">
        <v>1707</v>
      </c>
      <c r="C2236" s="66" t="s">
        <v>3578</v>
      </c>
      <c r="D2236" s="66">
        <v>79708</v>
      </c>
      <c r="E2236" s="68" t="s">
        <v>8697</v>
      </c>
      <c r="F2236" s="66" t="s">
        <v>8698</v>
      </c>
      <c r="G2236" s="71">
        <v>6500</v>
      </c>
      <c r="H2236" s="73"/>
      <c r="I2236" s="75">
        <v>0.1</v>
      </c>
      <c r="J2236" s="77"/>
      <c r="K2236" s="66"/>
      <c r="L2236" s="66"/>
      <c r="M2236" s="79" t="str">
        <f>HYPERLINK("http://www.pristavka.com/catalog/funko/Fun79708/")</f>
        <v>http://www.pristavka.com/catalog/funko/Fun79708/</v>
      </c>
      <c r="N2236" s="71">
        <v>9999</v>
      </c>
      <c r="O2236" s="66" t="s">
        <v>28</v>
      </c>
      <c r="P2236" s="82" t="s">
        <v>8699</v>
      </c>
      <c r="Q2236" s="84" t="s">
        <v>1594</v>
      </c>
      <c r="R2236" s="84" t="s">
        <v>1075</v>
      </c>
      <c r="S2236" s="84">
        <v>0.14000000000000001</v>
      </c>
      <c r="T2236" s="82" t="s">
        <v>4084</v>
      </c>
      <c r="U2236" s="84" t="s">
        <v>3584</v>
      </c>
      <c r="V2236" s="54"/>
    </row>
    <row r="2237" spans="1:22" s="11" customFormat="1" ht="45" customHeight="1" x14ac:dyDescent="0.2">
      <c r="A2237" s="66" t="s">
        <v>3577</v>
      </c>
      <c r="B2237" s="66" t="s">
        <v>1707</v>
      </c>
      <c r="C2237" s="66" t="s">
        <v>3578</v>
      </c>
      <c r="D2237" s="66">
        <v>86349</v>
      </c>
      <c r="E2237" s="68" t="s">
        <v>8700</v>
      </c>
      <c r="F2237" s="66" t="s">
        <v>8701</v>
      </c>
      <c r="G2237" s="71">
        <v>6500</v>
      </c>
      <c r="H2237" s="73"/>
      <c r="I2237" s="75">
        <v>0.1</v>
      </c>
      <c r="J2237" s="77"/>
      <c r="K2237" s="66"/>
      <c r="L2237" s="66"/>
      <c r="M2237" s="79" t="str">
        <f>HYPERLINK("http://www.pristavka.com/catalog/funko/Fun86349/")</f>
        <v>http://www.pristavka.com/catalog/funko/Fun86349/</v>
      </c>
      <c r="N2237" s="71">
        <v>9999</v>
      </c>
      <c r="O2237" s="66" t="s">
        <v>27</v>
      </c>
      <c r="P2237" s="82" t="s">
        <v>8702</v>
      </c>
      <c r="Q2237" s="84" t="s">
        <v>1075</v>
      </c>
      <c r="R2237" s="84" t="s">
        <v>1075</v>
      </c>
      <c r="S2237" s="84">
        <v>0.125</v>
      </c>
      <c r="T2237" s="82" t="s">
        <v>4084</v>
      </c>
      <c r="U2237" s="84" t="s">
        <v>3584</v>
      </c>
      <c r="V2237" s="54"/>
    </row>
    <row r="2238" spans="1:22" s="11" customFormat="1" ht="45" customHeight="1" x14ac:dyDescent="0.2">
      <c r="A2238" s="66" t="s">
        <v>3577</v>
      </c>
      <c r="B2238" s="66" t="s">
        <v>1707</v>
      </c>
      <c r="C2238" s="66" t="s">
        <v>3578</v>
      </c>
      <c r="D2238" s="66">
        <v>33735</v>
      </c>
      <c r="E2238" s="68" t="s">
        <v>8703</v>
      </c>
      <c r="F2238" s="66" t="s">
        <v>8704</v>
      </c>
      <c r="G2238" s="71">
        <v>6500</v>
      </c>
      <c r="H2238" s="73"/>
      <c r="I2238" s="75">
        <v>0.1</v>
      </c>
      <c r="J2238" s="77"/>
      <c r="K2238" s="66"/>
      <c r="L2238" s="66"/>
      <c r="M2238" s="79" t="str">
        <f>HYPERLINK("http://www.pristavka.com/catalog/funko/Fun2549882/")</f>
        <v>http://www.pristavka.com/catalog/funko/Fun2549882/</v>
      </c>
      <c r="N2238" s="71">
        <v>9999</v>
      </c>
      <c r="O2238" s="66" t="s">
        <v>27</v>
      </c>
      <c r="P2238" s="82" t="s">
        <v>8705</v>
      </c>
      <c r="Q2238" s="84" t="s">
        <v>1594</v>
      </c>
      <c r="R2238" s="84" t="s">
        <v>1075</v>
      </c>
      <c r="S2238" s="84">
        <v>0.14000000000000001</v>
      </c>
      <c r="T2238" s="82" t="s">
        <v>4574</v>
      </c>
      <c r="U2238" s="84" t="s">
        <v>3584</v>
      </c>
      <c r="V2238" s="54"/>
    </row>
    <row r="2239" spans="1:22" s="11" customFormat="1" ht="45" customHeight="1" x14ac:dyDescent="0.2">
      <c r="A2239" s="66" t="s">
        <v>3577</v>
      </c>
      <c r="B2239" s="66" t="s">
        <v>1707</v>
      </c>
      <c r="C2239" s="66" t="s">
        <v>3578</v>
      </c>
      <c r="D2239" s="66">
        <v>75374</v>
      </c>
      <c r="E2239" s="68" t="s">
        <v>8706</v>
      </c>
      <c r="F2239" s="66" t="s">
        <v>8707</v>
      </c>
      <c r="G2239" s="71">
        <v>6500</v>
      </c>
      <c r="H2239" s="73"/>
      <c r="I2239" s="75">
        <v>0.1</v>
      </c>
      <c r="J2239" s="77"/>
      <c r="K2239" s="66"/>
      <c r="L2239" s="66"/>
      <c r="M2239" s="79" t="str">
        <f>HYPERLINK("http://www.pristavka.com/catalog/funko/Fun75374/")</f>
        <v>http://www.pristavka.com/catalog/funko/Fun75374/</v>
      </c>
      <c r="N2239" s="71">
        <v>9999</v>
      </c>
      <c r="O2239" s="66" t="s">
        <v>27</v>
      </c>
      <c r="P2239" s="82" t="s">
        <v>8708</v>
      </c>
      <c r="Q2239" s="84" t="s">
        <v>1594</v>
      </c>
      <c r="R2239" s="84" t="s">
        <v>1075</v>
      </c>
      <c r="S2239" s="84">
        <v>0.13500000000000001</v>
      </c>
      <c r="T2239" s="82" t="s">
        <v>4113</v>
      </c>
      <c r="U2239" s="84" t="s">
        <v>3584</v>
      </c>
      <c r="V2239" s="54"/>
    </row>
    <row r="2240" spans="1:22" s="11" customFormat="1" ht="45" customHeight="1" x14ac:dyDescent="0.2">
      <c r="A2240" s="66" t="s">
        <v>3577</v>
      </c>
      <c r="B2240" s="66" t="s">
        <v>1707</v>
      </c>
      <c r="C2240" s="66" t="s">
        <v>3578</v>
      </c>
      <c r="D2240" s="66">
        <v>75375</v>
      </c>
      <c r="E2240" s="68" t="s">
        <v>8709</v>
      </c>
      <c r="F2240" s="66" t="s">
        <v>8710</v>
      </c>
      <c r="G2240" s="71">
        <v>6500</v>
      </c>
      <c r="H2240" s="73"/>
      <c r="I2240" s="75">
        <v>0.1</v>
      </c>
      <c r="J2240" s="77"/>
      <c r="K2240" s="66"/>
      <c r="L2240" s="66"/>
      <c r="M2240" s="79" t="str">
        <f>HYPERLINK("http://www.pristavka.com/catalog/funko/Fun75375/")</f>
        <v>http://www.pristavka.com/catalog/funko/Fun75375/</v>
      </c>
      <c r="N2240" s="71">
        <v>9999</v>
      </c>
      <c r="O2240" s="66" t="s">
        <v>27</v>
      </c>
      <c r="P2240" s="82" t="s">
        <v>8711</v>
      </c>
      <c r="Q2240" s="84" t="s">
        <v>1594</v>
      </c>
      <c r="R2240" s="84" t="s">
        <v>1075</v>
      </c>
      <c r="S2240" s="84">
        <v>0.12</v>
      </c>
      <c r="T2240" s="82" t="s">
        <v>4206</v>
      </c>
      <c r="U2240" s="84" t="s">
        <v>3584</v>
      </c>
      <c r="V2240" s="54"/>
    </row>
    <row r="2241" spans="1:22" s="11" customFormat="1" ht="45" customHeight="1" x14ac:dyDescent="0.2">
      <c r="A2241" s="66" t="s">
        <v>3577</v>
      </c>
      <c r="B2241" s="66" t="s">
        <v>1707</v>
      </c>
      <c r="C2241" s="66" t="s">
        <v>3578</v>
      </c>
      <c r="D2241" s="66">
        <v>75405</v>
      </c>
      <c r="E2241" s="68" t="s">
        <v>8712</v>
      </c>
      <c r="F2241" s="66" t="s">
        <v>8713</v>
      </c>
      <c r="G2241" s="71">
        <v>0</v>
      </c>
      <c r="H2241" s="73"/>
      <c r="I2241" s="75">
        <v>0.1</v>
      </c>
      <c r="J2241" s="77"/>
      <c r="K2241" s="66"/>
      <c r="L2241" s="66"/>
      <c r="M2241" s="79" t="str">
        <f>HYPERLINK("http://www.pristavka.com/catalog/funko/Fun75405/")</f>
        <v>http://www.pristavka.com/catalog/funko/Fun75405/</v>
      </c>
      <c r="N2241" s="71"/>
      <c r="O2241" s="66" t="s">
        <v>27</v>
      </c>
      <c r="P2241" s="82" t="s">
        <v>8714</v>
      </c>
      <c r="Q2241" s="84" t="s">
        <v>1075</v>
      </c>
      <c r="R2241" s="84" t="s">
        <v>1075</v>
      </c>
      <c r="S2241" s="84">
        <v>0.127</v>
      </c>
      <c r="T2241" s="82" t="s">
        <v>4084</v>
      </c>
      <c r="U2241" s="84" t="s">
        <v>3584</v>
      </c>
      <c r="V2241" s="54"/>
    </row>
    <row r="2242" spans="1:22" s="11" customFormat="1" ht="45" customHeight="1" x14ac:dyDescent="0.2">
      <c r="A2242" s="66" t="s">
        <v>3577</v>
      </c>
      <c r="B2242" s="66" t="s">
        <v>1707</v>
      </c>
      <c r="C2242" s="66" t="s">
        <v>3578</v>
      </c>
      <c r="D2242" s="66">
        <v>79712</v>
      </c>
      <c r="E2242" s="68" t="s">
        <v>8715</v>
      </c>
      <c r="F2242" s="66" t="s">
        <v>8716</v>
      </c>
      <c r="G2242" s="71">
        <v>6500</v>
      </c>
      <c r="H2242" s="73"/>
      <c r="I2242" s="75">
        <v>0.1</v>
      </c>
      <c r="J2242" s="77"/>
      <c r="K2242" s="66"/>
      <c r="L2242" s="66"/>
      <c r="M2242" s="79" t="str">
        <f>HYPERLINK("http://www.pristavka.com/catalog/funko/Fun79712/")</f>
        <v>http://www.pristavka.com/catalog/funko/Fun79712/</v>
      </c>
      <c r="N2242" s="71">
        <v>9999</v>
      </c>
      <c r="O2242" s="66" t="s">
        <v>27</v>
      </c>
      <c r="P2242" s="82" t="s">
        <v>8717</v>
      </c>
      <c r="Q2242" s="84" t="s">
        <v>1594</v>
      </c>
      <c r="R2242" s="84" t="s">
        <v>1075</v>
      </c>
      <c r="S2242" s="84">
        <v>0.17</v>
      </c>
      <c r="T2242" s="82" t="s">
        <v>4091</v>
      </c>
      <c r="U2242" s="84" t="s">
        <v>3584</v>
      </c>
      <c r="V2242" s="54"/>
    </row>
    <row r="2243" spans="1:22" s="11" customFormat="1" ht="45" customHeight="1" x14ac:dyDescent="0.2">
      <c r="A2243" s="66" t="s">
        <v>3577</v>
      </c>
      <c r="B2243" s="66" t="s">
        <v>1707</v>
      </c>
      <c r="C2243" s="66" t="s">
        <v>3578</v>
      </c>
      <c r="D2243" s="66">
        <v>72583</v>
      </c>
      <c r="E2243" s="68" t="s">
        <v>8718</v>
      </c>
      <c r="F2243" s="66" t="s">
        <v>8719</v>
      </c>
      <c r="G2243" s="71">
        <v>6500</v>
      </c>
      <c r="H2243" s="73"/>
      <c r="I2243" s="75">
        <v>0.1</v>
      </c>
      <c r="J2243" s="77"/>
      <c r="K2243" s="66"/>
      <c r="L2243" s="66"/>
      <c r="M2243" s="79" t="str">
        <f>HYPERLINK("http://www.pristavka.com/catalog/funko/Fun72583/")</f>
        <v>http://www.pristavka.com/catalog/funko/Fun72583/</v>
      </c>
      <c r="N2243" s="71">
        <v>9999</v>
      </c>
      <c r="O2243" s="66" t="s">
        <v>27</v>
      </c>
      <c r="P2243" s="82" t="s">
        <v>8720</v>
      </c>
      <c r="Q2243" s="84" t="s">
        <v>1075</v>
      </c>
      <c r="R2243" s="84" t="s">
        <v>1075</v>
      </c>
      <c r="S2243" s="84">
        <v>0.154</v>
      </c>
      <c r="T2243" s="82" t="s">
        <v>4370</v>
      </c>
      <c r="U2243" s="84" t="s">
        <v>3584</v>
      </c>
      <c r="V2243" s="54"/>
    </row>
    <row r="2244" spans="1:22" s="11" customFormat="1" ht="45" customHeight="1" x14ac:dyDescent="0.2">
      <c r="A2244" s="66" t="s">
        <v>3577</v>
      </c>
      <c r="B2244" s="66" t="s">
        <v>1707</v>
      </c>
      <c r="C2244" s="66" t="s">
        <v>3578</v>
      </c>
      <c r="D2244" s="66">
        <v>79711</v>
      </c>
      <c r="E2244" s="68" t="s">
        <v>8721</v>
      </c>
      <c r="F2244" s="66" t="s">
        <v>8722</v>
      </c>
      <c r="G2244" s="71">
        <v>6500</v>
      </c>
      <c r="H2244" s="73"/>
      <c r="I2244" s="75">
        <v>0.1</v>
      </c>
      <c r="J2244" s="77"/>
      <c r="K2244" s="66"/>
      <c r="L2244" s="66"/>
      <c r="M2244" s="79" t="str">
        <f>HYPERLINK("http://www.pristavka.com/catalog/funko/Fun79711/")</f>
        <v>http://www.pristavka.com/catalog/funko/Fun79711/</v>
      </c>
      <c r="N2244" s="71">
        <v>9999</v>
      </c>
      <c r="O2244" s="66" t="s">
        <v>27</v>
      </c>
      <c r="P2244" s="82" t="s">
        <v>8723</v>
      </c>
      <c r="Q2244" s="84" t="s">
        <v>1594</v>
      </c>
      <c r="R2244" s="84" t="s">
        <v>1075</v>
      </c>
      <c r="S2244" s="84">
        <v>0.216</v>
      </c>
      <c r="T2244" s="82" t="s">
        <v>4091</v>
      </c>
      <c r="U2244" s="84" t="s">
        <v>3584</v>
      </c>
      <c r="V2244" s="54"/>
    </row>
    <row r="2245" spans="1:22" s="11" customFormat="1" ht="45" customHeight="1" x14ac:dyDescent="0.2">
      <c r="A2245" s="66" t="s">
        <v>3577</v>
      </c>
      <c r="B2245" s="66" t="s">
        <v>1707</v>
      </c>
      <c r="C2245" s="66" t="s">
        <v>3578</v>
      </c>
      <c r="D2245" s="66">
        <v>79718</v>
      </c>
      <c r="E2245" s="68" t="s">
        <v>8724</v>
      </c>
      <c r="F2245" s="66" t="s">
        <v>8725</v>
      </c>
      <c r="G2245" s="71">
        <v>6500</v>
      </c>
      <c r="H2245" s="73"/>
      <c r="I2245" s="75">
        <v>0.1</v>
      </c>
      <c r="J2245" s="77"/>
      <c r="K2245" s="66"/>
      <c r="L2245" s="66"/>
      <c r="M2245" s="79" t="str">
        <f>HYPERLINK("http://www.pristavka.com/catalog/funko/Fun79718/")</f>
        <v>http://www.pristavka.com/catalog/funko/Fun79718/</v>
      </c>
      <c r="N2245" s="71">
        <v>9999</v>
      </c>
      <c r="O2245" s="66" t="s">
        <v>27</v>
      </c>
      <c r="P2245" s="82" t="s">
        <v>8726</v>
      </c>
      <c r="Q2245" s="84" t="s">
        <v>1075</v>
      </c>
      <c r="R2245" s="84" t="s">
        <v>1075</v>
      </c>
      <c r="S2245" s="84">
        <v>0.16</v>
      </c>
      <c r="T2245" s="82" t="s">
        <v>4084</v>
      </c>
      <c r="U2245" s="84" t="s">
        <v>3584</v>
      </c>
      <c r="V2245" s="54"/>
    </row>
    <row r="2246" spans="1:22" s="11" customFormat="1" ht="45" customHeight="1" x14ac:dyDescent="0.2">
      <c r="A2246" s="66" t="s">
        <v>3577</v>
      </c>
      <c r="B2246" s="66" t="s">
        <v>1707</v>
      </c>
      <c r="C2246" s="66" t="s">
        <v>3578</v>
      </c>
      <c r="D2246" s="66">
        <v>75399</v>
      </c>
      <c r="E2246" s="68" t="s">
        <v>8727</v>
      </c>
      <c r="F2246" s="66" t="s">
        <v>8728</v>
      </c>
      <c r="G2246" s="71">
        <v>6500</v>
      </c>
      <c r="H2246" s="73"/>
      <c r="I2246" s="75">
        <v>0.1</v>
      </c>
      <c r="J2246" s="77"/>
      <c r="K2246" s="66"/>
      <c r="L2246" s="66"/>
      <c r="M2246" s="79" t="str">
        <f>HYPERLINK("http://www.pristavka.com/catalog/funko/Fun75399/")</f>
        <v>http://www.pristavka.com/catalog/funko/Fun75399/</v>
      </c>
      <c r="N2246" s="71">
        <v>9999</v>
      </c>
      <c r="O2246" s="66" t="s">
        <v>27</v>
      </c>
      <c r="P2246" s="82" t="s">
        <v>8729</v>
      </c>
      <c r="Q2246" s="84" t="s">
        <v>1075</v>
      </c>
      <c r="R2246" s="84" t="s">
        <v>1075</v>
      </c>
      <c r="S2246" s="84">
        <v>0.13600000000000001</v>
      </c>
      <c r="T2246" s="82" t="s">
        <v>4997</v>
      </c>
      <c r="U2246" s="84" t="s">
        <v>3584</v>
      </c>
      <c r="V2246" s="54"/>
    </row>
    <row r="2247" spans="1:22" s="11" customFormat="1" ht="45" customHeight="1" x14ac:dyDescent="0.2">
      <c r="A2247" s="66" t="s">
        <v>3577</v>
      </c>
      <c r="B2247" s="66" t="s">
        <v>1707</v>
      </c>
      <c r="C2247" s="66" t="s">
        <v>3578</v>
      </c>
      <c r="D2247" s="66">
        <v>75395</v>
      </c>
      <c r="E2247" s="68" t="s">
        <v>8730</v>
      </c>
      <c r="F2247" s="66" t="s">
        <v>8731</v>
      </c>
      <c r="G2247" s="71">
        <v>26000</v>
      </c>
      <c r="H2247" s="73"/>
      <c r="I2247" s="75">
        <v>0.1</v>
      </c>
      <c r="J2247" s="77"/>
      <c r="K2247" s="66"/>
      <c r="L2247" s="66"/>
      <c r="M2247" s="79" t="str">
        <f>HYPERLINK("http://www.pristavka.com/catalog/funko/Fun75395/")</f>
        <v>http://www.pristavka.com/catalog/funko/Fun75395/</v>
      </c>
      <c r="N2247" s="71">
        <v>39999</v>
      </c>
      <c r="O2247" s="66" t="s">
        <v>27</v>
      </c>
      <c r="P2247" s="82" t="s">
        <v>8732</v>
      </c>
      <c r="Q2247" s="84" t="s">
        <v>1594</v>
      </c>
      <c r="R2247" s="84" t="s">
        <v>1075</v>
      </c>
      <c r="S2247" s="84">
        <v>0.46</v>
      </c>
      <c r="T2247" s="82" t="s">
        <v>6583</v>
      </c>
      <c r="U2247" s="84" t="s">
        <v>3584</v>
      </c>
      <c r="V2247" s="54"/>
    </row>
    <row r="2248" spans="1:22" s="11" customFormat="1" ht="45" customHeight="1" x14ac:dyDescent="0.2">
      <c r="A2248" s="66" t="s">
        <v>3577</v>
      </c>
      <c r="B2248" s="66" t="s">
        <v>1707</v>
      </c>
      <c r="C2248" s="66" t="s">
        <v>3578</v>
      </c>
      <c r="D2248" s="66">
        <v>84023</v>
      </c>
      <c r="E2248" s="68" t="s">
        <v>8733</v>
      </c>
      <c r="F2248" s="66" t="s">
        <v>8734</v>
      </c>
      <c r="G2248" s="71">
        <v>0</v>
      </c>
      <c r="H2248" s="73"/>
      <c r="I2248" s="75">
        <v>0.1</v>
      </c>
      <c r="J2248" s="77"/>
      <c r="K2248" s="66"/>
      <c r="L2248" s="66"/>
      <c r="M2248" s="79" t="str">
        <f>HYPERLINK("http://www.pristavka.com/catalog/funko/Fun84023/")</f>
        <v>http://www.pristavka.com/catalog/funko/Fun84023/</v>
      </c>
      <c r="N2248" s="71"/>
      <c r="O2248" s="66" t="s">
        <v>27</v>
      </c>
      <c r="P2248" s="82" t="s">
        <v>8735</v>
      </c>
      <c r="Q2248" s="84" t="s">
        <v>1594</v>
      </c>
      <c r="R2248" s="84" t="s">
        <v>1075</v>
      </c>
      <c r="S2248" s="84">
        <v>0.56000000000000005</v>
      </c>
      <c r="T2248" s="82" t="s">
        <v>8736</v>
      </c>
      <c r="U2248" s="84" t="s">
        <v>3584</v>
      </c>
      <c r="V2248" s="54"/>
    </row>
    <row r="2249" spans="1:22" s="11" customFormat="1" ht="45" customHeight="1" x14ac:dyDescent="0.2">
      <c r="A2249" s="66" t="s">
        <v>3577</v>
      </c>
      <c r="B2249" s="66" t="s">
        <v>1707</v>
      </c>
      <c r="C2249" s="66" t="s">
        <v>3578</v>
      </c>
      <c r="D2249" s="66">
        <v>79815</v>
      </c>
      <c r="E2249" s="68" t="s">
        <v>8737</v>
      </c>
      <c r="F2249" s="66" t="s">
        <v>8738</v>
      </c>
      <c r="G2249" s="71">
        <v>0</v>
      </c>
      <c r="H2249" s="73"/>
      <c r="I2249" s="75">
        <v>0.1</v>
      </c>
      <c r="J2249" s="77"/>
      <c r="K2249" s="66"/>
      <c r="L2249" s="66"/>
      <c r="M2249" s="79" t="str">
        <f>HYPERLINK("http://www.pristavka.com/catalog/funko/Fun79815/")</f>
        <v>http://www.pristavka.com/catalog/funko/Fun79815/</v>
      </c>
      <c r="N2249" s="71"/>
      <c r="O2249" s="66" t="s">
        <v>27</v>
      </c>
      <c r="P2249" s="82" t="s">
        <v>8739</v>
      </c>
      <c r="Q2249" s="84" t="s">
        <v>1594</v>
      </c>
      <c r="R2249" s="84" t="s">
        <v>1075</v>
      </c>
      <c r="S2249" s="84">
        <v>0.28199999999999997</v>
      </c>
      <c r="T2249" s="82" t="s">
        <v>8740</v>
      </c>
      <c r="U2249" s="84" t="s">
        <v>3584</v>
      </c>
      <c r="V2249" s="54"/>
    </row>
    <row r="2250" spans="1:22" s="11" customFormat="1" ht="45" customHeight="1" x14ac:dyDescent="0.2">
      <c r="A2250" s="66" t="s">
        <v>3577</v>
      </c>
      <c r="B2250" s="66" t="s">
        <v>1707</v>
      </c>
      <c r="C2250" s="66" t="s">
        <v>3578</v>
      </c>
      <c r="D2250" s="66">
        <v>79709</v>
      </c>
      <c r="E2250" s="68" t="s">
        <v>8741</v>
      </c>
      <c r="F2250" s="66" t="s">
        <v>8742</v>
      </c>
      <c r="G2250" s="71">
        <v>25025</v>
      </c>
      <c r="H2250" s="73"/>
      <c r="I2250" s="75">
        <v>0.1</v>
      </c>
      <c r="J2250" s="77"/>
      <c r="K2250" s="66"/>
      <c r="L2250" s="66"/>
      <c r="M2250" s="79" t="str">
        <f>HYPERLINK("http://www.pristavka.com/catalog/funko/Fun79709/")</f>
        <v>http://www.pristavka.com/catalog/funko/Fun79709/</v>
      </c>
      <c r="N2250" s="71">
        <v>38499</v>
      </c>
      <c r="O2250" s="66" t="s">
        <v>27</v>
      </c>
      <c r="P2250" s="82" t="s">
        <v>8743</v>
      </c>
      <c r="Q2250" s="84" t="s">
        <v>1594</v>
      </c>
      <c r="R2250" s="84" t="s">
        <v>1075</v>
      </c>
      <c r="S2250" s="84">
        <v>0.47</v>
      </c>
      <c r="T2250" s="82" t="s">
        <v>8744</v>
      </c>
      <c r="U2250" s="84" t="s">
        <v>3584</v>
      </c>
      <c r="V2250" s="54"/>
    </row>
    <row r="2251" spans="1:22" s="11" customFormat="1" ht="45" customHeight="1" x14ac:dyDescent="0.2">
      <c r="A2251" s="66" t="s">
        <v>3577</v>
      </c>
      <c r="B2251" s="66" t="s">
        <v>1707</v>
      </c>
      <c r="C2251" s="66" t="s">
        <v>3578</v>
      </c>
      <c r="D2251" s="66">
        <v>83826</v>
      </c>
      <c r="E2251" s="68" t="s">
        <v>8745</v>
      </c>
      <c r="F2251" s="66" t="s">
        <v>8746</v>
      </c>
      <c r="G2251" s="71">
        <v>6500</v>
      </c>
      <c r="H2251" s="73"/>
      <c r="I2251" s="75">
        <v>0.1</v>
      </c>
      <c r="J2251" s="77"/>
      <c r="K2251" s="66"/>
      <c r="L2251" s="66"/>
      <c r="M2251" s="79" t="str">
        <f>HYPERLINK("http://www.pristavka.com/catalog/funko/Fun83826/")</f>
        <v>http://www.pristavka.com/catalog/funko/Fun83826/</v>
      </c>
      <c r="N2251" s="71">
        <v>9999</v>
      </c>
      <c r="O2251" s="66" t="s">
        <v>27</v>
      </c>
      <c r="P2251" s="82" t="s">
        <v>8747</v>
      </c>
      <c r="Q2251" s="84" t="s">
        <v>1594</v>
      </c>
      <c r="R2251" s="84" t="s">
        <v>1075</v>
      </c>
      <c r="S2251" s="84">
        <v>0.14000000000000001</v>
      </c>
      <c r="T2251" s="82" t="s">
        <v>4113</v>
      </c>
      <c r="U2251" s="84" t="s">
        <v>3584</v>
      </c>
      <c r="V2251" s="54"/>
    </row>
    <row r="2252" spans="1:22" s="11" customFormat="1" ht="45" customHeight="1" x14ac:dyDescent="0.2">
      <c r="A2252" s="66" t="s">
        <v>3577</v>
      </c>
      <c r="B2252" s="66" t="s">
        <v>1707</v>
      </c>
      <c r="C2252" s="66" t="s">
        <v>3578</v>
      </c>
      <c r="D2252" s="66">
        <v>79706</v>
      </c>
      <c r="E2252" s="68" t="s">
        <v>8748</v>
      </c>
      <c r="F2252" s="66" t="s">
        <v>8749</v>
      </c>
      <c r="G2252" s="71">
        <v>6500</v>
      </c>
      <c r="H2252" s="73"/>
      <c r="I2252" s="75">
        <v>0.1</v>
      </c>
      <c r="J2252" s="77"/>
      <c r="K2252" s="66"/>
      <c r="L2252" s="66"/>
      <c r="M2252" s="79" t="str">
        <f>HYPERLINK("http://www.pristavka.com/catalog/funko/Fun79706/")</f>
        <v>http://www.pristavka.com/catalog/funko/Fun79706/</v>
      </c>
      <c r="N2252" s="71">
        <v>9999</v>
      </c>
      <c r="O2252" s="66" t="s">
        <v>27</v>
      </c>
      <c r="P2252" s="82" t="s">
        <v>8750</v>
      </c>
      <c r="Q2252" s="84" t="s">
        <v>1075</v>
      </c>
      <c r="R2252" s="84" t="s">
        <v>1075</v>
      </c>
      <c r="S2252" s="84">
        <v>0.16400000000000001</v>
      </c>
      <c r="T2252" s="82" t="s">
        <v>4084</v>
      </c>
      <c r="U2252" s="84" t="s">
        <v>3584</v>
      </c>
      <c r="V2252" s="54"/>
    </row>
    <row r="2253" spans="1:22" s="11" customFormat="1" ht="45" customHeight="1" x14ac:dyDescent="0.2">
      <c r="A2253" s="66" t="s">
        <v>3577</v>
      </c>
      <c r="B2253" s="66" t="s">
        <v>1707</v>
      </c>
      <c r="C2253" s="66" t="s">
        <v>3578</v>
      </c>
      <c r="D2253" s="66">
        <v>83827</v>
      </c>
      <c r="E2253" s="68" t="s">
        <v>8751</v>
      </c>
      <c r="F2253" s="66" t="s">
        <v>8752</v>
      </c>
      <c r="G2253" s="71">
        <v>6500</v>
      </c>
      <c r="H2253" s="73"/>
      <c r="I2253" s="75">
        <v>0.1</v>
      </c>
      <c r="J2253" s="77"/>
      <c r="K2253" s="66"/>
      <c r="L2253" s="66"/>
      <c r="M2253" s="79" t="str">
        <f>HYPERLINK("http://www.pristavka.com/catalog/funko/Fun83827/")</f>
        <v>http://www.pristavka.com/catalog/funko/Fun83827/</v>
      </c>
      <c r="N2253" s="71">
        <v>9999</v>
      </c>
      <c r="O2253" s="66" t="s">
        <v>27</v>
      </c>
      <c r="P2253" s="82" t="s">
        <v>8753</v>
      </c>
      <c r="Q2253" s="84" t="s">
        <v>1075</v>
      </c>
      <c r="R2253" s="84" t="s">
        <v>1075</v>
      </c>
      <c r="S2253" s="84">
        <v>0.11600000000000001</v>
      </c>
      <c r="T2253" s="82" t="s">
        <v>4091</v>
      </c>
      <c r="U2253" s="84" t="s">
        <v>3584</v>
      </c>
      <c r="V2253" s="54"/>
    </row>
    <row r="2254" spans="1:22" s="11" customFormat="1" ht="45" customHeight="1" x14ac:dyDescent="0.2">
      <c r="A2254" s="66" t="s">
        <v>3577</v>
      </c>
      <c r="B2254" s="66" t="s">
        <v>1707</v>
      </c>
      <c r="C2254" s="66" t="s">
        <v>3578</v>
      </c>
      <c r="D2254" s="66">
        <v>65774</v>
      </c>
      <c r="E2254" s="68" t="s">
        <v>8754</v>
      </c>
      <c r="F2254" s="66" t="s">
        <v>8755</v>
      </c>
      <c r="G2254" s="71">
        <v>6500</v>
      </c>
      <c r="H2254" s="73"/>
      <c r="I2254" s="75">
        <v>0.1</v>
      </c>
      <c r="J2254" s="77"/>
      <c r="K2254" s="66"/>
      <c r="L2254" s="66"/>
      <c r="M2254" s="79" t="str">
        <f>HYPERLINK("http://www.pristavka.com/catalog/funko/Fun65774/")</f>
        <v>http://www.pristavka.com/catalog/funko/Fun65774/</v>
      </c>
      <c r="N2254" s="71">
        <v>9999</v>
      </c>
      <c r="O2254" s="66" t="s">
        <v>28</v>
      </c>
      <c r="P2254" s="82" t="s">
        <v>8756</v>
      </c>
      <c r="Q2254" s="84" t="s">
        <v>1075</v>
      </c>
      <c r="R2254" s="84" t="s">
        <v>1075</v>
      </c>
      <c r="S2254" s="84">
        <v>0.152</v>
      </c>
      <c r="T2254" s="82" t="s">
        <v>4370</v>
      </c>
      <c r="U2254" s="84" t="s">
        <v>3584</v>
      </c>
      <c r="V2254" s="54"/>
    </row>
    <row r="2255" spans="1:22" s="11" customFormat="1" ht="45" customHeight="1" x14ac:dyDescent="0.2">
      <c r="A2255" s="66" t="s">
        <v>3577</v>
      </c>
      <c r="B2255" s="66" t="s">
        <v>1707</v>
      </c>
      <c r="C2255" s="66" t="s">
        <v>3578</v>
      </c>
      <c r="D2255" s="66">
        <v>82870</v>
      </c>
      <c r="E2255" s="68" t="s">
        <v>8757</v>
      </c>
      <c r="F2255" s="66" t="s">
        <v>8758</v>
      </c>
      <c r="G2255" s="71">
        <v>0</v>
      </c>
      <c r="H2255" s="73"/>
      <c r="I2255" s="75">
        <v>0.1</v>
      </c>
      <c r="J2255" s="77"/>
      <c r="K2255" s="66"/>
      <c r="L2255" s="66"/>
      <c r="M2255" s="79" t="str">
        <f>HYPERLINK("http://www.pristavka.com/catalog/funko/Fun82870/")</f>
        <v>http://www.pristavka.com/catalog/funko/Fun82870/</v>
      </c>
      <c r="N2255" s="71"/>
      <c r="O2255" s="66" t="s">
        <v>27</v>
      </c>
      <c r="P2255" s="82" t="s">
        <v>8759</v>
      </c>
      <c r="Q2255" s="84" t="s">
        <v>6170</v>
      </c>
      <c r="R2255" s="84" t="s">
        <v>6171</v>
      </c>
      <c r="S2255" s="84">
        <v>0.24399999999999999</v>
      </c>
      <c r="T2255" s="82" t="s">
        <v>4363</v>
      </c>
      <c r="U2255" s="84" t="s">
        <v>3584</v>
      </c>
      <c r="V2255" s="54"/>
    </row>
    <row r="2256" spans="1:22" s="11" customFormat="1" ht="45" customHeight="1" x14ac:dyDescent="0.2">
      <c r="A2256" s="66" t="s">
        <v>3577</v>
      </c>
      <c r="B2256" s="66" t="s">
        <v>1707</v>
      </c>
      <c r="C2256" s="66" t="s">
        <v>3578</v>
      </c>
      <c r="D2256" s="66">
        <v>81701</v>
      </c>
      <c r="E2256" s="68" t="s">
        <v>8760</v>
      </c>
      <c r="F2256" s="66" t="s">
        <v>8761</v>
      </c>
      <c r="G2256" s="71">
        <v>6890</v>
      </c>
      <c r="H2256" s="73"/>
      <c r="I2256" s="75">
        <v>0.1</v>
      </c>
      <c r="J2256" s="77"/>
      <c r="K2256" s="66"/>
      <c r="L2256" s="66"/>
      <c r="M2256" s="79" t="str">
        <f>HYPERLINK("http://www.pristavka.com/catalog/funko/Fun81701/")</f>
        <v>http://www.pristavka.com/catalog/funko/Fun81701/</v>
      </c>
      <c r="N2256" s="71">
        <v>10599</v>
      </c>
      <c r="O2256" s="66" t="s">
        <v>27</v>
      </c>
      <c r="P2256" s="82" t="s">
        <v>8762</v>
      </c>
      <c r="Q2256" s="84" t="s">
        <v>6171</v>
      </c>
      <c r="R2256" s="84" t="s">
        <v>6171</v>
      </c>
      <c r="S2256" s="84">
        <v>0.15</v>
      </c>
      <c r="T2256" s="82" t="s">
        <v>4113</v>
      </c>
      <c r="U2256" s="84" t="s">
        <v>3584</v>
      </c>
      <c r="V2256" s="54"/>
    </row>
    <row r="2257" spans="1:22" s="11" customFormat="1" ht="45" customHeight="1" x14ac:dyDescent="0.2">
      <c r="A2257" s="66" t="s">
        <v>3577</v>
      </c>
      <c r="B2257" s="66" t="s">
        <v>1707</v>
      </c>
      <c r="C2257" s="66" t="s">
        <v>3578</v>
      </c>
      <c r="D2257" s="66">
        <v>80583</v>
      </c>
      <c r="E2257" s="68" t="s">
        <v>8763</v>
      </c>
      <c r="F2257" s="66" t="s">
        <v>8764</v>
      </c>
      <c r="G2257" s="71">
        <v>0</v>
      </c>
      <c r="H2257" s="73"/>
      <c r="I2257" s="75">
        <v>0.1</v>
      </c>
      <c r="J2257" s="77"/>
      <c r="K2257" s="66"/>
      <c r="L2257" s="66"/>
      <c r="M2257" s="79" t="str">
        <f>HYPERLINK("http://www.pristavka.com/catalog/funko/Fun80207/Fun80583/")</f>
        <v>http://www.pristavka.com/catalog/funko/Fun80207/Fun80583/</v>
      </c>
      <c r="N2257" s="71"/>
      <c r="O2257" s="66" t="s">
        <v>27</v>
      </c>
      <c r="P2257" s="82" t="s">
        <v>8765</v>
      </c>
      <c r="Q2257" s="84" t="s">
        <v>6765</v>
      </c>
      <c r="R2257" s="84" t="s">
        <v>6765</v>
      </c>
      <c r="S2257" s="84">
        <v>0.66200000000000003</v>
      </c>
      <c r="T2257" s="82" t="s">
        <v>8766</v>
      </c>
      <c r="U2257" s="84" t="s">
        <v>3691</v>
      </c>
      <c r="V2257" s="54"/>
    </row>
    <row r="2258" spans="1:22" s="11" customFormat="1" ht="45" customHeight="1" x14ac:dyDescent="0.2">
      <c r="A2258" s="66" t="s">
        <v>3577</v>
      </c>
      <c r="B2258" s="66" t="s">
        <v>1707</v>
      </c>
      <c r="C2258" s="66" t="s">
        <v>3578</v>
      </c>
      <c r="D2258" s="66">
        <v>73717</v>
      </c>
      <c r="E2258" s="68" t="s">
        <v>8767</v>
      </c>
      <c r="F2258" s="66" t="s">
        <v>8768</v>
      </c>
      <c r="G2258" s="71">
        <v>18200</v>
      </c>
      <c r="H2258" s="73"/>
      <c r="I2258" s="75">
        <v>0.1</v>
      </c>
      <c r="J2258" s="77"/>
      <c r="K2258" s="66"/>
      <c r="L2258" s="66"/>
      <c r="M2258" s="79" t="str">
        <f>HYPERLINK("http://www.pristavka.com/catalog/funko/Fun73717/")</f>
        <v>http://www.pristavka.com/catalog/funko/Fun73717/</v>
      </c>
      <c r="N2258" s="71">
        <v>27999</v>
      </c>
      <c r="O2258" s="66" t="s">
        <v>28</v>
      </c>
      <c r="P2258" s="82" t="s">
        <v>8769</v>
      </c>
      <c r="Q2258" s="84" t="s">
        <v>6255</v>
      </c>
      <c r="R2258" s="84" t="s">
        <v>1315</v>
      </c>
      <c r="S2258" s="84">
        <v>0.86</v>
      </c>
      <c r="T2258" s="82" t="s">
        <v>7389</v>
      </c>
      <c r="U2258" s="84" t="s">
        <v>3584</v>
      </c>
      <c r="V2258" s="54"/>
    </row>
    <row r="2259" spans="1:22" s="11" customFormat="1" ht="45" customHeight="1" x14ac:dyDescent="0.2">
      <c r="A2259" s="66" t="s">
        <v>3577</v>
      </c>
      <c r="B2259" s="66" t="s">
        <v>1707</v>
      </c>
      <c r="C2259" s="66" t="s">
        <v>3578</v>
      </c>
      <c r="D2259" s="66">
        <v>80021</v>
      </c>
      <c r="E2259" s="68" t="s">
        <v>8770</v>
      </c>
      <c r="F2259" s="66" t="s">
        <v>8771</v>
      </c>
      <c r="G2259" s="71">
        <v>0</v>
      </c>
      <c r="H2259" s="73"/>
      <c r="I2259" s="75">
        <v>0.1</v>
      </c>
      <c r="J2259" s="77"/>
      <c r="K2259" s="66"/>
      <c r="L2259" s="66"/>
      <c r="M2259" s="79" t="str">
        <f>HYPERLINK("http://www.pristavka.com/catalog/funko/Fun80021/")</f>
        <v>http://www.pristavka.com/catalog/funko/Fun80021/</v>
      </c>
      <c r="N2259" s="71"/>
      <c r="O2259" s="66" t="s">
        <v>27</v>
      </c>
      <c r="P2259" s="82" t="s">
        <v>8772</v>
      </c>
      <c r="Q2259" s="84" t="s">
        <v>1102</v>
      </c>
      <c r="R2259" s="84" t="s">
        <v>1103</v>
      </c>
      <c r="S2259" s="84">
        <v>0.62</v>
      </c>
      <c r="T2259" s="82" t="s">
        <v>8773</v>
      </c>
      <c r="U2259" s="84" t="s">
        <v>3584</v>
      </c>
      <c r="V2259" s="54"/>
    </row>
    <row r="2260" spans="1:22" s="11" customFormat="1" ht="45" customHeight="1" x14ac:dyDescent="0.2">
      <c r="A2260" s="66" t="s">
        <v>3577</v>
      </c>
      <c r="B2260" s="66" t="s">
        <v>1707</v>
      </c>
      <c r="C2260" s="66" t="s">
        <v>3578</v>
      </c>
      <c r="D2260" s="66">
        <v>80042</v>
      </c>
      <c r="E2260" s="68" t="s">
        <v>8774</v>
      </c>
      <c r="F2260" s="66" t="s">
        <v>8775</v>
      </c>
      <c r="G2260" s="71">
        <v>0</v>
      </c>
      <c r="H2260" s="73"/>
      <c r="I2260" s="75">
        <v>0.1</v>
      </c>
      <c r="J2260" s="77"/>
      <c r="K2260" s="66"/>
      <c r="L2260" s="66"/>
      <c r="M2260" s="79" t="str">
        <f>HYPERLINK("http://www.pristavka.com/catalog/funko/Fun80042/")</f>
        <v>http://www.pristavka.com/catalog/funko/Fun80042/</v>
      </c>
      <c r="N2260" s="71"/>
      <c r="O2260" s="66" t="s">
        <v>28</v>
      </c>
      <c r="P2260" s="82" t="s">
        <v>8776</v>
      </c>
      <c r="Q2260" s="84" t="s">
        <v>8777</v>
      </c>
      <c r="R2260" s="84" t="s">
        <v>3992</v>
      </c>
      <c r="S2260" s="84">
        <v>0.60799999999999998</v>
      </c>
      <c r="T2260" s="82" t="s">
        <v>8778</v>
      </c>
      <c r="U2260" s="84" t="s">
        <v>3584</v>
      </c>
      <c r="V2260" s="54"/>
    </row>
    <row r="2261" spans="1:22" s="11" customFormat="1" ht="45" customHeight="1" x14ac:dyDescent="0.2">
      <c r="A2261" s="66" t="s">
        <v>3577</v>
      </c>
      <c r="B2261" s="66" t="s">
        <v>1707</v>
      </c>
      <c r="C2261" s="66" t="s">
        <v>3578</v>
      </c>
      <c r="D2261" s="66">
        <v>80835</v>
      </c>
      <c r="E2261" s="68" t="s">
        <v>8779</v>
      </c>
      <c r="F2261" s="66" t="s">
        <v>8780</v>
      </c>
      <c r="G2261" s="71">
        <v>16412</v>
      </c>
      <c r="H2261" s="73"/>
      <c r="I2261" s="75">
        <v>0.1</v>
      </c>
      <c r="J2261" s="77"/>
      <c r="K2261" s="66"/>
      <c r="L2261" s="66"/>
      <c r="M2261" s="79" t="str">
        <f>HYPERLINK("http://www.pristavka.com/catalog/funko/Fun80835/")</f>
        <v>http://www.pristavka.com/catalog/funko/Fun80835/</v>
      </c>
      <c r="N2261" s="71">
        <v>24999</v>
      </c>
      <c r="O2261" s="66" t="s">
        <v>27</v>
      </c>
      <c r="P2261" s="82" t="s">
        <v>8781</v>
      </c>
      <c r="Q2261" s="84" t="s">
        <v>3502</v>
      </c>
      <c r="R2261" s="84" t="s">
        <v>1303</v>
      </c>
      <c r="S2261" s="84">
        <v>0.63500000000000001</v>
      </c>
      <c r="T2261" s="82" t="s">
        <v>8782</v>
      </c>
      <c r="U2261" s="84" t="s">
        <v>3584</v>
      </c>
      <c r="V2261" s="54"/>
    </row>
    <row r="2262" spans="1:22" s="11" customFormat="1" ht="45" customHeight="1" x14ac:dyDescent="0.2">
      <c r="A2262" s="66" t="s">
        <v>3577</v>
      </c>
      <c r="B2262" s="66" t="s">
        <v>1707</v>
      </c>
      <c r="C2262" s="66" t="s">
        <v>3578</v>
      </c>
      <c r="D2262" s="66">
        <v>83787</v>
      </c>
      <c r="E2262" s="68" t="s">
        <v>8783</v>
      </c>
      <c r="F2262" s="66" t="s">
        <v>8784</v>
      </c>
      <c r="G2262" s="71">
        <v>0</v>
      </c>
      <c r="H2262" s="73"/>
      <c r="I2262" s="75">
        <v>0.1</v>
      </c>
      <c r="J2262" s="77"/>
      <c r="K2262" s="66"/>
      <c r="L2262" s="66"/>
      <c r="M2262" s="79" t="str">
        <f>HYPERLINK("http://www.pristavka.com/catalog/funko/Fun83787/")</f>
        <v>http://www.pristavka.com/catalog/funko/Fun83787/</v>
      </c>
      <c r="N2262" s="71"/>
      <c r="O2262" s="66" t="s">
        <v>27</v>
      </c>
      <c r="P2262" s="82" t="s">
        <v>8785</v>
      </c>
      <c r="Q2262" s="84" t="s">
        <v>3502</v>
      </c>
      <c r="R2262" s="84" t="s">
        <v>1303</v>
      </c>
      <c r="S2262" s="84">
        <v>0.52600000000000002</v>
      </c>
      <c r="T2262" s="82" t="s">
        <v>8786</v>
      </c>
      <c r="U2262" s="84" t="s">
        <v>3584</v>
      </c>
      <c r="V2262" s="54"/>
    </row>
    <row r="2263" spans="1:22" s="11" customFormat="1" ht="45" customHeight="1" x14ac:dyDescent="0.2">
      <c r="A2263" s="66" t="s">
        <v>3577</v>
      </c>
      <c r="B2263" s="66" t="s">
        <v>1707</v>
      </c>
      <c r="C2263" s="66" t="s">
        <v>3578</v>
      </c>
      <c r="D2263" s="66">
        <v>75978</v>
      </c>
      <c r="E2263" s="68" t="s">
        <v>8787</v>
      </c>
      <c r="F2263" s="66" t="s">
        <v>8788</v>
      </c>
      <c r="G2263" s="71">
        <v>16900</v>
      </c>
      <c r="H2263" s="73"/>
      <c r="I2263" s="75">
        <v>0.1</v>
      </c>
      <c r="J2263" s="77"/>
      <c r="K2263" s="66"/>
      <c r="L2263" s="66"/>
      <c r="M2263" s="79" t="str">
        <f>HYPERLINK("http://www.pristavka.com/catalog/funko/Fun75978/")</f>
        <v>http://www.pristavka.com/catalog/funko/Fun75978/</v>
      </c>
      <c r="N2263" s="71">
        <v>25999</v>
      </c>
      <c r="O2263" s="66" t="s">
        <v>27</v>
      </c>
      <c r="P2263" s="82" t="s">
        <v>8789</v>
      </c>
      <c r="Q2263" s="84" t="s">
        <v>8136</v>
      </c>
      <c r="R2263" s="84" t="s">
        <v>7946</v>
      </c>
      <c r="S2263" s="84">
        <v>0.64</v>
      </c>
      <c r="T2263" s="82" t="s">
        <v>8790</v>
      </c>
      <c r="U2263" s="84" t="s">
        <v>3584</v>
      </c>
      <c r="V2263" s="54"/>
    </row>
    <row r="2264" spans="1:22" s="11" customFormat="1" ht="45" customHeight="1" x14ac:dyDescent="0.2">
      <c r="A2264" s="66" t="s">
        <v>3577</v>
      </c>
      <c r="B2264" s="66" t="s">
        <v>1707</v>
      </c>
      <c r="C2264" s="66" t="s">
        <v>3578</v>
      </c>
      <c r="D2264" s="66">
        <v>81208</v>
      </c>
      <c r="E2264" s="68" t="s">
        <v>8791</v>
      </c>
      <c r="F2264" s="66" t="s">
        <v>8792</v>
      </c>
      <c r="G2264" s="71">
        <v>16900</v>
      </c>
      <c r="H2264" s="73"/>
      <c r="I2264" s="75">
        <v>0.1</v>
      </c>
      <c r="J2264" s="77"/>
      <c r="K2264" s="66"/>
      <c r="L2264" s="66"/>
      <c r="M2264" s="79" t="str">
        <f>HYPERLINK("http://www.pristavka.com/catalog/funko/Fun81208/")</f>
        <v>http://www.pristavka.com/catalog/funko/Fun81208/</v>
      </c>
      <c r="N2264" s="71">
        <v>25999</v>
      </c>
      <c r="O2264" s="66" t="s">
        <v>27</v>
      </c>
      <c r="P2264" s="82" t="s">
        <v>8793</v>
      </c>
      <c r="Q2264" s="84" t="s">
        <v>8794</v>
      </c>
      <c r="R2264" s="84" t="s">
        <v>7946</v>
      </c>
      <c r="S2264" s="84">
        <v>0.59</v>
      </c>
      <c r="T2264" s="82" t="s">
        <v>8795</v>
      </c>
      <c r="U2264" s="84" t="s">
        <v>3584</v>
      </c>
      <c r="V2264" s="54"/>
    </row>
    <row r="2265" spans="1:22" s="11" customFormat="1" ht="45" customHeight="1" x14ac:dyDescent="0.2">
      <c r="A2265" s="66" t="s">
        <v>3577</v>
      </c>
      <c r="B2265" s="66" t="s">
        <v>1707</v>
      </c>
      <c r="C2265" s="66" t="s">
        <v>3578</v>
      </c>
      <c r="D2265" s="66">
        <v>80932</v>
      </c>
      <c r="E2265" s="68" t="s">
        <v>8796</v>
      </c>
      <c r="F2265" s="66" t="s">
        <v>8797</v>
      </c>
      <c r="G2265" s="71">
        <v>0</v>
      </c>
      <c r="H2265" s="73"/>
      <c r="I2265" s="75">
        <v>0.1</v>
      </c>
      <c r="J2265" s="77"/>
      <c r="K2265" s="66"/>
      <c r="L2265" s="66"/>
      <c r="M2265" s="79" t="str">
        <f>HYPERLINK("http://www.pristavka.com/catalog/funko/Fun80932/")</f>
        <v>http://www.pristavka.com/catalog/funko/Fun80932/</v>
      </c>
      <c r="N2265" s="71"/>
      <c r="O2265" s="66" t="s">
        <v>27</v>
      </c>
      <c r="P2265" s="82" t="s">
        <v>8798</v>
      </c>
      <c r="Q2265" s="84" t="s">
        <v>3821</v>
      </c>
      <c r="R2265" s="84" t="s">
        <v>1315</v>
      </c>
      <c r="S2265" s="84">
        <v>0.87</v>
      </c>
      <c r="T2265" s="82" t="s">
        <v>7389</v>
      </c>
      <c r="U2265" s="84" t="s">
        <v>3584</v>
      </c>
      <c r="V2265" s="54"/>
    </row>
    <row r="2266" spans="1:22" s="11" customFormat="1" ht="45" customHeight="1" x14ac:dyDescent="0.2">
      <c r="A2266" s="66" t="s">
        <v>3577</v>
      </c>
      <c r="B2266" s="66" t="s">
        <v>1707</v>
      </c>
      <c r="C2266" s="66" t="s">
        <v>3578</v>
      </c>
      <c r="D2266" s="66">
        <v>79751</v>
      </c>
      <c r="E2266" s="68" t="s">
        <v>8799</v>
      </c>
      <c r="F2266" s="66" t="s">
        <v>8800</v>
      </c>
      <c r="G2266" s="71">
        <v>0</v>
      </c>
      <c r="H2266" s="73"/>
      <c r="I2266" s="75">
        <v>0.1</v>
      </c>
      <c r="J2266" s="77"/>
      <c r="K2266" s="66"/>
      <c r="L2266" s="66"/>
      <c r="M2266" s="79" t="str">
        <f>HYPERLINK("http://www.pristavka.com/catalog/funko/Fun79751/")</f>
        <v>http://www.pristavka.com/catalog/funko/Fun79751/</v>
      </c>
      <c r="N2266" s="71"/>
      <c r="O2266" s="66" t="s">
        <v>27</v>
      </c>
      <c r="P2266" s="82" t="s">
        <v>8801</v>
      </c>
      <c r="Q2266" s="84" t="s">
        <v>3686</v>
      </c>
      <c r="R2266" s="84" t="s">
        <v>1212</v>
      </c>
      <c r="S2266" s="84">
        <v>0.745</v>
      </c>
      <c r="T2266" s="82" t="s">
        <v>8802</v>
      </c>
      <c r="U2266" s="84" t="s">
        <v>3584</v>
      </c>
      <c r="V2266" s="54"/>
    </row>
    <row r="2267" spans="1:22" s="11" customFormat="1" ht="45" customHeight="1" x14ac:dyDescent="0.2">
      <c r="A2267" s="66" t="s">
        <v>3577</v>
      </c>
      <c r="B2267" s="66" t="s">
        <v>1707</v>
      </c>
      <c r="C2267" s="66" t="s">
        <v>3578</v>
      </c>
      <c r="D2267" s="66">
        <v>81209</v>
      </c>
      <c r="E2267" s="68" t="s">
        <v>8803</v>
      </c>
      <c r="F2267" s="66" t="s">
        <v>8804</v>
      </c>
      <c r="G2267" s="71">
        <v>6500</v>
      </c>
      <c r="H2267" s="73"/>
      <c r="I2267" s="75">
        <v>0.1</v>
      </c>
      <c r="J2267" s="77"/>
      <c r="K2267" s="66"/>
      <c r="L2267" s="66"/>
      <c r="M2267" s="79" t="str">
        <f>HYPERLINK("http://www.pristavka.com/catalog/funko/Fun81209/")</f>
        <v>http://www.pristavka.com/catalog/funko/Fun81209/</v>
      </c>
      <c r="N2267" s="71">
        <v>9999</v>
      </c>
      <c r="O2267" s="66" t="s">
        <v>27</v>
      </c>
      <c r="P2267" s="82" t="s">
        <v>8805</v>
      </c>
      <c r="Q2267" s="84" t="s">
        <v>8794</v>
      </c>
      <c r="R2267" s="84" t="s">
        <v>7946</v>
      </c>
      <c r="S2267" s="84">
        <v>0.52500000000000002</v>
      </c>
      <c r="T2267" s="82" t="s">
        <v>8795</v>
      </c>
      <c r="U2267" s="84" t="s">
        <v>3584</v>
      </c>
      <c r="V2267" s="54"/>
    </row>
    <row r="2268" spans="1:22" s="11" customFormat="1" ht="45" customHeight="1" x14ac:dyDescent="0.2">
      <c r="A2268" s="66" t="s">
        <v>3577</v>
      </c>
      <c r="B2268" s="66" t="s">
        <v>1707</v>
      </c>
      <c r="C2268" s="66" t="s">
        <v>3578</v>
      </c>
      <c r="D2268" s="66">
        <v>81210</v>
      </c>
      <c r="E2268" s="68" t="s">
        <v>8806</v>
      </c>
      <c r="F2268" s="66" t="s">
        <v>8807</v>
      </c>
      <c r="G2268" s="71">
        <v>6500</v>
      </c>
      <c r="H2268" s="73"/>
      <c r="I2268" s="75">
        <v>0.1</v>
      </c>
      <c r="J2268" s="77"/>
      <c r="K2268" s="66"/>
      <c r="L2268" s="66"/>
      <c r="M2268" s="79" t="str">
        <f>HYPERLINK("http://www.pristavka.com/catalog/funko/Fun81210/")</f>
        <v>http://www.pristavka.com/catalog/funko/Fun81210/</v>
      </c>
      <c r="N2268" s="71">
        <v>9999</v>
      </c>
      <c r="O2268" s="66" t="s">
        <v>27</v>
      </c>
      <c r="P2268" s="82" t="s">
        <v>8808</v>
      </c>
      <c r="Q2268" s="84" t="s">
        <v>8794</v>
      </c>
      <c r="R2268" s="84" t="s">
        <v>7946</v>
      </c>
      <c r="S2268" s="84">
        <v>0.125</v>
      </c>
      <c r="T2268" s="82" t="s">
        <v>4113</v>
      </c>
      <c r="U2268" s="84" t="s">
        <v>3584</v>
      </c>
      <c r="V2268" s="54"/>
    </row>
    <row r="2269" spans="1:22" s="11" customFormat="1" ht="45" customHeight="1" x14ac:dyDescent="0.2">
      <c r="A2269" s="66" t="s">
        <v>3577</v>
      </c>
      <c r="B2269" s="66" t="s">
        <v>1707</v>
      </c>
      <c r="C2269" s="66" t="s">
        <v>3578</v>
      </c>
      <c r="D2269" s="66">
        <v>82389</v>
      </c>
      <c r="E2269" s="68" t="s">
        <v>8809</v>
      </c>
      <c r="F2269" s="66" t="s">
        <v>8810</v>
      </c>
      <c r="G2269" s="71">
        <v>6890</v>
      </c>
      <c r="H2269" s="73"/>
      <c r="I2269" s="75">
        <v>0.1</v>
      </c>
      <c r="J2269" s="77"/>
      <c r="K2269" s="66"/>
      <c r="L2269" s="66"/>
      <c r="M2269" s="79" t="str">
        <f>HYPERLINK("http://www.pristavka.com/catalog/funko/Fun82389/")</f>
        <v>http://www.pristavka.com/catalog/funko/Fun82389/</v>
      </c>
      <c r="N2269" s="71">
        <v>10599</v>
      </c>
      <c r="O2269" s="66" t="s">
        <v>27</v>
      </c>
      <c r="P2269" s="82" t="s">
        <v>8811</v>
      </c>
      <c r="Q2269" s="84" t="s">
        <v>8794</v>
      </c>
      <c r="R2269" s="84" t="s">
        <v>7946</v>
      </c>
      <c r="S2269" s="84">
        <v>0.125</v>
      </c>
      <c r="T2269" s="82" t="s">
        <v>4084</v>
      </c>
      <c r="U2269" s="84" t="s">
        <v>3584</v>
      </c>
      <c r="V2269" s="54"/>
    </row>
    <row r="2270" spans="1:22" s="11" customFormat="1" ht="45" customHeight="1" x14ac:dyDescent="0.2">
      <c r="A2270" s="66" t="s">
        <v>3577</v>
      </c>
      <c r="B2270" s="66" t="s">
        <v>1707</v>
      </c>
      <c r="C2270" s="66" t="s">
        <v>3578</v>
      </c>
      <c r="D2270" s="66">
        <v>75648</v>
      </c>
      <c r="E2270" s="68" t="s">
        <v>8812</v>
      </c>
      <c r="F2270" s="66" t="s">
        <v>8813</v>
      </c>
      <c r="G2270" s="71">
        <v>6500</v>
      </c>
      <c r="H2270" s="73"/>
      <c r="I2270" s="75">
        <v>0.1</v>
      </c>
      <c r="J2270" s="77"/>
      <c r="K2270" s="66"/>
      <c r="L2270" s="66"/>
      <c r="M2270" s="79" t="str">
        <f>HYPERLINK("http://www.pristavka.com/catalog/funko/Fun75648/")</f>
        <v>http://www.pristavka.com/catalog/funko/Fun75648/</v>
      </c>
      <c r="N2270" s="71">
        <v>9999</v>
      </c>
      <c r="O2270" s="66" t="s">
        <v>27</v>
      </c>
      <c r="P2270" s="82" t="s">
        <v>8814</v>
      </c>
      <c r="Q2270" s="84" t="s">
        <v>8815</v>
      </c>
      <c r="R2270" s="84" t="s">
        <v>3327</v>
      </c>
      <c r="S2270" s="84">
        <v>0.13800000000000001</v>
      </c>
      <c r="T2270" s="82" t="s">
        <v>4113</v>
      </c>
      <c r="U2270" s="84" t="s">
        <v>3584</v>
      </c>
      <c r="V2270" s="54"/>
    </row>
    <row r="2271" spans="1:22" s="11" customFormat="1" ht="45" customHeight="1" x14ac:dyDescent="0.2">
      <c r="A2271" s="66" t="s">
        <v>3577</v>
      </c>
      <c r="B2271" s="66" t="s">
        <v>1707</v>
      </c>
      <c r="C2271" s="66" t="s">
        <v>3578</v>
      </c>
      <c r="D2271" s="66">
        <v>80193</v>
      </c>
      <c r="E2271" s="68" t="s">
        <v>8816</v>
      </c>
      <c r="F2271" s="66" t="s">
        <v>8817</v>
      </c>
      <c r="G2271" s="71">
        <v>6500</v>
      </c>
      <c r="H2271" s="73"/>
      <c r="I2271" s="75">
        <v>0.1</v>
      </c>
      <c r="J2271" s="77"/>
      <c r="K2271" s="66"/>
      <c r="L2271" s="66"/>
      <c r="M2271" s="79" t="str">
        <f>HYPERLINK("http://www.pristavka.com/catalog/funko/Fun80193/")</f>
        <v>http://www.pristavka.com/catalog/funko/Fun80193/</v>
      </c>
      <c r="N2271" s="71">
        <v>9999</v>
      </c>
      <c r="O2271" s="66" t="s">
        <v>27</v>
      </c>
      <c r="P2271" s="82" t="s">
        <v>8818</v>
      </c>
      <c r="Q2271" s="84" t="s">
        <v>8815</v>
      </c>
      <c r="R2271" s="84" t="s">
        <v>3327</v>
      </c>
      <c r="S2271" s="84">
        <v>0.156</v>
      </c>
      <c r="T2271" s="82" t="s">
        <v>4091</v>
      </c>
      <c r="U2271" s="84" t="s">
        <v>3584</v>
      </c>
      <c r="V2271" s="54"/>
    </row>
    <row r="2272" spans="1:22" s="11" customFormat="1" ht="45" customHeight="1" x14ac:dyDescent="0.2">
      <c r="A2272" s="66" t="s">
        <v>3577</v>
      </c>
      <c r="B2272" s="66" t="s">
        <v>1707</v>
      </c>
      <c r="C2272" s="66" t="s">
        <v>3578</v>
      </c>
      <c r="D2272" s="66">
        <v>80167</v>
      </c>
      <c r="E2272" s="68" t="s">
        <v>8819</v>
      </c>
      <c r="F2272" s="66" t="s">
        <v>8820</v>
      </c>
      <c r="G2272" s="71">
        <v>6500</v>
      </c>
      <c r="H2272" s="73"/>
      <c r="I2272" s="75">
        <v>0.1</v>
      </c>
      <c r="J2272" s="77"/>
      <c r="K2272" s="66"/>
      <c r="L2272" s="66"/>
      <c r="M2272" s="79" t="str">
        <f>HYPERLINK("http://www.pristavka.com/catalog/funko/Fun80167/")</f>
        <v>http://www.pristavka.com/catalog/funko/Fun80167/</v>
      </c>
      <c r="N2272" s="71">
        <v>9999</v>
      </c>
      <c r="O2272" s="66" t="s">
        <v>27</v>
      </c>
      <c r="P2272" s="82" t="s">
        <v>8821</v>
      </c>
      <c r="Q2272" s="84" t="s">
        <v>8822</v>
      </c>
      <c r="R2272" s="84" t="s">
        <v>1298</v>
      </c>
      <c r="S2272" s="84">
        <v>0.13</v>
      </c>
      <c r="T2272" s="82" t="s">
        <v>4084</v>
      </c>
      <c r="U2272" s="84" t="s">
        <v>3584</v>
      </c>
      <c r="V2272" s="54"/>
    </row>
    <row r="2273" spans="1:22" s="11" customFormat="1" ht="45" customHeight="1" x14ac:dyDescent="0.2">
      <c r="A2273" s="66" t="s">
        <v>3577</v>
      </c>
      <c r="B2273" s="66" t="s">
        <v>1707</v>
      </c>
      <c r="C2273" s="66" t="s">
        <v>3578</v>
      </c>
      <c r="D2273" s="66">
        <v>80168</v>
      </c>
      <c r="E2273" s="68" t="s">
        <v>8823</v>
      </c>
      <c r="F2273" s="66" t="s">
        <v>8824</v>
      </c>
      <c r="G2273" s="71">
        <v>6500</v>
      </c>
      <c r="H2273" s="73"/>
      <c r="I2273" s="75">
        <v>0.1</v>
      </c>
      <c r="J2273" s="77"/>
      <c r="K2273" s="66"/>
      <c r="L2273" s="66"/>
      <c r="M2273" s="79" t="str">
        <f>HYPERLINK("http://www.pristavka.com/catalog/funko/Fun80168/")</f>
        <v>http://www.pristavka.com/catalog/funko/Fun80168/</v>
      </c>
      <c r="N2273" s="71">
        <v>9999</v>
      </c>
      <c r="O2273" s="66" t="s">
        <v>27</v>
      </c>
      <c r="P2273" s="82" t="s">
        <v>8825</v>
      </c>
      <c r="Q2273" s="84" t="s">
        <v>8822</v>
      </c>
      <c r="R2273" s="84" t="s">
        <v>1298</v>
      </c>
      <c r="S2273" s="84">
        <v>0.125</v>
      </c>
      <c r="T2273" s="82" t="s">
        <v>4113</v>
      </c>
      <c r="U2273" s="84" t="s">
        <v>3584</v>
      </c>
      <c r="V2273" s="54"/>
    </row>
    <row r="2274" spans="1:22" s="11" customFormat="1" ht="45" customHeight="1" x14ac:dyDescent="0.2">
      <c r="A2274" s="66" t="s">
        <v>3577</v>
      </c>
      <c r="B2274" s="66" t="s">
        <v>1707</v>
      </c>
      <c r="C2274" s="66" t="s">
        <v>3578</v>
      </c>
      <c r="D2274" s="66">
        <v>85082</v>
      </c>
      <c r="E2274" s="68" t="s">
        <v>8826</v>
      </c>
      <c r="F2274" s="66" t="s">
        <v>8827</v>
      </c>
      <c r="G2274" s="71">
        <v>0</v>
      </c>
      <c r="H2274" s="73"/>
      <c r="I2274" s="75">
        <v>0.1</v>
      </c>
      <c r="J2274" s="77"/>
      <c r="K2274" s="66"/>
      <c r="L2274" s="66"/>
      <c r="M2274" s="79" t="str">
        <f>HYPERLINK("http://www.pristavka.com/catalog/funko/Fun85082/")</f>
        <v>http://www.pristavka.com/catalog/funko/Fun85082/</v>
      </c>
      <c r="N2274" s="71"/>
      <c r="O2274" s="66" t="s">
        <v>28</v>
      </c>
      <c r="P2274" s="82" t="s">
        <v>8828</v>
      </c>
      <c r="Q2274" s="84" t="s">
        <v>8822</v>
      </c>
      <c r="R2274" s="84" t="s">
        <v>1298</v>
      </c>
      <c r="S2274" s="84">
        <v>0.126</v>
      </c>
      <c r="T2274" s="82" t="s">
        <v>4084</v>
      </c>
      <c r="U2274" s="84" t="s">
        <v>3584</v>
      </c>
      <c r="V2274" s="54"/>
    </row>
    <row r="2275" spans="1:22" s="11" customFormat="1" ht="45" customHeight="1" x14ac:dyDescent="0.2">
      <c r="A2275" s="66" t="s">
        <v>3577</v>
      </c>
      <c r="B2275" s="66" t="s">
        <v>1707</v>
      </c>
      <c r="C2275" s="66" t="s">
        <v>3578</v>
      </c>
      <c r="D2275" s="66">
        <v>80169</v>
      </c>
      <c r="E2275" s="68" t="s">
        <v>8829</v>
      </c>
      <c r="F2275" s="66" t="s">
        <v>8830</v>
      </c>
      <c r="G2275" s="71">
        <v>6500</v>
      </c>
      <c r="H2275" s="73"/>
      <c r="I2275" s="75">
        <v>0.1</v>
      </c>
      <c r="J2275" s="77"/>
      <c r="K2275" s="66"/>
      <c r="L2275" s="66"/>
      <c r="M2275" s="79" t="str">
        <f>HYPERLINK("http://www.pristavka.com/catalog/funko/Fun80169/")</f>
        <v>http://www.pristavka.com/catalog/funko/Fun80169/</v>
      </c>
      <c r="N2275" s="71">
        <v>9999</v>
      </c>
      <c r="O2275" s="66" t="s">
        <v>27</v>
      </c>
      <c r="P2275" s="82" t="s">
        <v>8831</v>
      </c>
      <c r="Q2275" s="84" t="s">
        <v>8822</v>
      </c>
      <c r="R2275" s="84" t="s">
        <v>1298</v>
      </c>
      <c r="S2275" s="84">
        <v>0.12</v>
      </c>
      <c r="T2275" s="82" t="s">
        <v>4113</v>
      </c>
      <c r="U2275" s="84" t="s">
        <v>3584</v>
      </c>
      <c r="V2275" s="54"/>
    </row>
    <row r="2276" spans="1:22" s="11" customFormat="1" ht="45" customHeight="1" x14ac:dyDescent="0.2">
      <c r="A2276" s="66" t="s">
        <v>3577</v>
      </c>
      <c r="B2276" s="66" t="s">
        <v>1707</v>
      </c>
      <c r="C2276" s="66" t="s">
        <v>3578</v>
      </c>
      <c r="D2276" s="66">
        <v>38586</v>
      </c>
      <c r="E2276" s="68" t="s">
        <v>8832</v>
      </c>
      <c r="F2276" s="66" t="s">
        <v>8833</v>
      </c>
      <c r="G2276" s="71">
        <v>6500</v>
      </c>
      <c r="H2276" s="73"/>
      <c r="I2276" s="75">
        <v>0.1</v>
      </c>
      <c r="J2276" s="77"/>
      <c r="K2276" s="66"/>
      <c r="L2276" s="66"/>
      <c r="M2276" s="79" t="str">
        <f>HYPERLINK("http://www.pristavka.com/catalog/funko/Fun2230/")</f>
        <v>http://www.pristavka.com/catalog/funko/Fun2230/</v>
      </c>
      <c r="N2276" s="71">
        <v>9999</v>
      </c>
      <c r="O2276" s="66" t="s">
        <v>28</v>
      </c>
      <c r="P2276" s="82" t="s">
        <v>8834</v>
      </c>
      <c r="Q2276" s="84" t="s">
        <v>8835</v>
      </c>
      <c r="R2276" s="84" t="s">
        <v>1303</v>
      </c>
      <c r="S2276" s="84">
        <v>0.12</v>
      </c>
      <c r="T2276" s="82" t="s">
        <v>5430</v>
      </c>
      <c r="U2276" s="84" t="s">
        <v>3584</v>
      </c>
      <c r="V2276" s="54"/>
    </row>
    <row r="2277" spans="1:22" s="11" customFormat="1" ht="45" customHeight="1" x14ac:dyDescent="0.2">
      <c r="A2277" s="66" t="s">
        <v>3577</v>
      </c>
      <c r="B2277" s="66" t="s">
        <v>1707</v>
      </c>
      <c r="C2277" s="66" t="s">
        <v>3578</v>
      </c>
      <c r="D2277" s="66">
        <v>66447</v>
      </c>
      <c r="E2277" s="68" t="s">
        <v>8836</v>
      </c>
      <c r="F2277" s="66" t="s">
        <v>8837</v>
      </c>
      <c r="G2277" s="71">
        <v>6500</v>
      </c>
      <c r="H2277" s="73"/>
      <c r="I2277" s="75">
        <v>0.1</v>
      </c>
      <c r="J2277" s="77"/>
      <c r="K2277" s="66"/>
      <c r="L2277" s="66"/>
      <c r="M2277" s="79" t="str">
        <f>HYPERLINK("http://www.pristavka.com/catalog/funko/Fun66447/")</f>
        <v>http://www.pristavka.com/catalog/funko/Fun66447/</v>
      </c>
      <c r="N2277" s="71">
        <v>9999</v>
      </c>
      <c r="O2277" s="66" t="s">
        <v>27</v>
      </c>
      <c r="P2277" s="82" t="s">
        <v>8838</v>
      </c>
      <c r="Q2277" s="84" t="s">
        <v>8839</v>
      </c>
      <c r="R2277" s="84" t="s">
        <v>3512</v>
      </c>
      <c r="S2277" s="84">
        <v>0.13800000000000001</v>
      </c>
      <c r="T2277" s="82" t="s">
        <v>4091</v>
      </c>
      <c r="U2277" s="84" t="s">
        <v>3584</v>
      </c>
      <c r="V2277" s="54"/>
    </row>
    <row r="2278" spans="1:22" s="11" customFormat="1" ht="45" customHeight="1" x14ac:dyDescent="0.2">
      <c r="A2278" s="66" t="s">
        <v>3577</v>
      </c>
      <c r="B2278" s="66" t="s">
        <v>1707</v>
      </c>
      <c r="C2278" s="66" t="s">
        <v>3578</v>
      </c>
      <c r="D2278" s="66">
        <v>61395</v>
      </c>
      <c r="E2278" s="68" t="s">
        <v>8840</v>
      </c>
      <c r="F2278" s="66" t="s">
        <v>8841</v>
      </c>
      <c r="G2278" s="71">
        <v>6500</v>
      </c>
      <c r="H2278" s="73"/>
      <c r="I2278" s="75">
        <v>0.1</v>
      </c>
      <c r="J2278" s="77"/>
      <c r="K2278" s="66"/>
      <c r="L2278" s="66"/>
      <c r="M2278" s="79" t="str">
        <f>HYPERLINK("http://www.pristavka.com/catalog/funko/Fun61395/")</f>
        <v>http://www.pristavka.com/catalog/funko/Fun61395/</v>
      </c>
      <c r="N2278" s="71">
        <v>9999</v>
      </c>
      <c r="O2278" s="66" t="s">
        <v>27</v>
      </c>
      <c r="P2278" s="82" t="s">
        <v>8842</v>
      </c>
      <c r="Q2278" s="84" t="s">
        <v>6171</v>
      </c>
      <c r="R2278" s="84" t="s">
        <v>3327</v>
      </c>
      <c r="S2278" s="84">
        <v>0.13500000000000001</v>
      </c>
      <c r="T2278" s="82" t="s">
        <v>4113</v>
      </c>
      <c r="U2278" s="84" t="s">
        <v>3584</v>
      </c>
      <c r="V2278" s="54"/>
    </row>
    <row r="2279" spans="1:22" s="11" customFormat="1" ht="45" customHeight="1" x14ac:dyDescent="0.2">
      <c r="A2279" s="66" t="s">
        <v>3577</v>
      </c>
      <c r="B2279" s="66" t="s">
        <v>1707</v>
      </c>
      <c r="C2279" s="66" t="s">
        <v>3578</v>
      </c>
      <c r="D2279" s="66">
        <v>80156</v>
      </c>
      <c r="E2279" s="68" t="s">
        <v>8843</v>
      </c>
      <c r="F2279" s="66" t="s">
        <v>8844</v>
      </c>
      <c r="G2279" s="71">
        <v>0</v>
      </c>
      <c r="H2279" s="73"/>
      <c r="I2279" s="75">
        <v>0.1</v>
      </c>
      <c r="J2279" s="77"/>
      <c r="K2279" s="66"/>
      <c r="L2279" s="66"/>
      <c r="M2279" s="79" t="str">
        <f>HYPERLINK("http://www.pristavka.com/catalog/funko/Fun80156/")</f>
        <v>http://www.pristavka.com/catalog/funko/Fun80156/</v>
      </c>
      <c r="N2279" s="71"/>
      <c r="O2279" s="66" t="s">
        <v>27</v>
      </c>
      <c r="P2279" s="82" t="s">
        <v>8845</v>
      </c>
      <c r="Q2279" s="84" t="s">
        <v>8846</v>
      </c>
      <c r="R2279" s="84" t="s">
        <v>1303</v>
      </c>
      <c r="S2279" s="84">
        <v>0.11799999999999999</v>
      </c>
      <c r="T2279" s="82" t="s">
        <v>4084</v>
      </c>
      <c r="U2279" s="84" t="s">
        <v>3584</v>
      </c>
      <c r="V2279" s="54"/>
    </row>
    <row r="2280" spans="1:22" s="11" customFormat="1" ht="45" customHeight="1" x14ac:dyDescent="0.2">
      <c r="A2280" s="66" t="s">
        <v>3577</v>
      </c>
      <c r="B2280" s="66" t="s">
        <v>1707</v>
      </c>
      <c r="C2280" s="66" t="s">
        <v>3578</v>
      </c>
      <c r="D2280" s="66">
        <v>80155</v>
      </c>
      <c r="E2280" s="68" t="s">
        <v>8847</v>
      </c>
      <c r="F2280" s="66" t="s">
        <v>8848</v>
      </c>
      <c r="G2280" s="71">
        <v>0</v>
      </c>
      <c r="H2280" s="73"/>
      <c r="I2280" s="75">
        <v>0.1</v>
      </c>
      <c r="J2280" s="77"/>
      <c r="K2280" s="66"/>
      <c r="L2280" s="66"/>
      <c r="M2280" s="79" t="str">
        <f>HYPERLINK("http://www.pristavka.com/catalog/funko/Fun80155/")</f>
        <v>http://www.pristavka.com/catalog/funko/Fun80155/</v>
      </c>
      <c r="N2280" s="71"/>
      <c r="O2280" s="66" t="s">
        <v>27</v>
      </c>
      <c r="P2280" s="82" t="s">
        <v>8849</v>
      </c>
      <c r="Q2280" s="84" t="s">
        <v>8846</v>
      </c>
      <c r="R2280" s="84" t="s">
        <v>1303</v>
      </c>
      <c r="S2280" s="84">
        <v>0.11799999999999999</v>
      </c>
      <c r="T2280" s="82" t="s">
        <v>4084</v>
      </c>
      <c r="U2280" s="84" t="s">
        <v>3584</v>
      </c>
      <c r="V2280" s="54"/>
    </row>
    <row r="2281" spans="1:22" s="11" customFormat="1" ht="45" customHeight="1" x14ac:dyDescent="0.2">
      <c r="A2281" s="66" t="s">
        <v>3577</v>
      </c>
      <c r="B2281" s="66" t="s">
        <v>1707</v>
      </c>
      <c r="C2281" s="66" t="s">
        <v>3578</v>
      </c>
      <c r="D2281" s="66">
        <v>80154</v>
      </c>
      <c r="E2281" s="68" t="s">
        <v>8850</v>
      </c>
      <c r="F2281" s="66" t="s">
        <v>8851</v>
      </c>
      <c r="G2281" s="71">
        <v>0</v>
      </c>
      <c r="H2281" s="73"/>
      <c r="I2281" s="75">
        <v>0.1</v>
      </c>
      <c r="J2281" s="77"/>
      <c r="K2281" s="66"/>
      <c r="L2281" s="66"/>
      <c r="M2281" s="79" t="str">
        <f>HYPERLINK("http://www.pristavka.com/catalog/funko/Fun80154/")</f>
        <v>http://www.pristavka.com/catalog/funko/Fun80154/</v>
      </c>
      <c r="N2281" s="71"/>
      <c r="O2281" s="66" t="s">
        <v>27</v>
      </c>
      <c r="P2281" s="82" t="s">
        <v>8852</v>
      </c>
      <c r="Q2281" s="84" t="s">
        <v>8846</v>
      </c>
      <c r="R2281" s="84" t="s">
        <v>1303</v>
      </c>
      <c r="S2281" s="84">
        <v>0.12</v>
      </c>
      <c r="T2281" s="82" t="s">
        <v>4084</v>
      </c>
      <c r="U2281" s="84" t="s">
        <v>3584</v>
      </c>
      <c r="V2281" s="54"/>
    </row>
    <row r="2282" spans="1:22" s="11" customFormat="1" ht="45" customHeight="1" x14ac:dyDescent="0.2">
      <c r="A2282" s="66" t="s">
        <v>3577</v>
      </c>
      <c r="B2282" s="66" t="s">
        <v>1707</v>
      </c>
      <c r="C2282" s="66" t="s">
        <v>3578</v>
      </c>
      <c r="D2282" s="66">
        <v>81032</v>
      </c>
      <c r="E2282" s="68" t="s">
        <v>8853</v>
      </c>
      <c r="F2282" s="66" t="s">
        <v>8854</v>
      </c>
      <c r="G2282" s="71">
        <v>6500</v>
      </c>
      <c r="H2282" s="73"/>
      <c r="I2282" s="75">
        <v>0.1</v>
      </c>
      <c r="J2282" s="77"/>
      <c r="K2282" s="66"/>
      <c r="L2282" s="66"/>
      <c r="M2282" s="79" t="str">
        <f>HYPERLINK("http://www.pristavka.com/catalog/funko/Fun81032/")</f>
        <v>http://www.pristavka.com/catalog/funko/Fun81032/</v>
      </c>
      <c r="N2282" s="71">
        <v>9999</v>
      </c>
      <c r="O2282" s="66" t="s">
        <v>27</v>
      </c>
      <c r="P2282" s="82" t="s">
        <v>8855</v>
      </c>
      <c r="Q2282" s="84" t="s">
        <v>8856</v>
      </c>
      <c r="R2282" s="84" t="s">
        <v>3566</v>
      </c>
      <c r="S2282" s="84">
        <v>0.13400000000000001</v>
      </c>
      <c r="T2282" s="82" t="s">
        <v>4084</v>
      </c>
      <c r="U2282" s="84" t="s">
        <v>3584</v>
      </c>
      <c r="V2282" s="54"/>
    </row>
    <row r="2283" spans="1:22" s="11" customFormat="1" ht="45" customHeight="1" x14ac:dyDescent="0.2">
      <c r="A2283" s="66" t="s">
        <v>3577</v>
      </c>
      <c r="B2283" s="66" t="s">
        <v>1707</v>
      </c>
      <c r="C2283" s="66" t="s">
        <v>3578</v>
      </c>
      <c r="D2283" s="66">
        <v>81031</v>
      </c>
      <c r="E2283" s="68" t="s">
        <v>8857</v>
      </c>
      <c r="F2283" s="66" t="s">
        <v>8858</v>
      </c>
      <c r="G2283" s="71">
        <v>6500</v>
      </c>
      <c r="H2283" s="73"/>
      <c r="I2283" s="75">
        <v>0.1</v>
      </c>
      <c r="J2283" s="77"/>
      <c r="K2283" s="66"/>
      <c r="L2283" s="66"/>
      <c r="M2283" s="79" t="str">
        <f>HYPERLINK("http://www.pristavka.com/catalog/funko/Fun81031/")</f>
        <v>http://www.pristavka.com/catalog/funko/Fun81031/</v>
      </c>
      <c r="N2283" s="71">
        <v>9999</v>
      </c>
      <c r="O2283" s="66" t="s">
        <v>27</v>
      </c>
      <c r="P2283" s="82" t="s">
        <v>8859</v>
      </c>
      <c r="Q2283" s="84" t="s">
        <v>8856</v>
      </c>
      <c r="R2283" s="84" t="s">
        <v>3566</v>
      </c>
      <c r="S2283" s="84">
        <v>0.17</v>
      </c>
      <c r="T2283" s="82" t="s">
        <v>4084</v>
      </c>
      <c r="U2283" s="84" t="s">
        <v>3584</v>
      </c>
      <c r="V2283" s="54"/>
    </row>
    <row r="2284" spans="1:22" s="11" customFormat="1" ht="45" customHeight="1" x14ac:dyDescent="0.2">
      <c r="A2284" s="66" t="s">
        <v>3577</v>
      </c>
      <c r="B2284" s="66" t="s">
        <v>1707</v>
      </c>
      <c r="C2284" s="66" t="s">
        <v>3578</v>
      </c>
      <c r="D2284" s="66">
        <v>82461</v>
      </c>
      <c r="E2284" s="68" t="s">
        <v>8860</v>
      </c>
      <c r="F2284" s="66" t="s">
        <v>8861</v>
      </c>
      <c r="G2284" s="71">
        <v>6890</v>
      </c>
      <c r="H2284" s="73"/>
      <c r="I2284" s="75">
        <v>0.2</v>
      </c>
      <c r="J2284" s="77"/>
      <c r="K2284" s="66"/>
      <c r="L2284" s="66"/>
      <c r="M2284" s="79" t="str">
        <f>HYPERLINK("http://www.pristavka.com/catalog/funko/Fun82461/")</f>
        <v>http://www.pristavka.com/catalog/funko/Fun82461/</v>
      </c>
      <c r="N2284" s="71">
        <v>10599</v>
      </c>
      <c r="O2284" s="66" t="s">
        <v>28</v>
      </c>
      <c r="P2284" s="82" t="s">
        <v>8862</v>
      </c>
      <c r="Q2284" s="84" t="s">
        <v>8856</v>
      </c>
      <c r="R2284" s="84" t="s">
        <v>3566</v>
      </c>
      <c r="S2284" s="84">
        <v>0.126</v>
      </c>
      <c r="T2284" s="82" t="s">
        <v>4091</v>
      </c>
      <c r="U2284" s="84" t="s">
        <v>3593</v>
      </c>
      <c r="V2284" s="54"/>
    </row>
    <row r="2285" spans="1:22" s="11" customFormat="1" ht="45" customHeight="1" x14ac:dyDescent="0.2">
      <c r="A2285" s="66" t="s">
        <v>3577</v>
      </c>
      <c r="B2285" s="66" t="s">
        <v>1707</v>
      </c>
      <c r="C2285" s="66" t="s">
        <v>3578</v>
      </c>
      <c r="D2285" s="66">
        <v>83055</v>
      </c>
      <c r="E2285" s="68" t="s">
        <v>8863</v>
      </c>
      <c r="F2285" s="66" t="s">
        <v>8864</v>
      </c>
      <c r="G2285" s="71">
        <v>6500</v>
      </c>
      <c r="H2285" s="73"/>
      <c r="I2285" s="75">
        <v>0.1</v>
      </c>
      <c r="J2285" s="77"/>
      <c r="K2285" s="66"/>
      <c r="L2285" s="66"/>
      <c r="M2285" s="79" t="str">
        <f>HYPERLINK("http://www.pristavka.com/catalog/funko/Fun83055/")</f>
        <v>http://www.pristavka.com/catalog/funko/Fun83055/</v>
      </c>
      <c r="N2285" s="71">
        <v>9999</v>
      </c>
      <c r="O2285" s="66" t="s">
        <v>27</v>
      </c>
      <c r="P2285" s="82" t="s">
        <v>8865</v>
      </c>
      <c r="Q2285" s="84" t="s">
        <v>8856</v>
      </c>
      <c r="R2285" s="84" t="s">
        <v>3566</v>
      </c>
      <c r="S2285" s="84">
        <v>0.14599999999999999</v>
      </c>
      <c r="T2285" s="82" t="s">
        <v>4084</v>
      </c>
      <c r="U2285" s="84" t="s">
        <v>3584</v>
      </c>
      <c r="V2285" s="54"/>
    </row>
    <row r="2286" spans="1:22" s="11" customFormat="1" ht="45" customHeight="1" x14ac:dyDescent="0.2">
      <c r="A2286" s="66" t="s">
        <v>3577</v>
      </c>
      <c r="B2286" s="66" t="s">
        <v>1707</v>
      </c>
      <c r="C2286" s="66" t="s">
        <v>3578</v>
      </c>
      <c r="D2286" s="66">
        <v>81033</v>
      </c>
      <c r="E2286" s="68" t="s">
        <v>8866</v>
      </c>
      <c r="F2286" s="66" t="s">
        <v>8867</v>
      </c>
      <c r="G2286" s="71">
        <v>6500</v>
      </c>
      <c r="H2286" s="73"/>
      <c r="I2286" s="75">
        <v>0.1</v>
      </c>
      <c r="J2286" s="77"/>
      <c r="K2286" s="66"/>
      <c r="L2286" s="66"/>
      <c r="M2286" s="79" t="str">
        <f>HYPERLINK("http://www.pristavka.com/catalog/funko/Fun81032/")</f>
        <v>http://www.pristavka.com/catalog/funko/Fun81032/</v>
      </c>
      <c r="N2286" s="71">
        <v>9999</v>
      </c>
      <c r="O2286" s="66" t="s">
        <v>27</v>
      </c>
      <c r="P2286" s="82" t="s">
        <v>8868</v>
      </c>
      <c r="Q2286" s="84" t="s">
        <v>8856</v>
      </c>
      <c r="R2286" s="84" t="s">
        <v>3566</v>
      </c>
      <c r="S2286" s="84">
        <v>0.16</v>
      </c>
      <c r="T2286" s="82" t="s">
        <v>4084</v>
      </c>
      <c r="U2286" s="84" t="s">
        <v>3584</v>
      </c>
      <c r="V2286" s="54"/>
    </row>
    <row r="2287" spans="1:22" s="11" customFormat="1" ht="45" customHeight="1" x14ac:dyDescent="0.2">
      <c r="A2287" s="66" t="s">
        <v>3577</v>
      </c>
      <c r="B2287" s="66" t="s">
        <v>1707</v>
      </c>
      <c r="C2287" s="66" t="s">
        <v>3578</v>
      </c>
      <c r="D2287" s="66">
        <v>81030</v>
      </c>
      <c r="E2287" s="68" t="s">
        <v>8869</v>
      </c>
      <c r="F2287" s="66" t="s">
        <v>8870</v>
      </c>
      <c r="G2287" s="71">
        <v>6500</v>
      </c>
      <c r="H2287" s="73"/>
      <c r="I2287" s="75">
        <v>0.1</v>
      </c>
      <c r="J2287" s="77"/>
      <c r="K2287" s="66"/>
      <c r="L2287" s="66"/>
      <c r="M2287" s="79" t="str">
        <f>HYPERLINK("http://www.pristavka.com/catalog/funko/Fun81030/")</f>
        <v>http://www.pristavka.com/catalog/funko/Fun81030/</v>
      </c>
      <c r="N2287" s="71">
        <v>9999</v>
      </c>
      <c r="O2287" s="66" t="s">
        <v>27</v>
      </c>
      <c r="P2287" s="82" t="s">
        <v>8871</v>
      </c>
      <c r="Q2287" s="84" t="s">
        <v>8856</v>
      </c>
      <c r="R2287" s="84" t="s">
        <v>3566</v>
      </c>
      <c r="S2287" s="84">
        <v>0.13500000000000001</v>
      </c>
      <c r="T2287" s="82" t="s">
        <v>4113</v>
      </c>
      <c r="U2287" s="84" t="s">
        <v>3584</v>
      </c>
      <c r="V2287" s="54"/>
    </row>
    <row r="2288" spans="1:22" s="11" customFormat="1" ht="45" customHeight="1" x14ac:dyDescent="0.2">
      <c r="A2288" s="66" t="s">
        <v>3577</v>
      </c>
      <c r="B2288" s="66" t="s">
        <v>1707</v>
      </c>
      <c r="C2288" s="66" t="s">
        <v>3578</v>
      </c>
      <c r="D2288" s="66">
        <v>81034</v>
      </c>
      <c r="E2288" s="68" t="s">
        <v>8872</v>
      </c>
      <c r="F2288" s="66" t="s">
        <v>8873</v>
      </c>
      <c r="G2288" s="71">
        <v>6500</v>
      </c>
      <c r="H2288" s="73"/>
      <c r="I2288" s="75">
        <v>0.1</v>
      </c>
      <c r="J2288" s="77"/>
      <c r="K2288" s="66"/>
      <c r="L2288" s="66"/>
      <c r="M2288" s="79" t="str">
        <f>HYPERLINK("http://www.pristavka.com/catalog/funko/Fun81034/")</f>
        <v>http://www.pristavka.com/catalog/funko/Fun81034/</v>
      </c>
      <c r="N2288" s="71">
        <v>9999</v>
      </c>
      <c r="O2288" s="66" t="s">
        <v>27</v>
      </c>
      <c r="P2288" s="82" t="s">
        <v>8874</v>
      </c>
      <c r="Q2288" s="84" t="s">
        <v>8856</v>
      </c>
      <c r="R2288" s="84" t="s">
        <v>3566</v>
      </c>
      <c r="S2288" s="84">
        <v>0.13200000000000001</v>
      </c>
      <c r="T2288" s="82" t="s">
        <v>4084</v>
      </c>
      <c r="U2288" s="84" t="s">
        <v>3584</v>
      </c>
      <c r="V2288" s="54"/>
    </row>
    <row r="2289" spans="1:22" s="11" customFormat="1" ht="45" customHeight="1" x14ac:dyDescent="0.2">
      <c r="A2289" s="66" t="s">
        <v>3577</v>
      </c>
      <c r="B2289" s="66" t="s">
        <v>1707</v>
      </c>
      <c r="C2289" s="66" t="s">
        <v>3578</v>
      </c>
      <c r="D2289" s="66">
        <v>75891</v>
      </c>
      <c r="E2289" s="68" t="s">
        <v>8875</v>
      </c>
      <c r="F2289" s="66" t="s">
        <v>8876</v>
      </c>
      <c r="G2289" s="71">
        <v>6500</v>
      </c>
      <c r="H2289" s="73"/>
      <c r="I2289" s="75">
        <v>0.1</v>
      </c>
      <c r="J2289" s="77"/>
      <c r="K2289" s="66"/>
      <c r="L2289" s="66"/>
      <c r="M2289" s="79" t="str">
        <f>HYPERLINK("http://www.pristavka.com/catalog/funko/Fun75891/")</f>
        <v>http://www.pristavka.com/catalog/funko/Fun75891/</v>
      </c>
      <c r="N2289" s="71">
        <v>9999</v>
      </c>
      <c r="O2289" s="66" t="s">
        <v>27</v>
      </c>
      <c r="P2289" s="82" t="s">
        <v>8877</v>
      </c>
      <c r="Q2289" s="84" t="s">
        <v>8878</v>
      </c>
      <c r="R2289" s="84" t="s">
        <v>3566</v>
      </c>
      <c r="S2289" s="84">
        <v>0.115</v>
      </c>
      <c r="T2289" s="82" t="s">
        <v>4084</v>
      </c>
      <c r="U2289" s="84" t="s">
        <v>3584</v>
      </c>
      <c r="V2289" s="54"/>
    </row>
    <row r="2290" spans="1:22" s="11" customFormat="1" ht="45" customHeight="1" x14ac:dyDescent="0.2">
      <c r="A2290" s="66" t="s">
        <v>3577</v>
      </c>
      <c r="B2290" s="66" t="s">
        <v>1707</v>
      </c>
      <c r="C2290" s="66" t="s">
        <v>3578</v>
      </c>
      <c r="D2290" s="66">
        <v>75895</v>
      </c>
      <c r="E2290" s="68" t="s">
        <v>8879</v>
      </c>
      <c r="F2290" s="66" t="s">
        <v>8880</v>
      </c>
      <c r="G2290" s="71">
        <v>6500</v>
      </c>
      <c r="H2290" s="73"/>
      <c r="I2290" s="75">
        <v>0.1</v>
      </c>
      <c r="J2290" s="77"/>
      <c r="K2290" s="66"/>
      <c r="L2290" s="66"/>
      <c r="M2290" s="79" t="str">
        <f>HYPERLINK("http://www.pristavka.com/catalog/funko/Fun75895/")</f>
        <v>http://www.pristavka.com/catalog/funko/Fun75895/</v>
      </c>
      <c r="N2290" s="71">
        <v>9999</v>
      </c>
      <c r="O2290" s="66" t="s">
        <v>28</v>
      </c>
      <c r="P2290" s="82" t="s">
        <v>8881</v>
      </c>
      <c r="Q2290" s="84" t="s">
        <v>8878</v>
      </c>
      <c r="R2290" s="84" t="s">
        <v>3566</v>
      </c>
      <c r="S2290" s="84">
        <v>0.115</v>
      </c>
      <c r="T2290" s="82" t="s">
        <v>4084</v>
      </c>
      <c r="U2290" s="84" t="s">
        <v>3584</v>
      </c>
      <c r="V2290" s="54"/>
    </row>
    <row r="2291" spans="1:22" s="11" customFormat="1" ht="45" customHeight="1" x14ac:dyDescent="0.2">
      <c r="A2291" s="66" t="s">
        <v>3577</v>
      </c>
      <c r="B2291" s="66" t="s">
        <v>1707</v>
      </c>
      <c r="C2291" s="66" t="s">
        <v>3578</v>
      </c>
      <c r="D2291" s="66">
        <v>75896</v>
      </c>
      <c r="E2291" s="68" t="s">
        <v>8882</v>
      </c>
      <c r="F2291" s="66" t="s">
        <v>8883</v>
      </c>
      <c r="G2291" s="71">
        <v>6500</v>
      </c>
      <c r="H2291" s="73"/>
      <c r="I2291" s="75">
        <v>0.1</v>
      </c>
      <c r="J2291" s="77"/>
      <c r="K2291" s="66"/>
      <c r="L2291" s="66"/>
      <c r="M2291" s="79" t="str">
        <f>HYPERLINK("http://www.pristavka.com/catalog/funko/Fun75896/")</f>
        <v>http://www.pristavka.com/catalog/funko/Fun75896/</v>
      </c>
      <c r="N2291" s="71">
        <v>9999</v>
      </c>
      <c r="O2291" s="66" t="s">
        <v>27</v>
      </c>
      <c r="P2291" s="82" t="s">
        <v>8884</v>
      </c>
      <c r="Q2291" s="84" t="s">
        <v>8878</v>
      </c>
      <c r="R2291" s="84" t="s">
        <v>3566</v>
      </c>
      <c r="S2291" s="84">
        <v>0.125</v>
      </c>
      <c r="T2291" s="82" t="s">
        <v>4084</v>
      </c>
      <c r="U2291" s="84" t="s">
        <v>3584</v>
      </c>
      <c r="V2291" s="54"/>
    </row>
    <row r="2292" spans="1:22" s="11" customFormat="1" ht="45" customHeight="1" x14ac:dyDescent="0.2">
      <c r="A2292" s="66" t="s">
        <v>3577</v>
      </c>
      <c r="B2292" s="66" t="s">
        <v>1707</v>
      </c>
      <c r="C2292" s="66" t="s">
        <v>3578</v>
      </c>
      <c r="D2292" s="66">
        <v>75874</v>
      </c>
      <c r="E2292" s="68" t="s">
        <v>8885</v>
      </c>
      <c r="F2292" s="66" t="s">
        <v>8886</v>
      </c>
      <c r="G2292" s="71">
        <v>6500</v>
      </c>
      <c r="H2292" s="73"/>
      <c r="I2292" s="75">
        <v>0.1</v>
      </c>
      <c r="J2292" s="77"/>
      <c r="K2292" s="66"/>
      <c r="L2292" s="66"/>
      <c r="M2292" s="79" t="str">
        <f>HYPERLINK("http://www.pristavka.com/catalog/funko/Fun75874/")</f>
        <v>http://www.pristavka.com/catalog/funko/Fun75874/</v>
      </c>
      <c r="N2292" s="71">
        <v>9999</v>
      </c>
      <c r="O2292" s="66" t="s">
        <v>27</v>
      </c>
      <c r="P2292" s="82" t="s">
        <v>8887</v>
      </c>
      <c r="Q2292" s="84" t="s">
        <v>3566</v>
      </c>
      <c r="R2292" s="84" t="s">
        <v>3566</v>
      </c>
      <c r="S2292" s="84">
        <v>0.115</v>
      </c>
      <c r="T2292" s="82" t="s">
        <v>4084</v>
      </c>
      <c r="U2292" s="84" t="s">
        <v>3584</v>
      </c>
      <c r="V2292" s="54"/>
    </row>
    <row r="2293" spans="1:22" s="11" customFormat="1" ht="45" customHeight="1" x14ac:dyDescent="0.2">
      <c r="A2293" s="66" t="s">
        <v>3577</v>
      </c>
      <c r="B2293" s="66" t="s">
        <v>1707</v>
      </c>
      <c r="C2293" s="66" t="s">
        <v>3578</v>
      </c>
      <c r="D2293" s="66">
        <v>75880</v>
      </c>
      <c r="E2293" s="68" t="s">
        <v>8888</v>
      </c>
      <c r="F2293" s="66" t="s">
        <v>8889</v>
      </c>
      <c r="G2293" s="71">
        <v>6500</v>
      </c>
      <c r="H2293" s="73"/>
      <c r="I2293" s="75">
        <v>0.1</v>
      </c>
      <c r="J2293" s="77"/>
      <c r="K2293" s="66"/>
      <c r="L2293" s="66"/>
      <c r="M2293" s="79" t="str">
        <f>HYPERLINK("http://www.pristavka.com/catalog/funko/Fun75880/")</f>
        <v>http://www.pristavka.com/catalog/funko/Fun75880/</v>
      </c>
      <c r="N2293" s="71">
        <v>9999</v>
      </c>
      <c r="O2293" s="66" t="s">
        <v>27</v>
      </c>
      <c r="P2293" s="82" t="s">
        <v>8890</v>
      </c>
      <c r="Q2293" s="84" t="s">
        <v>3566</v>
      </c>
      <c r="R2293" s="84" t="s">
        <v>3566</v>
      </c>
      <c r="S2293" s="84">
        <v>0.13500000000000001</v>
      </c>
      <c r="T2293" s="82" t="s">
        <v>4084</v>
      </c>
      <c r="U2293" s="84" t="s">
        <v>3584</v>
      </c>
      <c r="V2293" s="54"/>
    </row>
    <row r="2294" spans="1:22" s="11" customFormat="1" ht="45" customHeight="1" x14ac:dyDescent="0.2">
      <c r="A2294" s="66" t="s">
        <v>3577</v>
      </c>
      <c r="B2294" s="66" t="s">
        <v>1707</v>
      </c>
      <c r="C2294" s="66" t="s">
        <v>3578</v>
      </c>
      <c r="D2294" s="66">
        <v>83538</v>
      </c>
      <c r="E2294" s="68" t="s">
        <v>8891</v>
      </c>
      <c r="F2294" s="66" t="s">
        <v>8892</v>
      </c>
      <c r="G2294" s="71">
        <v>6500</v>
      </c>
      <c r="H2294" s="73"/>
      <c r="I2294" s="75">
        <v>0.1</v>
      </c>
      <c r="J2294" s="77"/>
      <c r="K2294" s="66"/>
      <c r="L2294" s="66"/>
      <c r="M2294" s="79" t="str">
        <f>HYPERLINK("http://www.pristavka.com/catalog/funko/Fun83538/")</f>
        <v>http://www.pristavka.com/catalog/funko/Fun83538/</v>
      </c>
      <c r="N2294" s="71">
        <v>9999</v>
      </c>
      <c r="O2294" s="66" t="s">
        <v>27</v>
      </c>
      <c r="P2294" s="82" t="s">
        <v>8893</v>
      </c>
      <c r="Q2294" s="84" t="s">
        <v>8894</v>
      </c>
      <c r="R2294" s="84" t="s">
        <v>6171</v>
      </c>
      <c r="S2294" s="84">
        <v>0.11799999999999999</v>
      </c>
      <c r="T2294" s="82" t="s">
        <v>4113</v>
      </c>
      <c r="U2294" s="84" t="s">
        <v>3584</v>
      </c>
      <c r="V2294" s="54"/>
    </row>
    <row r="2295" spans="1:22" s="11" customFormat="1" ht="45" customHeight="1" x14ac:dyDescent="0.2">
      <c r="A2295" s="66" t="s">
        <v>3577</v>
      </c>
      <c r="B2295" s="66" t="s">
        <v>1707</v>
      </c>
      <c r="C2295" s="66" t="s">
        <v>3578</v>
      </c>
      <c r="D2295" s="66">
        <v>80076</v>
      </c>
      <c r="E2295" s="68" t="s">
        <v>8895</v>
      </c>
      <c r="F2295" s="66" t="s">
        <v>8896</v>
      </c>
      <c r="G2295" s="71">
        <v>6500</v>
      </c>
      <c r="H2295" s="73"/>
      <c r="I2295" s="75">
        <v>0.1</v>
      </c>
      <c r="J2295" s="77"/>
      <c r="K2295" s="66"/>
      <c r="L2295" s="66"/>
      <c r="M2295" s="79" t="str">
        <f>HYPERLINK("http://www.pristavka.com/catalog/funko/Fun80076/")</f>
        <v>http://www.pristavka.com/catalog/funko/Fun80076/</v>
      </c>
      <c r="N2295" s="71">
        <v>9999</v>
      </c>
      <c r="O2295" s="66" t="s">
        <v>27</v>
      </c>
      <c r="P2295" s="82" t="s">
        <v>8897</v>
      </c>
      <c r="Q2295" s="84" t="s">
        <v>1765</v>
      </c>
      <c r="R2295" s="84" t="s">
        <v>1212</v>
      </c>
      <c r="S2295" s="84">
        <v>0.125</v>
      </c>
      <c r="T2295" s="82" t="s">
        <v>4113</v>
      </c>
      <c r="U2295" s="84" t="s">
        <v>3584</v>
      </c>
      <c r="V2295" s="54"/>
    </row>
    <row r="2296" spans="1:22" s="11" customFormat="1" ht="45" customHeight="1" x14ac:dyDescent="0.2">
      <c r="A2296" s="66" t="s">
        <v>3577</v>
      </c>
      <c r="B2296" s="66" t="s">
        <v>1707</v>
      </c>
      <c r="C2296" s="66" t="s">
        <v>3578</v>
      </c>
      <c r="D2296" s="66">
        <v>65674</v>
      </c>
      <c r="E2296" s="68" t="s">
        <v>8898</v>
      </c>
      <c r="F2296" s="66" t="s">
        <v>8899</v>
      </c>
      <c r="G2296" s="71">
        <v>6500</v>
      </c>
      <c r="H2296" s="73"/>
      <c r="I2296" s="75">
        <v>0.1</v>
      </c>
      <c r="J2296" s="77"/>
      <c r="K2296" s="66"/>
      <c r="L2296" s="66"/>
      <c r="M2296" s="79" t="str">
        <f>HYPERLINK("http://www.pristavka.com/catalog/funko/Fun65674/")</f>
        <v>http://www.pristavka.com/catalog/funko/Fun65674/</v>
      </c>
      <c r="N2296" s="71">
        <v>9999</v>
      </c>
      <c r="O2296" s="66" t="s">
        <v>27</v>
      </c>
      <c r="P2296" s="82" t="s">
        <v>8900</v>
      </c>
      <c r="Q2296" s="84" t="s">
        <v>1600</v>
      </c>
      <c r="R2296" s="84" t="s">
        <v>1303</v>
      </c>
      <c r="S2296" s="84">
        <v>0.123</v>
      </c>
      <c r="T2296" s="82" t="s">
        <v>4084</v>
      </c>
      <c r="U2296" s="84" t="s">
        <v>3584</v>
      </c>
      <c r="V2296" s="54"/>
    </row>
    <row r="2297" spans="1:22" s="11" customFormat="1" ht="45" customHeight="1" x14ac:dyDescent="0.2">
      <c r="A2297" s="66" t="s">
        <v>3577</v>
      </c>
      <c r="B2297" s="66" t="s">
        <v>1707</v>
      </c>
      <c r="C2297" s="66" t="s">
        <v>3578</v>
      </c>
      <c r="D2297" s="66">
        <v>65679</v>
      </c>
      <c r="E2297" s="68" t="s">
        <v>8901</v>
      </c>
      <c r="F2297" s="66" t="s">
        <v>8902</v>
      </c>
      <c r="G2297" s="71">
        <v>6500</v>
      </c>
      <c r="H2297" s="73"/>
      <c r="I2297" s="75">
        <v>0.1</v>
      </c>
      <c r="J2297" s="77"/>
      <c r="K2297" s="66"/>
      <c r="L2297" s="66"/>
      <c r="M2297" s="79" t="str">
        <f>HYPERLINK("http://www.pristavka.com/catalog/funko/Fun65679/")</f>
        <v>http://www.pristavka.com/catalog/funko/Fun65679/</v>
      </c>
      <c r="N2297" s="71">
        <v>9999</v>
      </c>
      <c r="O2297" s="66" t="s">
        <v>27</v>
      </c>
      <c r="P2297" s="82" t="s">
        <v>8903</v>
      </c>
      <c r="Q2297" s="84" t="s">
        <v>1600</v>
      </c>
      <c r="R2297" s="84" t="s">
        <v>1303</v>
      </c>
      <c r="S2297" s="84">
        <v>0.13</v>
      </c>
      <c r="T2297" s="82" t="s">
        <v>4084</v>
      </c>
      <c r="U2297" s="84" t="s">
        <v>3584</v>
      </c>
      <c r="V2297" s="54"/>
    </row>
    <row r="2298" spans="1:22" s="11" customFormat="1" ht="45" customHeight="1" x14ac:dyDescent="0.2">
      <c r="A2298" s="66" t="s">
        <v>3577</v>
      </c>
      <c r="B2298" s="66" t="s">
        <v>1707</v>
      </c>
      <c r="C2298" s="66" t="s">
        <v>3578</v>
      </c>
      <c r="D2298" s="66">
        <v>65677</v>
      </c>
      <c r="E2298" s="68" t="s">
        <v>8904</v>
      </c>
      <c r="F2298" s="66" t="s">
        <v>8905</v>
      </c>
      <c r="G2298" s="71">
        <v>6500</v>
      </c>
      <c r="H2298" s="73"/>
      <c r="I2298" s="75">
        <v>0.1</v>
      </c>
      <c r="J2298" s="77"/>
      <c r="K2298" s="66"/>
      <c r="L2298" s="66"/>
      <c r="M2298" s="79" t="str">
        <f>HYPERLINK("http://www.pristavka.com/catalog/funko/Fun65677/")</f>
        <v>http://www.pristavka.com/catalog/funko/Fun65677/</v>
      </c>
      <c r="N2298" s="71">
        <v>9999</v>
      </c>
      <c r="O2298" s="66" t="s">
        <v>27</v>
      </c>
      <c r="P2298" s="82" t="s">
        <v>8906</v>
      </c>
      <c r="Q2298" s="84" t="s">
        <v>1600</v>
      </c>
      <c r="R2298" s="84" t="s">
        <v>1303</v>
      </c>
      <c r="S2298" s="84">
        <v>0.153</v>
      </c>
      <c r="T2298" s="82" t="s">
        <v>4084</v>
      </c>
      <c r="U2298" s="84" t="s">
        <v>3584</v>
      </c>
      <c r="V2298" s="54"/>
    </row>
    <row r="2299" spans="1:22" s="11" customFormat="1" ht="45" customHeight="1" x14ac:dyDescent="0.2">
      <c r="A2299" s="66" t="s">
        <v>3577</v>
      </c>
      <c r="B2299" s="66" t="s">
        <v>1707</v>
      </c>
      <c r="C2299" s="66" t="s">
        <v>3578</v>
      </c>
      <c r="D2299" s="66">
        <v>80185</v>
      </c>
      <c r="E2299" s="68" t="s">
        <v>8907</v>
      </c>
      <c r="F2299" s="66" t="s">
        <v>8908</v>
      </c>
      <c r="G2299" s="71">
        <v>0</v>
      </c>
      <c r="H2299" s="73"/>
      <c r="I2299" s="75">
        <v>0.1</v>
      </c>
      <c r="J2299" s="77"/>
      <c r="K2299" s="66"/>
      <c r="L2299" s="66"/>
      <c r="M2299" s="79" t="str">
        <f>HYPERLINK("http://www.pristavka.com/catalog/funko/Fun80185/")</f>
        <v>http://www.pristavka.com/catalog/funko/Fun80185/</v>
      </c>
      <c r="N2299" s="71"/>
      <c r="O2299" s="66" t="s">
        <v>27</v>
      </c>
      <c r="P2299" s="82" t="s">
        <v>8909</v>
      </c>
      <c r="Q2299" s="84" t="s">
        <v>1600</v>
      </c>
      <c r="R2299" s="84" t="s">
        <v>1303</v>
      </c>
      <c r="S2299" s="84">
        <v>0.13100000000000001</v>
      </c>
      <c r="T2299" s="82" t="s">
        <v>4091</v>
      </c>
      <c r="U2299" s="84" t="s">
        <v>3584</v>
      </c>
      <c r="V2299" s="54"/>
    </row>
    <row r="2300" spans="1:22" s="11" customFormat="1" ht="45" customHeight="1" x14ac:dyDescent="0.2">
      <c r="A2300" s="66" t="s">
        <v>3577</v>
      </c>
      <c r="B2300" s="66" t="s">
        <v>1707</v>
      </c>
      <c r="C2300" s="66" t="s">
        <v>3578</v>
      </c>
      <c r="D2300" s="66">
        <v>80186</v>
      </c>
      <c r="E2300" s="68" t="s">
        <v>8910</v>
      </c>
      <c r="F2300" s="66" t="s">
        <v>8911</v>
      </c>
      <c r="G2300" s="71">
        <v>0</v>
      </c>
      <c r="H2300" s="73"/>
      <c r="I2300" s="75">
        <v>0.1</v>
      </c>
      <c r="J2300" s="77"/>
      <c r="K2300" s="66"/>
      <c r="L2300" s="66"/>
      <c r="M2300" s="79" t="str">
        <f>HYPERLINK("http://www.pristavka.com/catalog/funko/Fun80186/")</f>
        <v>http://www.pristavka.com/catalog/funko/Fun80186/</v>
      </c>
      <c r="N2300" s="71"/>
      <c r="O2300" s="66" t="s">
        <v>27</v>
      </c>
      <c r="P2300" s="82" t="s">
        <v>8912</v>
      </c>
      <c r="Q2300" s="84" t="s">
        <v>1600</v>
      </c>
      <c r="R2300" s="84" t="s">
        <v>1303</v>
      </c>
      <c r="S2300" s="84">
        <v>0.128</v>
      </c>
      <c r="T2300" s="82" t="s">
        <v>4084</v>
      </c>
      <c r="U2300" s="84" t="s">
        <v>3584</v>
      </c>
      <c r="V2300" s="54"/>
    </row>
    <row r="2301" spans="1:22" s="11" customFormat="1" ht="45" customHeight="1" x14ac:dyDescent="0.2">
      <c r="A2301" s="66" t="s">
        <v>3577</v>
      </c>
      <c r="B2301" s="66" t="s">
        <v>1707</v>
      </c>
      <c r="C2301" s="66" t="s">
        <v>3578</v>
      </c>
      <c r="D2301" s="66">
        <v>80187</v>
      </c>
      <c r="E2301" s="68" t="s">
        <v>8913</v>
      </c>
      <c r="F2301" s="66" t="s">
        <v>8914</v>
      </c>
      <c r="G2301" s="71">
        <v>0</v>
      </c>
      <c r="H2301" s="73"/>
      <c r="I2301" s="75">
        <v>0.1</v>
      </c>
      <c r="J2301" s="77"/>
      <c r="K2301" s="66"/>
      <c r="L2301" s="66"/>
      <c r="M2301" s="79" t="str">
        <f>HYPERLINK("http://www.pristavka.com/catalog/funko/Fun80187/")</f>
        <v>http://www.pristavka.com/catalog/funko/Fun80187/</v>
      </c>
      <c r="N2301" s="71"/>
      <c r="O2301" s="66" t="s">
        <v>27</v>
      </c>
      <c r="P2301" s="82" t="s">
        <v>8915</v>
      </c>
      <c r="Q2301" s="84" t="s">
        <v>1600</v>
      </c>
      <c r="R2301" s="84" t="s">
        <v>1303</v>
      </c>
      <c r="S2301" s="84">
        <v>0.11799999999999999</v>
      </c>
      <c r="T2301" s="82" t="s">
        <v>4084</v>
      </c>
      <c r="U2301" s="84" t="s">
        <v>3584</v>
      </c>
      <c r="V2301" s="54"/>
    </row>
    <row r="2302" spans="1:22" s="11" customFormat="1" ht="45" customHeight="1" x14ac:dyDescent="0.2">
      <c r="A2302" s="66" t="s">
        <v>3577</v>
      </c>
      <c r="B2302" s="66" t="s">
        <v>1707</v>
      </c>
      <c r="C2302" s="66" t="s">
        <v>3578</v>
      </c>
      <c r="D2302" s="66">
        <v>80188</v>
      </c>
      <c r="E2302" s="68" t="s">
        <v>8916</v>
      </c>
      <c r="F2302" s="66" t="s">
        <v>8917</v>
      </c>
      <c r="G2302" s="71">
        <v>0</v>
      </c>
      <c r="H2302" s="73"/>
      <c r="I2302" s="75">
        <v>0.1</v>
      </c>
      <c r="J2302" s="77"/>
      <c r="K2302" s="66"/>
      <c r="L2302" s="66"/>
      <c r="M2302" s="79" t="str">
        <f>HYPERLINK("http://www.pristavka.com/catalog/funko/Fun80188/")</f>
        <v>http://www.pristavka.com/catalog/funko/Fun80188/</v>
      </c>
      <c r="N2302" s="71"/>
      <c r="O2302" s="66" t="s">
        <v>27</v>
      </c>
      <c r="P2302" s="82" t="s">
        <v>8918</v>
      </c>
      <c r="Q2302" s="84" t="s">
        <v>1600</v>
      </c>
      <c r="R2302" s="84" t="s">
        <v>1303</v>
      </c>
      <c r="S2302" s="84">
        <v>0.124</v>
      </c>
      <c r="T2302" s="82" t="s">
        <v>4091</v>
      </c>
      <c r="U2302" s="84" t="s">
        <v>3584</v>
      </c>
      <c r="V2302" s="54"/>
    </row>
    <row r="2303" spans="1:22" s="11" customFormat="1" ht="45" customHeight="1" x14ac:dyDescent="0.2">
      <c r="A2303" s="66" t="s">
        <v>3577</v>
      </c>
      <c r="B2303" s="66" t="s">
        <v>1707</v>
      </c>
      <c r="C2303" s="66" t="s">
        <v>3578</v>
      </c>
      <c r="D2303" s="66">
        <v>80189</v>
      </c>
      <c r="E2303" s="68" t="s">
        <v>8919</v>
      </c>
      <c r="F2303" s="66" t="s">
        <v>8920</v>
      </c>
      <c r="G2303" s="71">
        <v>0</v>
      </c>
      <c r="H2303" s="73"/>
      <c r="I2303" s="75">
        <v>0.1</v>
      </c>
      <c r="J2303" s="77"/>
      <c r="K2303" s="66"/>
      <c r="L2303" s="66"/>
      <c r="M2303" s="79" t="str">
        <f>HYPERLINK("http://www.pristavka.com/catalog/funko/Fun80189/")</f>
        <v>http://www.pristavka.com/catalog/funko/Fun80189/</v>
      </c>
      <c r="N2303" s="71"/>
      <c r="O2303" s="66" t="s">
        <v>27</v>
      </c>
      <c r="P2303" s="82" t="s">
        <v>8921</v>
      </c>
      <c r="Q2303" s="84" t="s">
        <v>1600</v>
      </c>
      <c r="R2303" s="84" t="s">
        <v>1303</v>
      </c>
      <c r="S2303" s="84">
        <v>0.14299999999999999</v>
      </c>
      <c r="T2303" s="82" t="s">
        <v>4091</v>
      </c>
      <c r="U2303" s="84" t="s">
        <v>3584</v>
      </c>
      <c r="V2303" s="54"/>
    </row>
    <row r="2304" spans="1:22" s="11" customFormat="1" ht="45" customHeight="1" x14ac:dyDescent="0.2">
      <c r="A2304" s="66" t="s">
        <v>3577</v>
      </c>
      <c r="B2304" s="66" t="s">
        <v>1707</v>
      </c>
      <c r="C2304" s="66" t="s">
        <v>3578</v>
      </c>
      <c r="D2304" s="66">
        <v>80190</v>
      </c>
      <c r="E2304" s="68" t="s">
        <v>8922</v>
      </c>
      <c r="F2304" s="66" t="s">
        <v>8923</v>
      </c>
      <c r="G2304" s="71">
        <v>0</v>
      </c>
      <c r="H2304" s="73"/>
      <c r="I2304" s="75">
        <v>0.1</v>
      </c>
      <c r="J2304" s="77"/>
      <c r="K2304" s="66"/>
      <c r="L2304" s="66"/>
      <c r="M2304" s="79" t="str">
        <f>HYPERLINK("http://www.pristavka.com/catalog/funko/Fun80190/")</f>
        <v>http://www.pristavka.com/catalog/funko/Fun80190/</v>
      </c>
      <c r="N2304" s="71"/>
      <c r="O2304" s="66" t="s">
        <v>27</v>
      </c>
      <c r="P2304" s="82" t="s">
        <v>8924</v>
      </c>
      <c r="Q2304" s="84" t="s">
        <v>1600</v>
      </c>
      <c r="R2304" s="84" t="s">
        <v>1303</v>
      </c>
      <c r="S2304" s="84">
        <v>0.155</v>
      </c>
      <c r="T2304" s="82" t="s">
        <v>4091</v>
      </c>
      <c r="U2304" s="84" t="s">
        <v>3584</v>
      </c>
      <c r="V2304" s="54"/>
    </row>
    <row r="2305" spans="1:22" s="11" customFormat="1" ht="45" customHeight="1" x14ac:dyDescent="0.2">
      <c r="A2305" s="66" t="s">
        <v>3577</v>
      </c>
      <c r="B2305" s="66" t="s">
        <v>1707</v>
      </c>
      <c r="C2305" s="66" t="s">
        <v>3578</v>
      </c>
      <c r="D2305" s="66">
        <v>65606</v>
      </c>
      <c r="E2305" s="68" t="s">
        <v>8925</v>
      </c>
      <c r="F2305" s="66" t="s">
        <v>8926</v>
      </c>
      <c r="G2305" s="71">
        <v>6500</v>
      </c>
      <c r="H2305" s="73"/>
      <c r="I2305" s="75">
        <v>0.1</v>
      </c>
      <c r="J2305" s="77"/>
      <c r="K2305" s="66"/>
      <c r="L2305" s="66"/>
      <c r="M2305" s="79" t="str">
        <f>HYPERLINK("http://www.pristavka.com/catalog/funko/Fun65606/")</f>
        <v>http://www.pristavka.com/catalog/funko/Fun65606/</v>
      </c>
      <c r="N2305" s="71">
        <v>9999</v>
      </c>
      <c r="O2305" s="66" t="s">
        <v>28</v>
      </c>
      <c r="P2305" s="82" t="s">
        <v>8927</v>
      </c>
      <c r="Q2305" s="84" t="s">
        <v>8928</v>
      </c>
      <c r="R2305" s="84" t="s">
        <v>1612</v>
      </c>
      <c r="S2305" s="84">
        <v>0.11700000000000001</v>
      </c>
      <c r="T2305" s="82" t="s">
        <v>4113</v>
      </c>
      <c r="U2305" s="84" t="s">
        <v>3584</v>
      </c>
      <c r="V2305" s="54"/>
    </row>
    <row r="2306" spans="1:22" s="11" customFormat="1" ht="45" customHeight="1" x14ac:dyDescent="0.2">
      <c r="A2306" s="66" t="s">
        <v>3577</v>
      </c>
      <c r="B2306" s="66" t="s">
        <v>1707</v>
      </c>
      <c r="C2306" s="66" t="s">
        <v>3578</v>
      </c>
      <c r="D2306" s="66">
        <v>76473</v>
      </c>
      <c r="E2306" s="68" t="s">
        <v>8929</v>
      </c>
      <c r="F2306" s="66" t="s">
        <v>8930</v>
      </c>
      <c r="G2306" s="71">
        <v>6500</v>
      </c>
      <c r="H2306" s="73"/>
      <c r="I2306" s="75">
        <v>0.1</v>
      </c>
      <c r="J2306" s="77"/>
      <c r="K2306" s="66"/>
      <c r="L2306" s="66"/>
      <c r="M2306" s="79" t="str">
        <f>HYPERLINK("http://www.pristavka.com/catalog/funko/Fun76473/")</f>
        <v>http://www.pristavka.com/catalog/funko/Fun76473/</v>
      </c>
      <c r="N2306" s="71">
        <v>9999</v>
      </c>
      <c r="O2306" s="66" t="s">
        <v>27</v>
      </c>
      <c r="P2306" s="82" t="s">
        <v>8931</v>
      </c>
      <c r="Q2306" s="84" t="s">
        <v>8928</v>
      </c>
      <c r="R2306" s="84" t="s">
        <v>1612</v>
      </c>
      <c r="S2306" s="84">
        <v>0.14199999999999999</v>
      </c>
      <c r="T2306" s="82" t="s">
        <v>4084</v>
      </c>
      <c r="U2306" s="84" t="s">
        <v>3584</v>
      </c>
      <c r="V2306" s="54"/>
    </row>
    <row r="2307" spans="1:22" s="11" customFormat="1" ht="45" customHeight="1" x14ac:dyDescent="0.2">
      <c r="A2307" s="66" t="s">
        <v>3577</v>
      </c>
      <c r="B2307" s="66" t="s">
        <v>1707</v>
      </c>
      <c r="C2307" s="66" t="s">
        <v>3578</v>
      </c>
      <c r="D2307" s="66">
        <v>79723</v>
      </c>
      <c r="E2307" s="68" t="s">
        <v>8932</v>
      </c>
      <c r="F2307" s="66" t="s">
        <v>8933</v>
      </c>
      <c r="G2307" s="71">
        <v>6500</v>
      </c>
      <c r="H2307" s="73"/>
      <c r="I2307" s="75">
        <v>0.1</v>
      </c>
      <c r="J2307" s="77"/>
      <c r="K2307" s="66"/>
      <c r="L2307" s="66"/>
      <c r="M2307" s="79" t="str">
        <f>HYPERLINK("http://www.pristavka.com/catalog/funko/Fun79723/")</f>
        <v>http://www.pristavka.com/catalog/funko/Fun79723/</v>
      </c>
      <c r="N2307" s="71">
        <v>9999</v>
      </c>
      <c r="O2307" s="66" t="s">
        <v>27</v>
      </c>
      <c r="P2307" s="82" t="s">
        <v>8934</v>
      </c>
      <c r="Q2307" s="84" t="s">
        <v>8928</v>
      </c>
      <c r="R2307" s="84" t="s">
        <v>1612</v>
      </c>
      <c r="S2307" s="84">
        <v>0.16500000000000001</v>
      </c>
      <c r="T2307" s="82" t="s">
        <v>4113</v>
      </c>
      <c r="U2307" s="84" t="s">
        <v>3584</v>
      </c>
      <c r="V2307" s="54"/>
    </row>
    <row r="2308" spans="1:22" s="11" customFormat="1" ht="45" customHeight="1" x14ac:dyDescent="0.2">
      <c r="A2308" s="66" t="s">
        <v>3577</v>
      </c>
      <c r="B2308" s="66" t="s">
        <v>1707</v>
      </c>
      <c r="C2308" s="66" t="s">
        <v>3578</v>
      </c>
      <c r="D2308" s="66">
        <v>79722</v>
      </c>
      <c r="E2308" s="68" t="s">
        <v>8935</v>
      </c>
      <c r="F2308" s="66" t="s">
        <v>8936</v>
      </c>
      <c r="G2308" s="71">
        <v>0</v>
      </c>
      <c r="H2308" s="73"/>
      <c r="I2308" s="75">
        <v>0.1</v>
      </c>
      <c r="J2308" s="77"/>
      <c r="K2308" s="66"/>
      <c r="L2308" s="66"/>
      <c r="M2308" s="79" t="str">
        <f>HYPERLINK("http://www.pristavka.com/catalog/funko/Fun79722/")</f>
        <v>http://www.pristavka.com/catalog/funko/Fun79722/</v>
      </c>
      <c r="N2308" s="71"/>
      <c r="O2308" s="66" t="s">
        <v>27</v>
      </c>
      <c r="P2308" s="82" t="s">
        <v>8937</v>
      </c>
      <c r="Q2308" s="84" t="s">
        <v>8928</v>
      </c>
      <c r="R2308" s="84" t="s">
        <v>1612</v>
      </c>
      <c r="S2308" s="84">
        <v>0.156</v>
      </c>
      <c r="T2308" s="82" t="s">
        <v>4084</v>
      </c>
      <c r="U2308" s="84" t="s">
        <v>3584</v>
      </c>
      <c r="V2308" s="54"/>
    </row>
    <row r="2309" spans="1:22" s="11" customFormat="1" ht="45" customHeight="1" x14ac:dyDescent="0.2">
      <c r="A2309" s="66" t="s">
        <v>3577</v>
      </c>
      <c r="B2309" s="66" t="s">
        <v>1707</v>
      </c>
      <c r="C2309" s="66" t="s">
        <v>3578</v>
      </c>
      <c r="D2309" s="66">
        <v>79724</v>
      </c>
      <c r="E2309" s="68" t="s">
        <v>8938</v>
      </c>
      <c r="F2309" s="66" t="s">
        <v>8939</v>
      </c>
      <c r="G2309" s="71">
        <v>6500</v>
      </c>
      <c r="H2309" s="73"/>
      <c r="I2309" s="75">
        <v>0.1</v>
      </c>
      <c r="J2309" s="77"/>
      <c r="K2309" s="66"/>
      <c r="L2309" s="66"/>
      <c r="M2309" s="79" t="str">
        <f>HYPERLINK("http://www.pristavka.com/catalog/funko/Fun79724/")</f>
        <v>http://www.pristavka.com/catalog/funko/Fun79724/</v>
      </c>
      <c r="N2309" s="71">
        <v>9999</v>
      </c>
      <c r="O2309" s="66" t="s">
        <v>27</v>
      </c>
      <c r="P2309" s="82" t="s">
        <v>8940</v>
      </c>
      <c r="Q2309" s="84" t="s">
        <v>8928</v>
      </c>
      <c r="R2309" s="84" t="s">
        <v>1612</v>
      </c>
      <c r="S2309" s="84">
        <v>0.16</v>
      </c>
      <c r="T2309" s="82" t="s">
        <v>4113</v>
      </c>
      <c r="U2309" s="84" t="s">
        <v>3584</v>
      </c>
      <c r="V2309" s="54"/>
    </row>
    <row r="2310" spans="1:22" s="11" customFormat="1" ht="45" customHeight="1" x14ac:dyDescent="0.2">
      <c r="A2310" s="66" t="s">
        <v>3577</v>
      </c>
      <c r="B2310" s="66" t="s">
        <v>1707</v>
      </c>
      <c r="C2310" s="66" t="s">
        <v>3578</v>
      </c>
      <c r="D2310" s="66">
        <v>79721</v>
      </c>
      <c r="E2310" s="68" t="s">
        <v>8941</v>
      </c>
      <c r="F2310" s="66" t="s">
        <v>8942</v>
      </c>
      <c r="G2310" s="71">
        <v>0</v>
      </c>
      <c r="H2310" s="73"/>
      <c r="I2310" s="75">
        <v>0.1</v>
      </c>
      <c r="J2310" s="77"/>
      <c r="K2310" s="66"/>
      <c r="L2310" s="66"/>
      <c r="M2310" s="79" t="str">
        <f>HYPERLINK("http://www.pristavka.com/catalog/funko/Fun79721/")</f>
        <v>http://www.pristavka.com/catalog/funko/Fun79721/</v>
      </c>
      <c r="N2310" s="71"/>
      <c r="O2310" s="66" t="s">
        <v>27</v>
      </c>
      <c r="P2310" s="82" t="s">
        <v>8943</v>
      </c>
      <c r="Q2310" s="84" t="s">
        <v>8928</v>
      </c>
      <c r="R2310" s="84" t="s">
        <v>1612</v>
      </c>
      <c r="S2310" s="84">
        <v>0.13800000000000001</v>
      </c>
      <c r="T2310" s="82" t="s">
        <v>4084</v>
      </c>
      <c r="U2310" s="84" t="s">
        <v>3584</v>
      </c>
      <c r="V2310" s="54"/>
    </row>
    <row r="2311" spans="1:22" s="11" customFormat="1" ht="45" customHeight="1" x14ac:dyDescent="0.2">
      <c r="A2311" s="66" t="s">
        <v>3577</v>
      </c>
      <c r="B2311" s="66" t="s">
        <v>1707</v>
      </c>
      <c r="C2311" s="66" t="s">
        <v>3578</v>
      </c>
      <c r="D2311" s="66">
        <v>79720</v>
      </c>
      <c r="E2311" s="68" t="s">
        <v>8944</v>
      </c>
      <c r="F2311" s="66" t="s">
        <v>8945</v>
      </c>
      <c r="G2311" s="71">
        <v>6500</v>
      </c>
      <c r="H2311" s="73"/>
      <c r="I2311" s="75">
        <v>0.1</v>
      </c>
      <c r="J2311" s="77"/>
      <c r="K2311" s="66"/>
      <c r="L2311" s="66"/>
      <c r="M2311" s="79" t="str">
        <f>HYPERLINK("http://www.pristavka.com/catalog/funko/Fun79720/")</f>
        <v>http://www.pristavka.com/catalog/funko/Fun79720/</v>
      </c>
      <c r="N2311" s="71">
        <v>9999</v>
      </c>
      <c r="O2311" s="66" t="s">
        <v>27</v>
      </c>
      <c r="P2311" s="82" t="s">
        <v>8946</v>
      </c>
      <c r="Q2311" s="84" t="s">
        <v>8928</v>
      </c>
      <c r="R2311" s="84" t="s">
        <v>1612</v>
      </c>
      <c r="S2311" s="84">
        <v>0.11600000000000001</v>
      </c>
      <c r="T2311" s="82" t="s">
        <v>4102</v>
      </c>
      <c r="U2311" s="84" t="s">
        <v>3584</v>
      </c>
      <c r="V2311" s="54"/>
    </row>
    <row r="2312" spans="1:22" s="11" customFormat="1" ht="45" customHeight="1" x14ac:dyDescent="0.2">
      <c r="A2312" s="66" t="s">
        <v>3577</v>
      </c>
      <c r="B2312" s="66" t="s">
        <v>1707</v>
      </c>
      <c r="C2312" s="66" t="s">
        <v>3578</v>
      </c>
      <c r="D2312" s="66">
        <v>81667</v>
      </c>
      <c r="E2312" s="68" t="s">
        <v>8947</v>
      </c>
      <c r="F2312" s="66" t="s">
        <v>8948</v>
      </c>
      <c r="G2312" s="71">
        <v>6890</v>
      </c>
      <c r="H2312" s="73"/>
      <c r="I2312" s="75">
        <v>0.1</v>
      </c>
      <c r="J2312" s="77"/>
      <c r="K2312" s="66"/>
      <c r="L2312" s="66"/>
      <c r="M2312" s="79" t="str">
        <f>HYPERLINK("http://www.pristavka.com/catalog/funko/Fun81667/")</f>
        <v>http://www.pristavka.com/catalog/funko/Fun81667/</v>
      </c>
      <c r="N2312" s="71">
        <v>10599</v>
      </c>
      <c r="O2312" s="66" t="s">
        <v>27</v>
      </c>
      <c r="P2312" s="82" t="s">
        <v>8949</v>
      </c>
      <c r="Q2312" s="84" t="s">
        <v>8928</v>
      </c>
      <c r="R2312" s="84" t="s">
        <v>1612</v>
      </c>
      <c r="S2312" s="84">
        <v>0.14000000000000001</v>
      </c>
      <c r="T2312" s="82" t="s">
        <v>4084</v>
      </c>
      <c r="U2312" s="84" t="s">
        <v>3584</v>
      </c>
      <c r="V2312" s="54"/>
    </row>
    <row r="2313" spans="1:22" s="11" customFormat="1" ht="45" customHeight="1" x14ac:dyDescent="0.2">
      <c r="A2313" s="66" t="s">
        <v>3577</v>
      </c>
      <c r="B2313" s="66" t="s">
        <v>1707</v>
      </c>
      <c r="C2313" s="66" t="s">
        <v>3578</v>
      </c>
      <c r="D2313" s="66">
        <v>65605</v>
      </c>
      <c r="E2313" s="68" t="s">
        <v>8950</v>
      </c>
      <c r="F2313" s="66" t="s">
        <v>8951</v>
      </c>
      <c r="G2313" s="71">
        <v>6500</v>
      </c>
      <c r="H2313" s="73"/>
      <c r="I2313" s="75">
        <v>0.1</v>
      </c>
      <c r="J2313" s="77"/>
      <c r="K2313" s="66"/>
      <c r="L2313" s="66"/>
      <c r="M2313" s="79" t="str">
        <f>HYPERLINK("http://www.pristavka.com/catalog/funko/Fun65605/")</f>
        <v>http://www.pristavka.com/catalog/funko/Fun65605/</v>
      </c>
      <c r="N2313" s="71">
        <v>9999</v>
      </c>
      <c r="O2313" s="66" t="s">
        <v>27</v>
      </c>
      <c r="P2313" s="82" t="s">
        <v>8952</v>
      </c>
      <c r="Q2313" s="84" t="s">
        <v>8928</v>
      </c>
      <c r="R2313" s="84" t="s">
        <v>1612</v>
      </c>
      <c r="S2313" s="84">
        <v>0.185</v>
      </c>
      <c r="T2313" s="82" t="s">
        <v>4084</v>
      </c>
      <c r="U2313" s="84" t="s">
        <v>3584</v>
      </c>
      <c r="V2313" s="54"/>
    </row>
    <row r="2314" spans="1:22" s="11" customFormat="1" ht="45" customHeight="1" x14ac:dyDescent="0.2">
      <c r="A2314" s="66" t="s">
        <v>3577</v>
      </c>
      <c r="B2314" s="66" t="s">
        <v>1707</v>
      </c>
      <c r="C2314" s="66" t="s">
        <v>3578</v>
      </c>
      <c r="D2314" s="66">
        <v>85291</v>
      </c>
      <c r="E2314" s="68" t="s">
        <v>8953</v>
      </c>
      <c r="F2314" s="66" t="s">
        <v>8954</v>
      </c>
      <c r="G2314" s="71">
        <v>0</v>
      </c>
      <c r="H2314" s="73"/>
      <c r="I2314" s="75">
        <v>0.1</v>
      </c>
      <c r="J2314" s="77"/>
      <c r="K2314" s="66"/>
      <c r="L2314" s="66"/>
      <c r="M2314" s="79" t="str">
        <f>HYPERLINK("http://www.pristavka.com/catalog/funko/Fun85291/")</f>
        <v>http://www.pristavka.com/catalog/funko/Fun85291/</v>
      </c>
      <c r="N2314" s="71"/>
      <c r="O2314" s="66" t="s">
        <v>27</v>
      </c>
      <c r="P2314" s="82" t="s">
        <v>8955</v>
      </c>
      <c r="Q2314" s="84" t="s">
        <v>1765</v>
      </c>
      <c r="R2314" s="84" t="s">
        <v>1765</v>
      </c>
      <c r="S2314" s="84">
        <v>0.11600000000000001</v>
      </c>
      <c r="T2314" s="82" t="s">
        <v>4113</v>
      </c>
      <c r="U2314" s="84" t="s">
        <v>3584</v>
      </c>
      <c r="V2314" s="54"/>
    </row>
    <row r="2315" spans="1:22" s="11" customFormat="1" ht="45" customHeight="1" x14ac:dyDescent="0.2">
      <c r="A2315" s="66" t="s">
        <v>3577</v>
      </c>
      <c r="B2315" s="66" t="s">
        <v>1707</v>
      </c>
      <c r="C2315" s="66" t="s">
        <v>3578</v>
      </c>
      <c r="D2315" s="66">
        <v>61405</v>
      </c>
      <c r="E2315" s="68" t="s">
        <v>8956</v>
      </c>
      <c r="F2315" s="66" t="s">
        <v>8957</v>
      </c>
      <c r="G2315" s="71">
        <v>6500</v>
      </c>
      <c r="H2315" s="73"/>
      <c r="I2315" s="75">
        <v>0.1</v>
      </c>
      <c r="J2315" s="77"/>
      <c r="K2315" s="66"/>
      <c r="L2315" s="66"/>
      <c r="M2315" s="79" t="str">
        <f>HYPERLINK("http://www.pristavka.com/catalog/funko/Fun61405/")</f>
        <v>http://www.pristavka.com/catalog/funko/Fun61405/</v>
      </c>
      <c r="N2315" s="71">
        <v>9999</v>
      </c>
      <c r="O2315" s="66" t="s">
        <v>27</v>
      </c>
      <c r="P2315" s="82" t="s">
        <v>8958</v>
      </c>
      <c r="Q2315" s="84" t="s">
        <v>6171</v>
      </c>
      <c r="R2315" s="84" t="s">
        <v>6171</v>
      </c>
      <c r="S2315" s="84">
        <v>0.126</v>
      </c>
      <c r="T2315" s="82" t="s">
        <v>4084</v>
      </c>
      <c r="U2315" s="84" t="s">
        <v>3584</v>
      </c>
      <c r="V2315" s="54"/>
    </row>
    <row r="2316" spans="1:22" s="11" customFormat="1" ht="45" customHeight="1" x14ac:dyDescent="0.2">
      <c r="A2316" s="66" t="s">
        <v>3577</v>
      </c>
      <c r="B2316" s="66" t="s">
        <v>1707</v>
      </c>
      <c r="C2316" s="66" t="s">
        <v>3578</v>
      </c>
      <c r="D2316" s="66">
        <v>61406</v>
      </c>
      <c r="E2316" s="68" t="s">
        <v>8959</v>
      </c>
      <c r="F2316" s="66" t="s">
        <v>8960</v>
      </c>
      <c r="G2316" s="71">
        <v>6500</v>
      </c>
      <c r="H2316" s="73"/>
      <c r="I2316" s="75">
        <v>0.1</v>
      </c>
      <c r="J2316" s="77"/>
      <c r="K2316" s="66"/>
      <c r="L2316" s="66"/>
      <c r="M2316" s="79" t="str">
        <f>HYPERLINK("http://www.pristavka.com/catalog/funko/Fun61406/")</f>
        <v>http://www.pristavka.com/catalog/funko/Fun61406/</v>
      </c>
      <c r="N2316" s="71">
        <v>9999</v>
      </c>
      <c r="O2316" s="66" t="s">
        <v>27</v>
      </c>
      <c r="P2316" s="82" t="s">
        <v>8961</v>
      </c>
      <c r="Q2316" s="84" t="s">
        <v>6171</v>
      </c>
      <c r="R2316" s="84" t="s">
        <v>6171</v>
      </c>
      <c r="S2316" s="84">
        <v>0.13300000000000001</v>
      </c>
      <c r="T2316" s="82" t="s">
        <v>4084</v>
      </c>
      <c r="U2316" s="84" t="s">
        <v>3584</v>
      </c>
      <c r="V2316" s="54"/>
    </row>
    <row r="2317" spans="1:22" s="11" customFormat="1" ht="45" customHeight="1" x14ac:dyDescent="0.2">
      <c r="A2317" s="66" t="s">
        <v>3577</v>
      </c>
      <c r="B2317" s="66" t="s">
        <v>1707</v>
      </c>
      <c r="C2317" s="66" t="s">
        <v>3578</v>
      </c>
      <c r="D2317" s="66">
        <v>81068</v>
      </c>
      <c r="E2317" s="68" t="s">
        <v>8962</v>
      </c>
      <c r="F2317" s="66" t="s">
        <v>8963</v>
      </c>
      <c r="G2317" s="71">
        <v>6890</v>
      </c>
      <c r="H2317" s="73"/>
      <c r="I2317" s="75">
        <v>0.1</v>
      </c>
      <c r="J2317" s="77"/>
      <c r="K2317" s="66"/>
      <c r="L2317" s="66"/>
      <c r="M2317" s="79" t="str">
        <f>HYPERLINK("http://www.pristavka.com/catalog/funko/Fun81068/")</f>
        <v>http://www.pristavka.com/catalog/funko/Fun81068/</v>
      </c>
      <c r="N2317" s="71">
        <v>10599</v>
      </c>
      <c r="O2317" s="66" t="s">
        <v>27</v>
      </c>
      <c r="P2317" s="82" t="s">
        <v>8964</v>
      </c>
      <c r="Q2317" s="84" t="s">
        <v>4487</v>
      </c>
      <c r="R2317" s="84" t="s">
        <v>3992</v>
      </c>
      <c r="S2317" s="84">
        <v>0.126</v>
      </c>
      <c r="T2317" s="82" t="s">
        <v>4102</v>
      </c>
      <c r="U2317" s="84" t="s">
        <v>3584</v>
      </c>
      <c r="V2317" s="54"/>
    </row>
    <row r="2318" spans="1:22" s="11" customFormat="1" ht="45" customHeight="1" x14ac:dyDescent="0.2">
      <c r="A2318" s="66" t="s">
        <v>3577</v>
      </c>
      <c r="B2318" s="66" t="s">
        <v>1707</v>
      </c>
      <c r="C2318" s="66" t="s">
        <v>3578</v>
      </c>
      <c r="D2318" s="66">
        <v>81067</v>
      </c>
      <c r="E2318" s="68" t="s">
        <v>8965</v>
      </c>
      <c r="F2318" s="66" t="s">
        <v>8966</v>
      </c>
      <c r="G2318" s="71">
        <v>6500</v>
      </c>
      <c r="H2318" s="73"/>
      <c r="I2318" s="75">
        <v>0.1</v>
      </c>
      <c r="J2318" s="77"/>
      <c r="K2318" s="66"/>
      <c r="L2318" s="66"/>
      <c r="M2318" s="79" t="str">
        <f>HYPERLINK("http://www.pristavka.com/catalog/funko/Fun81067/")</f>
        <v>http://www.pristavka.com/catalog/funko/Fun81067/</v>
      </c>
      <c r="N2318" s="71">
        <v>9999</v>
      </c>
      <c r="O2318" s="66" t="s">
        <v>27</v>
      </c>
      <c r="P2318" s="82" t="s">
        <v>8967</v>
      </c>
      <c r="Q2318" s="84" t="s">
        <v>8968</v>
      </c>
      <c r="R2318" s="84" t="s">
        <v>8429</v>
      </c>
      <c r="S2318" s="84">
        <v>0.16400000000000001</v>
      </c>
      <c r="T2318" s="82" t="s">
        <v>4084</v>
      </c>
      <c r="U2318" s="84" t="s">
        <v>3584</v>
      </c>
      <c r="V2318" s="54"/>
    </row>
    <row r="2319" spans="1:22" s="11" customFormat="1" ht="45" customHeight="1" x14ac:dyDescent="0.2">
      <c r="A2319" s="66" t="s">
        <v>3577</v>
      </c>
      <c r="B2319" s="66" t="s">
        <v>1707</v>
      </c>
      <c r="C2319" s="66" t="s">
        <v>3578</v>
      </c>
      <c r="D2319" s="66">
        <v>81070</v>
      </c>
      <c r="E2319" s="68" t="s">
        <v>8969</v>
      </c>
      <c r="F2319" s="66" t="s">
        <v>8970</v>
      </c>
      <c r="G2319" s="71">
        <v>6500</v>
      </c>
      <c r="H2319" s="73"/>
      <c r="I2319" s="75">
        <v>0.1</v>
      </c>
      <c r="J2319" s="77"/>
      <c r="K2319" s="66"/>
      <c r="L2319" s="66"/>
      <c r="M2319" s="79" t="str">
        <f>HYPERLINK("http://www.pristavka.com/catalog/funko/Fun81070/")</f>
        <v>http://www.pristavka.com/catalog/funko/Fun81070/</v>
      </c>
      <c r="N2319" s="71">
        <v>9999</v>
      </c>
      <c r="O2319" s="66" t="s">
        <v>27</v>
      </c>
      <c r="P2319" s="82" t="s">
        <v>8971</v>
      </c>
      <c r="Q2319" s="84" t="s">
        <v>8972</v>
      </c>
      <c r="R2319" s="84" t="s">
        <v>3512</v>
      </c>
      <c r="S2319" s="84">
        <v>0.152</v>
      </c>
      <c r="T2319" s="82" t="s">
        <v>4084</v>
      </c>
      <c r="U2319" s="84" t="s">
        <v>3584</v>
      </c>
      <c r="V2319" s="54"/>
    </row>
    <row r="2320" spans="1:22" s="11" customFormat="1" ht="45" customHeight="1" x14ac:dyDescent="0.2">
      <c r="A2320" s="66" t="s">
        <v>3577</v>
      </c>
      <c r="B2320" s="66" t="s">
        <v>1707</v>
      </c>
      <c r="C2320" s="66" t="s">
        <v>3578</v>
      </c>
      <c r="D2320" s="66">
        <v>55802</v>
      </c>
      <c r="E2320" s="68" t="s">
        <v>8973</v>
      </c>
      <c r="F2320" s="66" t="s">
        <v>8974</v>
      </c>
      <c r="G2320" s="71">
        <v>6500</v>
      </c>
      <c r="H2320" s="73"/>
      <c r="I2320" s="75">
        <v>0.1</v>
      </c>
      <c r="J2320" s="77"/>
      <c r="K2320" s="66"/>
      <c r="L2320" s="66"/>
      <c r="M2320" s="79" t="str">
        <f>HYPERLINK("http://www.pristavka.com/catalog/funko/Fun55802/")</f>
        <v>http://www.pristavka.com/catalog/funko/Fun55802/</v>
      </c>
      <c r="N2320" s="71">
        <v>9999</v>
      </c>
      <c r="O2320" s="66" t="s">
        <v>27</v>
      </c>
      <c r="P2320" s="82" t="s">
        <v>8975</v>
      </c>
      <c r="Q2320" s="84" t="s">
        <v>6171</v>
      </c>
      <c r="R2320" s="84" t="s">
        <v>3327</v>
      </c>
      <c r="S2320" s="84">
        <v>0.13200000000000001</v>
      </c>
      <c r="T2320" s="82" t="s">
        <v>4113</v>
      </c>
      <c r="U2320" s="84" t="s">
        <v>3584</v>
      </c>
      <c r="V2320" s="54"/>
    </row>
    <row r="2321" spans="1:22" s="11" customFormat="1" ht="45" customHeight="1" x14ac:dyDescent="0.2">
      <c r="A2321" s="66" t="s">
        <v>3577</v>
      </c>
      <c r="B2321" s="66" t="s">
        <v>1707</v>
      </c>
      <c r="C2321" s="66" t="s">
        <v>3578</v>
      </c>
      <c r="D2321" s="66">
        <v>80171</v>
      </c>
      <c r="E2321" s="68" t="s">
        <v>8976</v>
      </c>
      <c r="F2321" s="66" t="s">
        <v>8977</v>
      </c>
      <c r="G2321" s="71">
        <v>6500</v>
      </c>
      <c r="H2321" s="73"/>
      <c r="I2321" s="75">
        <v>0.1</v>
      </c>
      <c r="J2321" s="77"/>
      <c r="K2321" s="66"/>
      <c r="L2321" s="66"/>
      <c r="M2321" s="79" t="str">
        <f>HYPERLINK("http://www.pristavka.com/catalog/funko/Fun80171/")</f>
        <v>http://www.pristavka.com/catalog/funko/Fun80171/</v>
      </c>
      <c r="N2321" s="71">
        <v>9999</v>
      </c>
      <c r="O2321" s="66" t="s">
        <v>27</v>
      </c>
      <c r="P2321" s="82" t="s">
        <v>8978</v>
      </c>
      <c r="Q2321" s="84" t="s">
        <v>8979</v>
      </c>
      <c r="R2321" s="84" t="s">
        <v>6171</v>
      </c>
      <c r="S2321" s="84">
        <v>0.13800000000000001</v>
      </c>
      <c r="T2321" s="82" t="s">
        <v>4091</v>
      </c>
      <c r="U2321" s="84" t="s">
        <v>3584</v>
      </c>
      <c r="V2321" s="54"/>
    </row>
    <row r="2322" spans="1:22" s="11" customFormat="1" ht="45" customHeight="1" x14ac:dyDescent="0.2">
      <c r="A2322" s="66" t="s">
        <v>3577</v>
      </c>
      <c r="B2322" s="66" t="s">
        <v>1707</v>
      </c>
      <c r="C2322" s="66" t="s">
        <v>3578</v>
      </c>
      <c r="D2322" s="66">
        <v>80172</v>
      </c>
      <c r="E2322" s="68" t="s">
        <v>8980</v>
      </c>
      <c r="F2322" s="66" t="s">
        <v>8981</v>
      </c>
      <c r="G2322" s="71">
        <v>6500</v>
      </c>
      <c r="H2322" s="73"/>
      <c r="I2322" s="75">
        <v>0.1</v>
      </c>
      <c r="J2322" s="77"/>
      <c r="K2322" s="66"/>
      <c r="L2322" s="66"/>
      <c r="M2322" s="79" t="str">
        <f>HYPERLINK("http://www.pristavka.com/catalog/funko/Fun80172/")</f>
        <v>http://www.pristavka.com/catalog/funko/Fun80172/</v>
      </c>
      <c r="N2322" s="71">
        <v>9999</v>
      </c>
      <c r="O2322" s="66" t="s">
        <v>27</v>
      </c>
      <c r="P2322" s="82" t="s">
        <v>8982</v>
      </c>
      <c r="Q2322" s="84" t="s">
        <v>8979</v>
      </c>
      <c r="R2322" s="84" t="s">
        <v>6171</v>
      </c>
      <c r="S2322" s="84">
        <v>0.17599999999999999</v>
      </c>
      <c r="T2322" s="82" t="s">
        <v>4091</v>
      </c>
      <c r="U2322" s="84" t="s">
        <v>3584</v>
      </c>
      <c r="V2322" s="54"/>
    </row>
    <row r="2323" spans="1:22" s="11" customFormat="1" ht="45" customHeight="1" x14ac:dyDescent="0.2">
      <c r="A2323" s="66" t="s">
        <v>3577</v>
      </c>
      <c r="B2323" s="66" t="s">
        <v>1707</v>
      </c>
      <c r="C2323" s="66" t="s">
        <v>3578</v>
      </c>
      <c r="D2323" s="66">
        <v>80174</v>
      </c>
      <c r="E2323" s="68" t="s">
        <v>8983</v>
      </c>
      <c r="F2323" s="66" t="s">
        <v>8984</v>
      </c>
      <c r="G2323" s="71">
        <v>12300</v>
      </c>
      <c r="H2323" s="73"/>
      <c r="I2323" s="75">
        <v>0.1</v>
      </c>
      <c r="J2323" s="77"/>
      <c r="K2323" s="66"/>
      <c r="L2323" s="66"/>
      <c r="M2323" s="79" t="str">
        <f>HYPERLINK("http://www.pristavka.com/catalog/funko/Fun80174/")</f>
        <v>http://www.pristavka.com/catalog/funko/Fun80174/</v>
      </c>
      <c r="N2323" s="71">
        <v>19999</v>
      </c>
      <c r="O2323" s="66" t="s">
        <v>27</v>
      </c>
      <c r="P2323" s="82" t="s">
        <v>8985</v>
      </c>
      <c r="Q2323" s="84" t="s">
        <v>8979</v>
      </c>
      <c r="R2323" s="84" t="s">
        <v>6171</v>
      </c>
      <c r="S2323" s="84">
        <v>0.314</v>
      </c>
      <c r="T2323" s="82" t="s">
        <v>4363</v>
      </c>
      <c r="U2323" s="84" t="s">
        <v>3584</v>
      </c>
      <c r="V2323" s="54"/>
    </row>
    <row r="2324" spans="1:22" s="11" customFormat="1" ht="45" customHeight="1" x14ac:dyDescent="0.2">
      <c r="A2324" s="66" t="s">
        <v>3577</v>
      </c>
      <c r="B2324" s="66" t="s">
        <v>1707</v>
      </c>
      <c r="C2324" s="66" t="s">
        <v>3578</v>
      </c>
      <c r="D2324" s="66">
        <v>80175</v>
      </c>
      <c r="E2324" s="68" t="s">
        <v>8986</v>
      </c>
      <c r="F2324" s="66" t="s">
        <v>8987</v>
      </c>
      <c r="G2324" s="71">
        <v>6500</v>
      </c>
      <c r="H2324" s="73"/>
      <c r="I2324" s="75">
        <v>0.1</v>
      </c>
      <c r="J2324" s="77"/>
      <c r="K2324" s="66"/>
      <c r="L2324" s="66"/>
      <c r="M2324" s="79" t="str">
        <f>HYPERLINK("http://www.pristavka.com/catalog/funko/Fun80175/")</f>
        <v>http://www.pristavka.com/catalog/funko/Fun80175/</v>
      </c>
      <c r="N2324" s="71">
        <v>9999</v>
      </c>
      <c r="O2324" s="66" t="s">
        <v>28</v>
      </c>
      <c r="P2324" s="82" t="s">
        <v>8988</v>
      </c>
      <c r="Q2324" s="84" t="s">
        <v>8979</v>
      </c>
      <c r="R2324" s="84" t="s">
        <v>6171</v>
      </c>
      <c r="S2324" s="84">
        <v>0.128</v>
      </c>
      <c r="T2324" s="82" t="s">
        <v>4084</v>
      </c>
      <c r="U2324" s="84" t="s">
        <v>3584</v>
      </c>
      <c r="V2324" s="54"/>
    </row>
    <row r="2325" spans="1:22" s="11" customFormat="1" ht="45" customHeight="1" x14ac:dyDescent="0.2">
      <c r="A2325" s="66" t="s">
        <v>3577</v>
      </c>
      <c r="B2325" s="66" t="s">
        <v>1707</v>
      </c>
      <c r="C2325" s="66" t="s">
        <v>3578</v>
      </c>
      <c r="D2325" s="66">
        <v>78661</v>
      </c>
      <c r="E2325" s="68" t="s">
        <v>8989</v>
      </c>
      <c r="F2325" s="66" t="s">
        <v>8990</v>
      </c>
      <c r="G2325" s="71">
        <v>0</v>
      </c>
      <c r="H2325" s="73"/>
      <c r="I2325" s="75">
        <v>0.1</v>
      </c>
      <c r="J2325" s="77"/>
      <c r="K2325" s="66"/>
      <c r="L2325" s="66"/>
      <c r="M2325" s="79" t="str">
        <f>HYPERLINK("https://pristavka.com/catalog/funko_figures/Fun78661/")</f>
        <v>https://pristavka.com/catalog/funko_figures/Fun78661/</v>
      </c>
      <c r="N2325" s="71"/>
      <c r="O2325" s="66" t="s">
        <v>27</v>
      </c>
      <c r="P2325" s="82" t="s">
        <v>8991</v>
      </c>
      <c r="Q2325" s="84" t="s">
        <v>8979</v>
      </c>
      <c r="R2325" s="84" t="s">
        <v>6171</v>
      </c>
      <c r="S2325" s="84">
        <v>0.16800000000000001</v>
      </c>
      <c r="T2325" s="82" t="s">
        <v>4084</v>
      </c>
      <c r="U2325" s="84" t="s">
        <v>3584</v>
      </c>
      <c r="V2325" s="54"/>
    </row>
    <row r="2326" spans="1:22" s="11" customFormat="1" ht="45" customHeight="1" x14ac:dyDescent="0.2">
      <c r="A2326" s="66" t="s">
        <v>3577</v>
      </c>
      <c r="B2326" s="66" t="s">
        <v>1707</v>
      </c>
      <c r="C2326" s="66" t="s">
        <v>3578</v>
      </c>
      <c r="D2326" s="66">
        <v>74431</v>
      </c>
      <c r="E2326" s="68" t="s">
        <v>8992</v>
      </c>
      <c r="F2326" s="66" t="s">
        <v>8993</v>
      </c>
      <c r="G2326" s="71">
        <v>6500</v>
      </c>
      <c r="H2326" s="73"/>
      <c r="I2326" s="75">
        <v>0.1</v>
      </c>
      <c r="J2326" s="77"/>
      <c r="K2326" s="66"/>
      <c r="L2326" s="66"/>
      <c r="M2326" s="79" t="str">
        <f>HYPERLINK("http://www.pristavka.com/catalog/funko/Fun74431/")</f>
        <v>http://www.pristavka.com/catalog/funko/Fun74431/</v>
      </c>
      <c r="N2326" s="71">
        <v>9999</v>
      </c>
      <c r="O2326" s="66" t="s">
        <v>27</v>
      </c>
      <c r="P2326" s="82" t="s">
        <v>8994</v>
      </c>
      <c r="Q2326" s="84" t="s">
        <v>8979</v>
      </c>
      <c r="R2326" s="84" t="s">
        <v>6171</v>
      </c>
      <c r="S2326" s="84">
        <v>0.16600000000000001</v>
      </c>
      <c r="T2326" s="82" t="s">
        <v>4084</v>
      </c>
      <c r="U2326" s="84" t="s">
        <v>3584</v>
      </c>
      <c r="V2326" s="54"/>
    </row>
    <row r="2327" spans="1:22" s="11" customFormat="1" ht="45" customHeight="1" x14ac:dyDescent="0.2">
      <c r="A2327" s="66" t="s">
        <v>3577</v>
      </c>
      <c r="B2327" s="66" t="s">
        <v>1707</v>
      </c>
      <c r="C2327" s="66" t="s">
        <v>3578</v>
      </c>
      <c r="D2327" s="66">
        <v>65694</v>
      </c>
      <c r="E2327" s="68" t="s">
        <v>8995</v>
      </c>
      <c r="F2327" s="66" t="s">
        <v>8996</v>
      </c>
      <c r="G2327" s="71">
        <v>6500</v>
      </c>
      <c r="H2327" s="73"/>
      <c r="I2327" s="75">
        <v>0.1</v>
      </c>
      <c r="J2327" s="77"/>
      <c r="K2327" s="66"/>
      <c r="L2327" s="66"/>
      <c r="M2327" s="79" t="str">
        <f>HYPERLINK("http://www.pristavka.com/catalog/funko/Fun65694/")</f>
        <v>http://www.pristavka.com/catalog/funko/Fun65694/</v>
      </c>
      <c r="N2327" s="71">
        <v>9999</v>
      </c>
      <c r="O2327" s="66" t="s">
        <v>27</v>
      </c>
      <c r="P2327" s="82" t="s">
        <v>8997</v>
      </c>
      <c r="Q2327" s="84" t="s">
        <v>8979</v>
      </c>
      <c r="R2327" s="84" t="s">
        <v>6171</v>
      </c>
      <c r="S2327" s="84">
        <v>0.13</v>
      </c>
      <c r="T2327" s="82" t="s">
        <v>4084</v>
      </c>
      <c r="U2327" s="84" t="s">
        <v>3584</v>
      </c>
      <c r="V2327" s="54"/>
    </row>
    <row r="2328" spans="1:22" s="11" customFormat="1" ht="45" customHeight="1" x14ac:dyDescent="0.2">
      <c r="A2328" s="66" t="s">
        <v>3577</v>
      </c>
      <c r="B2328" s="66" t="s">
        <v>1707</v>
      </c>
      <c r="C2328" s="66" t="s">
        <v>3578</v>
      </c>
      <c r="D2328" s="66">
        <v>80170</v>
      </c>
      <c r="E2328" s="68" t="s">
        <v>8998</v>
      </c>
      <c r="F2328" s="66" t="s">
        <v>8999</v>
      </c>
      <c r="G2328" s="71">
        <v>6500</v>
      </c>
      <c r="H2328" s="73"/>
      <c r="I2328" s="75">
        <v>0.1</v>
      </c>
      <c r="J2328" s="77"/>
      <c r="K2328" s="66"/>
      <c r="L2328" s="66"/>
      <c r="M2328" s="79" t="str">
        <f>HYPERLINK("http://www.pristavka.com/catalog/funko/Fun80170/")</f>
        <v>http://www.pristavka.com/catalog/funko/Fun80170/</v>
      </c>
      <c r="N2328" s="71">
        <v>9999</v>
      </c>
      <c r="O2328" s="66" t="s">
        <v>27</v>
      </c>
      <c r="P2328" s="82" t="s">
        <v>9000</v>
      </c>
      <c r="Q2328" s="84" t="s">
        <v>8979</v>
      </c>
      <c r="R2328" s="84" t="s">
        <v>6171</v>
      </c>
      <c r="S2328" s="84">
        <v>0.19600000000000001</v>
      </c>
      <c r="T2328" s="82" t="s">
        <v>4091</v>
      </c>
      <c r="U2328" s="84" t="s">
        <v>3584</v>
      </c>
      <c r="V2328" s="54"/>
    </row>
    <row r="2329" spans="1:22" s="11" customFormat="1" ht="45" customHeight="1" x14ac:dyDescent="0.2">
      <c r="A2329" s="66" t="s">
        <v>3577</v>
      </c>
      <c r="B2329" s="66" t="s">
        <v>1707</v>
      </c>
      <c r="C2329" s="66" t="s">
        <v>3578</v>
      </c>
      <c r="D2329" s="66">
        <v>72180</v>
      </c>
      <c r="E2329" s="68" t="s">
        <v>9001</v>
      </c>
      <c r="F2329" s="66" t="s">
        <v>9002</v>
      </c>
      <c r="G2329" s="71">
        <v>6500</v>
      </c>
      <c r="H2329" s="73"/>
      <c r="I2329" s="75">
        <v>0.1</v>
      </c>
      <c r="J2329" s="77"/>
      <c r="K2329" s="66"/>
      <c r="L2329" s="66"/>
      <c r="M2329" s="79" t="str">
        <f>HYPERLINK("http://www.pristavka.com/catalog/funko/Fun72180/")</f>
        <v>http://www.pristavka.com/catalog/funko/Fun72180/</v>
      </c>
      <c r="N2329" s="71">
        <v>9999</v>
      </c>
      <c r="O2329" s="66" t="s">
        <v>27</v>
      </c>
      <c r="P2329" s="82" t="s">
        <v>9003</v>
      </c>
      <c r="Q2329" s="84" t="s">
        <v>9004</v>
      </c>
      <c r="R2329" s="84"/>
      <c r="S2329" s="84">
        <v>0.14599999999999999</v>
      </c>
      <c r="T2329" s="82" t="s">
        <v>4084</v>
      </c>
      <c r="U2329" s="84" t="s">
        <v>3584</v>
      </c>
      <c r="V2329" s="54"/>
    </row>
    <row r="2330" spans="1:22" s="11" customFormat="1" ht="45" customHeight="1" x14ac:dyDescent="0.2">
      <c r="A2330" s="66" t="s">
        <v>3577</v>
      </c>
      <c r="B2330" s="66" t="s">
        <v>1707</v>
      </c>
      <c r="C2330" s="66" t="s">
        <v>3578</v>
      </c>
      <c r="D2330" s="66">
        <v>72181</v>
      </c>
      <c r="E2330" s="68" t="s">
        <v>9005</v>
      </c>
      <c r="F2330" s="66" t="s">
        <v>9006</v>
      </c>
      <c r="G2330" s="71">
        <v>6500</v>
      </c>
      <c r="H2330" s="73"/>
      <c r="I2330" s="75">
        <v>0.1</v>
      </c>
      <c r="J2330" s="77"/>
      <c r="K2330" s="66"/>
      <c r="L2330" s="66"/>
      <c r="M2330" s="79" t="str">
        <f>HYPERLINK("http://www.pristavka.com/catalog/funko/Fun72181/")</f>
        <v>http://www.pristavka.com/catalog/funko/Fun72181/</v>
      </c>
      <c r="N2330" s="71">
        <v>9999</v>
      </c>
      <c r="O2330" s="66" t="s">
        <v>27</v>
      </c>
      <c r="P2330" s="82" t="s">
        <v>9007</v>
      </c>
      <c r="Q2330" s="84" t="s">
        <v>9004</v>
      </c>
      <c r="R2330" s="84"/>
      <c r="S2330" s="84">
        <v>0.158</v>
      </c>
      <c r="T2330" s="82" t="s">
        <v>4113</v>
      </c>
      <c r="U2330" s="84" t="s">
        <v>3584</v>
      </c>
      <c r="V2330" s="54"/>
    </row>
    <row r="2331" spans="1:22" s="11" customFormat="1" ht="45" customHeight="1" x14ac:dyDescent="0.2">
      <c r="A2331" s="66" t="s">
        <v>3577</v>
      </c>
      <c r="B2331" s="66" t="s">
        <v>1707</v>
      </c>
      <c r="C2331" s="66" t="s">
        <v>3578</v>
      </c>
      <c r="D2331" s="66">
        <v>72182</v>
      </c>
      <c r="E2331" s="68" t="s">
        <v>9008</v>
      </c>
      <c r="F2331" s="66" t="s">
        <v>9009</v>
      </c>
      <c r="G2331" s="71">
        <v>6500</v>
      </c>
      <c r="H2331" s="73"/>
      <c r="I2331" s="75">
        <v>0.1</v>
      </c>
      <c r="J2331" s="77"/>
      <c r="K2331" s="66"/>
      <c r="L2331" s="66"/>
      <c r="M2331" s="79" t="str">
        <f>HYPERLINK("http://www.pristavka.com/catalog/funko/Fun72182/")</f>
        <v>http://www.pristavka.com/catalog/funko/Fun72182/</v>
      </c>
      <c r="N2331" s="71">
        <v>9999</v>
      </c>
      <c r="O2331" s="66" t="s">
        <v>27</v>
      </c>
      <c r="P2331" s="82" t="s">
        <v>9010</v>
      </c>
      <c r="Q2331" s="84" t="s">
        <v>9004</v>
      </c>
      <c r="R2331" s="84"/>
      <c r="S2331" s="84">
        <v>0.126</v>
      </c>
      <c r="T2331" s="82" t="s">
        <v>4370</v>
      </c>
      <c r="U2331" s="84" t="s">
        <v>3584</v>
      </c>
      <c r="V2331" s="54"/>
    </row>
    <row r="2332" spans="1:22" s="11" customFormat="1" ht="45" customHeight="1" x14ac:dyDescent="0.2">
      <c r="A2332" s="66" t="s">
        <v>3577</v>
      </c>
      <c r="B2332" s="66" t="s">
        <v>1707</v>
      </c>
      <c r="C2332" s="66" t="s">
        <v>3578</v>
      </c>
      <c r="D2332" s="66">
        <v>72183</v>
      </c>
      <c r="E2332" s="68" t="s">
        <v>9011</v>
      </c>
      <c r="F2332" s="66" t="s">
        <v>9012</v>
      </c>
      <c r="G2332" s="71">
        <v>6500</v>
      </c>
      <c r="H2332" s="73"/>
      <c r="I2332" s="75">
        <v>0.1</v>
      </c>
      <c r="J2332" s="77"/>
      <c r="K2332" s="66"/>
      <c r="L2332" s="66"/>
      <c r="M2332" s="79" t="str">
        <f>HYPERLINK("http://www.pristavka.com/catalog/funko/Fun72183/")</f>
        <v>http://www.pristavka.com/catalog/funko/Fun72183/</v>
      </c>
      <c r="N2332" s="71">
        <v>9999</v>
      </c>
      <c r="O2332" s="66" t="s">
        <v>27</v>
      </c>
      <c r="P2332" s="82" t="s">
        <v>9013</v>
      </c>
      <c r="Q2332" s="84" t="s">
        <v>9004</v>
      </c>
      <c r="R2332" s="84"/>
      <c r="S2332" s="84">
        <v>0.156</v>
      </c>
      <c r="T2332" s="82" t="s">
        <v>4084</v>
      </c>
      <c r="U2332" s="84" t="s">
        <v>3584</v>
      </c>
      <c r="V2332" s="54"/>
    </row>
    <row r="2333" spans="1:22" s="11" customFormat="1" ht="45" customHeight="1" x14ac:dyDescent="0.2">
      <c r="A2333" s="66" t="s">
        <v>3577</v>
      </c>
      <c r="B2333" s="66" t="s">
        <v>1707</v>
      </c>
      <c r="C2333" s="66" t="s">
        <v>3578</v>
      </c>
      <c r="D2333" s="66">
        <v>72184</v>
      </c>
      <c r="E2333" s="68" t="s">
        <v>9014</v>
      </c>
      <c r="F2333" s="66" t="s">
        <v>9015</v>
      </c>
      <c r="G2333" s="71">
        <v>6500</v>
      </c>
      <c r="H2333" s="73"/>
      <c r="I2333" s="75">
        <v>0.1</v>
      </c>
      <c r="J2333" s="77"/>
      <c r="K2333" s="66"/>
      <c r="L2333" s="66"/>
      <c r="M2333" s="79" t="str">
        <f>HYPERLINK("http://www.pristavka.com/catalog/funko/Fun72184/")</f>
        <v>http://www.pristavka.com/catalog/funko/Fun72184/</v>
      </c>
      <c r="N2333" s="71">
        <v>9999</v>
      </c>
      <c r="O2333" s="66" t="s">
        <v>27</v>
      </c>
      <c r="P2333" s="82" t="s">
        <v>9016</v>
      </c>
      <c r="Q2333" s="84" t="s">
        <v>9004</v>
      </c>
      <c r="R2333" s="84"/>
      <c r="S2333" s="84">
        <v>0.154</v>
      </c>
      <c r="T2333" s="82" t="s">
        <v>4370</v>
      </c>
      <c r="U2333" s="84" t="s">
        <v>3584</v>
      </c>
      <c r="V2333" s="54"/>
    </row>
    <row r="2334" spans="1:22" s="11" customFormat="1" ht="45" customHeight="1" x14ac:dyDescent="0.2">
      <c r="A2334" s="66" t="s">
        <v>3577</v>
      </c>
      <c r="B2334" s="66" t="s">
        <v>1707</v>
      </c>
      <c r="C2334" s="66" t="s">
        <v>3578</v>
      </c>
      <c r="D2334" s="66">
        <v>81368</v>
      </c>
      <c r="E2334" s="68" t="s">
        <v>9017</v>
      </c>
      <c r="F2334" s="66" t="s">
        <v>9018</v>
      </c>
      <c r="G2334" s="71">
        <v>6500</v>
      </c>
      <c r="H2334" s="73"/>
      <c r="I2334" s="75">
        <v>0.1</v>
      </c>
      <c r="J2334" s="77"/>
      <c r="K2334" s="66"/>
      <c r="L2334" s="66"/>
      <c r="M2334" s="79" t="str">
        <f>HYPERLINK("http://www.pristavka.com/catalog/funko/Fun81368/")</f>
        <v>http://www.pristavka.com/catalog/funko/Fun81368/</v>
      </c>
      <c r="N2334" s="71">
        <v>9999</v>
      </c>
      <c r="O2334" s="66" t="s">
        <v>27</v>
      </c>
      <c r="P2334" s="82" t="s">
        <v>9019</v>
      </c>
      <c r="Q2334" s="84" t="s">
        <v>6160</v>
      </c>
      <c r="R2334" s="84" t="s">
        <v>1765</v>
      </c>
      <c r="S2334" s="84">
        <v>0.159</v>
      </c>
      <c r="T2334" s="82" t="s">
        <v>4091</v>
      </c>
      <c r="U2334" s="84" t="s">
        <v>3584</v>
      </c>
      <c r="V2334" s="54"/>
    </row>
    <row r="2335" spans="1:22" s="11" customFormat="1" ht="45" customHeight="1" x14ac:dyDescent="0.2">
      <c r="A2335" s="66" t="s">
        <v>3577</v>
      </c>
      <c r="B2335" s="66" t="s">
        <v>1707</v>
      </c>
      <c r="C2335" s="66" t="s">
        <v>3578</v>
      </c>
      <c r="D2335" s="66">
        <v>83507</v>
      </c>
      <c r="E2335" s="68" t="s">
        <v>9020</v>
      </c>
      <c r="F2335" s="66" t="s">
        <v>9021</v>
      </c>
      <c r="G2335" s="71">
        <v>6500</v>
      </c>
      <c r="H2335" s="73"/>
      <c r="I2335" s="75">
        <v>0.1</v>
      </c>
      <c r="J2335" s="77"/>
      <c r="K2335" s="66"/>
      <c r="L2335" s="66"/>
      <c r="M2335" s="79" t="str">
        <f>HYPERLINK("http://www.pristavka.com/catalog/funko/Fun83507/")</f>
        <v>http://www.pristavka.com/catalog/funko/Fun83507/</v>
      </c>
      <c r="N2335" s="71">
        <v>9999</v>
      </c>
      <c r="O2335" s="66" t="s">
        <v>27</v>
      </c>
      <c r="P2335" s="82" t="s">
        <v>9022</v>
      </c>
      <c r="Q2335" s="84" t="s">
        <v>6160</v>
      </c>
      <c r="R2335" s="84" t="s">
        <v>6161</v>
      </c>
      <c r="S2335" s="84">
        <v>0.16500000000000001</v>
      </c>
      <c r="T2335" s="82" t="s">
        <v>4113</v>
      </c>
      <c r="U2335" s="84" t="s">
        <v>3584</v>
      </c>
      <c r="V2335" s="54"/>
    </row>
    <row r="2336" spans="1:22" s="11" customFormat="1" ht="45" customHeight="1" x14ac:dyDescent="0.2">
      <c r="A2336" s="66" t="s">
        <v>3577</v>
      </c>
      <c r="B2336" s="66" t="s">
        <v>1707</v>
      </c>
      <c r="C2336" s="66" t="s">
        <v>3578</v>
      </c>
      <c r="D2336" s="66">
        <v>83508</v>
      </c>
      <c r="E2336" s="68" t="s">
        <v>9023</v>
      </c>
      <c r="F2336" s="66" t="s">
        <v>9024</v>
      </c>
      <c r="G2336" s="71">
        <v>6500</v>
      </c>
      <c r="H2336" s="73"/>
      <c r="I2336" s="75">
        <v>0.1</v>
      </c>
      <c r="J2336" s="77"/>
      <c r="K2336" s="66"/>
      <c r="L2336" s="66"/>
      <c r="M2336" s="79" t="str">
        <f>HYPERLINK("http://www.pristavka.com/catalog/funko/Fun83508/")</f>
        <v>http://www.pristavka.com/catalog/funko/Fun83508/</v>
      </c>
      <c r="N2336" s="71">
        <v>9999</v>
      </c>
      <c r="O2336" s="66" t="s">
        <v>27</v>
      </c>
      <c r="P2336" s="82" t="s">
        <v>9025</v>
      </c>
      <c r="Q2336" s="84" t="s">
        <v>6160</v>
      </c>
      <c r="R2336" s="84" t="s">
        <v>6161</v>
      </c>
      <c r="S2336" s="84">
        <v>0.125</v>
      </c>
      <c r="T2336" s="82" t="s">
        <v>4113</v>
      </c>
      <c r="U2336" s="84" t="s">
        <v>3584</v>
      </c>
      <c r="V2336" s="54"/>
    </row>
    <row r="2337" spans="1:22" s="11" customFormat="1" ht="45" customHeight="1" x14ac:dyDescent="0.2">
      <c r="A2337" s="66" t="s">
        <v>3577</v>
      </c>
      <c r="B2337" s="66" t="s">
        <v>1707</v>
      </c>
      <c r="C2337" s="66" t="s">
        <v>3578</v>
      </c>
      <c r="D2337" s="66">
        <v>83506</v>
      </c>
      <c r="E2337" s="68" t="s">
        <v>9026</v>
      </c>
      <c r="F2337" s="66" t="s">
        <v>9027</v>
      </c>
      <c r="G2337" s="71">
        <v>6500</v>
      </c>
      <c r="H2337" s="73"/>
      <c r="I2337" s="75">
        <v>0.1</v>
      </c>
      <c r="J2337" s="77"/>
      <c r="K2337" s="66"/>
      <c r="L2337" s="66"/>
      <c r="M2337" s="79" t="str">
        <f>HYPERLINK("http://www.pristavka.com/catalog/funko/Fun83506/")</f>
        <v>http://www.pristavka.com/catalog/funko/Fun83506/</v>
      </c>
      <c r="N2337" s="71">
        <v>9999</v>
      </c>
      <c r="O2337" s="66" t="s">
        <v>27</v>
      </c>
      <c r="P2337" s="82" t="s">
        <v>9028</v>
      </c>
      <c r="Q2337" s="84" t="s">
        <v>6160</v>
      </c>
      <c r="R2337" s="84" t="s">
        <v>6161</v>
      </c>
      <c r="S2337" s="84">
        <v>0.125</v>
      </c>
      <c r="T2337" s="82" t="s">
        <v>4113</v>
      </c>
      <c r="U2337" s="84" t="s">
        <v>3584</v>
      </c>
      <c r="V2337" s="54"/>
    </row>
    <row r="2338" spans="1:22" s="11" customFormat="1" ht="45" customHeight="1" x14ac:dyDescent="0.2">
      <c r="A2338" s="66" t="s">
        <v>3577</v>
      </c>
      <c r="B2338" s="66" t="s">
        <v>1707</v>
      </c>
      <c r="C2338" s="66" t="s">
        <v>3578</v>
      </c>
      <c r="D2338" s="66">
        <v>83509</v>
      </c>
      <c r="E2338" s="68" t="s">
        <v>9029</v>
      </c>
      <c r="F2338" s="66" t="s">
        <v>9030</v>
      </c>
      <c r="G2338" s="71">
        <v>6500</v>
      </c>
      <c r="H2338" s="73"/>
      <c r="I2338" s="75">
        <v>0.1</v>
      </c>
      <c r="J2338" s="77"/>
      <c r="K2338" s="66"/>
      <c r="L2338" s="66"/>
      <c r="M2338" s="79" t="str">
        <f>HYPERLINK("http://www.pristavka.com/catalog/funko/Fun83509/")</f>
        <v>http://www.pristavka.com/catalog/funko/Fun83509/</v>
      </c>
      <c r="N2338" s="71">
        <v>9999</v>
      </c>
      <c r="O2338" s="66" t="s">
        <v>27</v>
      </c>
      <c r="P2338" s="82" t="s">
        <v>9031</v>
      </c>
      <c r="Q2338" s="84" t="s">
        <v>6160</v>
      </c>
      <c r="R2338" s="84" t="s">
        <v>6161</v>
      </c>
      <c r="S2338" s="84">
        <v>0.125</v>
      </c>
      <c r="T2338" s="82" t="s">
        <v>4113</v>
      </c>
      <c r="U2338" s="84" t="s">
        <v>3584</v>
      </c>
      <c r="V2338" s="54"/>
    </row>
    <row r="2339" spans="1:22" s="11" customFormat="1" ht="45" customHeight="1" x14ac:dyDescent="0.2">
      <c r="A2339" s="66" t="s">
        <v>3577</v>
      </c>
      <c r="B2339" s="66" t="s">
        <v>1707</v>
      </c>
      <c r="C2339" s="66" t="s">
        <v>3578</v>
      </c>
      <c r="D2339" s="66">
        <v>84932</v>
      </c>
      <c r="E2339" s="68" t="s">
        <v>9032</v>
      </c>
      <c r="F2339" s="66" t="s">
        <v>9033</v>
      </c>
      <c r="G2339" s="71">
        <v>6500</v>
      </c>
      <c r="H2339" s="73"/>
      <c r="I2339" s="75">
        <v>0.1</v>
      </c>
      <c r="J2339" s="77"/>
      <c r="K2339" s="66"/>
      <c r="L2339" s="66"/>
      <c r="M2339" s="79" t="str">
        <f>HYPERLINK("http://www.pristavka.com/catalog/funko/Fun84932/")</f>
        <v>http://www.pristavka.com/catalog/funko/Fun84932/</v>
      </c>
      <c r="N2339" s="71">
        <v>9999</v>
      </c>
      <c r="O2339" s="66" t="s">
        <v>27</v>
      </c>
      <c r="P2339" s="82" t="s">
        <v>9034</v>
      </c>
      <c r="Q2339" s="84" t="s">
        <v>6160</v>
      </c>
      <c r="R2339" s="84" t="s">
        <v>6161</v>
      </c>
      <c r="S2339" s="84">
        <v>0.12</v>
      </c>
      <c r="T2339" s="82" t="s">
        <v>4113</v>
      </c>
      <c r="U2339" s="84" t="s">
        <v>3584</v>
      </c>
      <c r="V2339" s="54"/>
    </row>
    <row r="2340" spans="1:22" s="11" customFormat="1" ht="45" customHeight="1" x14ac:dyDescent="0.2">
      <c r="A2340" s="66" t="s">
        <v>3577</v>
      </c>
      <c r="B2340" s="66" t="s">
        <v>1707</v>
      </c>
      <c r="C2340" s="66" t="s">
        <v>3578</v>
      </c>
      <c r="D2340" s="66">
        <v>81574</v>
      </c>
      <c r="E2340" s="68" t="s">
        <v>9035</v>
      </c>
      <c r="F2340" s="66" t="s">
        <v>9036</v>
      </c>
      <c r="G2340" s="71">
        <v>0</v>
      </c>
      <c r="H2340" s="73"/>
      <c r="I2340" s="75">
        <v>0.1</v>
      </c>
      <c r="J2340" s="77"/>
      <c r="K2340" s="66"/>
      <c r="L2340" s="66"/>
      <c r="M2340" s="79" t="str">
        <f>HYPERLINK("http://www.pristavka.com/catalog/funko/Fun81574/")</f>
        <v>http://www.pristavka.com/catalog/funko/Fun81574/</v>
      </c>
      <c r="N2340" s="71"/>
      <c r="O2340" s="66" t="s">
        <v>28</v>
      </c>
      <c r="P2340" s="82" t="s">
        <v>9037</v>
      </c>
      <c r="Q2340" s="84" t="s">
        <v>6171</v>
      </c>
      <c r="R2340" s="84" t="s">
        <v>6171</v>
      </c>
      <c r="S2340" s="84">
        <v>0.12</v>
      </c>
      <c r="T2340" s="82" t="s">
        <v>4113</v>
      </c>
      <c r="U2340" s="84" t="s">
        <v>3584</v>
      </c>
      <c r="V2340" s="54"/>
    </row>
    <row r="2341" spans="1:22" s="11" customFormat="1" ht="45" customHeight="1" x14ac:dyDescent="0.2">
      <c r="A2341" s="66" t="s">
        <v>3577</v>
      </c>
      <c r="B2341" s="66" t="s">
        <v>1707</v>
      </c>
      <c r="C2341" s="66" t="s">
        <v>3578</v>
      </c>
      <c r="D2341" s="66">
        <v>72156</v>
      </c>
      <c r="E2341" s="68" t="s">
        <v>9038</v>
      </c>
      <c r="F2341" s="66" t="s">
        <v>9039</v>
      </c>
      <c r="G2341" s="71">
        <v>6500</v>
      </c>
      <c r="H2341" s="73"/>
      <c r="I2341" s="75">
        <v>0.1</v>
      </c>
      <c r="J2341" s="77"/>
      <c r="K2341" s="66"/>
      <c r="L2341" s="66"/>
      <c r="M2341" s="79" t="str">
        <f>HYPERLINK("http://www.pristavka.com/catalog/funko/Fun72156/")</f>
        <v>http://www.pristavka.com/catalog/funko/Fun72156/</v>
      </c>
      <c r="N2341" s="71">
        <v>9999</v>
      </c>
      <c r="O2341" s="66" t="s">
        <v>28</v>
      </c>
      <c r="P2341" s="82" t="s">
        <v>9040</v>
      </c>
      <c r="Q2341" s="84" t="s">
        <v>3779</v>
      </c>
      <c r="R2341" s="84" t="s">
        <v>6171</v>
      </c>
      <c r="S2341" s="84">
        <v>0.13200000000000001</v>
      </c>
      <c r="T2341" s="82" t="s">
        <v>4084</v>
      </c>
      <c r="U2341" s="84" t="s">
        <v>3584</v>
      </c>
      <c r="V2341" s="54"/>
    </row>
    <row r="2342" spans="1:22" s="11" customFormat="1" ht="45" customHeight="1" x14ac:dyDescent="0.2">
      <c r="A2342" s="66" t="s">
        <v>3577</v>
      </c>
      <c r="B2342" s="66" t="s">
        <v>1707</v>
      </c>
      <c r="C2342" s="66" t="s">
        <v>3578</v>
      </c>
      <c r="D2342" s="66">
        <v>83972</v>
      </c>
      <c r="E2342" s="68" t="s">
        <v>9041</v>
      </c>
      <c r="F2342" s="66" t="s">
        <v>9042</v>
      </c>
      <c r="G2342" s="71">
        <v>12350</v>
      </c>
      <c r="H2342" s="73"/>
      <c r="I2342" s="75">
        <v>0.1</v>
      </c>
      <c r="J2342" s="77"/>
      <c r="K2342" s="66"/>
      <c r="L2342" s="66"/>
      <c r="M2342" s="79" t="str">
        <f>HYPERLINK("http://www.pristavka.com/catalog/funko/Fun83972/")</f>
        <v>http://www.pristavka.com/catalog/funko/Fun83972/</v>
      </c>
      <c r="N2342" s="71">
        <v>18999</v>
      </c>
      <c r="O2342" s="66" t="s">
        <v>27</v>
      </c>
      <c r="P2342" s="82" t="s">
        <v>9043</v>
      </c>
      <c r="Q2342" s="84" t="s">
        <v>9044</v>
      </c>
      <c r="R2342" s="84" t="s">
        <v>6171</v>
      </c>
      <c r="S2342" s="84">
        <v>0.255</v>
      </c>
      <c r="T2342" s="82" t="s">
        <v>4363</v>
      </c>
      <c r="U2342" s="84" t="s">
        <v>3584</v>
      </c>
      <c r="V2342" s="54"/>
    </row>
    <row r="2343" spans="1:22" s="11" customFormat="1" ht="45" customHeight="1" x14ac:dyDescent="0.2">
      <c r="A2343" s="66" t="s">
        <v>3577</v>
      </c>
      <c r="B2343" s="66" t="s">
        <v>1707</v>
      </c>
      <c r="C2343" s="66" t="s">
        <v>3578</v>
      </c>
      <c r="D2343" s="66">
        <v>80050</v>
      </c>
      <c r="E2343" s="68" t="s">
        <v>9045</v>
      </c>
      <c r="F2343" s="66" t="s">
        <v>9046</v>
      </c>
      <c r="G2343" s="71">
        <v>6500</v>
      </c>
      <c r="H2343" s="73"/>
      <c r="I2343" s="75">
        <v>0.1</v>
      </c>
      <c r="J2343" s="77"/>
      <c r="K2343" s="66"/>
      <c r="L2343" s="66"/>
      <c r="M2343" s="79" t="str">
        <f>HYPERLINK("http://www.pristavka.com/catalog/funko/Fun80050/")</f>
        <v>http://www.pristavka.com/catalog/funko/Fun80050/</v>
      </c>
      <c r="N2343" s="71">
        <v>9999</v>
      </c>
      <c r="O2343" s="66" t="s">
        <v>27</v>
      </c>
      <c r="P2343" s="82" t="s">
        <v>9047</v>
      </c>
      <c r="Q2343" s="84" t="s">
        <v>9048</v>
      </c>
      <c r="R2343" s="84" t="s">
        <v>3327</v>
      </c>
      <c r="S2343" s="84">
        <v>0.13200000000000001</v>
      </c>
      <c r="T2343" s="82" t="s">
        <v>4091</v>
      </c>
      <c r="U2343" s="84" t="s">
        <v>3584</v>
      </c>
      <c r="V2343" s="54"/>
    </row>
    <row r="2344" spans="1:22" s="11" customFormat="1" ht="45" customHeight="1" x14ac:dyDescent="0.2">
      <c r="A2344" s="66" t="s">
        <v>3577</v>
      </c>
      <c r="B2344" s="66" t="s">
        <v>1707</v>
      </c>
      <c r="C2344" s="66" t="s">
        <v>3578</v>
      </c>
      <c r="D2344" s="66">
        <v>79452</v>
      </c>
      <c r="E2344" s="68" t="s">
        <v>9049</v>
      </c>
      <c r="F2344" s="66" t="s">
        <v>9050</v>
      </c>
      <c r="G2344" s="71">
        <v>0</v>
      </c>
      <c r="H2344" s="73"/>
      <c r="I2344" s="75">
        <v>0.1</v>
      </c>
      <c r="J2344" s="77"/>
      <c r="K2344" s="66"/>
      <c r="L2344" s="66"/>
      <c r="M2344" s="79" t="str">
        <f>HYPERLINK("https://pristavka.com/catalog/funko_figures/Fun79452/")</f>
        <v>https://pristavka.com/catalog/funko_figures/Fun79452/</v>
      </c>
      <c r="N2344" s="71"/>
      <c r="O2344" s="66" t="s">
        <v>27</v>
      </c>
      <c r="P2344" s="82" t="s">
        <v>9051</v>
      </c>
      <c r="Q2344" s="84" t="s">
        <v>9048</v>
      </c>
      <c r="R2344" s="84" t="s">
        <v>3327</v>
      </c>
      <c r="S2344" s="84">
        <v>0.158</v>
      </c>
      <c r="T2344" s="82" t="s">
        <v>4084</v>
      </c>
      <c r="U2344" s="84" t="s">
        <v>3584</v>
      </c>
      <c r="V2344" s="54"/>
    </row>
    <row r="2345" spans="1:22" s="11" customFormat="1" ht="45" customHeight="1" x14ac:dyDescent="0.2">
      <c r="A2345" s="66" t="s">
        <v>3577</v>
      </c>
      <c r="B2345" s="66" t="s">
        <v>1707</v>
      </c>
      <c r="C2345" s="66" t="s">
        <v>3578</v>
      </c>
      <c r="D2345" s="66">
        <v>80051</v>
      </c>
      <c r="E2345" s="68" t="s">
        <v>9052</v>
      </c>
      <c r="F2345" s="66" t="s">
        <v>9053</v>
      </c>
      <c r="G2345" s="71">
        <v>0</v>
      </c>
      <c r="H2345" s="73"/>
      <c r="I2345" s="75">
        <v>0.1</v>
      </c>
      <c r="J2345" s="77"/>
      <c r="K2345" s="66"/>
      <c r="L2345" s="66"/>
      <c r="M2345" s="79" t="str">
        <f>HYPERLINK("http://www.pristavka.com/catalog/funko/Fun80051/")</f>
        <v>http://www.pristavka.com/catalog/funko/Fun80051/</v>
      </c>
      <c r="N2345" s="71"/>
      <c r="O2345" s="66" t="s">
        <v>27</v>
      </c>
      <c r="P2345" s="82" t="s">
        <v>9054</v>
      </c>
      <c r="Q2345" s="84" t="s">
        <v>9048</v>
      </c>
      <c r="R2345" s="84" t="s">
        <v>3327</v>
      </c>
      <c r="S2345" s="84">
        <v>0.126</v>
      </c>
      <c r="T2345" s="82" t="s">
        <v>4084</v>
      </c>
      <c r="U2345" s="84" t="s">
        <v>3584</v>
      </c>
      <c r="V2345" s="54"/>
    </row>
    <row r="2346" spans="1:22" s="11" customFormat="1" ht="45" customHeight="1" x14ac:dyDescent="0.2">
      <c r="A2346" s="66" t="s">
        <v>3577</v>
      </c>
      <c r="B2346" s="66" t="s">
        <v>1707</v>
      </c>
      <c r="C2346" s="66" t="s">
        <v>3578</v>
      </c>
      <c r="D2346" s="66">
        <v>80052</v>
      </c>
      <c r="E2346" s="68" t="s">
        <v>9055</v>
      </c>
      <c r="F2346" s="66" t="s">
        <v>9056</v>
      </c>
      <c r="G2346" s="71">
        <v>0</v>
      </c>
      <c r="H2346" s="73"/>
      <c r="I2346" s="75">
        <v>0.1</v>
      </c>
      <c r="J2346" s="77"/>
      <c r="K2346" s="66"/>
      <c r="L2346" s="66"/>
      <c r="M2346" s="79" t="str">
        <f>HYPERLINK("http://www.pristavka.com/catalog/funko/Fun80052/")</f>
        <v>http://www.pristavka.com/catalog/funko/Fun80052/</v>
      </c>
      <c r="N2346" s="71"/>
      <c r="O2346" s="66" t="s">
        <v>27</v>
      </c>
      <c r="P2346" s="82" t="s">
        <v>9057</v>
      </c>
      <c r="Q2346" s="84" t="s">
        <v>9048</v>
      </c>
      <c r="R2346" s="84" t="s">
        <v>3327</v>
      </c>
      <c r="S2346" s="84">
        <v>0.14399999999999999</v>
      </c>
      <c r="T2346" s="82" t="s">
        <v>4084</v>
      </c>
      <c r="U2346" s="84" t="s">
        <v>3584</v>
      </c>
      <c r="V2346" s="54"/>
    </row>
    <row r="2347" spans="1:22" s="11" customFormat="1" ht="45" customHeight="1" x14ac:dyDescent="0.2">
      <c r="A2347" s="66" t="s">
        <v>3577</v>
      </c>
      <c r="B2347" s="66" t="s">
        <v>1707</v>
      </c>
      <c r="C2347" s="66" t="s">
        <v>3578</v>
      </c>
      <c r="D2347" s="66">
        <v>80053</v>
      </c>
      <c r="E2347" s="68" t="s">
        <v>9058</v>
      </c>
      <c r="F2347" s="66" t="s">
        <v>9059</v>
      </c>
      <c r="G2347" s="71">
        <v>0</v>
      </c>
      <c r="H2347" s="73"/>
      <c r="I2347" s="75">
        <v>0.1</v>
      </c>
      <c r="J2347" s="77"/>
      <c r="K2347" s="66"/>
      <c r="L2347" s="66"/>
      <c r="M2347" s="79" t="str">
        <f>HYPERLINK("http://www.pristavka.com/catalog/funko/Fun80053/")</f>
        <v>http://www.pristavka.com/catalog/funko/Fun80053/</v>
      </c>
      <c r="N2347" s="71"/>
      <c r="O2347" s="66" t="s">
        <v>27</v>
      </c>
      <c r="P2347" s="82" t="s">
        <v>9060</v>
      </c>
      <c r="Q2347" s="84" t="s">
        <v>9048</v>
      </c>
      <c r="R2347" s="84" t="s">
        <v>3327</v>
      </c>
      <c r="S2347" s="84">
        <v>0.127</v>
      </c>
      <c r="T2347" s="82" t="s">
        <v>4091</v>
      </c>
      <c r="U2347" s="84" t="s">
        <v>3584</v>
      </c>
      <c r="V2347" s="54"/>
    </row>
    <row r="2348" spans="1:22" s="11" customFormat="1" ht="45" customHeight="1" x14ac:dyDescent="0.2">
      <c r="A2348" s="66" t="s">
        <v>3577</v>
      </c>
      <c r="B2348" s="66" t="s">
        <v>1707</v>
      </c>
      <c r="C2348" s="66" t="s">
        <v>3578</v>
      </c>
      <c r="D2348" s="66">
        <v>80140</v>
      </c>
      <c r="E2348" s="68" t="s">
        <v>9061</v>
      </c>
      <c r="F2348" s="66" t="s">
        <v>9062</v>
      </c>
      <c r="G2348" s="71">
        <v>0</v>
      </c>
      <c r="H2348" s="73"/>
      <c r="I2348" s="75">
        <v>0.1</v>
      </c>
      <c r="J2348" s="77"/>
      <c r="K2348" s="66"/>
      <c r="L2348" s="66"/>
      <c r="M2348" s="79" t="str">
        <f>HYPERLINK("http://www.pristavka.com/catalog/funko/Fun80140/")</f>
        <v>http://www.pristavka.com/catalog/funko/Fun80140/</v>
      </c>
      <c r="N2348" s="71"/>
      <c r="O2348" s="66" t="s">
        <v>27</v>
      </c>
      <c r="P2348" s="82" t="s">
        <v>9063</v>
      </c>
      <c r="Q2348" s="84" t="s">
        <v>6170</v>
      </c>
      <c r="R2348" s="84" t="s">
        <v>6171</v>
      </c>
      <c r="S2348" s="84">
        <v>0.14499999999999999</v>
      </c>
      <c r="T2348" s="82" t="s">
        <v>4084</v>
      </c>
      <c r="U2348" s="84" t="s">
        <v>3584</v>
      </c>
      <c r="V2348" s="54"/>
    </row>
    <row r="2349" spans="1:22" s="11" customFormat="1" ht="45" customHeight="1" x14ac:dyDescent="0.2">
      <c r="A2349" s="66" t="s">
        <v>3577</v>
      </c>
      <c r="B2349" s="66" t="s">
        <v>1707</v>
      </c>
      <c r="C2349" s="66" t="s">
        <v>3578</v>
      </c>
      <c r="D2349" s="66">
        <v>80143</v>
      </c>
      <c r="E2349" s="68" t="s">
        <v>9064</v>
      </c>
      <c r="F2349" s="66" t="s">
        <v>9065</v>
      </c>
      <c r="G2349" s="71">
        <v>0</v>
      </c>
      <c r="H2349" s="73"/>
      <c r="I2349" s="75">
        <v>0.1</v>
      </c>
      <c r="J2349" s="77"/>
      <c r="K2349" s="66"/>
      <c r="L2349" s="66"/>
      <c r="M2349" s="79" t="str">
        <f>HYPERLINK("http://www.pristavka.com/catalog/funko/Fun80143/")</f>
        <v>http://www.pristavka.com/catalog/funko/Fun80143/</v>
      </c>
      <c r="N2349" s="71"/>
      <c r="O2349" s="66" t="s">
        <v>27</v>
      </c>
      <c r="P2349" s="82" t="s">
        <v>9066</v>
      </c>
      <c r="Q2349" s="84" t="s">
        <v>6170</v>
      </c>
      <c r="R2349" s="84" t="s">
        <v>6171</v>
      </c>
      <c r="S2349" s="84">
        <v>0.14199999999999999</v>
      </c>
      <c r="T2349" s="82" t="s">
        <v>4091</v>
      </c>
      <c r="U2349" s="84" t="s">
        <v>3584</v>
      </c>
      <c r="V2349" s="54"/>
    </row>
    <row r="2350" spans="1:22" s="11" customFormat="1" ht="45" customHeight="1" x14ac:dyDescent="0.2">
      <c r="A2350" s="66" t="s">
        <v>3577</v>
      </c>
      <c r="B2350" s="66" t="s">
        <v>1707</v>
      </c>
      <c r="C2350" s="66" t="s">
        <v>3578</v>
      </c>
      <c r="D2350" s="66">
        <v>76845</v>
      </c>
      <c r="E2350" s="68" t="s">
        <v>9067</v>
      </c>
      <c r="F2350" s="66" t="s">
        <v>9068</v>
      </c>
      <c r="G2350" s="71">
        <v>9100</v>
      </c>
      <c r="H2350" s="73"/>
      <c r="I2350" s="75">
        <v>0.1</v>
      </c>
      <c r="J2350" s="77"/>
      <c r="K2350" s="66"/>
      <c r="L2350" s="66"/>
      <c r="M2350" s="79" t="str">
        <f>HYPERLINK("http://www.pristavka.com/catalog/funko/Fun76845/")</f>
        <v>http://www.pristavka.com/catalog/funko/Fun76845/</v>
      </c>
      <c r="N2350" s="71">
        <v>13999</v>
      </c>
      <c r="O2350" s="66" t="s">
        <v>28</v>
      </c>
      <c r="P2350" s="82" t="s">
        <v>9069</v>
      </c>
      <c r="Q2350" s="84" t="s">
        <v>3991</v>
      </c>
      <c r="R2350" s="84" t="s">
        <v>3992</v>
      </c>
      <c r="S2350" s="84">
        <v>0.17</v>
      </c>
      <c r="T2350" s="82" t="s">
        <v>4084</v>
      </c>
      <c r="U2350" s="84" t="s">
        <v>3584</v>
      </c>
      <c r="V2350" s="54"/>
    </row>
    <row r="2351" spans="1:22" s="11" customFormat="1" ht="45" customHeight="1" x14ac:dyDescent="0.2">
      <c r="A2351" s="66" t="s">
        <v>3577</v>
      </c>
      <c r="B2351" s="66" t="s">
        <v>1707</v>
      </c>
      <c r="C2351" s="66" t="s">
        <v>3578</v>
      </c>
      <c r="D2351" s="66">
        <v>80071</v>
      </c>
      <c r="E2351" s="68" t="s">
        <v>9070</v>
      </c>
      <c r="F2351" s="66" t="s">
        <v>9071</v>
      </c>
      <c r="G2351" s="71">
        <v>6500</v>
      </c>
      <c r="H2351" s="73"/>
      <c r="I2351" s="75">
        <v>0.1</v>
      </c>
      <c r="J2351" s="77"/>
      <c r="K2351" s="66"/>
      <c r="L2351" s="66"/>
      <c r="M2351" s="79" t="str">
        <f>HYPERLINK("http://www.pristavka.com/catalog/funko/Fun80071/")</f>
        <v>http://www.pristavka.com/catalog/funko/Fun80071/</v>
      </c>
      <c r="N2351" s="71">
        <v>9999</v>
      </c>
      <c r="O2351" s="66" t="s">
        <v>27</v>
      </c>
      <c r="P2351" s="82" t="s">
        <v>9072</v>
      </c>
      <c r="Q2351" s="84" t="s">
        <v>3991</v>
      </c>
      <c r="R2351" s="84" t="s">
        <v>3992</v>
      </c>
      <c r="S2351" s="84">
        <v>0.115</v>
      </c>
      <c r="T2351" s="82" t="s">
        <v>4113</v>
      </c>
      <c r="U2351" s="84" t="s">
        <v>3584</v>
      </c>
      <c r="V2351" s="54"/>
    </row>
    <row r="2352" spans="1:22" s="11" customFormat="1" ht="45" customHeight="1" x14ac:dyDescent="0.2">
      <c r="A2352" s="66" t="s">
        <v>3577</v>
      </c>
      <c r="B2352" s="66" t="s">
        <v>1707</v>
      </c>
      <c r="C2352" s="66" t="s">
        <v>3578</v>
      </c>
      <c r="D2352" s="66">
        <v>80074</v>
      </c>
      <c r="E2352" s="68" t="s">
        <v>9073</v>
      </c>
      <c r="F2352" s="66" t="s">
        <v>9074</v>
      </c>
      <c r="G2352" s="71">
        <v>6500</v>
      </c>
      <c r="H2352" s="73"/>
      <c r="I2352" s="75">
        <v>0.1</v>
      </c>
      <c r="J2352" s="77"/>
      <c r="K2352" s="66"/>
      <c r="L2352" s="66"/>
      <c r="M2352" s="79" t="str">
        <f>HYPERLINK("http://www.pristavka.com/catalog/funko/Fun80074/")</f>
        <v>http://www.pristavka.com/catalog/funko/Fun80074/</v>
      </c>
      <c r="N2352" s="71">
        <v>9999</v>
      </c>
      <c r="O2352" s="66" t="s">
        <v>27</v>
      </c>
      <c r="P2352" s="82" t="s">
        <v>9075</v>
      </c>
      <c r="Q2352" s="84" t="s">
        <v>3991</v>
      </c>
      <c r="R2352" s="84" t="s">
        <v>3992</v>
      </c>
      <c r="S2352" s="84">
        <v>0.125</v>
      </c>
      <c r="T2352" s="82" t="s">
        <v>4113</v>
      </c>
      <c r="U2352" s="84" t="s">
        <v>3584</v>
      </c>
      <c r="V2352" s="54"/>
    </row>
    <row r="2353" spans="1:22" s="11" customFormat="1" ht="45" customHeight="1" x14ac:dyDescent="0.2">
      <c r="A2353" s="66" t="s">
        <v>3577</v>
      </c>
      <c r="B2353" s="66" t="s">
        <v>1707</v>
      </c>
      <c r="C2353" s="66" t="s">
        <v>3578</v>
      </c>
      <c r="D2353" s="66">
        <v>80073</v>
      </c>
      <c r="E2353" s="68" t="s">
        <v>9076</v>
      </c>
      <c r="F2353" s="66" t="s">
        <v>9077</v>
      </c>
      <c r="G2353" s="71">
        <v>0</v>
      </c>
      <c r="H2353" s="73"/>
      <c r="I2353" s="75">
        <v>0.1</v>
      </c>
      <c r="J2353" s="77"/>
      <c r="K2353" s="66"/>
      <c r="L2353" s="66"/>
      <c r="M2353" s="79" t="str">
        <f>HYPERLINK("http://www.pristavka.com/catalog/funko/Fun80073/")</f>
        <v>http://www.pristavka.com/catalog/funko/Fun80073/</v>
      </c>
      <c r="N2353" s="71"/>
      <c r="O2353" s="66" t="s">
        <v>27</v>
      </c>
      <c r="P2353" s="82" t="s">
        <v>9078</v>
      </c>
      <c r="Q2353" s="84" t="s">
        <v>3991</v>
      </c>
      <c r="R2353" s="84" t="s">
        <v>3992</v>
      </c>
      <c r="S2353" s="84">
        <v>0.14099999999999999</v>
      </c>
      <c r="T2353" s="82" t="s">
        <v>4091</v>
      </c>
      <c r="U2353" s="84" t="s">
        <v>3584</v>
      </c>
      <c r="V2353" s="54"/>
    </row>
    <row r="2354" spans="1:22" s="11" customFormat="1" ht="45" customHeight="1" x14ac:dyDescent="0.2">
      <c r="A2354" s="66" t="s">
        <v>3577</v>
      </c>
      <c r="B2354" s="66" t="s">
        <v>1707</v>
      </c>
      <c r="C2354" s="66" t="s">
        <v>3578</v>
      </c>
      <c r="D2354" s="66">
        <v>80075</v>
      </c>
      <c r="E2354" s="68" t="s">
        <v>9079</v>
      </c>
      <c r="F2354" s="66" t="s">
        <v>9080</v>
      </c>
      <c r="G2354" s="71">
        <v>0</v>
      </c>
      <c r="H2354" s="73"/>
      <c r="I2354" s="75">
        <v>0.1</v>
      </c>
      <c r="J2354" s="77"/>
      <c r="K2354" s="66"/>
      <c r="L2354" s="66"/>
      <c r="M2354" s="79" t="str">
        <f>HYPERLINK("http://www.pristavka.com/catalog/funko/Fun80075/")</f>
        <v>http://www.pristavka.com/catalog/funko/Fun80075/</v>
      </c>
      <c r="N2354" s="71"/>
      <c r="O2354" s="66" t="s">
        <v>27</v>
      </c>
      <c r="P2354" s="82" t="s">
        <v>9081</v>
      </c>
      <c r="Q2354" s="84" t="s">
        <v>3991</v>
      </c>
      <c r="R2354" s="84" t="s">
        <v>3992</v>
      </c>
      <c r="S2354" s="84">
        <v>0.17899999999999999</v>
      </c>
      <c r="T2354" s="82" t="s">
        <v>4091</v>
      </c>
      <c r="U2354" s="84" t="s">
        <v>3584</v>
      </c>
      <c r="V2354" s="54"/>
    </row>
    <row r="2355" spans="1:22" s="11" customFormat="1" ht="45" customHeight="1" x14ac:dyDescent="0.2">
      <c r="A2355" s="66" t="s">
        <v>3577</v>
      </c>
      <c r="B2355" s="66" t="s">
        <v>1707</v>
      </c>
      <c r="C2355" s="66" t="s">
        <v>3578</v>
      </c>
      <c r="D2355" s="66">
        <v>83483</v>
      </c>
      <c r="E2355" s="68" t="s">
        <v>9082</v>
      </c>
      <c r="F2355" s="66" t="s">
        <v>9083</v>
      </c>
      <c r="G2355" s="71">
        <v>6500</v>
      </c>
      <c r="H2355" s="73"/>
      <c r="I2355" s="75">
        <v>0.1</v>
      </c>
      <c r="J2355" s="77"/>
      <c r="K2355" s="66"/>
      <c r="L2355" s="66"/>
      <c r="M2355" s="79" t="str">
        <f>HYPERLINK("http://www.pristavka.com/catalog/funko/Fun83483/")</f>
        <v>http://www.pristavka.com/catalog/funko/Fun83483/</v>
      </c>
      <c r="N2355" s="71">
        <v>9999</v>
      </c>
      <c r="O2355" s="66" t="s">
        <v>27</v>
      </c>
      <c r="P2355" s="82" t="s">
        <v>9084</v>
      </c>
      <c r="Q2355" s="84" t="s">
        <v>9085</v>
      </c>
      <c r="R2355" s="84" t="s">
        <v>3566</v>
      </c>
      <c r="S2355" s="84">
        <v>0.13</v>
      </c>
      <c r="T2355" s="82" t="s">
        <v>4113</v>
      </c>
      <c r="U2355" s="84" t="s">
        <v>3584</v>
      </c>
      <c r="V2355" s="54"/>
    </row>
    <row r="2356" spans="1:22" s="11" customFormat="1" ht="45" customHeight="1" x14ac:dyDescent="0.2">
      <c r="A2356" s="66" t="s">
        <v>3577</v>
      </c>
      <c r="B2356" s="66" t="s">
        <v>1707</v>
      </c>
      <c r="C2356" s="66" t="s">
        <v>3578</v>
      </c>
      <c r="D2356" s="66">
        <v>83481</v>
      </c>
      <c r="E2356" s="68" t="s">
        <v>9086</v>
      </c>
      <c r="F2356" s="66" t="s">
        <v>9087</v>
      </c>
      <c r="G2356" s="71">
        <v>0</v>
      </c>
      <c r="H2356" s="73"/>
      <c r="I2356" s="75">
        <v>0.1</v>
      </c>
      <c r="J2356" s="77"/>
      <c r="K2356" s="66"/>
      <c r="L2356" s="66"/>
      <c r="M2356" s="79" t="str">
        <f>HYPERLINK("http://www.pristavka.com/catalog/funko/Fun83481/")</f>
        <v>http://www.pristavka.com/catalog/funko/Fun83481/</v>
      </c>
      <c r="N2356" s="71"/>
      <c r="O2356" s="66" t="s">
        <v>27</v>
      </c>
      <c r="P2356" s="82" t="s">
        <v>9088</v>
      </c>
      <c r="Q2356" s="84" t="s">
        <v>9085</v>
      </c>
      <c r="R2356" s="84" t="s">
        <v>3566</v>
      </c>
      <c r="S2356" s="84">
        <v>0.158</v>
      </c>
      <c r="T2356" s="82" t="s">
        <v>4113</v>
      </c>
      <c r="U2356" s="84" t="s">
        <v>3584</v>
      </c>
      <c r="V2356" s="54"/>
    </row>
    <row r="2357" spans="1:22" s="11" customFormat="1" ht="45" customHeight="1" x14ac:dyDescent="0.2">
      <c r="A2357" s="66" t="s">
        <v>3577</v>
      </c>
      <c r="B2357" s="66" t="s">
        <v>1707</v>
      </c>
      <c r="C2357" s="66" t="s">
        <v>3578</v>
      </c>
      <c r="D2357" s="66">
        <v>83482</v>
      </c>
      <c r="E2357" s="68" t="s">
        <v>9089</v>
      </c>
      <c r="F2357" s="66" t="s">
        <v>9090</v>
      </c>
      <c r="G2357" s="71">
        <v>0</v>
      </c>
      <c r="H2357" s="73"/>
      <c r="I2357" s="75">
        <v>0.1</v>
      </c>
      <c r="J2357" s="77"/>
      <c r="K2357" s="66"/>
      <c r="L2357" s="66"/>
      <c r="M2357" s="79" t="str">
        <f>HYPERLINK("http://www.pristavka.com/catalog/funko/Fun83482/")</f>
        <v>http://www.pristavka.com/catalog/funko/Fun83482/</v>
      </c>
      <c r="N2357" s="71"/>
      <c r="O2357" s="66" t="s">
        <v>27</v>
      </c>
      <c r="P2357" s="82" t="s">
        <v>9091</v>
      </c>
      <c r="Q2357" s="84" t="s">
        <v>9085</v>
      </c>
      <c r="R2357" s="84" t="s">
        <v>3566</v>
      </c>
      <c r="S2357" s="84">
        <v>0.152</v>
      </c>
      <c r="T2357" s="82" t="s">
        <v>4113</v>
      </c>
      <c r="U2357" s="84" t="s">
        <v>3584</v>
      </c>
      <c r="V2357" s="54"/>
    </row>
    <row r="2358" spans="1:22" s="11" customFormat="1" ht="45" customHeight="1" x14ac:dyDescent="0.2">
      <c r="A2358" s="66" t="s">
        <v>3577</v>
      </c>
      <c r="B2358" s="66" t="s">
        <v>1707</v>
      </c>
      <c r="C2358" s="66" t="s">
        <v>3578</v>
      </c>
      <c r="D2358" s="66">
        <v>79257</v>
      </c>
      <c r="E2358" s="68" t="s">
        <v>9092</v>
      </c>
      <c r="F2358" s="66" t="s">
        <v>9093</v>
      </c>
      <c r="G2358" s="71">
        <v>6500</v>
      </c>
      <c r="H2358" s="73"/>
      <c r="I2358" s="75">
        <v>0.1</v>
      </c>
      <c r="J2358" s="77"/>
      <c r="K2358" s="66"/>
      <c r="L2358" s="66"/>
      <c r="M2358" s="79" t="str">
        <f>HYPERLINK("http://www.pristavka.com/catalog/funko/Fun79257/")</f>
        <v>http://www.pristavka.com/catalog/funko/Fun79257/</v>
      </c>
      <c r="N2358" s="71">
        <v>9999</v>
      </c>
      <c r="O2358" s="66" t="s">
        <v>28</v>
      </c>
      <c r="P2358" s="82" t="s">
        <v>9094</v>
      </c>
      <c r="Q2358" s="84" t="s">
        <v>9095</v>
      </c>
      <c r="R2358" s="84" t="s">
        <v>1765</v>
      </c>
      <c r="S2358" s="84">
        <v>0.152</v>
      </c>
      <c r="T2358" s="82" t="s">
        <v>4084</v>
      </c>
      <c r="U2358" s="84" t="s">
        <v>3584</v>
      </c>
      <c r="V2358" s="54"/>
    </row>
    <row r="2359" spans="1:22" s="11" customFormat="1" ht="45" customHeight="1" x14ac:dyDescent="0.2">
      <c r="A2359" s="66" t="s">
        <v>3577</v>
      </c>
      <c r="B2359" s="66" t="s">
        <v>1707</v>
      </c>
      <c r="C2359" s="66" t="s">
        <v>3578</v>
      </c>
      <c r="D2359" s="66">
        <v>79258</v>
      </c>
      <c r="E2359" s="68" t="s">
        <v>9096</v>
      </c>
      <c r="F2359" s="66" t="s">
        <v>9097</v>
      </c>
      <c r="G2359" s="71">
        <v>6500</v>
      </c>
      <c r="H2359" s="73"/>
      <c r="I2359" s="75">
        <v>0.1</v>
      </c>
      <c r="J2359" s="77"/>
      <c r="K2359" s="66"/>
      <c r="L2359" s="66"/>
      <c r="M2359" s="79" t="str">
        <f>HYPERLINK("http://www.pristavka.com/catalog/funko/Fun79258/")</f>
        <v>http://www.pristavka.com/catalog/funko/Fun79258/</v>
      </c>
      <c r="N2359" s="71">
        <v>9999</v>
      </c>
      <c r="O2359" s="66" t="s">
        <v>27</v>
      </c>
      <c r="P2359" s="82" t="s">
        <v>9098</v>
      </c>
      <c r="Q2359" s="84" t="s">
        <v>9095</v>
      </c>
      <c r="R2359" s="84" t="s">
        <v>1765</v>
      </c>
      <c r="S2359" s="84">
        <v>0.15</v>
      </c>
      <c r="T2359" s="82" t="s">
        <v>4084</v>
      </c>
      <c r="U2359" s="84" t="s">
        <v>3584</v>
      </c>
      <c r="V2359" s="54"/>
    </row>
    <row r="2360" spans="1:22" s="11" customFormat="1" ht="45" customHeight="1" x14ac:dyDescent="0.2">
      <c r="A2360" s="66" t="s">
        <v>3577</v>
      </c>
      <c r="B2360" s="66" t="s">
        <v>1707</v>
      </c>
      <c r="C2360" s="66" t="s">
        <v>3578</v>
      </c>
      <c r="D2360" s="66">
        <v>79260</v>
      </c>
      <c r="E2360" s="68" t="s">
        <v>9099</v>
      </c>
      <c r="F2360" s="66" t="s">
        <v>9100</v>
      </c>
      <c r="G2360" s="71">
        <v>6500</v>
      </c>
      <c r="H2360" s="73"/>
      <c r="I2360" s="75">
        <v>0.1</v>
      </c>
      <c r="J2360" s="77"/>
      <c r="K2360" s="66"/>
      <c r="L2360" s="66"/>
      <c r="M2360" s="79" t="str">
        <f>HYPERLINK("http://www.pristavka.com/catalog/funko/Fun79260/")</f>
        <v>http://www.pristavka.com/catalog/funko/Fun79260/</v>
      </c>
      <c r="N2360" s="71">
        <v>9999</v>
      </c>
      <c r="O2360" s="66" t="s">
        <v>27</v>
      </c>
      <c r="P2360" s="82" t="s">
        <v>9101</v>
      </c>
      <c r="Q2360" s="84" t="s">
        <v>9095</v>
      </c>
      <c r="R2360" s="84" t="s">
        <v>1765</v>
      </c>
      <c r="S2360" s="84">
        <v>0.152</v>
      </c>
      <c r="T2360" s="82" t="s">
        <v>4102</v>
      </c>
      <c r="U2360" s="84" t="s">
        <v>3584</v>
      </c>
      <c r="V2360" s="54"/>
    </row>
    <row r="2361" spans="1:22" s="11" customFormat="1" ht="45" customHeight="1" x14ac:dyDescent="0.2">
      <c r="A2361" s="66" t="s">
        <v>3577</v>
      </c>
      <c r="B2361" s="66" t="s">
        <v>1707</v>
      </c>
      <c r="C2361" s="66" t="s">
        <v>3578</v>
      </c>
      <c r="D2361" s="66">
        <v>75845</v>
      </c>
      <c r="E2361" s="68" t="s">
        <v>9102</v>
      </c>
      <c r="F2361" s="66" t="s">
        <v>9103</v>
      </c>
      <c r="G2361" s="71">
        <v>6500</v>
      </c>
      <c r="H2361" s="73"/>
      <c r="I2361" s="75">
        <v>0.1</v>
      </c>
      <c r="J2361" s="77"/>
      <c r="K2361" s="66"/>
      <c r="L2361" s="66"/>
      <c r="M2361" s="79" t="str">
        <f>HYPERLINK("http://www.pristavka.com/catalog/funko/Fun75845/")</f>
        <v>http://www.pristavka.com/catalog/funko/Fun75845/</v>
      </c>
      <c r="N2361" s="71">
        <v>9999</v>
      </c>
      <c r="O2361" s="66" t="s">
        <v>27</v>
      </c>
      <c r="P2361" s="82" t="s">
        <v>9104</v>
      </c>
      <c r="Q2361" s="84" t="s">
        <v>8019</v>
      </c>
      <c r="R2361" s="84" t="s">
        <v>1298</v>
      </c>
      <c r="S2361" s="84">
        <v>0.129</v>
      </c>
      <c r="T2361" s="82" t="s">
        <v>4091</v>
      </c>
      <c r="U2361" s="84" t="s">
        <v>3584</v>
      </c>
      <c r="V2361" s="54"/>
    </row>
    <row r="2362" spans="1:22" s="11" customFormat="1" ht="45" customHeight="1" x14ac:dyDescent="0.2">
      <c r="A2362" s="66" t="s">
        <v>3577</v>
      </c>
      <c r="B2362" s="66" t="s">
        <v>1707</v>
      </c>
      <c r="C2362" s="66" t="s">
        <v>3578</v>
      </c>
      <c r="D2362" s="66">
        <v>79996</v>
      </c>
      <c r="E2362" s="68" t="s">
        <v>9105</v>
      </c>
      <c r="F2362" s="66" t="s">
        <v>9106</v>
      </c>
      <c r="G2362" s="71">
        <v>0</v>
      </c>
      <c r="H2362" s="73"/>
      <c r="I2362" s="75">
        <v>0.1</v>
      </c>
      <c r="J2362" s="77"/>
      <c r="K2362" s="66"/>
      <c r="L2362" s="66"/>
      <c r="M2362" s="79" t="str">
        <f>HYPERLINK("http://www.pristavka.com/catalog/funko/Fun79996/")</f>
        <v>http://www.pristavka.com/catalog/funko/Fun79996/</v>
      </c>
      <c r="N2362" s="71"/>
      <c r="O2362" s="66" t="s">
        <v>27</v>
      </c>
      <c r="P2362" s="82" t="s">
        <v>9107</v>
      </c>
      <c r="Q2362" s="84" t="s">
        <v>3471</v>
      </c>
      <c r="R2362" s="84" t="s">
        <v>3327</v>
      </c>
      <c r="S2362" s="84">
        <v>0.30499999999999999</v>
      </c>
      <c r="T2362" s="82" t="s">
        <v>4989</v>
      </c>
      <c r="U2362" s="84" t="s">
        <v>3584</v>
      </c>
      <c r="V2362" s="54"/>
    </row>
    <row r="2363" spans="1:22" s="11" customFormat="1" ht="45" customHeight="1" x14ac:dyDescent="0.2">
      <c r="A2363" s="66" t="s">
        <v>3577</v>
      </c>
      <c r="B2363" s="66" t="s">
        <v>1707</v>
      </c>
      <c r="C2363" s="66" t="s">
        <v>3578</v>
      </c>
      <c r="D2363" s="66">
        <v>80048</v>
      </c>
      <c r="E2363" s="68" t="s">
        <v>9108</v>
      </c>
      <c r="F2363" s="66" t="s">
        <v>9109</v>
      </c>
      <c r="G2363" s="71">
        <v>6500</v>
      </c>
      <c r="H2363" s="73"/>
      <c r="I2363" s="75">
        <v>0.1</v>
      </c>
      <c r="J2363" s="77"/>
      <c r="K2363" s="66"/>
      <c r="L2363" s="66"/>
      <c r="M2363" s="79" t="str">
        <f>HYPERLINK("http://www.pristavka.com/catalog/funko/Fun80048/")</f>
        <v>http://www.pristavka.com/catalog/funko/Fun80048/</v>
      </c>
      <c r="N2363" s="71">
        <v>9999</v>
      </c>
      <c r="O2363" s="66" t="s">
        <v>27</v>
      </c>
      <c r="P2363" s="82" t="s">
        <v>9110</v>
      </c>
      <c r="Q2363" s="84" t="s">
        <v>3471</v>
      </c>
      <c r="R2363" s="84" t="s">
        <v>3327</v>
      </c>
      <c r="S2363" s="84">
        <v>0.152</v>
      </c>
      <c r="T2363" s="82" t="s">
        <v>4091</v>
      </c>
      <c r="U2363" s="84" t="s">
        <v>3584</v>
      </c>
      <c r="V2363" s="54"/>
    </row>
    <row r="2364" spans="1:22" s="11" customFormat="1" ht="45" customHeight="1" x14ac:dyDescent="0.2">
      <c r="A2364" s="66" t="s">
        <v>3577</v>
      </c>
      <c r="B2364" s="66" t="s">
        <v>1707</v>
      </c>
      <c r="C2364" s="66" t="s">
        <v>3578</v>
      </c>
      <c r="D2364" s="66">
        <v>80047</v>
      </c>
      <c r="E2364" s="68" t="s">
        <v>9111</v>
      </c>
      <c r="F2364" s="66" t="s">
        <v>9112</v>
      </c>
      <c r="G2364" s="71">
        <v>0</v>
      </c>
      <c r="H2364" s="73"/>
      <c r="I2364" s="75">
        <v>0.1</v>
      </c>
      <c r="J2364" s="77"/>
      <c r="K2364" s="66"/>
      <c r="L2364" s="66"/>
      <c r="M2364" s="79" t="str">
        <f>HYPERLINK("http://www.pristavka.com/catalog/funko/Fun80047/")</f>
        <v>http://www.pristavka.com/catalog/funko/Fun80047/</v>
      </c>
      <c r="N2364" s="71"/>
      <c r="O2364" s="66" t="s">
        <v>27</v>
      </c>
      <c r="P2364" s="82" t="s">
        <v>9113</v>
      </c>
      <c r="Q2364" s="84" t="s">
        <v>3471</v>
      </c>
      <c r="R2364" s="84" t="s">
        <v>3327</v>
      </c>
      <c r="S2364" s="84">
        <v>0.29399999999999998</v>
      </c>
      <c r="T2364" s="82" t="s">
        <v>9114</v>
      </c>
      <c r="U2364" s="84" t="s">
        <v>3584</v>
      </c>
      <c r="V2364" s="54"/>
    </row>
    <row r="2365" spans="1:22" s="11" customFormat="1" ht="45" customHeight="1" x14ac:dyDescent="0.2">
      <c r="A2365" s="66" t="s">
        <v>3577</v>
      </c>
      <c r="B2365" s="66" t="s">
        <v>1707</v>
      </c>
      <c r="C2365" s="66" t="s">
        <v>3578</v>
      </c>
      <c r="D2365" s="66">
        <v>80049</v>
      </c>
      <c r="E2365" s="68" t="s">
        <v>9115</v>
      </c>
      <c r="F2365" s="66" t="s">
        <v>9116</v>
      </c>
      <c r="G2365" s="71">
        <v>6500</v>
      </c>
      <c r="H2365" s="73"/>
      <c r="I2365" s="75">
        <v>0.1</v>
      </c>
      <c r="J2365" s="77"/>
      <c r="K2365" s="66"/>
      <c r="L2365" s="66"/>
      <c r="M2365" s="79" t="str">
        <f>HYPERLINK("http://www.pristavka.com/catalog/funko/Fun80049/")</f>
        <v>http://www.pristavka.com/catalog/funko/Fun80049/</v>
      </c>
      <c r="N2365" s="71">
        <v>9999</v>
      </c>
      <c r="O2365" s="66" t="s">
        <v>27</v>
      </c>
      <c r="P2365" s="82" t="s">
        <v>9117</v>
      </c>
      <c r="Q2365" s="84" t="s">
        <v>3471</v>
      </c>
      <c r="R2365" s="84" t="s">
        <v>3327</v>
      </c>
      <c r="S2365" s="84">
        <v>0.14199999999999999</v>
      </c>
      <c r="T2365" s="82" t="s">
        <v>4091</v>
      </c>
      <c r="U2365" s="84" t="s">
        <v>3584</v>
      </c>
      <c r="V2365" s="54"/>
    </row>
    <row r="2366" spans="1:22" s="11" customFormat="1" ht="45" customHeight="1" x14ac:dyDescent="0.2">
      <c r="A2366" s="66" t="s">
        <v>3577</v>
      </c>
      <c r="B2366" s="66" t="s">
        <v>1707</v>
      </c>
      <c r="C2366" s="66" t="s">
        <v>3578</v>
      </c>
      <c r="D2366" s="66">
        <v>79997</v>
      </c>
      <c r="E2366" s="68" t="s">
        <v>9118</v>
      </c>
      <c r="F2366" s="66" t="s">
        <v>9119</v>
      </c>
      <c r="G2366" s="71">
        <v>6500</v>
      </c>
      <c r="H2366" s="73"/>
      <c r="I2366" s="75">
        <v>0.1</v>
      </c>
      <c r="J2366" s="77"/>
      <c r="K2366" s="66"/>
      <c r="L2366" s="66"/>
      <c r="M2366" s="79" t="str">
        <f>HYPERLINK("http://www.pristavka.com/catalog/funko/Fun79997/")</f>
        <v>http://www.pristavka.com/catalog/funko/Fun79997/</v>
      </c>
      <c r="N2366" s="71">
        <v>9999</v>
      </c>
      <c r="O2366" s="66" t="s">
        <v>27</v>
      </c>
      <c r="P2366" s="82" t="s">
        <v>9120</v>
      </c>
      <c r="Q2366" s="84" t="s">
        <v>3471</v>
      </c>
      <c r="R2366" s="84" t="s">
        <v>3327</v>
      </c>
      <c r="S2366" s="84">
        <v>0.13500000000000001</v>
      </c>
      <c r="T2366" s="82" t="s">
        <v>4084</v>
      </c>
      <c r="U2366" s="84" t="s">
        <v>3584</v>
      </c>
      <c r="V2366" s="54"/>
    </row>
    <row r="2367" spans="1:22" s="11" customFormat="1" ht="45" customHeight="1" x14ac:dyDescent="0.2">
      <c r="A2367" s="66" t="s">
        <v>3577</v>
      </c>
      <c r="B2367" s="66" t="s">
        <v>1707</v>
      </c>
      <c r="C2367" s="66" t="s">
        <v>3578</v>
      </c>
      <c r="D2367" s="66">
        <v>72138</v>
      </c>
      <c r="E2367" s="68" t="s">
        <v>9121</v>
      </c>
      <c r="F2367" s="66" t="s">
        <v>9122</v>
      </c>
      <c r="G2367" s="71">
        <v>6500</v>
      </c>
      <c r="H2367" s="73"/>
      <c r="I2367" s="75">
        <v>0.1</v>
      </c>
      <c r="J2367" s="77"/>
      <c r="K2367" s="66"/>
      <c r="L2367" s="66"/>
      <c r="M2367" s="79" t="str">
        <f>HYPERLINK("http://www.pristavka.com/catalog/funko/Fun72138/")</f>
        <v>http://www.pristavka.com/catalog/funko/Fun72138/</v>
      </c>
      <c r="N2367" s="71">
        <v>9999</v>
      </c>
      <c r="O2367" s="66" t="s">
        <v>27</v>
      </c>
      <c r="P2367" s="82" t="s">
        <v>9123</v>
      </c>
      <c r="Q2367" s="84" t="s">
        <v>3471</v>
      </c>
      <c r="R2367" s="84" t="s">
        <v>3327</v>
      </c>
      <c r="S2367" s="84">
        <v>0.184</v>
      </c>
      <c r="T2367" s="82" t="s">
        <v>4084</v>
      </c>
      <c r="U2367" s="84" t="s">
        <v>3584</v>
      </c>
      <c r="V2367" s="54"/>
    </row>
    <row r="2368" spans="1:22" s="11" customFormat="1" ht="45" customHeight="1" x14ac:dyDescent="0.2">
      <c r="A2368" s="66" t="s">
        <v>3577</v>
      </c>
      <c r="B2368" s="66" t="s">
        <v>1707</v>
      </c>
      <c r="C2368" s="66" t="s">
        <v>3578</v>
      </c>
      <c r="D2368" s="66">
        <v>66909</v>
      </c>
      <c r="E2368" s="68" t="s">
        <v>9124</v>
      </c>
      <c r="F2368" s="66" t="s">
        <v>9125</v>
      </c>
      <c r="G2368" s="71">
        <v>26000</v>
      </c>
      <c r="H2368" s="73"/>
      <c r="I2368" s="75">
        <v>0.1</v>
      </c>
      <c r="J2368" s="77"/>
      <c r="K2368" s="66"/>
      <c r="L2368" s="66"/>
      <c r="M2368" s="79" t="str">
        <f>HYPERLINK("http://www.pristavka.com/catalog/funko/Fun66909/")</f>
        <v>http://www.pristavka.com/catalog/funko/Fun66909/</v>
      </c>
      <c r="N2368" s="71">
        <v>39999</v>
      </c>
      <c r="O2368" s="66" t="s">
        <v>28</v>
      </c>
      <c r="P2368" s="82" t="s">
        <v>9126</v>
      </c>
      <c r="Q2368" s="84" t="s">
        <v>3471</v>
      </c>
      <c r="R2368" s="84" t="s">
        <v>3327</v>
      </c>
      <c r="S2368" s="84">
        <v>0.35399999999999998</v>
      </c>
      <c r="T2368" s="82" t="s">
        <v>9127</v>
      </c>
      <c r="U2368" s="84" t="s">
        <v>3584</v>
      </c>
      <c r="V2368" s="54"/>
    </row>
    <row r="2369" spans="1:22" s="11" customFormat="1" ht="45" customHeight="1" x14ac:dyDescent="0.2">
      <c r="A2369" s="66" t="s">
        <v>3577</v>
      </c>
      <c r="B2369" s="66" t="s">
        <v>1707</v>
      </c>
      <c r="C2369" s="66" t="s">
        <v>3578</v>
      </c>
      <c r="D2369" s="66">
        <v>74418</v>
      </c>
      <c r="E2369" s="68" t="s">
        <v>9128</v>
      </c>
      <c r="F2369" s="66" t="s">
        <v>9129</v>
      </c>
      <c r="G2369" s="71">
        <v>6500</v>
      </c>
      <c r="H2369" s="73"/>
      <c r="I2369" s="75">
        <v>0.1</v>
      </c>
      <c r="J2369" s="77"/>
      <c r="K2369" s="66"/>
      <c r="L2369" s="66"/>
      <c r="M2369" s="79" t="str">
        <f>HYPERLINK("http://www.pristavka.com/catalog/funko/Fun74418/")</f>
        <v>http://www.pristavka.com/catalog/funko/Fun74418/</v>
      </c>
      <c r="N2369" s="71">
        <v>9999</v>
      </c>
      <c r="O2369" s="66" t="s">
        <v>27</v>
      </c>
      <c r="P2369" s="82" t="s">
        <v>9130</v>
      </c>
      <c r="Q2369" s="84" t="s">
        <v>3471</v>
      </c>
      <c r="R2369" s="84" t="s">
        <v>3327</v>
      </c>
      <c r="S2369" s="84">
        <v>0.14899999999999999</v>
      </c>
      <c r="T2369" s="82" t="s">
        <v>4084</v>
      </c>
      <c r="U2369" s="84" t="s">
        <v>3584</v>
      </c>
      <c r="V2369" s="54"/>
    </row>
    <row r="2370" spans="1:22" s="11" customFormat="1" ht="45" customHeight="1" x14ac:dyDescent="0.2">
      <c r="A2370" s="66" t="s">
        <v>3577</v>
      </c>
      <c r="B2370" s="66" t="s">
        <v>1707</v>
      </c>
      <c r="C2370" s="66" t="s">
        <v>3578</v>
      </c>
      <c r="D2370" s="66">
        <v>79998</v>
      </c>
      <c r="E2370" s="68" t="s">
        <v>9131</v>
      </c>
      <c r="F2370" s="66" t="s">
        <v>9132</v>
      </c>
      <c r="G2370" s="71">
        <v>6500</v>
      </c>
      <c r="H2370" s="73"/>
      <c r="I2370" s="75">
        <v>0.1</v>
      </c>
      <c r="J2370" s="77"/>
      <c r="K2370" s="66"/>
      <c r="L2370" s="66"/>
      <c r="M2370" s="79" t="str">
        <f>HYPERLINK("http://www.pristavka.com/catalog/funko/Fun79998/")</f>
        <v>http://www.pristavka.com/catalog/funko/Fun79998/</v>
      </c>
      <c r="N2370" s="71">
        <v>9999</v>
      </c>
      <c r="O2370" s="66" t="s">
        <v>27</v>
      </c>
      <c r="P2370" s="82" t="s">
        <v>9133</v>
      </c>
      <c r="Q2370" s="84" t="s">
        <v>3471</v>
      </c>
      <c r="R2370" s="84" t="s">
        <v>3327</v>
      </c>
      <c r="S2370" s="84">
        <v>0.13500000000000001</v>
      </c>
      <c r="T2370" s="82" t="s">
        <v>4084</v>
      </c>
      <c r="U2370" s="84" t="s">
        <v>3584</v>
      </c>
      <c r="V2370" s="54"/>
    </row>
    <row r="2371" spans="1:22" s="11" customFormat="1" ht="45" customHeight="1" x14ac:dyDescent="0.2">
      <c r="A2371" s="66" t="s">
        <v>3577</v>
      </c>
      <c r="B2371" s="66" t="s">
        <v>1707</v>
      </c>
      <c r="C2371" s="66" t="s">
        <v>3578</v>
      </c>
      <c r="D2371" s="66">
        <v>75654</v>
      </c>
      <c r="E2371" s="68" t="s">
        <v>9134</v>
      </c>
      <c r="F2371" s="66" t="s">
        <v>9135</v>
      </c>
      <c r="G2371" s="71">
        <v>6500</v>
      </c>
      <c r="H2371" s="73"/>
      <c r="I2371" s="75">
        <v>0.1</v>
      </c>
      <c r="J2371" s="77"/>
      <c r="K2371" s="66"/>
      <c r="L2371" s="66"/>
      <c r="M2371" s="79" t="str">
        <f>HYPERLINK("http://www.pristavka.com/catalog/funko/Fun75654/")</f>
        <v>http://www.pristavka.com/catalog/funko/Fun75654/</v>
      </c>
      <c r="N2371" s="71">
        <v>9999</v>
      </c>
      <c r="O2371" s="66" t="s">
        <v>27</v>
      </c>
      <c r="P2371" s="82" t="s">
        <v>9136</v>
      </c>
      <c r="Q2371" s="84" t="s">
        <v>9137</v>
      </c>
      <c r="R2371" s="84" t="s">
        <v>1612</v>
      </c>
      <c r="S2371" s="84">
        <v>0.13</v>
      </c>
      <c r="T2371" s="82" t="s">
        <v>4084</v>
      </c>
      <c r="U2371" s="84" t="s">
        <v>3584</v>
      </c>
      <c r="V2371" s="54"/>
    </row>
    <row r="2372" spans="1:22" s="11" customFormat="1" ht="45" customHeight="1" x14ac:dyDescent="0.2">
      <c r="A2372" s="66" t="s">
        <v>3577</v>
      </c>
      <c r="B2372" s="66" t="s">
        <v>1707</v>
      </c>
      <c r="C2372" s="66" t="s">
        <v>3578</v>
      </c>
      <c r="D2372" s="66">
        <v>75655</v>
      </c>
      <c r="E2372" s="68" t="s">
        <v>9138</v>
      </c>
      <c r="F2372" s="66" t="s">
        <v>9139</v>
      </c>
      <c r="G2372" s="71">
        <v>6500</v>
      </c>
      <c r="H2372" s="73"/>
      <c r="I2372" s="75">
        <v>0.1</v>
      </c>
      <c r="J2372" s="77"/>
      <c r="K2372" s="66"/>
      <c r="L2372" s="66"/>
      <c r="M2372" s="79" t="str">
        <f>HYPERLINK("http://www.pristavka.com/catalog/funko/Fun75655/")</f>
        <v>http://www.pristavka.com/catalog/funko/Fun75655/</v>
      </c>
      <c r="N2372" s="71">
        <v>9999</v>
      </c>
      <c r="O2372" s="66" t="s">
        <v>28</v>
      </c>
      <c r="P2372" s="82" t="s">
        <v>9140</v>
      </c>
      <c r="Q2372" s="84" t="s">
        <v>9137</v>
      </c>
      <c r="R2372" s="84" t="s">
        <v>1612</v>
      </c>
      <c r="S2372" s="84">
        <v>0.13</v>
      </c>
      <c r="T2372" s="82" t="s">
        <v>4084</v>
      </c>
      <c r="U2372" s="84" t="s">
        <v>3584</v>
      </c>
      <c r="V2372" s="54"/>
    </row>
    <row r="2373" spans="1:22" s="11" customFormat="1" ht="45" customHeight="1" x14ac:dyDescent="0.2">
      <c r="A2373" s="66" t="s">
        <v>3577</v>
      </c>
      <c r="B2373" s="66" t="s">
        <v>1707</v>
      </c>
      <c r="C2373" s="66" t="s">
        <v>3578</v>
      </c>
      <c r="D2373" s="66">
        <v>83967</v>
      </c>
      <c r="E2373" s="68" t="s">
        <v>9141</v>
      </c>
      <c r="F2373" s="66" t="s">
        <v>9142</v>
      </c>
      <c r="G2373" s="71">
        <v>6500</v>
      </c>
      <c r="H2373" s="73"/>
      <c r="I2373" s="75">
        <v>0.1</v>
      </c>
      <c r="J2373" s="77"/>
      <c r="K2373" s="66"/>
      <c r="L2373" s="66"/>
      <c r="M2373" s="79" t="str">
        <f>HYPERLINK("http://www.pristavka.com/catalog/funko/Fun83967/")</f>
        <v>http://www.pristavka.com/catalog/funko/Fun83967/</v>
      </c>
      <c r="N2373" s="71">
        <v>9999</v>
      </c>
      <c r="O2373" s="66" t="s">
        <v>27</v>
      </c>
      <c r="P2373" s="82" t="s">
        <v>9143</v>
      </c>
      <c r="Q2373" s="84" t="s">
        <v>9144</v>
      </c>
      <c r="R2373" s="84" t="s">
        <v>6171</v>
      </c>
      <c r="S2373" s="84">
        <v>0.13500000000000001</v>
      </c>
      <c r="T2373" s="82" t="s">
        <v>4084</v>
      </c>
      <c r="U2373" s="84" t="s">
        <v>3584</v>
      </c>
      <c r="V2373" s="54"/>
    </row>
    <row r="2374" spans="1:22" s="11" customFormat="1" ht="45" customHeight="1" x14ac:dyDescent="0.2">
      <c r="A2374" s="66" t="s">
        <v>3577</v>
      </c>
      <c r="B2374" s="66" t="s">
        <v>1707</v>
      </c>
      <c r="C2374" s="66" t="s">
        <v>3578</v>
      </c>
      <c r="D2374" s="66">
        <v>75645</v>
      </c>
      <c r="E2374" s="68" t="s">
        <v>9145</v>
      </c>
      <c r="F2374" s="66" t="s">
        <v>9146</v>
      </c>
      <c r="G2374" s="71">
        <v>6500</v>
      </c>
      <c r="H2374" s="73"/>
      <c r="I2374" s="75">
        <v>0.1</v>
      </c>
      <c r="J2374" s="77"/>
      <c r="K2374" s="66"/>
      <c r="L2374" s="66"/>
      <c r="M2374" s="79" t="str">
        <f>HYPERLINK("http://www.pristavka.com/catalog/funko/Fun75645/")</f>
        <v>http://www.pristavka.com/catalog/funko/Fun75645/</v>
      </c>
      <c r="N2374" s="71">
        <v>9999</v>
      </c>
      <c r="O2374" s="66" t="s">
        <v>27</v>
      </c>
      <c r="P2374" s="82" t="s">
        <v>9147</v>
      </c>
      <c r="Q2374" s="84" t="s">
        <v>9148</v>
      </c>
      <c r="R2374" s="84" t="s">
        <v>6171</v>
      </c>
      <c r="S2374" s="84">
        <v>0.122</v>
      </c>
      <c r="T2374" s="82" t="s">
        <v>4084</v>
      </c>
      <c r="U2374" s="84" t="s">
        <v>3584</v>
      </c>
      <c r="V2374" s="54"/>
    </row>
    <row r="2375" spans="1:22" s="11" customFormat="1" ht="45" customHeight="1" x14ac:dyDescent="0.2">
      <c r="A2375" s="66" t="s">
        <v>3577</v>
      </c>
      <c r="B2375" s="66" t="s">
        <v>1707</v>
      </c>
      <c r="C2375" s="66" t="s">
        <v>3578</v>
      </c>
      <c r="D2375" s="66">
        <v>75643</v>
      </c>
      <c r="E2375" s="68" t="s">
        <v>9149</v>
      </c>
      <c r="F2375" s="66" t="s">
        <v>9150</v>
      </c>
      <c r="G2375" s="71">
        <v>6500</v>
      </c>
      <c r="H2375" s="73"/>
      <c r="I2375" s="75">
        <v>0.1</v>
      </c>
      <c r="J2375" s="77"/>
      <c r="K2375" s="66"/>
      <c r="L2375" s="66"/>
      <c r="M2375" s="79" t="str">
        <f>HYPERLINK("http://www.pristavka.com/catalog/funko/Fun75643/")</f>
        <v>http://www.pristavka.com/catalog/funko/Fun75643/</v>
      </c>
      <c r="N2375" s="71">
        <v>9999</v>
      </c>
      <c r="O2375" s="66" t="s">
        <v>27</v>
      </c>
      <c r="P2375" s="82" t="s">
        <v>9151</v>
      </c>
      <c r="Q2375" s="84" t="s">
        <v>9148</v>
      </c>
      <c r="R2375" s="84" t="s">
        <v>6171</v>
      </c>
      <c r="S2375" s="84">
        <v>0.121</v>
      </c>
      <c r="T2375" s="82" t="s">
        <v>4091</v>
      </c>
      <c r="U2375" s="84" t="s">
        <v>3584</v>
      </c>
      <c r="V2375" s="54"/>
    </row>
    <row r="2376" spans="1:22" s="11" customFormat="1" ht="45" customHeight="1" x14ac:dyDescent="0.2">
      <c r="A2376" s="66" t="s">
        <v>3577</v>
      </c>
      <c r="B2376" s="66" t="s">
        <v>1707</v>
      </c>
      <c r="C2376" s="66" t="s">
        <v>3578</v>
      </c>
      <c r="D2376" s="66">
        <v>75644</v>
      </c>
      <c r="E2376" s="68" t="s">
        <v>9152</v>
      </c>
      <c r="F2376" s="66" t="s">
        <v>9153</v>
      </c>
      <c r="G2376" s="71">
        <v>6500</v>
      </c>
      <c r="H2376" s="73"/>
      <c r="I2376" s="75">
        <v>0.1</v>
      </c>
      <c r="J2376" s="77"/>
      <c r="K2376" s="66"/>
      <c r="L2376" s="66"/>
      <c r="M2376" s="79" t="str">
        <f>HYPERLINK("http://www.pristavka.com/catalog/funko/Fun75644/")</f>
        <v>http://www.pristavka.com/catalog/funko/Fun75644/</v>
      </c>
      <c r="N2376" s="71">
        <v>9999</v>
      </c>
      <c r="O2376" s="66" t="s">
        <v>27</v>
      </c>
      <c r="P2376" s="82" t="s">
        <v>9154</v>
      </c>
      <c r="Q2376" s="84" t="s">
        <v>9148</v>
      </c>
      <c r="R2376" s="84" t="s">
        <v>6171</v>
      </c>
      <c r="S2376" s="84">
        <v>0.124</v>
      </c>
      <c r="T2376" s="82" t="s">
        <v>4084</v>
      </c>
      <c r="U2376" s="84" t="s">
        <v>3584</v>
      </c>
      <c r="V2376" s="54"/>
    </row>
    <row r="2377" spans="1:22" s="11" customFormat="1" ht="45" customHeight="1" x14ac:dyDescent="0.2">
      <c r="A2377" s="66" t="s">
        <v>3577</v>
      </c>
      <c r="B2377" s="66" t="s">
        <v>1707</v>
      </c>
      <c r="C2377" s="66" t="s">
        <v>3578</v>
      </c>
      <c r="D2377" s="66">
        <v>67027</v>
      </c>
      <c r="E2377" s="68" t="s">
        <v>9155</v>
      </c>
      <c r="F2377" s="66" t="s">
        <v>9156</v>
      </c>
      <c r="G2377" s="71">
        <v>8450</v>
      </c>
      <c r="H2377" s="73"/>
      <c r="I2377" s="75">
        <v>0.1</v>
      </c>
      <c r="J2377" s="77"/>
      <c r="K2377" s="66"/>
      <c r="L2377" s="66"/>
      <c r="M2377" s="79" t="str">
        <f>HYPERLINK("http://www.pristavka.com/catalog/funko/Fun67027/")</f>
        <v>http://www.pristavka.com/catalog/funko/Fun67027/</v>
      </c>
      <c r="N2377" s="71">
        <v>12999</v>
      </c>
      <c r="O2377" s="66" t="s">
        <v>27</v>
      </c>
      <c r="P2377" s="82" t="s">
        <v>9157</v>
      </c>
      <c r="Q2377" s="84" t="s">
        <v>9158</v>
      </c>
      <c r="R2377" s="84" t="s">
        <v>6171</v>
      </c>
      <c r="S2377" s="84">
        <v>0.14499999999999999</v>
      </c>
      <c r="T2377" s="82" t="s">
        <v>4113</v>
      </c>
      <c r="U2377" s="84" t="s">
        <v>3584</v>
      </c>
      <c r="V2377" s="54"/>
    </row>
    <row r="2378" spans="1:22" s="11" customFormat="1" ht="45" customHeight="1" x14ac:dyDescent="0.2">
      <c r="A2378" s="66" t="s">
        <v>3577</v>
      </c>
      <c r="B2378" s="66" t="s">
        <v>1707</v>
      </c>
      <c r="C2378" s="66" t="s">
        <v>3578</v>
      </c>
      <c r="D2378" s="66">
        <v>83779</v>
      </c>
      <c r="E2378" s="68" t="s">
        <v>9159</v>
      </c>
      <c r="F2378" s="66" t="s">
        <v>9160</v>
      </c>
      <c r="G2378" s="71">
        <v>0</v>
      </c>
      <c r="H2378" s="73"/>
      <c r="I2378" s="75">
        <v>0.1</v>
      </c>
      <c r="J2378" s="77"/>
      <c r="K2378" s="66"/>
      <c r="L2378" s="66"/>
      <c r="M2378" s="79" t="str">
        <f>HYPERLINK("http://www.pristavka.com/catalog/funko/Fun83779/")</f>
        <v>http://www.pristavka.com/catalog/funko/Fun83779/</v>
      </c>
      <c r="N2378" s="71"/>
      <c r="O2378" s="66" t="s">
        <v>28</v>
      </c>
      <c r="P2378" s="82" t="s">
        <v>9161</v>
      </c>
      <c r="Q2378" s="84" t="s">
        <v>9162</v>
      </c>
      <c r="R2378" s="84" t="s">
        <v>6171</v>
      </c>
      <c r="S2378" s="84">
        <v>0.12</v>
      </c>
      <c r="T2378" s="82" t="s">
        <v>4113</v>
      </c>
      <c r="U2378" s="84" t="s">
        <v>3584</v>
      </c>
      <c r="V2378" s="54"/>
    </row>
    <row r="2379" spans="1:22" s="11" customFormat="1" ht="45" customHeight="1" x14ac:dyDescent="0.2">
      <c r="A2379" s="66" t="s">
        <v>3577</v>
      </c>
      <c r="B2379" s="66" t="s">
        <v>1707</v>
      </c>
      <c r="C2379" s="66" t="s">
        <v>3578</v>
      </c>
      <c r="D2379" s="66">
        <v>80198</v>
      </c>
      <c r="E2379" s="68" t="s">
        <v>9163</v>
      </c>
      <c r="F2379" s="66" t="s">
        <v>9164</v>
      </c>
      <c r="G2379" s="71">
        <v>0</v>
      </c>
      <c r="H2379" s="73"/>
      <c r="I2379" s="75">
        <v>0.1</v>
      </c>
      <c r="J2379" s="77"/>
      <c r="K2379" s="66"/>
      <c r="L2379" s="66"/>
      <c r="M2379" s="79" t="str">
        <f>HYPERLINK("http://www.pristavka.com/catalog/funko/Fun80198/")</f>
        <v>http://www.pristavka.com/catalog/funko/Fun80198/</v>
      </c>
      <c r="N2379" s="71"/>
      <c r="O2379" s="66" t="s">
        <v>27</v>
      </c>
      <c r="P2379" s="82" t="s">
        <v>9165</v>
      </c>
      <c r="Q2379" s="84" t="s">
        <v>6183</v>
      </c>
      <c r="R2379" s="84" t="s">
        <v>6171</v>
      </c>
      <c r="S2379" s="84">
        <v>0.11799999999999999</v>
      </c>
      <c r="T2379" s="82" t="s">
        <v>4091</v>
      </c>
      <c r="U2379" s="84" t="s">
        <v>3584</v>
      </c>
      <c r="V2379" s="54"/>
    </row>
    <row r="2380" spans="1:22" s="11" customFormat="1" ht="45" customHeight="1" x14ac:dyDescent="0.2">
      <c r="A2380" s="66" t="s">
        <v>3577</v>
      </c>
      <c r="B2380" s="66" t="s">
        <v>1707</v>
      </c>
      <c r="C2380" s="66" t="s">
        <v>3578</v>
      </c>
      <c r="D2380" s="66">
        <v>65761</v>
      </c>
      <c r="E2380" s="68" t="s">
        <v>9166</v>
      </c>
      <c r="F2380" s="66" t="s">
        <v>9167</v>
      </c>
      <c r="G2380" s="71">
        <v>6500</v>
      </c>
      <c r="H2380" s="73"/>
      <c r="I2380" s="75">
        <v>0.1</v>
      </c>
      <c r="J2380" s="77"/>
      <c r="K2380" s="66"/>
      <c r="L2380" s="66"/>
      <c r="M2380" s="79" t="str">
        <f>HYPERLINK("http://www.pristavka.com/catalog/funko/Fun65761/")</f>
        <v>http://www.pristavka.com/catalog/funko/Fun65761/</v>
      </c>
      <c r="N2380" s="71">
        <v>9999</v>
      </c>
      <c r="O2380" s="66" t="s">
        <v>27</v>
      </c>
      <c r="P2380" s="82" t="s">
        <v>9168</v>
      </c>
      <c r="Q2380" s="84" t="s">
        <v>9169</v>
      </c>
      <c r="R2380" s="84" t="s">
        <v>6171</v>
      </c>
      <c r="S2380" s="84">
        <v>0.16500000000000001</v>
      </c>
      <c r="T2380" s="82" t="s">
        <v>4113</v>
      </c>
      <c r="U2380" s="84" t="s">
        <v>3584</v>
      </c>
      <c r="V2380" s="54"/>
    </row>
    <row r="2381" spans="1:22" s="11" customFormat="1" ht="45" customHeight="1" x14ac:dyDescent="0.2">
      <c r="A2381" s="66" t="s">
        <v>3577</v>
      </c>
      <c r="B2381" s="66" t="s">
        <v>1707</v>
      </c>
      <c r="C2381" s="66" t="s">
        <v>3578</v>
      </c>
      <c r="D2381" s="66">
        <v>65762</v>
      </c>
      <c r="E2381" s="68" t="s">
        <v>9170</v>
      </c>
      <c r="F2381" s="66" t="s">
        <v>9171</v>
      </c>
      <c r="G2381" s="71">
        <v>6500</v>
      </c>
      <c r="H2381" s="73"/>
      <c r="I2381" s="75">
        <v>0.1</v>
      </c>
      <c r="J2381" s="77"/>
      <c r="K2381" s="66"/>
      <c r="L2381" s="66"/>
      <c r="M2381" s="79" t="str">
        <f>HYPERLINK("http://www.pristavka.com/catalog/funko/Fun65762/")</f>
        <v>http://www.pristavka.com/catalog/funko/Fun65762/</v>
      </c>
      <c r="N2381" s="71">
        <v>9999</v>
      </c>
      <c r="O2381" s="66" t="s">
        <v>27</v>
      </c>
      <c r="P2381" s="82" t="s">
        <v>9172</v>
      </c>
      <c r="Q2381" s="84" t="s">
        <v>9169</v>
      </c>
      <c r="R2381" s="84" t="s">
        <v>6171</v>
      </c>
      <c r="S2381" s="84">
        <v>0.14000000000000001</v>
      </c>
      <c r="T2381" s="82" t="s">
        <v>4084</v>
      </c>
      <c r="U2381" s="84" t="s">
        <v>3584</v>
      </c>
      <c r="V2381" s="54"/>
    </row>
    <row r="2382" spans="1:22" s="11" customFormat="1" ht="45" customHeight="1" x14ac:dyDescent="0.2">
      <c r="A2382" s="66" t="s">
        <v>3577</v>
      </c>
      <c r="B2382" s="66" t="s">
        <v>1707</v>
      </c>
      <c r="C2382" s="66" t="s">
        <v>3578</v>
      </c>
      <c r="D2382" s="66">
        <v>65764</v>
      </c>
      <c r="E2382" s="68" t="s">
        <v>9173</v>
      </c>
      <c r="F2382" s="66" t="s">
        <v>9174</v>
      </c>
      <c r="G2382" s="71">
        <v>6500</v>
      </c>
      <c r="H2382" s="73"/>
      <c r="I2382" s="75">
        <v>0.1</v>
      </c>
      <c r="J2382" s="77"/>
      <c r="K2382" s="66"/>
      <c r="L2382" s="66"/>
      <c r="M2382" s="79" t="str">
        <f>HYPERLINK("http://www.pristavka.com/catalog/funko/Fun65764/")</f>
        <v>http://www.pristavka.com/catalog/funko/Fun65764/</v>
      </c>
      <c r="N2382" s="71">
        <v>9999</v>
      </c>
      <c r="O2382" s="66" t="s">
        <v>28</v>
      </c>
      <c r="P2382" s="82" t="s">
        <v>9175</v>
      </c>
      <c r="Q2382" s="84" t="s">
        <v>9169</v>
      </c>
      <c r="R2382" s="84" t="s">
        <v>6171</v>
      </c>
      <c r="S2382" s="84">
        <v>0.115</v>
      </c>
      <c r="T2382" s="82" t="s">
        <v>4084</v>
      </c>
      <c r="U2382" s="84" t="s">
        <v>3584</v>
      </c>
      <c r="V2382" s="54"/>
    </row>
    <row r="2383" spans="1:22" s="11" customFormat="1" ht="45" customHeight="1" x14ac:dyDescent="0.2">
      <c r="A2383" s="66" t="s">
        <v>3577</v>
      </c>
      <c r="B2383" s="66" t="s">
        <v>1707</v>
      </c>
      <c r="C2383" s="66" t="s">
        <v>3578</v>
      </c>
      <c r="D2383" s="66">
        <v>83775</v>
      </c>
      <c r="E2383" s="68" t="s">
        <v>9176</v>
      </c>
      <c r="F2383" s="66" t="s">
        <v>9177</v>
      </c>
      <c r="G2383" s="71">
        <v>6500</v>
      </c>
      <c r="H2383" s="73"/>
      <c r="I2383" s="75">
        <v>0.1</v>
      </c>
      <c r="J2383" s="77"/>
      <c r="K2383" s="66"/>
      <c r="L2383" s="66"/>
      <c r="M2383" s="79" t="str">
        <f>HYPERLINK("http://www.pristavka.com/catalog/funko/Fun83775/")</f>
        <v>http://www.pristavka.com/catalog/funko/Fun83775/</v>
      </c>
      <c r="N2383" s="71">
        <v>9999</v>
      </c>
      <c r="O2383" s="66" t="s">
        <v>27</v>
      </c>
      <c r="P2383" s="82" t="s">
        <v>9178</v>
      </c>
      <c r="Q2383" s="84" t="s">
        <v>9179</v>
      </c>
      <c r="R2383" s="84" t="s">
        <v>1765</v>
      </c>
      <c r="S2383" s="84">
        <v>0.15</v>
      </c>
      <c r="T2383" s="82" t="s">
        <v>4113</v>
      </c>
      <c r="U2383" s="84" t="s">
        <v>3584</v>
      </c>
      <c r="V2383" s="54"/>
    </row>
    <row r="2384" spans="1:22" s="11" customFormat="1" ht="45" customHeight="1" x14ac:dyDescent="0.2">
      <c r="A2384" s="66" t="s">
        <v>3577</v>
      </c>
      <c r="B2384" s="66" t="s">
        <v>1707</v>
      </c>
      <c r="C2384" s="66" t="s">
        <v>3578</v>
      </c>
      <c r="D2384" s="66">
        <v>83776</v>
      </c>
      <c r="E2384" s="68" t="s">
        <v>9180</v>
      </c>
      <c r="F2384" s="66" t="s">
        <v>9181</v>
      </c>
      <c r="G2384" s="71">
        <v>12350</v>
      </c>
      <c r="H2384" s="73"/>
      <c r="I2384" s="75">
        <v>0.1</v>
      </c>
      <c r="J2384" s="77"/>
      <c r="K2384" s="66"/>
      <c r="L2384" s="66"/>
      <c r="M2384" s="79" t="str">
        <f>HYPERLINK("http://www.pristavka.com/catalog/funko/Fun83776/")</f>
        <v>http://www.pristavka.com/catalog/funko/Fun83776/</v>
      </c>
      <c r="N2384" s="71">
        <v>18999</v>
      </c>
      <c r="O2384" s="66" t="s">
        <v>27</v>
      </c>
      <c r="P2384" s="82" t="s">
        <v>9182</v>
      </c>
      <c r="Q2384" s="84" t="s">
        <v>9179</v>
      </c>
      <c r="R2384" s="84" t="s">
        <v>1765</v>
      </c>
      <c r="S2384" s="84">
        <v>0.28499999999999998</v>
      </c>
      <c r="T2384" s="82" t="s">
        <v>5885</v>
      </c>
      <c r="U2384" s="84" t="s">
        <v>3584</v>
      </c>
      <c r="V2384" s="54"/>
    </row>
    <row r="2385" spans="1:22" s="11" customFormat="1" ht="45" customHeight="1" x14ac:dyDescent="0.2">
      <c r="A2385" s="66" t="s">
        <v>3577</v>
      </c>
      <c r="B2385" s="66" t="s">
        <v>1707</v>
      </c>
      <c r="C2385" s="66" t="s">
        <v>3578</v>
      </c>
      <c r="D2385" s="66">
        <v>86043</v>
      </c>
      <c r="E2385" s="68" t="s">
        <v>9183</v>
      </c>
      <c r="F2385" s="66" t="s">
        <v>9184</v>
      </c>
      <c r="G2385" s="71">
        <v>6500</v>
      </c>
      <c r="H2385" s="73"/>
      <c r="I2385" s="75">
        <v>0.1</v>
      </c>
      <c r="J2385" s="77"/>
      <c r="K2385" s="66"/>
      <c r="L2385" s="66"/>
      <c r="M2385" s="79" t="str">
        <f>HYPERLINK("http://www.pristavka.com/catalog/funko/Fun86043/")</f>
        <v>http://www.pristavka.com/catalog/funko/Fun86043/</v>
      </c>
      <c r="N2385" s="71">
        <v>9999</v>
      </c>
      <c r="O2385" s="66" t="s">
        <v>27</v>
      </c>
      <c r="P2385" s="82" t="s">
        <v>9185</v>
      </c>
      <c r="Q2385" s="84" t="s">
        <v>1297</v>
      </c>
      <c r="R2385" s="84" t="s">
        <v>1298</v>
      </c>
      <c r="S2385" s="84">
        <v>0.155</v>
      </c>
      <c r="T2385" s="82" t="s">
        <v>4113</v>
      </c>
      <c r="U2385" s="84" t="s">
        <v>3584</v>
      </c>
      <c r="V2385" s="54"/>
    </row>
    <row r="2386" spans="1:22" s="11" customFormat="1" ht="45" customHeight="1" x14ac:dyDescent="0.2">
      <c r="A2386" s="66" t="s">
        <v>3577</v>
      </c>
      <c r="B2386" s="66" t="s">
        <v>1707</v>
      </c>
      <c r="C2386" s="66" t="s">
        <v>3578</v>
      </c>
      <c r="D2386" s="66">
        <v>86044</v>
      </c>
      <c r="E2386" s="68" t="s">
        <v>9186</v>
      </c>
      <c r="F2386" s="66" t="s">
        <v>9187</v>
      </c>
      <c r="G2386" s="71">
        <v>6500</v>
      </c>
      <c r="H2386" s="73"/>
      <c r="I2386" s="75">
        <v>0.1</v>
      </c>
      <c r="J2386" s="77"/>
      <c r="K2386" s="66"/>
      <c r="L2386" s="66"/>
      <c r="M2386" s="79" t="str">
        <f>HYPERLINK("http://www.pristavka.com/catalog/funko/Fun86044/")</f>
        <v>http://www.pristavka.com/catalog/funko/Fun86044/</v>
      </c>
      <c r="N2386" s="71">
        <v>9999</v>
      </c>
      <c r="O2386" s="66" t="s">
        <v>27</v>
      </c>
      <c r="P2386" s="82" t="s">
        <v>9188</v>
      </c>
      <c r="Q2386" s="84" t="s">
        <v>1297</v>
      </c>
      <c r="R2386" s="84" t="s">
        <v>1298</v>
      </c>
      <c r="S2386" s="84">
        <v>0.15</v>
      </c>
      <c r="T2386" s="82" t="s">
        <v>4113</v>
      </c>
      <c r="U2386" s="84" t="s">
        <v>3584</v>
      </c>
      <c r="V2386" s="54"/>
    </row>
    <row r="2387" spans="1:22" s="11" customFormat="1" ht="45" customHeight="1" x14ac:dyDescent="0.2">
      <c r="A2387" s="66" t="s">
        <v>3577</v>
      </c>
      <c r="B2387" s="66" t="s">
        <v>1707</v>
      </c>
      <c r="C2387" s="66" t="s">
        <v>3578</v>
      </c>
      <c r="D2387" s="66">
        <v>78049</v>
      </c>
      <c r="E2387" s="68" t="s">
        <v>9189</v>
      </c>
      <c r="F2387" s="66" t="s">
        <v>9190</v>
      </c>
      <c r="G2387" s="71">
        <v>6500</v>
      </c>
      <c r="H2387" s="73"/>
      <c r="I2387" s="75">
        <v>0.1</v>
      </c>
      <c r="J2387" s="77"/>
      <c r="K2387" s="66"/>
      <c r="L2387" s="66"/>
      <c r="M2387" s="79" t="str">
        <f>HYPERLINK("http://www.pristavka.com/catalog/funko/Fun78049/")</f>
        <v>http://www.pristavka.com/catalog/funko/Fun78049/</v>
      </c>
      <c r="N2387" s="71">
        <v>9999</v>
      </c>
      <c r="O2387" s="66" t="s">
        <v>27</v>
      </c>
      <c r="P2387" s="82" t="s">
        <v>9191</v>
      </c>
      <c r="Q2387" s="84" t="s">
        <v>1297</v>
      </c>
      <c r="R2387" s="84" t="s">
        <v>1298</v>
      </c>
      <c r="S2387" s="84">
        <v>0.13800000000000001</v>
      </c>
      <c r="T2387" s="82" t="s">
        <v>4084</v>
      </c>
      <c r="U2387" s="84" t="s">
        <v>3584</v>
      </c>
      <c r="V2387" s="54"/>
    </row>
    <row r="2388" spans="1:22" s="11" customFormat="1" ht="45" customHeight="1" x14ac:dyDescent="0.2">
      <c r="A2388" s="66" t="s">
        <v>3577</v>
      </c>
      <c r="B2388" s="66" t="s">
        <v>1707</v>
      </c>
      <c r="C2388" s="66" t="s">
        <v>3578</v>
      </c>
      <c r="D2388" s="66">
        <v>78054</v>
      </c>
      <c r="E2388" s="68" t="s">
        <v>9192</v>
      </c>
      <c r="F2388" s="66" t="s">
        <v>9193</v>
      </c>
      <c r="G2388" s="71">
        <v>6500</v>
      </c>
      <c r="H2388" s="73"/>
      <c r="I2388" s="75">
        <v>0.1</v>
      </c>
      <c r="J2388" s="77"/>
      <c r="K2388" s="66"/>
      <c r="L2388" s="66"/>
      <c r="M2388" s="79" t="str">
        <f>HYPERLINK("http://www.pristavka.com/catalog/funko/Fun78054/")</f>
        <v>http://www.pristavka.com/catalog/funko/Fun78054/</v>
      </c>
      <c r="N2388" s="71">
        <v>9999</v>
      </c>
      <c r="O2388" s="66" t="s">
        <v>27</v>
      </c>
      <c r="P2388" s="82" t="s">
        <v>9194</v>
      </c>
      <c r="Q2388" s="84" t="s">
        <v>1297</v>
      </c>
      <c r="R2388" s="84" t="s">
        <v>1298</v>
      </c>
      <c r="S2388" s="84">
        <v>0.14000000000000001</v>
      </c>
      <c r="T2388" s="82" t="s">
        <v>4084</v>
      </c>
      <c r="U2388" s="84" t="s">
        <v>3584</v>
      </c>
      <c r="V2388" s="54"/>
    </row>
    <row r="2389" spans="1:22" s="11" customFormat="1" ht="45" customHeight="1" x14ac:dyDescent="0.2">
      <c r="A2389" s="66" t="s">
        <v>3577</v>
      </c>
      <c r="B2389" s="66" t="s">
        <v>1707</v>
      </c>
      <c r="C2389" s="66" t="s">
        <v>3578</v>
      </c>
      <c r="D2389" s="66">
        <v>78050</v>
      </c>
      <c r="E2389" s="68" t="s">
        <v>9195</v>
      </c>
      <c r="F2389" s="66" t="s">
        <v>9196</v>
      </c>
      <c r="G2389" s="71">
        <v>6500</v>
      </c>
      <c r="H2389" s="73"/>
      <c r="I2389" s="75">
        <v>0.1</v>
      </c>
      <c r="J2389" s="77"/>
      <c r="K2389" s="66"/>
      <c r="L2389" s="66"/>
      <c r="M2389" s="79" t="str">
        <f>HYPERLINK("http://www.pristavka.com/catalog/funko/Fun78050/")</f>
        <v>http://www.pristavka.com/catalog/funko/Fun78050/</v>
      </c>
      <c r="N2389" s="71">
        <v>9999</v>
      </c>
      <c r="O2389" s="66" t="s">
        <v>27</v>
      </c>
      <c r="P2389" s="82" t="s">
        <v>9197</v>
      </c>
      <c r="Q2389" s="84" t="s">
        <v>1297</v>
      </c>
      <c r="R2389" s="84" t="s">
        <v>1298</v>
      </c>
      <c r="S2389" s="84">
        <v>0.13500000000000001</v>
      </c>
      <c r="T2389" s="82" t="s">
        <v>4084</v>
      </c>
      <c r="U2389" s="84" t="s">
        <v>3584</v>
      </c>
      <c r="V2389" s="54"/>
    </row>
    <row r="2390" spans="1:22" s="11" customFormat="1" ht="45" customHeight="1" x14ac:dyDescent="0.2">
      <c r="A2390" s="66" t="s">
        <v>3577</v>
      </c>
      <c r="B2390" s="66" t="s">
        <v>1707</v>
      </c>
      <c r="C2390" s="66" t="s">
        <v>3578</v>
      </c>
      <c r="D2390" s="66">
        <v>78051</v>
      </c>
      <c r="E2390" s="68" t="s">
        <v>9198</v>
      </c>
      <c r="F2390" s="66" t="s">
        <v>9199</v>
      </c>
      <c r="G2390" s="71">
        <v>6500</v>
      </c>
      <c r="H2390" s="73"/>
      <c r="I2390" s="75">
        <v>0.1</v>
      </c>
      <c r="J2390" s="77"/>
      <c r="K2390" s="66"/>
      <c r="L2390" s="66"/>
      <c r="M2390" s="79" t="str">
        <f>HYPERLINK("http://www.pristavka.com/catalog/funko/Fun78051/")</f>
        <v>http://www.pristavka.com/catalog/funko/Fun78051/</v>
      </c>
      <c r="N2390" s="71">
        <v>9999</v>
      </c>
      <c r="O2390" s="66" t="s">
        <v>27</v>
      </c>
      <c r="P2390" s="82" t="s">
        <v>9200</v>
      </c>
      <c r="Q2390" s="84" t="s">
        <v>1297</v>
      </c>
      <c r="R2390" s="84" t="s">
        <v>1298</v>
      </c>
      <c r="S2390" s="84">
        <v>0.13600000000000001</v>
      </c>
      <c r="T2390" s="82" t="s">
        <v>4084</v>
      </c>
      <c r="U2390" s="84" t="s">
        <v>3584</v>
      </c>
      <c r="V2390" s="54"/>
    </row>
    <row r="2391" spans="1:22" s="11" customFormat="1" ht="45" customHeight="1" x14ac:dyDescent="0.2">
      <c r="A2391" s="66" t="s">
        <v>3577</v>
      </c>
      <c r="B2391" s="66" t="s">
        <v>1707</v>
      </c>
      <c r="C2391" s="66" t="s">
        <v>3578</v>
      </c>
      <c r="D2391" s="66">
        <v>78048</v>
      </c>
      <c r="E2391" s="68" t="s">
        <v>9201</v>
      </c>
      <c r="F2391" s="66" t="s">
        <v>9202</v>
      </c>
      <c r="G2391" s="71">
        <v>6500</v>
      </c>
      <c r="H2391" s="73"/>
      <c r="I2391" s="75">
        <v>0.1</v>
      </c>
      <c r="J2391" s="77"/>
      <c r="K2391" s="66"/>
      <c r="L2391" s="66"/>
      <c r="M2391" s="79" t="str">
        <f>HYPERLINK("http://www.pristavka.com/catalog/funko/Fun78048/")</f>
        <v>http://www.pristavka.com/catalog/funko/Fun78048/</v>
      </c>
      <c r="N2391" s="71">
        <v>9999</v>
      </c>
      <c r="O2391" s="66" t="s">
        <v>27</v>
      </c>
      <c r="P2391" s="82" t="s">
        <v>9203</v>
      </c>
      <c r="Q2391" s="84" t="s">
        <v>1297</v>
      </c>
      <c r="R2391" s="84" t="s">
        <v>1298</v>
      </c>
      <c r="S2391" s="84">
        <v>0.16500000000000001</v>
      </c>
      <c r="T2391" s="82" t="s">
        <v>4084</v>
      </c>
      <c r="U2391" s="84" t="s">
        <v>3584</v>
      </c>
      <c r="V2391" s="54"/>
    </row>
    <row r="2392" spans="1:22" s="11" customFormat="1" ht="45" customHeight="1" x14ac:dyDescent="0.2">
      <c r="A2392" s="66" t="s">
        <v>3577</v>
      </c>
      <c r="B2392" s="66" t="s">
        <v>1707</v>
      </c>
      <c r="C2392" s="66" t="s">
        <v>3578</v>
      </c>
      <c r="D2392" s="66">
        <v>80160</v>
      </c>
      <c r="E2392" s="68" t="s">
        <v>9204</v>
      </c>
      <c r="F2392" s="66" t="s">
        <v>9205</v>
      </c>
      <c r="G2392" s="71">
        <v>6500</v>
      </c>
      <c r="H2392" s="73"/>
      <c r="I2392" s="75">
        <v>0.1</v>
      </c>
      <c r="J2392" s="77"/>
      <c r="K2392" s="66"/>
      <c r="L2392" s="66"/>
      <c r="M2392" s="79" t="str">
        <f>HYPERLINK("http://www.pristavka.com/catalog/funko/Fun80160/")</f>
        <v>http://www.pristavka.com/catalog/funko/Fun80160/</v>
      </c>
      <c r="N2392" s="71">
        <v>9999</v>
      </c>
      <c r="O2392" s="66" t="s">
        <v>27</v>
      </c>
      <c r="P2392" s="82" t="s">
        <v>9206</v>
      </c>
      <c r="Q2392" s="84" t="s">
        <v>9207</v>
      </c>
      <c r="R2392" s="84" t="s">
        <v>1303</v>
      </c>
      <c r="S2392" s="84">
        <v>0.108</v>
      </c>
      <c r="T2392" s="82" t="s">
        <v>4091</v>
      </c>
      <c r="U2392" s="84" t="s">
        <v>3584</v>
      </c>
      <c r="V2392" s="54"/>
    </row>
    <row r="2393" spans="1:22" s="11" customFormat="1" ht="45" customHeight="1" x14ac:dyDescent="0.2">
      <c r="A2393" s="66" t="s">
        <v>3577</v>
      </c>
      <c r="B2393" s="66" t="s">
        <v>1707</v>
      </c>
      <c r="C2393" s="66" t="s">
        <v>3578</v>
      </c>
      <c r="D2393" s="66">
        <v>80159</v>
      </c>
      <c r="E2393" s="68" t="s">
        <v>9208</v>
      </c>
      <c r="F2393" s="66" t="s">
        <v>9209</v>
      </c>
      <c r="G2393" s="71">
        <v>6500</v>
      </c>
      <c r="H2393" s="73"/>
      <c r="I2393" s="75">
        <v>0.1</v>
      </c>
      <c r="J2393" s="77"/>
      <c r="K2393" s="66"/>
      <c r="L2393" s="66"/>
      <c r="M2393" s="79" t="str">
        <f>HYPERLINK("http://www.pristavka.com/catalog/funko/Fun80159/")</f>
        <v>http://www.pristavka.com/catalog/funko/Fun80159/</v>
      </c>
      <c r="N2393" s="71">
        <v>9999</v>
      </c>
      <c r="O2393" s="66" t="s">
        <v>27</v>
      </c>
      <c r="P2393" s="82" t="s">
        <v>9210</v>
      </c>
      <c r="Q2393" s="84" t="s">
        <v>9207</v>
      </c>
      <c r="R2393" s="84" t="s">
        <v>1303</v>
      </c>
      <c r="S2393" s="84">
        <v>0.12</v>
      </c>
      <c r="T2393" s="82" t="s">
        <v>4113</v>
      </c>
      <c r="U2393" s="84" t="s">
        <v>3584</v>
      </c>
      <c r="V2393" s="54"/>
    </row>
    <row r="2394" spans="1:22" s="11" customFormat="1" ht="45" customHeight="1" x14ac:dyDescent="0.2">
      <c r="A2394" s="66" t="s">
        <v>3577</v>
      </c>
      <c r="B2394" s="66" t="s">
        <v>1707</v>
      </c>
      <c r="C2394" s="66" t="s">
        <v>3578</v>
      </c>
      <c r="D2394" s="66">
        <v>59300</v>
      </c>
      <c r="E2394" s="68" t="s">
        <v>9211</v>
      </c>
      <c r="F2394" s="66" t="s">
        <v>9212</v>
      </c>
      <c r="G2394" s="71">
        <v>6500</v>
      </c>
      <c r="H2394" s="73"/>
      <c r="I2394" s="75">
        <v>0.1</v>
      </c>
      <c r="J2394" s="77"/>
      <c r="K2394" s="66"/>
      <c r="L2394" s="66"/>
      <c r="M2394" s="79" t="str">
        <f>HYPERLINK("http://www.pristavka.com/catalog/funko/Fun59300/")</f>
        <v>http://www.pristavka.com/catalog/funko/Fun59300/</v>
      </c>
      <c r="N2394" s="71">
        <v>9999</v>
      </c>
      <c r="O2394" s="66" t="s">
        <v>27</v>
      </c>
      <c r="P2394" s="82" t="s">
        <v>9213</v>
      </c>
      <c r="Q2394" s="84" t="s">
        <v>9214</v>
      </c>
      <c r="R2394" s="84" t="s">
        <v>6171</v>
      </c>
      <c r="S2394" s="84">
        <v>0.13300000000000001</v>
      </c>
      <c r="T2394" s="82" t="s">
        <v>4091</v>
      </c>
      <c r="U2394" s="84" t="s">
        <v>3584</v>
      </c>
      <c r="V2394" s="54"/>
    </row>
    <row r="2395" spans="1:22" s="11" customFormat="1" ht="45" customHeight="1" x14ac:dyDescent="0.2">
      <c r="A2395" s="66" t="s">
        <v>3577</v>
      </c>
      <c r="B2395" s="66" t="s">
        <v>1707</v>
      </c>
      <c r="C2395" s="66" t="s">
        <v>3578</v>
      </c>
      <c r="D2395" s="66">
        <v>83468</v>
      </c>
      <c r="E2395" s="68" t="s">
        <v>9215</v>
      </c>
      <c r="F2395" s="66" t="s">
        <v>9216</v>
      </c>
      <c r="G2395" s="71">
        <v>8775</v>
      </c>
      <c r="H2395" s="73"/>
      <c r="I2395" s="75">
        <v>0.1</v>
      </c>
      <c r="J2395" s="77"/>
      <c r="K2395" s="66"/>
      <c r="L2395" s="66"/>
      <c r="M2395" s="79" t="str">
        <f>HYPERLINK("http://www.pristavka.com/catalog/funko/Fun83468/")</f>
        <v>http://www.pristavka.com/catalog/funko/Fun83468/</v>
      </c>
      <c r="N2395" s="71">
        <v>13499</v>
      </c>
      <c r="O2395" s="66" t="s">
        <v>27</v>
      </c>
      <c r="P2395" s="82" t="s">
        <v>9217</v>
      </c>
      <c r="Q2395" s="84" t="s">
        <v>3790</v>
      </c>
      <c r="R2395" s="84" t="s">
        <v>1068</v>
      </c>
      <c r="S2395" s="84">
        <v>0.498</v>
      </c>
      <c r="T2395" s="82" t="s">
        <v>4616</v>
      </c>
      <c r="U2395" s="84" t="s">
        <v>3584</v>
      </c>
      <c r="V2395" s="54"/>
    </row>
    <row r="2396" spans="1:22" s="11" customFormat="1" ht="45" customHeight="1" x14ac:dyDescent="0.2">
      <c r="A2396" s="66" t="s">
        <v>3577</v>
      </c>
      <c r="B2396" s="66" t="s">
        <v>1707</v>
      </c>
      <c r="C2396" s="66" t="s">
        <v>3578</v>
      </c>
      <c r="D2396" s="66">
        <v>83313</v>
      </c>
      <c r="E2396" s="68" t="s">
        <v>9218</v>
      </c>
      <c r="F2396" s="66" t="s">
        <v>9219</v>
      </c>
      <c r="G2396" s="71">
        <v>6500</v>
      </c>
      <c r="H2396" s="73"/>
      <c r="I2396" s="75">
        <v>0.1</v>
      </c>
      <c r="J2396" s="77"/>
      <c r="K2396" s="66"/>
      <c r="L2396" s="66"/>
      <c r="M2396" s="79" t="str">
        <f>HYPERLINK("http://www.pristavka.com/catalog/funko/Fun83313/")</f>
        <v>http://www.pristavka.com/catalog/funko/Fun83313/</v>
      </c>
      <c r="N2396" s="71">
        <v>9999</v>
      </c>
      <c r="O2396" s="66" t="s">
        <v>27</v>
      </c>
      <c r="P2396" s="82" t="s">
        <v>9220</v>
      </c>
      <c r="Q2396" s="84" t="s">
        <v>3326</v>
      </c>
      <c r="R2396" s="84" t="s">
        <v>3327</v>
      </c>
      <c r="S2396" s="84">
        <v>0.105</v>
      </c>
      <c r="T2396" s="82" t="s">
        <v>4084</v>
      </c>
      <c r="U2396" s="84" t="s">
        <v>3584</v>
      </c>
      <c r="V2396" s="54"/>
    </row>
    <row r="2397" spans="1:22" s="11" customFormat="1" ht="45" customHeight="1" x14ac:dyDescent="0.2">
      <c r="A2397" s="66" t="s">
        <v>3577</v>
      </c>
      <c r="B2397" s="66" t="s">
        <v>1707</v>
      </c>
      <c r="C2397" s="66" t="s">
        <v>3578</v>
      </c>
      <c r="D2397" s="66">
        <v>83315</v>
      </c>
      <c r="E2397" s="68" t="s">
        <v>9221</v>
      </c>
      <c r="F2397" s="66" t="s">
        <v>9222</v>
      </c>
      <c r="G2397" s="71">
        <v>6500</v>
      </c>
      <c r="H2397" s="73"/>
      <c r="I2397" s="75">
        <v>0.1</v>
      </c>
      <c r="J2397" s="77"/>
      <c r="K2397" s="66"/>
      <c r="L2397" s="66"/>
      <c r="M2397" s="79" t="str">
        <f>HYPERLINK("http://www.pristavka.com/catalog/funko/Fun83315/")</f>
        <v>http://www.pristavka.com/catalog/funko/Fun83315/</v>
      </c>
      <c r="N2397" s="71">
        <v>9999</v>
      </c>
      <c r="O2397" s="66" t="s">
        <v>27</v>
      </c>
      <c r="P2397" s="82" t="s">
        <v>9223</v>
      </c>
      <c r="Q2397" s="84" t="s">
        <v>3326</v>
      </c>
      <c r="R2397" s="84" t="s">
        <v>3327</v>
      </c>
      <c r="S2397" s="84">
        <v>0.128</v>
      </c>
      <c r="T2397" s="82" t="s">
        <v>4084</v>
      </c>
      <c r="U2397" s="84" t="s">
        <v>3584</v>
      </c>
      <c r="V2397" s="54"/>
    </row>
    <row r="2398" spans="1:22" s="11" customFormat="1" ht="45" customHeight="1" x14ac:dyDescent="0.2">
      <c r="A2398" s="66" t="s">
        <v>3577</v>
      </c>
      <c r="B2398" s="66" t="s">
        <v>1707</v>
      </c>
      <c r="C2398" s="66" t="s">
        <v>3578</v>
      </c>
      <c r="D2398" s="66">
        <v>83314</v>
      </c>
      <c r="E2398" s="68" t="s">
        <v>9224</v>
      </c>
      <c r="F2398" s="66" t="s">
        <v>9225</v>
      </c>
      <c r="G2398" s="71">
        <v>6500</v>
      </c>
      <c r="H2398" s="73"/>
      <c r="I2398" s="75">
        <v>0.1</v>
      </c>
      <c r="J2398" s="77"/>
      <c r="K2398" s="66"/>
      <c r="L2398" s="66"/>
      <c r="M2398" s="79" t="str">
        <f>HYPERLINK("http://www.pristavka.com/catalog/funko/Fun83314/")</f>
        <v>http://www.pristavka.com/catalog/funko/Fun83314/</v>
      </c>
      <c r="N2398" s="71">
        <v>9999</v>
      </c>
      <c r="O2398" s="66" t="s">
        <v>27</v>
      </c>
      <c r="P2398" s="82" t="s">
        <v>9226</v>
      </c>
      <c r="Q2398" s="84" t="s">
        <v>3326</v>
      </c>
      <c r="R2398" s="84" t="s">
        <v>3327</v>
      </c>
      <c r="S2398" s="84">
        <v>0.13</v>
      </c>
      <c r="T2398" s="82" t="s">
        <v>4084</v>
      </c>
      <c r="U2398" s="84" t="s">
        <v>3584</v>
      </c>
      <c r="V2398" s="54"/>
    </row>
    <row r="2399" spans="1:22" s="11" customFormat="1" ht="45" customHeight="1" x14ac:dyDescent="0.2">
      <c r="A2399" s="66" t="s">
        <v>3577</v>
      </c>
      <c r="B2399" s="66" t="s">
        <v>1707</v>
      </c>
      <c r="C2399" s="66" t="s">
        <v>3578</v>
      </c>
      <c r="D2399" s="66">
        <v>67457</v>
      </c>
      <c r="E2399" s="68" t="s">
        <v>9227</v>
      </c>
      <c r="F2399" s="66" t="s">
        <v>9228</v>
      </c>
      <c r="G2399" s="71">
        <v>6500</v>
      </c>
      <c r="H2399" s="73"/>
      <c r="I2399" s="75">
        <v>0.1</v>
      </c>
      <c r="J2399" s="77"/>
      <c r="K2399" s="66"/>
      <c r="L2399" s="66"/>
      <c r="M2399" s="79" t="str">
        <f>HYPERLINK("http://www.pristavka.com/catalog/funko/Fun67457/")</f>
        <v>http://www.pristavka.com/catalog/funko/Fun67457/</v>
      </c>
      <c r="N2399" s="71">
        <v>9999</v>
      </c>
      <c r="O2399" s="66" t="s">
        <v>27</v>
      </c>
      <c r="P2399" s="82" t="s">
        <v>9229</v>
      </c>
      <c r="Q2399" s="84" t="s">
        <v>3326</v>
      </c>
      <c r="R2399" s="84" t="s">
        <v>3327</v>
      </c>
      <c r="S2399" s="84">
        <v>0.14000000000000001</v>
      </c>
      <c r="T2399" s="82" t="s">
        <v>4084</v>
      </c>
      <c r="U2399" s="84" t="s">
        <v>3584</v>
      </c>
      <c r="V2399" s="54"/>
    </row>
    <row r="2400" spans="1:22" s="11" customFormat="1" ht="45" customHeight="1" x14ac:dyDescent="0.2">
      <c r="A2400" s="66" t="s">
        <v>3577</v>
      </c>
      <c r="B2400" s="66" t="s">
        <v>1707</v>
      </c>
      <c r="C2400" s="66" t="s">
        <v>3578</v>
      </c>
      <c r="D2400" s="66">
        <v>83316</v>
      </c>
      <c r="E2400" s="68" t="s">
        <v>9230</v>
      </c>
      <c r="F2400" s="66" t="s">
        <v>9231</v>
      </c>
      <c r="G2400" s="71">
        <v>6500</v>
      </c>
      <c r="H2400" s="73"/>
      <c r="I2400" s="75">
        <v>0.1</v>
      </c>
      <c r="J2400" s="77"/>
      <c r="K2400" s="66"/>
      <c r="L2400" s="66"/>
      <c r="M2400" s="79" t="str">
        <f>HYPERLINK("http://www.pristavka.com/catalog/funko/Fun83316/")</f>
        <v>http://www.pristavka.com/catalog/funko/Fun83316/</v>
      </c>
      <c r="N2400" s="71">
        <v>9999</v>
      </c>
      <c r="O2400" s="66" t="s">
        <v>27</v>
      </c>
      <c r="P2400" s="82" t="s">
        <v>9232</v>
      </c>
      <c r="Q2400" s="84" t="s">
        <v>3326</v>
      </c>
      <c r="R2400" s="84" t="s">
        <v>3327</v>
      </c>
      <c r="S2400" s="84">
        <v>0.125</v>
      </c>
      <c r="T2400" s="82" t="s">
        <v>4084</v>
      </c>
      <c r="U2400" s="84" t="s">
        <v>3584</v>
      </c>
      <c r="V2400" s="54"/>
    </row>
    <row r="2401" spans="1:22" s="11" customFormat="1" ht="45" customHeight="1" x14ac:dyDescent="0.2">
      <c r="A2401" s="66" t="s">
        <v>3577</v>
      </c>
      <c r="B2401" s="66" t="s">
        <v>1707</v>
      </c>
      <c r="C2401" s="66" t="s">
        <v>3578</v>
      </c>
      <c r="D2401" s="66">
        <v>81741</v>
      </c>
      <c r="E2401" s="68" t="s">
        <v>9233</v>
      </c>
      <c r="F2401" s="66" t="s">
        <v>9234</v>
      </c>
      <c r="G2401" s="71">
        <v>6890</v>
      </c>
      <c r="H2401" s="73"/>
      <c r="I2401" s="75">
        <v>0.1</v>
      </c>
      <c r="J2401" s="77"/>
      <c r="K2401" s="66"/>
      <c r="L2401" s="66"/>
      <c r="M2401" s="79" t="str">
        <f>HYPERLINK("http://www.pristavka.com/catalog/funko/Fun81741/")</f>
        <v>http://www.pristavka.com/catalog/funko/Fun81741/</v>
      </c>
      <c r="N2401" s="71">
        <v>10599</v>
      </c>
      <c r="O2401" s="66" t="s">
        <v>27</v>
      </c>
      <c r="P2401" s="82" t="s">
        <v>9235</v>
      </c>
      <c r="Q2401" s="84" t="s">
        <v>3326</v>
      </c>
      <c r="R2401" s="84" t="s">
        <v>3327</v>
      </c>
      <c r="S2401" s="84">
        <v>0.16400000000000001</v>
      </c>
      <c r="T2401" s="82" t="s">
        <v>4084</v>
      </c>
      <c r="U2401" s="84" t="s">
        <v>3584</v>
      </c>
      <c r="V2401" s="54"/>
    </row>
    <row r="2402" spans="1:22" s="11" customFormat="1" ht="45" customHeight="1" x14ac:dyDescent="0.2">
      <c r="A2402" s="66" t="s">
        <v>3577</v>
      </c>
      <c r="B2402" s="66" t="s">
        <v>1707</v>
      </c>
      <c r="C2402" s="66" t="s">
        <v>3578</v>
      </c>
      <c r="D2402" s="66">
        <v>84131</v>
      </c>
      <c r="E2402" s="68" t="s">
        <v>9236</v>
      </c>
      <c r="F2402" s="66" t="s">
        <v>9237</v>
      </c>
      <c r="G2402" s="71">
        <v>6500</v>
      </c>
      <c r="H2402" s="73"/>
      <c r="I2402" s="75">
        <v>0.1</v>
      </c>
      <c r="J2402" s="77"/>
      <c r="K2402" s="66"/>
      <c r="L2402" s="66"/>
      <c r="M2402" s="79" t="str">
        <f>HYPERLINK("http://www.pristavka.com/catalog/funko/Fun81206/")</f>
        <v>http://www.pristavka.com/catalog/funko/Fun81206/</v>
      </c>
      <c r="N2402" s="71">
        <v>9999</v>
      </c>
      <c r="O2402" s="66" t="s">
        <v>27</v>
      </c>
      <c r="P2402" s="82" t="s">
        <v>9238</v>
      </c>
      <c r="Q2402" s="84" t="s">
        <v>8508</v>
      </c>
      <c r="R2402" s="84" t="s">
        <v>1612</v>
      </c>
      <c r="S2402" s="84">
        <v>0.13400000000000001</v>
      </c>
      <c r="T2402" s="82" t="s">
        <v>4084</v>
      </c>
      <c r="U2402" s="84" t="s">
        <v>3584</v>
      </c>
      <c r="V2402" s="54"/>
    </row>
    <row r="2403" spans="1:22" s="11" customFormat="1" ht="45" customHeight="1" x14ac:dyDescent="0.2">
      <c r="A2403" s="66" t="s">
        <v>3577</v>
      </c>
      <c r="B2403" s="66" t="s">
        <v>1707</v>
      </c>
      <c r="C2403" s="66" t="s">
        <v>3578</v>
      </c>
      <c r="D2403" s="66">
        <v>58909</v>
      </c>
      <c r="E2403" s="68" t="s">
        <v>9239</v>
      </c>
      <c r="F2403" s="66" t="s">
        <v>9240</v>
      </c>
      <c r="G2403" s="71">
        <v>6500</v>
      </c>
      <c r="H2403" s="73"/>
      <c r="I2403" s="75">
        <v>0.1</v>
      </c>
      <c r="J2403" s="77"/>
      <c r="K2403" s="66"/>
      <c r="L2403" s="66"/>
      <c r="M2403" s="79" t="str">
        <f>HYPERLINK("http://www.pristavka.com/catalog/funko/Fun25491925/")</f>
        <v>http://www.pristavka.com/catalog/funko/Fun25491925/</v>
      </c>
      <c r="N2403" s="71">
        <v>9999</v>
      </c>
      <c r="O2403" s="66" t="s">
        <v>27</v>
      </c>
      <c r="P2403" s="82" t="s">
        <v>9241</v>
      </c>
      <c r="Q2403" s="84" t="s">
        <v>1256</v>
      </c>
      <c r="R2403" s="84" t="s">
        <v>3327</v>
      </c>
      <c r="S2403" s="84">
        <v>0.13800000000000001</v>
      </c>
      <c r="T2403" s="82" t="s">
        <v>4113</v>
      </c>
      <c r="U2403" s="84" t="s">
        <v>3584</v>
      </c>
      <c r="V2403" s="54"/>
    </row>
    <row r="2404" spans="1:22" s="11" customFormat="1" ht="45" customHeight="1" x14ac:dyDescent="0.2">
      <c r="A2404" s="66" t="s">
        <v>3577</v>
      </c>
      <c r="B2404" s="66" t="s">
        <v>1707</v>
      </c>
      <c r="C2404" s="66" t="s">
        <v>3578</v>
      </c>
      <c r="D2404" s="66">
        <v>67426</v>
      </c>
      <c r="E2404" s="68" t="s">
        <v>9242</v>
      </c>
      <c r="F2404" s="66" t="s">
        <v>9243</v>
      </c>
      <c r="G2404" s="71">
        <v>6500</v>
      </c>
      <c r="H2404" s="73"/>
      <c r="I2404" s="75">
        <v>0.1</v>
      </c>
      <c r="J2404" s="77"/>
      <c r="K2404" s="66"/>
      <c r="L2404" s="66"/>
      <c r="M2404" s="79" t="str">
        <f>HYPERLINK("http://www.pristavka.com/catalog/funko/Fun67426/")</f>
        <v>http://www.pristavka.com/catalog/funko/Fun67426/</v>
      </c>
      <c r="N2404" s="71">
        <v>9999</v>
      </c>
      <c r="O2404" s="66" t="s">
        <v>28</v>
      </c>
      <c r="P2404" s="82" t="s">
        <v>9244</v>
      </c>
      <c r="Q2404" s="84" t="s">
        <v>1256</v>
      </c>
      <c r="R2404" s="84" t="s">
        <v>3327</v>
      </c>
      <c r="S2404" s="84">
        <v>0.127</v>
      </c>
      <c r="T2404" s="82" t="s">
        <v>4084</v>
      </c>
      <c r="U2404" s="84" t="s">
        <v>3584</v>
      </c>
      <c r="V2404" s="54"/>
    </row>
    <row r="2405" spans="1:22" s="11" customFormat="1" ht="45" customHeight="1" x14ac:dyDescent="0.2">
      <c r="A2405" s="66" t="s">
        <v>3577</v>
      </c>
      <c r="B2405" s="66" t="s">
        <v>1707</v>
      </c>
      <c r="C2405" s="66" t="s">
        <v>3578</v>
      </c>
      <c r="D2405" s="66">
        <v>79753</v>
      </c>
      <c r="E2405" s="68" t="s">
        <v>9245</v>
      </c>
      <c r="F2405" s="66" t="s">
        <v>9246</v>
      </c>
      <c r="G2405" s="71">
        <v>6500</v>
      </c>
      <c r="H2405" s="73"/>
      <c r="I2405" s="75">
        <v>0.1</v>
      </c>
      <c r="J2405" s="77"/>
      <c r="K2405" s="66"/>
      <c r="L2405" s="66"/>
      <c r="M2405" s="79" t="str">
        <f>HYPERLINK("http://www.pristavka.com/catalog/funko/Fun79753/")</f>
        <v>http://www.pristavka.com/catalog/funko/Fun79753/</v>
      </c>
      <c r="N2405" s="71">
        <v>9999</v>
      </c>
      <c r="O2405" s="66" t="s">
        <v>27</v>
      </c>
      <c r="P2405" s="82" t="s">
        <v>9247</v>
      </c>
      <c r="Q2405" s="84" t="s">
        <v>9248</v>
      </c>
      <c r="R2405" s="84" t="s">
        <v>1765</v>
      </c>
      <c r="S2405" s="84">
        <v>0.14199999999999999</v>
      </c>
      <c r="T2405" s="82" t="s">
        <v>4084</v>
      </c>
      <c r="U2405" s="84" t="s">
        <v>3584</v>
      </c>
      <c r="V2405" s="54"/>
    </row>
    <row r="2406" spans="1:22" s="11" customFormat="1" ht="45" customHeight="1" x14ac:dyDescent="0.2">
      <c r="A2406" s="66" t="s">
        <v>3577</v>
      </c>
      <c r="B2406" s="66" t="s">
        <v>1707</v>
      </c>
      <c r="C2406" s="66" t="s">
        <v>3578</v>
      </c>
      <c r="D2406" s="66">
        <v>83505</v>
      </c>
      <c r="E2406" s="68" t="s">
        <v>9249</v>
      </c>
      <c r="F2406" s="66" t="s">
        <v>9250</v>
      </c>
      <c r="G2406" s="71">
        <v>6500</v>
      </c>
      <c r="H2406" s="73"/>
      <c r="I2406" s="75">
        <v>0.1</v>
      </c>
      <c r="J2406" s="77"/>
      <c r="K2406" s="66"/>
      <c r="L2406" s="66"/>
      <c r="M2406" s="79" t="str">
        <f>HYPERLINK("http://www.pristavka.com/catalog/funko/Fun83505/")</f>
        <v>http://www.pristavka.com/catalog/funko/Fun83505/</v>
      </c>
      <c r="N2406" s="71">
        <v>9999</v>
      </c>
      <c r="O2406" s="66" t="s">
        <v>27</v>
      </c>
      <c r="P2406" s="82" t="s">
        <v>9251</v>
      </c>
      <c r="Q2406" s="84" t="s">
        <v>9252</v>
      </c>
      <c r="R2406" s="84" t="s">
        <v>6171</v>
      </c>
      <c r="S2406" s="84">
        <v>0.14499999999999999</v>
      </c>
      <c r="T2406" s="82" t="s">
        <v>1355</v>
      </c>
      <c r="U2406" s="84" t="s">
        <v>3584</v>
      </c>
      <c r="V2406" s="54"/>
    </row>
    <row r="2407" spans="1:22" s="11" customFormat="1" ht="45" customHeight="1" x14ac:dyDescent="0.2">
      <c r="A2407" s="66" t="s">
        <v>3577</v>
      </c>
      <c r="B2407" s="66" t="s">
        <v>1707</v>
      </c>
      <c r="C2407" s="66" t="s">
        <v>3578</v>
      </c>
      <c r="D2407" s="66">
        <v>80157</v>
      </c>
      <c r="E2407" s="68" t="s">
        <v>9253</v>
      </c>
      <c r="F2407" s="66" t="s">
        <v>9254</v>
      </c>
      <c r="G2407" s="71">
        <v>6500</v>
      </c>
      <c r="H2407" s="73"/>
      <c r="I2407" s="75">
        <v>0.1</v>
      </c>
      <c r="J2407" s="77"/>
      <c r="K2407" s="66"/>
      <c r="L2407" s="66"/>
      <c r="M2407" s="79" t="str">
        <f>HYPERLINK("http://www.pristavka.com/catalog/funko/Fun80157/")</f>
        <v>http://www.pristavka.com/catalog/funko/Fun80157/</v>
      </c>
      <c r="N2407" s="71">
        <v>9999</v>
      </c>
      <c r="O2407" s="66" t="s">
        <v>27</v>
      </c>
      <c r="P2407" s="82" t="s">
        <v>9255</v>
      </c>
      <c r="Q2407" s="84" t="s">
        <v>9256</v>
      </c>
      <c r="R2407" s="84" t="s">
        <v>6171</v>
      </c>
      <c r="S2407" s="84">
        <v>0.17399999999999999</v>
      </c>
      <c r="T2407" s="82" t="s">
        <v>4084</v>
      </c>
      <c r="U2407" s="84" t="s">
        <v>3584</v>
      </c>
      <c r="V2407" s="54"/>
    </row>
    <row r="2408" spans="1:22" s="11" customFormat="1" ht="45" customHeight="1" x14ac:dyDescent="0.2">
      <c r="A2408" s="66" t="s">
        <v>3577</v>
      </c>
      <c r="B2408" s="66" t="s">
        <v>1707</v>
      </c>
      <c r="C2408" s="66" t="s">
        <v>3578</v>
      </c>
      <c r="D2408" s="66">
        <v>80158</v>
      </c>
      <c r="E2408" s="68" t="s">
        <v>9257</v>
      </c>
      <c r="F2408" s="66" t="s">
        <v>9258</v>
      </c>
      <c r="G2408" s="71">
        <v>6500</v>
      </c>
      <c r="H2408" s="73"/>
      <c r="I2408" s="75">
        <v>0.1</v>
      </c>
      <c r="J2408" s="77"/>
      <c r="K2408" s="66"/>
      <c r="L2408" s="66"/>
      <c r="M2408" s="79" t="str">
        <f>HYPERLINK("http://www.pristavka.com/catalog/funko/Fun80158/")</f>
        <v>http://www.pristavka.com/catalog/funko/Fun80158/</v>
      </c>
      <c r="N2408" s="71">
        <v>9999</v>
      </c>
      <c r="O2408" s="66" t="s">
        <v>27</v>
      </c>
      <c r="P2408" s="82" t="s">
        <v>9259</v>
      </c>
      <c r="Q2408" s="84" t="s">
        <v>9256</v>
      </c>
      <c r="R2408" s="84" t="s">
        <v>6171</v>
      </c>
      <c r="S2408" s="84">
        <v>0.126</v>
      </c>
      <c r="T2408" s="82" t="s">
        <v>4084</v>
      </c>
      <c r="U2408" s="84" t="s">
        <v>3584</v>
      </c>
      <c r="V2408" s="54"/>
    </row>
    <row r="2409" spans="1:22" s="11" customFormat="1" ht="45" customHeight="1" x14ac:dyDescent="0.2">
      <c r="A2409" s="66" t="s">
        <v>3577</v>
      </c>
      <c r="B2409" s="66" t="s">
        <v>1707</v>
      </c>
      <c r="C2409" s="66" t="s">
        <v>3578</v>
      </c>
      <c r="D2409" s="66">
        <v>80176</v>
      </c>
      <c r="E2409" s="68" t="s">
        <v>9260</v>
      </c>
      <c r="F2409" s="66" t="s">
        <v>9261</v>
      </c>
      <c r="G2409" s="71">
        <v>6500</v>
      </c>
      <c r="H2409" s="73"/>
      <c r="I2409" s="75">
        <v>0.1</v>
      </c>
      <c r="J2409" s="77"/>
      <c r="K2409" s="66"/>
      <c r="L2409" s="66"/>
      <c r="M2409" s="79" t="str">
        <f>HYPERLINK("http://www.pristavka.com/catalog/funko/Fun80176/")</f>
        <v>http://www.pristavka.com/catalog/funko/Fun80176/</v>
      </c>
      <c r="N2409" s="71">
        <v>9999</v>
      </c>
      <c r="O2409" s="66" t="s">
        <v>27</v>
      </c>
      <c r="P2409" s="82" t="s">
        <v>9262</v>
      </c>
      <c r="Q2409" s="84" t="s">
        <v>9263</v>
      </c>
      <c r="R2409" s="84" t="s">
        <v>6171</v>
      </c>
      <c r="S2409" s="84">
        <v>0.158</v>
      </c>
      <c r="T2409" s="82" t="s">
        <v>4091</v>
      </c>
      <c r="U2409" s="84" t="s">
        <v>3584</v>
      </c>
      <c r="V2409" s="54"/>
    </row>
    <row r="2410" spans="1:22" s="11" customFormat="1" ht="45" customHeight="1" x14ac:dyDescent="0.2">
      <c r="A2410" s="66" t="s">
        <v>3577</v>
      </c>
      <c r="B2410" s="66" t="s">
        <v>1707</v>
      </c>
      <c r="C2410" s="66" t="s">
        <v>3578</v>
      </c>
      <c r="D2410" s="66">
        <v>80177</v>
      </c>
      <c r="E2410" s="68" t="s">
        <v>9264</v>
      </c>
      <c r="F2410" s="66" t="s">
        <v>9265</v>
      </c>
      <c r="G2410" s="71">
        <v>6500</v>
      </c>
      <c r="H2410" s="73"/>
      <c r="I2410" s="75">
        <v>0.1</v>
      </c>
      <c r="J2410" s="77"/>
      <c r="K2410" s="66"/>
      <c r="L2410" s="66"/>
      <c r="M2410" s="79" t="str">
        <f>HYPERLINK("http://www.pristavka.com/catalog/funko/Fun80177/")</f>
        <v>http://www.pristavka.com/catalog/funko/Fun80177/</v>
      </c>
      <c r="N2410" s="71">
        <v>9999</v>
      </c>
      <c r="O2410" s="66" t="s">
        <v>27</v>
      </c>
      <c r="P2410" s="82" t="s">
        <v>9266</v>
      </c>
      <c r="Q2410" s="84" t="s">
        <v>9263</v>
      </c>
      <c r="R2410" s="84" t="s">
        <v>6171</v>
      </c>
      <c r="S2410" s="84">
        <v>0.18</v>
      </c>
      <c r="T2410" s="82" t="s">
        <v>4084</v>
      </c>
      <c r="U2410" s="84" t="s">
        <v>3584</v>
      </c>
      <c r="V2410" s="54"/>
    </row>
    <row r="2411" spans="1:22" s="11" customFormat="1" ht="45" customHeight="1" x14ac:dyDescent="0.2">
      <c r="A2411" s="66" t="s">
        <v>3577</v>
      </c>
      <c r="B2411" s="66" t="s">
        <v>1707</v>
      </c>
      <c r="C2411" s="66" t="s">
        <v>3578</v>
      </c>
      <c r="D2411" s="66">
        <v>80178</v>
      </c>
      <c r="E2411" s="68" t="s">
        <v>9267</v>
      </c>
      <c r="F2411" s="66" t="s">
        <v>9268</v>
      </c>
      <c r="G2411" s="71">
        <v>6500</v>
      </c>
      <c r="H2411" s="73"/>
      <c r="I2411" s="75">
        <v>0.1</v>
      </c>
      <c r="J2411" s="77"/>
      <c r="K2411" s="66"/>
      <c r="L2411" s="66"/>
      <c r="M2411" s="79" t="str">
        <f>HYPERLINK("http://www.pristavka.com/catalog/funko/Fun80178/")</f>
        <v>http://www.pristavka.com/catalog/funko/Fun80178/</v>
      </c>
      <c r="N2411" s="71">
        <v>9999</v>
      </c>
      <c r="O2411" s="66" t="s">
        <v>27</v>
      </c>
      <c r="P2411" s="82" t="s">
        <v>9269</v>
      </c>
      <c r="Q2411" s="84" t="s">
        <v>9263</v>
      </c>
      <c r="R2411" s="84" t="s">
        <v>6171</v>
      </c>
      <c r="S2411" s="84">
        <v>0.184</v>
      </c>
      <c r="T2411" s="82" t="s">
        <v>4084</v>
      </c>
      <c r="U2411" s="84" t="s">
        <v>3584</v>
      </c>
      <c r="V2411" s="54"/>
    </row>
    <row r="2412" spans="1:22" s="11" customFormat="1" ht="45" customHeight="1" x14ac:dyDescent="0.2">
      <c r="A2412" s="66" t="s">
        <v>3577</v>
      </c>
      <c r="B2412" s="66" t="s">
        <v>1707</v>
      </c>
      <c r="C2412" s="66" t="s">
        <v>3578</v>
      </c>
      <c r="D2412" s="66">
        <v>80179</v>
      </c>
      <c r="E2412" s="68" t="s">
        <v>9270</v>
      </c>
      <c r="F2412" s="66" t="s">
        <v>9271</v>
      </c>
      <c r="G2412" s="71">
        <v>6500</v>
      </c>
      <c r="H2412" s="73"/>
      <c r="I2412" s="75">
        <v>0.1</v>
      </c>
      <c r="J2412" s="77"/>
      <c r="K2412" s="66"/>
      <c r="L2412" s="66"/>
      <c r="M2412" s="79" t="str">
        <f>HYPERLINK("http://www.pristavka.com/catalog/funko/Fun80179/")</f>
        <v>http://www.pristavka.com/catalog/funko/Fun80179/</v>
      </c>
      <c r="N2412" s="71">
        <v>9999</v>
      </c>
      <c r="O2412" s="66" t="s">
        <v>27</v>
      </c>
      <c r="P2412" s="82" t="s">
        <v>9272</v>
      </c>
      <c r="Q2412" s="84" t="s">
        <v>9263</v>
      </c>
      <c r="R2412" s="84" t="s">
        <v>6171</v>
      </c>
      <c r="S2412" s="84">
        <v>0.17199999999999999</v>
      </c>
      <c r="T2412" s="82" t="s">
        <v>4084</v>
      </c>
      <c r="U2412" s="84" t="s">
        <v>3584</v>
      </c>
      <c r="V2412" s="54"/>
    </row>
    <row r="2413" spans="1:22" s="11" customFormat="1" ht="45" customHeight="1" x14ac:dyDescent="0.2">
      <c r="A2413" s="66" t="s">
        <v>3577</v>
      </c>
      <c r="B2413" s="66" t="s">
        <v>1707</v>
      </c>
      <c r="C2413" s="66" t="s">
        <v>3578</v>
      </c>
      <c r="D2413" s="66">
        <v>80180</v>
      </c>
      <c r="E2413" s="68" t="s">
        <v>9273</v>
      </c>
      <c r="F2413" s="66" t="s">
        <v>9274</v>
      </c>
      <c r="G2413" s="71">
        <v>6500</v>
      </c>
      <c r="H2413" s="73"/>
      <c r="I2413" s="75">
        <v>0.1</v>
      </c>
      <c r="J2413" s="77"/>
      <c r="K2413" s="66"/>
      <c r="L2413" s="66"/>
      <c r="M2413" s="79" t="str">
        <f>HYPERLINK("http://www.pristavka.com/catalog/funko/Fun80180/")</f>
        <v>http://www.pristavka.com/catalog/funko/Fun80180/</v>
      </c>
      <c r="N2413" s="71">
        <v>9999</v>
      </c>
      <c r="O2413" s="66" t="s">
        <v>27</v>
      </c>
      <c r="P2413" s="82" t="s">
        <v>9275</v>
      </c>
      <c r="Q2413" s="84" t="s">
        <v>9263</v>
      </c>
      <c r="R2413" s="84" t="s">
        <v>6171</v>
      </c>
      <c r="S2413" s="84">
        <v>0.14000000000000001</v>
      </c>
      <c r="T2413" s="82" t="s">
        <v>4113</v>
      </c>
      <c r="U2413" s="84" t="s">
        <v>3584</v>
      </c>
      <c r="V2413" s="54"/>
    </row>
    <row r="2414" spans="1:22" s="11" customFormat="1" ht="45" customHeight="1" x14ac:dyDescent="0.2">
      <c r="A2414" s="66" t="s">
        <v>3577</v>
      </c>
      <c r="B2414" s="66" t="s">
        <v>1707</v>
      </c>
      <c r="C2414" s="66" t="s">
        <v>3578</v>
      </c>
      <c r="D2414" s="66">
        <v>80138</v>
      </c>
      <c r="E2414" s="68" t="s">
        <v>9276</v>
      </c>
      <c r="F2414" s="66" t="s">
        <v>9277</v>
      </c>
      <c r="G2414" s="71">
        <v>6500</v>
      </c>
      <c r="H2414" s="73"/>
      <c r="I2414" s="75">
        <v>0.1</v>
      </c>
      <c r="J2414" s="77"/>
      <c r="K2414" s="66"/>
      <c r="L2414" s="66"/>
      <c r="M2414" s="79" t="str">
        <f>HYPERLINK("http://www.pristavka.com/catalog/funko/Fun80138/")</f>
        <v>http://www.pristavka.com/catalog/funko/Fun80138/</v>
      </c>
      <c r="N2414" s="71">
        <v>9999</v>
      </c>
      <c r="O2414" s="66" t="s">
        <v>27</v>
      </c>
      <c r="P2414" s="82" t="s">
        <v>9278</v>
      </c>
      <c r="Q2414" s="84" t="s">
        <v>3471</v>
      </c>
      <c r="R2414" s="84" t="s">
        <v>3327</v>
      </c>
      <c r="S2414" s="84">
        <v>0.129</v>
      </c>
      <c r="T2414" s="82" t="s">
        <v>4084</v>
      </c>
      <c r="U2414" s="84" t="s">
        <v>3584</v>
      </c>
      <c r="V2414" s="54"/>
    </row>
    <row r="2415" spans="1:22" s="11" customFormat="1" ht="45" customHeight="1" x14ac:dyDescent="0.2">
      <c r="A2415" s="66" t="s">
        <v>9279</v>
      </c>
      <c r="B2415" s="66" t="s">
        <v>26</v>
      </c>
      <c r="C2415" s="66" t="s">
        <v>3578</v>
      </c>
      <c r="D2415" s="66" t="s">
        <v>9280</v>
      </c>
      <c r="E2415" s="68" t="s">
        <v>9281</v>
      </c>
      <c r="F2415" s="66" t="s">
        <v>9282</v>
      </c>
      <c r="G2415" s="71">
        <v>0</v>
      </c>
      <c r="H2415" s="73"/>
      <c r="I2415" s="75">
        <v>0.2</v>
      </c>
      <c r="J2415" s="77"/>
      <c r="K2415" s="66"/>
      <c r="L2415" s="66"/>
      <c r="M2415" s="79" t="str">
        <f>HYPERLINK("http://www.pristavka.com/catalog/funko/Fun201120/")</f>
        <v>http://www.pristavka.com/catalog/funko/Fun201120/</v>
      </c>
      <c r="N2415" s="71"/>
      <c r="O2415" s="66" t="s">
        <v>27</v>
      </c>
      <c r="P2415" s="82" t="s">
        <v>9283</v>
      </c>
      <c r="Q2415" s="84"/>
      <c r="R2415" s="84"/>
      <c r="S2415" s="84">
        <v>3.0000000000000001E-3</v>
      </c>
      <c r="T2415" s="82" t="s">
        <v>9284</v>
      </c>
      <c r="U2415" s="84"/>
      <c r="V2415" s="54"/>
    </row>
    <row r="2416" spans="1:22" s="11" customFormat="1" ht="45" customHeight="1" x14ac:dyDescent="0.2">
      <c r="A2416" s="66" t="s">
        <v>9279</v>
      </c>
      <c r="B2416" s="66" t="s">
        <v>9285</v>
      </c>
      <c r="C2416" s="66" t="s">
        <v>3578</v>
      </c>
      <c r="D2416" s="66" t="s">
        <v>9286</v>
      </c>
      <c r="E2416" s="68" t="s">
        <v>9287</v>
      </c>
      <c r="F2416" s="66" t="s">
        <v>9288</v>
      </c>
      <c r="G2416" s="71">
        <v>8000</v>
      </c>
      <c r="H2416" s="73"/>
      <c r="I2416" s="75">
        <v>0.2</v>
      </c>
      <c r="J2416" s="77"/>
      <c r="K2416" s="66"/>
      <c r="L2416" s="66"/>
      <c r="M2416" s="79" t="str">
        <f>HYPERLINK("http://www.pristavka.com/catalog/funko/Fun201127/")</f>
        <v>http://www.pristavka.com/catalog/funko/Fun201127/</v>
      </c>
      <c r="N2416" s="71">
        <v>8000</v>
      </c>
      <c r="O2416" s="66" t="s">
        <v>27</v>
      </c>
      <c r="P2416" s="82" t="s">
        <v>9289</v>
      </c>
      <c r="Q2416" s="84" t="s">
        <v>3578</v>
      </c>
      <c r="R2416" s="84" t="s">
        <v>3578</v>
      </c>
      <c r="S2416" s="84">
        <v>4.2880000000000003</v>
      </c>
      <c r="T2416" s="82" t="s">
        <v>9290</v>
      </c>
      <c r="U2416" s="84"/>
      <c r="V2416" s="54"/>
    </row>
    <row r="2417" spans="1:22" s="11" customFormat="1" ht="45" customHeight="1" x14ac:dyDescent="0.2">
      <c r="A2417" s="66" t="s">
        <v>9279</v>
      </c>
      <c r="B2417" s="66" t="s">
        <v>9285</v>
      </c>
      <c r="C2417" s="66" t="s">
        <v>3578</v>
      </c>
      <c r="D2417" s="66" t="s">
        <v>9291</v>
      </c>
      <c r="E2417" s="68" t="s">
        <v>9292</v>
      </c>
      <c r="F2417" s="66" t="s">
        <v>9293</v>
      </c>
      <c r="G2417" s="71">
        <v>8000</v>
      </c>
      <c r="H2417" s="73"/>
      <c r="I2417" s="75">
        <v>0.2</v>
      </c>
      <c r="J2417" s="77"/>
      <c r="K2417" s="66"/>
      <c r="L2417" s="66"/>
      <c r="M2417" s="79" t="str">
        <f>HYPERLINK("http://www.pristavka.com/catalog/funko/Fun201126/")</f>
        <v>http://www.pristavka.com/catalog/funko/Fun201126/</v>
      </c>
      <c r="N2417" s="71">
        <v>8000</v>
      </c>
      <c r="O2417" s="66" t="s">
        <v>27</v>
      </c>
      <c r="P2417" s="82" t="s">
        <v>9294</v>
      </c>
      <c r="Q2417" s="84" t="s">
        <v>3578</v>
      </c>
      <c r="R2417" s="84" t="s">
        <v>3578</v>
      </c>
      <c r="S2417" s="84">
        <v>4.3879999999999999</v>
      </c>
      <c r="T2417" s="82" t="s">
        <v>9290</v>
      </c>
      <c r="U2417" s="84"/>
      <c r="V2417" s="54"/>
    </row>
    <row r="2418" spans="1:22" s="11" customFormat="1" ht="45" customHeight="1" x14ac:dyDescent="0.2">
      <c r="A2418" s="66" t="s">
        <v>9279</v>
      </c>
      <c r="B2418" s="66" t="s">
        <v>9285</v>
      </c>
      <c r="C2418" s="66" t="s">
        <v>3578</v>
      </c>
      <c r="D2418" s="66" t="s">
        <v>9295</v>
      </c>
      <c r="E2418" s="68" t="s">
        <v>9296</v>
      </c>
      <c r="F2418" s="66" t="s">
        <v>9297</v>
      </c>
      <c r="G2418" s="71">
        <v>0</v>
      </c>
      <c r="H2418" s="73"/>
      <c r="I2418" s="75">
        <v>0.2</v>
      </c>
      <c r="J2418" s="77"/>
      <c r="K2418" s="66"/>
      <c r="L2418" s="66"/>
      <c r="M2418" s="79" t="str">
        <f>HYPERLINK("http://www.pristavka.com/catalog/funko/Fun20112/")</f>
        <v>http://www.pristavka.com/catalog/funko/Fun20112/</v>
      </c>
      <c r="N2418" s="71">
        <v>5699</v>
      </c>
      <c r="O2418" s="66" t="s">
        <v>27</v>
      </c>
      <c r="P2418" s="82" t="s">
        <v>9298</v>
      </c>
      <c r="Q2418" s="84" t="s">
        <v>9299</v>
      </c>
      <c r="R2418" s="84" t="s">
        <v>9300</v>
      </c>
      <c r="S2418" s="84">
        <v>3.5579999999999998</v>
      </c>
      <c r="T2418" s="82" t="s">
        <v>9301</v>
      </c>
      <c r="U2418" s="84"/>
      <c r="V2418" s="54"/>
    </row>
    <row r="2419" spans="1:22" s="11" customFormat="1" ht="45" customHeight="1" x14ac:dyDescent="0.2">
      <c r="A2419" s="66" t="s">
        <v>9279</v>
      </c>
      <c r="B2419" s="66" t="s">
        <v>9285</v>
      </c>
      <c r="C2419" s="66" t="s">
        <v>3578</v>
      </c>
      <c r="D2419" s="66" t="s">
        <v>9302</v>
      </c>
      <c r="E2419" s="68" t="s">
        <v>9303</v>
      </c>
      <c r="F2419" s="66" t="s">
        <v>9304</v>
      </c>
      <c r="G2419" s="71">
        <v>0</v>
      </c>
      <c r="H2419" s="73"/>
      <c r="I2419" s="75">
        <v>0.2</v>
      </c>
      <c r="J2419" s="77"/>
      <c r="K2419" s="66"/>
      <c r="L2419" s="66"/>
      <c r="M2419" s="79" t="str">
        <f>HYPERLINK("http://www.pristavka.com/catalog/funko/Fun20115/")</f>
        <v>http://www.pristavka.com/catalog/funko/Fun20115/</v>
      </c>
      <c r="N2419" s="71">
        <v>5699</v>
      </c>
      <c r="O2419" s="66" t="s">
        <v>28</v>
      </c>
      <c r="P2419" s="82" t="s">
        <v>9305</v>
      </c>
      <c r="Q2419" s="84" t="s">
        <v>3578</v>
      </c>
      <c r="R2419" s="84" t="s">
        <v>3578</v>
      </c>
      <c r="S2419" s="84">
        <v>0.30199999999999999</v>
      </c>
      <c r="T2419" s="82" t="s">
        <v>9306</v>
      </c>
      <c r="U2419" s="84"/>
      <c r="V2419" s="54"/>
    </row>
    <row r="2420" spans="1:22" s="11" customFormat="1" ht="45" customHeight="1" x14ac:dyDescent="0.2">
      <c r="A2420" s="66" t="s">
        <v>9279</v>
      </c>
      <c r="B2420" s="66" t="s">
        <v>9285</v>
      </c>
      <c r="C2420" s="66" t="s">
        <v>3578</v>
      </c>
      <c r="D2420" s="66" t="s">
        <v>9307</v>
      </c>
      <c r="E2420" s="68" t="s">
        <v>9308</v>
      </c>
      <c r="F2420" s="66" t="s">
        <v>9309</v>
      </c>
      <c r="G2420" s="71">
        <v>0</v>
      </c>
      <c r="H2420" s="73"/>
      <c r="I2420" s="75">
        <v>0.2</v>
      </c>
      <c r="J2420" s="77"/>
      <c r="K2420" s="66"/>
      <c r="L2420" s="66"/>
      <c r="M2420" s="79" t="str">
        <f>HYPERLINK("http://www.pristavka.com/catalog/funko/Fun201127/")</f>
        <v>http://www.pristavka.com/catalog/funko/Fun201127/</v>
      </c>
      <c r="N2420" s="71"/>
      <c r="O2420" s="66" t="s">
        <v>27</v>
      </c>
      <c r="P2420" s="82" t="s">
        <v>9310</v>
      </c>
      <c r="Q2420" s="84" t="s">
        <v>3578</v>
      </c>
      <c r="R2420" s="84" t="s">
        <v>3578</v>
      </c>
      <c r="S2420" s="84">
        <v>4.2880000000000003</v>
      </c>
      <c r="T2420" s="82" t="s">
        <v>9290</v>
      </c>
      <c r="U2420" s="84"/>
      <c r="V2420" s="54"/>
    </row>
    <row r="2421" spans="1:22" s="11" customFormat="1" ht="45" customHeight="1" x14ac:dyDescent="0.2">
      <c r="A2421" s="66" t="s">
        <v>9279</v>
      </c>
      <c r="B2421" s="66" t="s">
        <v>26</v>
      </c>
      <c r="C2421" s="66" t="s">
        <v>3578</v>
      </c>
      <c r="D2421" s="66" t="s">
        <v>9311</v>
      </c>
      <c r="E2421" s="68" t="s">
        <v>9312</v>
      </c>
      <c r="F2421" s="66" t="s">
        <v>9313</v>
      </c>
      <c r="G2421" s="71">
        <v>0</v>
      </c>
      <c r="H2421" s="73"/>
      <c r="I2421" s="75">
        <v>0.2</v>
      </c>
      <c r="J2421" s="77"/>
      <c r="K2421" s="66"/>
      <c r="L2421" s="66"/>
      <c r="M2421" s="96"/>
      <c r="N2421" s="71"/>
      <c r="O2421" s="66" t="s">
        <v>27</v>
      </c>
      <c r="P2421" s="82" t="s">
        <v>9314</v>
      </c>
      <c r="Q2421" s="84"/>
      <c r="R2421" s="84"/>
      <c r="S2421" s="84">
        <v>7.3999999999999996E-2</v>
      </c>
      <c r="T2421" s="82" t="s">
        <v>9315</v>
      </c>
      <c r="U2421" s="84"/>
      <c r="V2421" s="54"/>
    </row>
    <row r="2422" spans="1:22" s="11" customFormat="1" ht="45" customHeight="1" x14ac:dyDescent="0.2">
      <c r="A2422" s="66" t="s">
        <v>9279</v>
      </c>
      <c r="B2422" s="66" t="s">
        <v>26</v>
      </c>
      <c r="C2422" s="66" t="s">
        <v>3578</v>
      </c>
      <c r="D2422" s="66" t="s">
        <v>9316</v>
      </c>
      <c r="E2422" s="68" t="s">
        <v>9317</v>
      </c>
      <c r="F2422" s="66" t="s">
        <v>9318</v>
      </c>
      <c r="G2422" s="71">
        <v>0</v>
      </c>
      <c r="H2422" s="73"/>
      <c r="I2422" s="75">
        <v>0.2</v>
      </c>
      <c r="J2422" s="77"/>
      <c r="K2422" s="66"/>
      <c r="L2422" s="66"/>
      <c r="M2422" s="79" t="str">
        <f>HYPERLINK("http://www.pristavka.com/catalog/funko/Fun201123/")</f>
        <v>http://www.pristavka.com/catalog/funko/Fun201123/</v>
      </c>
      <c r="N2422" s="71"/>
      <c r="O2422" s="66" t="s">
        <v>27</v>
      </c>
      <c r="P2422" s="82" t="s">
        <v>9319</v>
      </c>
      <c r="Q2422" s="84"/>
      <c r="R2422" s="84"/>
      <c r="S2422" s="84">
        <v>7.3999999999999996E-2</v>
      </c>
      <c r="T2422" s="82" t="s">
        <v>9315</v>
      </c>
      <c r="U2422" s="84"/>
      <c r="V2422" s="54"/>
    </row>
    <row r="2423" spans="1:22" s="11" customFormat="1" ht="45" customHeight="1" x14ac:dyDescent="0.2">
      <c r="A2423" s="66" t="s">
        <v>9279</v>
      </c>
      <c r="B2423" s="66" t="s">
        <v>26</v>
      </c>
      <c r="C2423" s="66" t="s">
        <v>3578</v>
      </c>
      <c r="D2423" s="66" t="s">
        <v>9320</v>
      </c>
      <c r="E2423" s="68" t="s">
        <v>9321</v>
      </c>
      <c r="F2423" s="66" t="s">
        <v>9322</v>
      </c>
      <c r="G2423" s="71">
        <v>0</v>
      </c>
      <c r="H2423" s="73"/>
      <c r="I2423" s="75">
        <v>0.2</v>
      </c>
      <c r="J2423" s="77"/>
      <c r="K2423" s="66"/>
      <c r="L2423" s="66"/>
      <c r="M2423" s="79" t="str">
        <f>HYPERLINK("http://www.pristavka.com/catalog/funko/Fun201124/")</f>
        <v>http://www.pristavka.com/catalog/funko/Fun201124/</v>
      </c>
      <c r="N2423" s="71"/>
      <c r="O2423" s="66" t="s">
        <v>27</v>
      </c>
      <c r="P2423" s="82" t="s">
        <v>9323</v>
      </c>
      <c r="Q2423" s="84"/>
      <c r="R2423" s="84"/>
      <c r="S2423" s="84">
        <v>4.3999999999999997E-2</v>
      </c>
      <c r="T2423" s="82" t="s">
        <v>9324</v>
      </c>
      <c r="U2423" s="84"/>
      <c r="V2423" s="54"/>
    </row>
    <row r="2424" spans="1:22" s="11" customFormat="1" ht="45" customHeight="1" x14ac:dyDescent="0.2">
      <c r="A2424" s="66" t="s">
        <v>9279</v>
      </c>
      <c r="B2424" s="66" t="s">
        <v>26</v>
      </c>
      <c r="C2424" s="66" t="s">
        <v>3578</v>
      </c>
      <c r="D2424" s="66" t="s">
        <v>9325</v>
      </c>
      <c r="E2424" s="68" t="s">
        <v>9326</v>
      </c>
      <c r="F2424" s="66" t="s">
        <v>9327</v>
      </c>
      <c r="G2424" s="71">
        <v>0</v>
      </c>
      <c r="H2424" s="73"/>
      <c r="I2424" s="75">
        <v>0.2</v>
      </c>
      <c r="J2424" s="77"/>
      <c r="K2424" s="66"/>
      <c r="L2424" s="66"/>
      <c r="M2424" s="79" t="str">
        <f>HYPERLINK("http://www.pristavka.com/catalog/funko/Fun201125/")</f>
        <v>http://www.pristavka.com/catalog/funko/Fun201125/</v>
      </c>
      <c r="N2424" s="71"/>
      <c r="O2424" s="66" t="s">
        <v>27</v>
      </c>
      <c r="P2424" s="82" t="s">
        <v>9328</v>
      </c>
      <c r="Q2424" s="84"/>
      <c r="R2424" s="84"/>
      <c r="S2424" s="84">
        <v>4.3999999999999997E-2</v>
      </c>
      <c r="T2424" s="82" t="s">
        <v>9324</v>
      </c>
      <c r="U2424" s="84"/>
      <c r="V2424" s="54"/>
    </row>
    <row r="2425" spans="1:22" s="11" customFormat="1" ht="45" customHeight="1" x14ac:dyDescent="0.2">
      <c r="A2425" s="66" t="s">
        <v>9279</v>
      </c>
      <c r="B2425" s="66" t="s">
        <v>26</v>
      </c>
      <c r="C2425" s="66" t="s">
        <v>3578</v>
      </c>
      <c r="D2425" s="66" t="s">
        <v>9329</v>
      </c>
      <c r="E2425" s="68" t="s">
        <v>9330</v>
      </c>
      <c r="F2425" s="66" t="s">
        <v>9331</v>
      </c>
      <c r="G2425" s="71">
        <v>0</v>
      </c>
      <c r="H2425" s="73"/>
      <c r="I2425" s="75">
        <v>0.2</v>
      </c>
      <c r="J2425" s="77"/>
      <c r="K2425" s="66"/>
      <c r="L2425" s="66"/>
      <c r="M2425" s="96"/>
      <c r="N2425" s="71"/>
      <c r="O2425" s="66" t="s">
        <v>27</v>
      </c>
      <c r="P2425" s="82" t="s">
        <v>9332</v>
      </c>
      <c r="Q2425" s="84"/>
      <c r="R2425" s="84"/>
      <c r="S2425" s="84">
        <v>4.9000000000000002E-2</v>
      </c>
      <c r="T2425" s="82" t="s">
        <v>9333</v>
      </c>
      <c r="U2425" s="84"/>
      <c r="V2425" s="54"/>
    </row>
    <row r="2426" spans="1:22" s="11" customFormat="1" ht="45" customHeight="1" x14ac:dyDescent="0.2">
      <c r="A2426" s="66" t="s">
        <v>9279</v>
      </c>
      <c r="B2426" s="66" t="s">
        <v>26</v>
      </c>
      <c r="C2426" s="66" t="s">
        <v>3578</v>
      </c>
      <c r="D2426" s="66" t="s">
        <v>9334</v>
      </c>
      <c r="E2426" s="68" t="s">
        <v>9335</v>
      </c>
      <c r="F2426" s="66" t="s">
        <v>9336</v>
      </c>
      <c r="G2426" s="71">
        <v>0</v>
      </c>
      <c r="H2426" s="73"/>
      <c r="I2426" s="75">
        <v>0.2</v>
      </c>
      <c r="J2426" s="77"/>
      <c r="K2426" s="66"/>
      <c r="L2426" s="66"/>
      <c r="M2426" s="79" t="str">
        <f>HYPERLINK("http://www.pristavka.com/catalog/funko/Fun201113/")</f>
        <v>http://www.pristavka.com/catalog/funko/Fun201113/</v>
      </c>
      <c r="N2426" s="71"/>
      <c r="O2426" s="66" t="s">
        <v>27</v>
      </c>
      <c r="P2426" s="82" t="s">
        <v>9337</v>
      </c>
      <c r="Q2426" s="84"/>
      <c r="R2426" s="84"/>
      <c r="S2426" s="84">
        <v>0.64100000000000001</v>
      </c>
      <c r="T2426" s="82" t="s">
        <v>9338</v>
      </c>
      <c r="U2426" s="84"/>
      <c r="V2426" s="54"/>
    </row>
    <row r="2427" spans="1:22" s="11" customFormat="1" ht="45" customHeight="1" x14ac:dyDescent="0.2">
      <c r="A2427" s="66" t="s">
        <v>9279</v>
      </c>
      <c r="B2427" s="66" t="s">
        <v>26</v>
      </c>
      <c r="C2427" s="66" t="s">
        <v>3578</v>
      </c>
      <c r="D2427" s="66" t="s">
        <v>9339</v>
      </c>
      <c r="E2427" s="68" t="s">
        <v>9340</v>
      </c>
      <c r="F2427" s="66" t="s">
        <v>9341</v>
      </c>
      <c r="G2427" s="71">
        <v>2900</v>
      </c>
      <c r="H2427" s="73"/>
      <c r="I2427" s="75">
        <v>0.2</v>
      </c>
      <c r="J2427" s="77"/>
      <c r="K2427" s="66"/>
      <c r="L2427" s="66"/>
      <c r="M2427" s="79" t="str">
        <f>HYPERLINK("http://www.pristavka.com/catalog/funko/Fun201114/")</f>
        <v>http://www.pristavka.com/catalog/funko/Fun201114/</v>
      </c>
      <c r="N2427" s="71">
        <v>2900</v>
      </c>
      <c r="O2427" s="66" t="s">
        <v>27</v>
      </c>
      <c r="P2427" s="82" t="s">
        <v>9342</v>
      </c>
      <c r="Q2427" s="84"/>
      <c r="R2427" s="84"/>
      <c r="S2427" s="84">
        <v>0.74099999999999999</v>
      </c>
      <c r="T2427" s="82" t="s">
        <v>9338</v>
      </c>
      <c r="U2427" s="84"/>
      <c r="V2427" s="54"/>
    </row>
    <row r="2428" spans="1:22" s="11" customFormat="1" ht="45" customHeight="1" x14ac:dyDescent="0.2">
      <c r="A2428" s="66" t="s">
        <v>9279</v>
      </c>
      <c r="B2428" s="66" t="s">
        <v>26</v>
      </c>
      <c r="C2428" s="66" t="s">
        <v>3578</v>
      </c>
      <c r="D2428" s="66" t="s">
        <v>9343</v>
      </c>
      <c r="E2428" s="68" t="s">
        <v>9344</v>
      </c>
      <c r="F2428" s="66" t="s">
        <v>9345</v>
      </c>
      <c r="G2428" s="71">
        <v>2900</v>
      </c>
      <c r="H2428" s="73"/>
      <c r="I2428" s="75">
        <v>0.2</v>
      </c>
      <c r="J2428" s="77"/>
      <c r="K2428" s="66"/>
      <c r="L2428" s="66"/>
      <c r="M2428" s="79" t="str">
        <f>HYPERLINK("http://www.pristavka.com/catalog/funko/Fun201115/")</f>
        <v>http://www.pristavka.com/catalog/funko/Fun201115/</v>
      </c>
      <c r="N2428" s="71">
        <v>2900</v>
      </c>
      <c r="O2428" s="66" t="s">
        <v>27</v>
      </c>
      <c r="P2428" s="82" t="s">
        <v>9346</v>
      </c>
      <c r="Q2428" s="84"/>
      <c r="R2428" s="84"/>
      <c r="S2428" s="84">
        <v>0.9</v>
      </c>
      <c r="T2428" s="82" t="s">
        <v>9347</v>
      </c>
      <c r="U2428" s="84"/>
      <c r="V2428" s="54"/>
    </row>
    <row r="2429" spans="1:22" s="11" customFormat="1" ht="45" customHeight="1" x14ac:dyDescent="0.2">
      <c r="A2429" s="66" t="s">
        <v>9279</v>
      </c>
      <c r="B2429" s="66" t="s">
        <v>26</v>
      </c>
      <c r="C2429" s="66" t="s">
        <v>3578</v>
      </c>
      <c r="D2429" s="66" t="s">
        <v>9348</v>
      </c>
      <c r="E2429" s="68" t="s">
        <v>9349</v>
      </c>
      <c r="F2429" s="66" t="s">
        <v>9350</v>
      </c>
      <c r="G2429" s="71">
        <v>0</v>
      </c>
      <c r="H2429" s="73"/>
      <c r="I2429" s="75">
        <v>0.2</v>
      </c>
      <c r="J2429" s="77"/>
      <c r="K2429" s="66"/>
      <c r="L2429" s="66"/>
      <c r="M2429" s="79" t="str">
        <f>HYPERLINK("http://www.pristavka.com/catalog/funko/Fun201116/")</f>
        <v>http://www.pristavka.com/catalog/funko/Fun201116/</v>
      </c>
      <c r="N2429" s="71"/>
      <c r="O2429" s="66" t="s">
        <v>27</v>
      </c>
      <c r="P2429" s="82" t="s">
        <v>9351</v>
      </c>
      <c r="Q2429" s="84"/>
      <c r="R2429" s="84"/>
      <c r="S2429" s="84">
        <v>0.67100000000000004</v>
      </c>
      <c r="T2429" s="82" t="s">
        <v>9338</v>
      </c>
      <c r="U2429" s="84"/>
      <c r="V2429" s="54"/>
    </row>
    <row r="2430" spans="1:22" s="11" customFormat="1" ht="45" customHeight="1" x14ac:dyDescent="0.2">
      <c r="A2430" s="66" t="s">
        <v>9279</v>
      </c>
      <c r="B2430" s="66" t="s">
        <v>26</v>
      </c>
      <c r="C2430" s="66" t="s">
        <v>3578</v>
      </c>
      <c r="D2430" s="66" t="s">
        <v>9352</v>
      </c>
      <c r="E2430" s="68" t="s">
        <v>9353</v>
      </c>
      <c r="F2430" s="66" t="s">
        <v>9354</v>
      </c>
      <c r="G2430" s="71">
        <v>0</v>
      </c>
      <c r="H2430" s="73"/>
      <c r="I2430" s="75">
        <v>0.2</v>
      </c>
      <c r="J2430" s="77"/>
      <c r="K2430" s="66"/>
      <c r="L2430" s="66"/>
      <c r="M2430" s="79" t="str">
        <f>HYPERLINK("http://www.pristavka.com/catalog/funko/Fun201117/")</f>
        <v>http://www.pristavka.com/catalog/funko/Fun201117/</v>
      </c>
      <c r="N2430" s="71"/>
      <c r="O2430" s="66" t="s">
        <v>27</v>
      </c>
      <c r="P2430" s="82" t="s">
        <v>9355</v>
      </c>
      <c r="Q2430" s="84"/>
      <c r="R2430" s="84"/>
      <c r="S2430" s="84">
        <v>0.74099999999999999</v>
      </c>
      <c r="T2430" s="82" t="s">
        <v>9338</v>
      </c>
      <c r="U2430" s="84"/>
      <c r="V2430" s="54"/>
    </row>
    <row r="2431" spans="1:22" s="11" customFormat="1" ht="45" customHeight="1" x14ac:dyDescent="0.2">
      <c r="A2431" s="66" t="s">
        <v>9279</v>
      </c>
      <c r="B2431" s="66" t="s">
        <v>26</v>
      </c>
      <c r="C2431" s="66" t="s">
        <v>3578</v>
      </c>
      <c r="D2431" s="66" t="s">
        <v>9356</v>
      </c>
      <c r="E2431" s="68" t="s">
        <v>9357</v>
      </c>
      <c r="F2431" s="66" t="s">
        <v>9358</v>
      </c>
      <c r="G2431" s="71">
        <v>0</v>
      </c>
      <c r="H2431" s="73"/>
      <c r="I2431" s="75">
        <v>0.2</v>
      </c>
      <c r="J2431" s="77"/>
      <c r="K2431" s="66"/>
      <c r="L2431" s="66"/>
      <c r="M2431" s="79" t="str">
        <f>HYPERLINK("http://www.pristavka.com/catalog/funko/Fun201118/")</f>
        <v>http://www.pristavka.com/catalog/funko/Fun201118/</v>
      </c>
      <c r="N2431" s="71"/>
      <c r="O2431" s="66" t="s">
        <v>27</v>
      </c>
      <c r="P2431" s="82" t="s">
        <v>9359</v>
      </c>
      <c r="Q2431" s="84"/>
      <c r="R2431" s="84"/>
      <c r="S2431" s="84">
        <v>0.9</v>
      </c>
      <c r="T2431" s="82" t="s">
        <v>9347</v>
      </c>
      <c r="U2431" s="84"/>
      <c r="V2431" s="54"/>
    </row>
    <row r="2432" spans="1:22" s="11" customFormat="1" ht="45" customHeight="1" x14ac:dyDescent="0.2">
      <c r="A2432" s="66" t="s">
        <v>9360</v>
      </c>
      <c r="B2432" s="66" t="s">
        <v>1155</v>
      </c>
      <c r="C2432" s="66" t="s">
        <v>3578</v>
      </c>
      <c r="D2432" s="66">
        <v>48657</v>
      </c>
      <c r="E2432" s="68" t="s">
        <v>9361</v>
      </c>
      <c r="F2432" s="66" t="s">
        <v>9362</v>
      </c>
      <c r="G2432" s="71">
        <v>2535</v>
      </c>
      <c r="H2432" s="73"/>
      <c r="I2432" s="75">
        <v>0.2</v>
      </c>
      <c r="J2432" s="77"/>
      <c r="K2432" s="66"/>
      <c r="L2432" s="66"/>
      <c r="M2432" s="79" t="str">
        <f>HYPERLINK("http://www.pristavka.com/catalog/funko/Fun48657/")</f>
        <v>http://www.pristavka.com/catalog/funko/Fun48657/</v>
      </c>
      <c r="N2432" s="71">
        <v>3899</v>
      </c>
      <c r="O2432" s="66" t="s">
        <v>27</v>
      </c>
      <c r="P2432" s="82" t="s">
        <v>9363</v>
      </c>
      <c r="Q2432" s="84" t="s">
        <v>3566</v>
      </c>
      <c r="R2432" s="84" t="s">
        <v>3566</v>
      </c>
      <c r="S2432" s="84">
        <v>1.4E-2</v>
      </c>
      <c r="T2432" s="82" t="s">
        <v>9364</v>
      </c>
      <c r="U2432" s="84" t="s">
        <v>9365</v>
      </c>
      <c r="V2432" s="54"/>
    </row>
    <row r="2433" spans="1:22" s="11" customFormat="1" ht="45" customHeight="1" x14ac:dyDescent="0.2">
      <c r="A2433" s="66" t="s">
        <v>9360</v>
      </c>
      <c r="B2433" s="66" t="s">
        <v>1155</v>
      </c>
      <c r="C2433" s="66" t="s">
        <v>3578</v>
      </c>
      <c r="D2433" s="66">
        <v>85775</v>
      </c>
      <c r="E2433" s="68" t="s">
        <v>9366</v>
      </c>
      <c r="F2433" s="66" t="s">
        <v>9367</v>
      </c>
      <c r="G2433" s="71">
        <v>2535</v>
      </c>
      <c r="H2433" s="73"/>
      <c r="I2433" s="75">
        <v>0.2</v>
      </c>
      <c r="J2433" s="77"/>
      <c r="K2433" s="66"/>
      <c r="L2433" s="66"/>
      <c r="M2433" s="79" t="str">
        <f>HYPERLINK("http://www.pristavka.com/catalog/funko/Fun85775/")</f>
        <v>http://www.pristavka.com/catalog/funko/Fun85775/</v>
      </c>
      <c r="N2433" s="71">
        <v>3899</v>
      </c>
      <c r="O2433" s="66" t="s">
        <v>27</v>
      </c>
      <c r="P2433" s="82" t="s">
        <v>9368</v>
      </c>
      <c r="Q2433" s="84" t="s">
        <v>3582</v>
      </c>
      <c r="R2433" s="84" t="s">
        <v>1315</v>
      </c>
      <c r="S2433" s="84">
        <v>0.01</v>
      </c>
      <c r="T2433" s="82" t="s">
        <v>9369</v>
      </c>
      <c r="U2433" s="84" t="s">
        <v>3584</v>
      </c>
      <c r="V2433" s="54"/>
    </row>
    <row r="2434" spans="1:22" s="11" customFormat="1" ht="45" customHeight="1" x14ac:dyDescent="0.2">
      <c r="A2434" s="66" t="s">
        <v>9360</v>
      </c>
      <c r="B2434" s="66" t="s">
        <v>1155</v>
      </c>
      <c r="C2434" s="66" t="s">
        <v>3578</v>
      </c>
      <c r="D2434" s="66">
        <v>85752</v>
      </c>
      <c r="E2434" s="68" t="s">
        <v>9370</v>
      </c>
      <c r="F2434" s="66" t="s">
        <v>9371</v>
      </c>
      <c r="G2434" s="71">
        <v>2535</v>
      </c>
      <c r="H2434" s="73"/>
      <c r="I2434" s="75">
        <v>0.2</v>
      </c>
      <c r="J2434" s="77"/>
      <c r="K2434" s="66"/>
      <c r="L2434" s="66"/>
      <c r="M2434" s="79" t="str">
        <f>HYPERLINK("http://www.pristavka.com/catalog/funko/Fun85752/")</f>
        <v>http://www.pristavka.com/catalog/funko/Fun85752/</v>
      </c>
      <c r="N2434" s="71">
        <v>3899</v>
      </c>
      <c r="O2434" s="66" t="s">
        <v>27</v>
      </c>
      <c r="P2434" s="82" t="s">
        <v>9372</v>
      </c>
      <c r="Q2434" s="84" t="s">
        <v>3512</v>
      </c>
      <c r="R2434" s="84" t="s">
        <v>3512</v>
      </c>
      <c r="S2434" s="84">
        <v>1.0999999999999999E-2</v>
      </c>
      <c r="T2434" s="82" t="s">
        <v>9373</v>
      </c>
      <c r="U2434" s="84" t="s">
        <v>3584</v>
      </c>
      <c r="V2434" s="54"/>
    </row>
    <row r="2435" spans="1:22" s="11" customFormat="1" ht="45" customHeight="1" x14ac:dyDescent="0.2">
      <c r="A2435" s="66" t="s">
        <v>9360</v>
      </c>
      <c r="B2435" s="66" t="s">
        <v>1155</v>
      </c>
      <c r="C2435" s="66" t="s">
        <v>3578</v>
      </c>
      <c r="D2435" s="66">
        <v>85770</v>
      </c>
      <c r="E2435" s="68" t="s">
        <v>9374</v>
      </c>
      <c r="F2435" s="66" t="s">
        <v>9375</v>
      </c>
      <c r="G2435" s="71">
        <v>2535</v>
      </c>
      <c r="H2435" s="73"/>
      <c r="I2435" s="75">
        <v>0.2</v>
      </c>
      <c r="J2435" s="77"/>
      <c r="K2435" s="66"/>
      <c r="L2435" s="66"/>
      <c r="M2435" s="79" t="str">
        <f>HYPERLINK("http://www.pristavka.com/catalog/funko/Fun85770/")</f>
        <v>http://www.pristavka.com/catalog/funko/Fun85770/</v>
      </c>
      <c r="N2435" s="71">
        <v>3899</v>
      </c>
      <c r="O2435" s="66" t="s">
        <v>27</v>
      </c>
      <c r="P2435" s="82" t="s">
        <v>9376</v>
      </c>
      <c r="Q2435" s="84" t="s">
        <v>1148</v>
      </c>
      <c r="R2435" s="84" t="s">
        <v>1068</v>
      </c>
      <c r="S2435" s="84">
        <v>1.4999999999999999E-2</v>
      </c>
      <c r="T2435" s="82" t="s">
        <v>9377</v>
      </c>
      <c r="U2435" s="84" t="s">
        <v>9365</v>
      </c>
      <c r="V2435" s="54"/>
    </row>
    <row r="2436" spans="1:22" s="11" customFormat="1" ht="45" customHeight="1" x14ac:dyDescent="0.2">
      <c r="A2436" s="66" t="s">
        <v>9378</v>
      </c>
      <c r="B2436" s="66" t="s">
        <v>1155</v>
      </c>
      <c r="C2436" s="66" t="s">
        <v>3578</v>
      </c>
      <c r="D2436" s="66">
        <v>80390</v>
      </c>
      <c r="E2436" s="68" t="s">
        <v>9379</v>
      </c>
      <c r="F2436" s="66" t="s">
        <v>9380</v>
      </c>
      <c r="G2436" s="71">
        <v>2925</v>
      </c>
      <c r="H2436" s="73"/>
      <c r="I2436" s="75">
        <v>0.2</v>
      </c>
      <c r="J2436" s="77"/>
      <c r="K2436" s="66"/>
      <c r="L2436" s="66"/>
      <c r="M2436" s="79" t="str">
        <f>HYPERLINK("http://www.pristavka.com/catalog/funko/Fun80390/")</f>
        <v>http://www.pristavka.com/catalog/funko/Fun80390/</v>
      </c>
      <c r="N2436" s="71">
        <v>4499</v>
      </c>
      <c r="O2436" s="66" t="s">
        <v>28</v>
      </c>
      <c r="P2436" s="82" t="s">
        <v>9381</v>
      </c>
      <c r="Q2436" s="84" t="s">
        <v>4109</v>
      </c>
      <c r="R2436" s="84" t="s">
        <v>1068</v>
      </c>
      <c r="S2436" s="84">
        <v>3.5000000000000003E-2</v>
      </c>
      <c r="T2436" s="82" t="s">
        <v>9382</v>
      </c>
      <c r="U2436" s="84" t="s">
        <v>3584</v>
      </c>
      <c r="V2436" s="54"/>
    </row>
    <row r="2437" spans="1:22" s="11" customFormat="1" ht="45" customHeight="1" x14ac:dyDescent="0.2">
      <c r="A2437" s="66" t="s">
        <v>9378</v>
      </c>
      <c r="B2437" s="66" t="s">
        <v>1155</v>
      </c>
      <c r="C2437" s="66" t="s">
        <v>3578</v>
      </c>
      <c r="D2437" s="66">
        <v>80298</v>
      </c>
      <c r="E2437" s="68" t="s">
        <v>9383</v>
      </c>
      <c r="F2437" s="66" t="s">
        <v>9384</v>
      </c>
      <c r="G2437" s="71">
        <v>0</v>
      </c>
      <c r="H2437" s="73"/>
      <c r="I2437" s="75">
        <v>0.2</v>
      </c>
      <c r="J2437" s="77"/>
      <c r="K2437" s="66"/>
      <c r="L2437" s="66"/>
      <c r="M2437" s="79" t="str">
        <f>HYPERLINK("http://www.pristavka.com/catalog/funko/Fun80298/")</f>
        <v>http://www.pristavka.com/catalog/funko/Fun80298/</v>
      </c>
      <c r="N2437" s="71"/>
      <c r="O2437" s="66" t="s">
        <v>27</v>
      </c>
      <c r="P2437" s="82" t="s">
        <v>9385</v>
      </c>
      <c r="Q2437" s="84" t="s">
        <v>4172</v>
      </c>
      <c r="R2437" s="84" t="s">
        <v>1068</v>
      </c>
      <c r="S2437" s="84">
        <v>0.04</v>
      </c>
      <c r="T2437" s="82" t="s">
        <v>9386</v>
      </c>
      <c r="U2437" s="84" t="s">
        <v>3584</v>
      </c>
      <c r="V2437" s="54"/>
    </row>
    <row r="2438" spans="1:22" s="11" customFormat="1" ht="45" customHeight="1" x14ac:dyDescent="0.2">
      <c r="A2438" s="66" t="s">
        <v>9378</v>
      </c>
      <c r="B2438" s="66" t="s">
        <v>1155</v>
      </c>
      <c r="C2438" s="66" t="s">
        <v>3578</v>
      </c>
      <c r="D2438" s="66">
        <v>83633</v>
      </c>
      <c r="E2438" s="68" t="s">
        <v>9387</v>
      </c>
      <c r="F2438" s="66" t="s">
        <v>9388</v>
      </c>
      <c r="G2438" s="71">
        <v>2925</v>
      </c>
      <c r="H2438" s="73"/>
      <c r="I2438" s="75">
        <v>0.2</v>
      </c>
      <c r="J2438" s="77"/>
      <c r="K2438" s="66"/>
      <c r="L2438" s="66"/>
      <c r="M2438" s="79" t="str">
        <f>HYPERLINK("http://www.pristavka.com/catalog/funko/Fun83633/")</f>
        <v>http://www.pristavka.com/catalog/funko/Fun83633/</v>
      </c>
      <c r="N2438" s="71">
        <v>4499</v>
      </c>
      <c r="O2438" s="66" t="s">
        <v>27</v>
      </c>
      <c r="P2438" s="82" t="s">
        <v>9389</v>
      </c>
      <c r="Q2438" s="84" t="s">
        <v>1091</v>
      </c>
      <c r="R2438" s="84" t="s">
        <v>1068</v>
      </c>
      <c r="S2438" s="84">
        <v>0.05</v>
      </c>
      <c r="T2438" s="82" t="s">
        <v>9390</v>
      </c>
      <c r="U2438" s="84" t="s">
        <v>3584</v>
      </c>
      <c r="V2438" s="54"/>
    </row>
    <row r="2439" spans="1:22" s="11" customFormat="1" ht="45" customHeight="1" x14ac:dyDescent="0.2">
      <c r="A2439" s="66" t="s">
        <v>9378</v>
      </c>
      <c r="B2439" s="66" t="s">
        <v>1155</v>
      </c>
      <c r="C2439" s="66" t="s">
        <v>3578</v>
      </c>
      <c r="D2439" s="66">
        <v>80325</v>
      </c>
      <c r="E2439" s="68" t="s">
        <v>9391</v>
      </c>
      <c r="F2439" s="66" t="s">
        <v>9392</v>
      </c>
      <c r="G2439" s="71">
        <v>2925</v>
      </c>
      <c r="H2439" s="73"/>
      <c r="I2439" s="75">
        <v>0.2</v>
      </c>
      <c r="J2439" s="77"/>
      <c r="K2439" s="66"/>
      <c r="L2439" s="66"/>
      <c r="M2439" s="79" t="str">
        <f>HYPERLINK("http://www.pristavka.com/catalog/funko/Fun80325/")</f>
        <v>http://www.pristavka.com/catalog/funko/Fun80325/</v>
      </c>
      <c r="N2439" s="71">
        <v>4499</v>
      </c>
      <c r="O2439" s="66" t="s">
        <v>27</v>
      </c>
      <c r="P2439" s="82" t="s">
        <v>9393</v>
      </c>
      <c r="Q2439" s="84" t="s">
        <v>1091</v>
      </c>
      <c r="R2439" s="84" t="s">
        <v>1068</v>
      </c>
      <c r="S2439" s="84">
        <v>0.04</v>
      </c>
      <c r="T2439" s="82" t="s">
        <v>9394</v>
      </c>
      <c r="U2439" s="84" t="s">
        <v>3584</v>
      </c>
      <c r="V2439" s="54"/>
    </row>
    <row r="2440" spans="1:22" s="11" customFormat="1" ht="45" customHeight="1" x14ac:dyDescent="0.2">
      <c r="A2440" s="66" t="s">
        <v>9378</v>
      </c>
      <c r="B2440" s="66" t="s">
        <v>1155</v>
      </c>
      <c r="C2440" s="66" t="s">
        <v>3578</v>
      </c>
      <c r="D2440" s="66">
        <v>4868</v>
      </c>
      <c r="E2440" s="68" t="s">
        <v>9395</v>
      </c>
      <c r="F2440" s="66" t="s">
        <v>9396</v>
      </c>
      <c r="G2440" s="71">
        <v>2925</v>
      </c>
      <c r="H2440" s="73"/>
      <c r="I2440" s="75">
        <v>0.2</v>
      </c>
      <c r="J2440" s="77"/>
      <c r="K2440" s="66"/>
      <c r="L2440" s="66"/>
      <c r="M2440" s="79" t="str">
        <f>HYPERLINK("http://www.pristavka.com/catalog/funko/Fun507/")</f>
        <v>http://www.pristavka.com/catalog/funko/Fun507/</v>
      </c>
      <c r="N2440" s="71">
        <v>4499</v>
      </c>
      <c r="O2440" s="66" t="s">
        <v>27</v>
      </c>
      <c r="P2440" s="82" t="s">
        <v>9397</v>
      </c>
      <c r="Q2440" s="84" t="s">
        <v>3681</v>
      </c>
      <c r="R2440" s="84" t="s">
        <v>1212</v>
      </c>
      <c r="S2440" s="84">
        <v>3.4000000000000002E-2</v>
      </c>
      <c r="T2440" s="82" t="s">
        <v>9398</v>
      </c>
      <c r="U2440" s="84" t="s">
        <v>3593</v>
      </c>
      <c r="V2440" s="54"/>
    </row>
    <row r="2441" spans="1:22" s="11" customFormat="1" ht="45" customHeight="1" x14ac:dyDescent="0.2">
      <c r="A2441" s="66" t="s">
        <v>9378</v>
      </c>
      <c r="B2441" s="66" t="s">
        <v>1155</v>
      </c>
      <c r="C2441" s="66" t="s">
        <v>3578</v>
      </c>
      <c r="D2441" s="66">
        <v>80908</v>
      </c>
      <c r="E2441" s="68" t="s">
        <v>9399</v>
      </c>
      <c r="F2441" s="66" t="s">
        <v>9400</v>
      </c>
      <c r="G2441" s="71">
        <v>2925</v>
      </c>
      <c r="H2441" s="73"/>
      <c r="I2441" s="75">
        <v>0.2</v>
      </c>
      <c r="J2441" s="77"/>
      <c r="K2441" s="66"/>
      <c r="L2441" s="66"/>
      <c r="M2441" s="79" t="str">
        <f>HYPERLINK("http://www.pristavka.com/catalog/funko/Fun80908/")</f>
        <v>http://www.pristavka.com/catalog/funko/Fun80908/</v>
      </c>
      <c r="N2441" s="71">
        <v>4499</v>
      </c>
      <c r="O2441" s="66" t="s">
        <v>28</v>
      </c>
      <c r="P2441" s="82" t="s">
        <v>9401</v>
      </c>
      <c r="Q2441" s="84" t="s">
        <v>3604</v>
      </c>
      <c r="R2441" s="84" t="s">
        <v>3566</v>
      </c>
      <c r="S2441" s="84">
        <v>0.04</v>
      </c>
      <c r="T2441" s="82" t="s">
        <v>9394</v>
      </c>
      <c r="U2441" s="84" t="s">
        <v>3584</v>
      </c>
      <c r="V2441" s="54"/>
    </row>
    <row r="2442" spans="1:22" s="11" customFormat="1" ht="45" customHeight="1" x14ac:dyDescent="0.2">
      <c r="A2442" s="66" t="s">
        <v>9378</v>
      </c>
      <c r="B2442" s="66" t="s">
        <v>1155</v>
      </c>
      <c r="C2442" s="66" t="s">
        <v>3578</v>
      </c>
      <c r="D2442" s="66">
        <v>85647</v>
      </c>
      <c r="E2442" s="68" t="s">
        <v>9402</v>
      </c>
      <c r="F2442" s="66" t="s">
        <v>9403</v>
      </c>
      <c r="G2442" s="71">
        <v>2925</v>
      </c>
      <c r="H2442" s="73"/>
      <c r="I2442" s="75">
        <v>0.2</v>
      </c>
      <c r="J2442" s="77"/>
      <c r="K2442" s="66"/>
      <c r="L2442" s="66"/>
      <c r="M2442" s="79" t="str">
        <f>HYPERLINK("http://www.pristavka.com/catalog/funko/Fun85647/")</f>
        <v>http://www.pristavka.com/catalog/funko/Fun85647/</v>
      </c>
      <c r="N2442" s="71">
        <v>4499</v>
      </c>
      <c r="O2442" s="66" t="s">
        <v>27</v>
      </c>
      <c r="P2442" s="82" t="s">
        <v>9404</v>
      </c>
      <c r="Q2442" s="84" t="s">
        <v>3844</v>
      </c>
      <c r="R2442" s="84" t="s">
        <v>3566</v>
      </c>
      <c r="S2442" s="84">
        <v>3.5000000000000003E-2</v>
      </c>
      <c r="T2442" s="82" t="s">
        <v>9405</v>
      </c>
      <c r="U2442" s="84" t="s">
        <v>3584</v>
      </c>
      <c r="V2442" s="54"/>
    </row>
    <row r="2443" spans="1:22" s="11" customFormat="1" ht="45" customHeight="1" x14ac:dyDescent="0.2">
      <c r="A2443" s="66" t="s">
        <v>9378</v>
      </c>
      <c r="B2443" s="66" t="s">
        <v>1155</v>
      </c>
      <c r="C2443" s="66" t="s">
        <v>3578</v>
      </c>
      <c r="D2443" s="66">
        <v>75576</v>
      </c>
      <c r="E2443" s="68" t="s">
        <v>9406</v>
      </c>
      <c r="F2443" s="66" t="s">
        <v>9407</v>
      </c>
      <c r="G2443" s="71">
        <v>2925</v>
      </c>
      <c r="H2443" s="73"/>
      <c r="I2443" s="75">
        <v>0.2</v>
      </c>
      <c r="J2443" s="77"/>
      <c r="K2443" s="66"/>
      <c r="L2443" s="66"/>
      <c r="M2443" s="79" t="str">
        <f>HYPERLINK("http://www.pristavka.com/catalog/funko/Fun75576/")</f>
        <v>http://www.pristavka.com/catalog/funko/Fun75576/</v>
      </c>
      <c r="N2443" s="71">
        <v>4499</v>
      </c>
      <c r="O2443" s="66" t="s">
        <v>27</v>
      </c>
      <c r="P2443" s="82" t="s">
        <v>9408</v>
      </c>
      <c r="Q2443" s="84" t="s">
        <v>1522</v>
      </c>
      <c r="R2443" s="84" t="s">
        <v>1068</v>
      </c>
      <c r="S2443" s="84">
        <v>3.7999999999999999E-2</v>
      </c>
      <c r="T2443" s="82" t="s">
        <v>9409</v>
      </c>
      <c r="U2443" s="84" t="s">
        <v>3584</v>
      </c>
      <c r="V2443" s="54"/>
    </row>
    <row r="2444" spans="1:22" s="11" customFormat="1" ht="45" customHeight="1" x14ac:dyDescent="0.2">
      <c r="A2444" s="66" t="s">
        <v>9378</v>
      </c>
      <c r="B2444" s="66" t="s">
        <v>1155</v>
      </c>
      <c r="C2444" s="66" t="s">
        <v>3578</v>
      </c>
      <c r="D2444" s="66">
        <v>72615</v>
      </c>
      <c r="E2444" s="68" t="s">
        <v>9410</v>
      </c>
      <c r="F2444" s="66" t="s">
        <v>9411</v>
      </c>
      <c r="G2444" s="71">
        <v>2925</v>
      </c>
      <c r="H2444" s="73"/>
      <c r="I2444" s="75">
        <v>0.2</v>
      </c>
      <c r="J2444" s="77"/>
      <c r="K2444" s="66"/>
      <c r="L2444" s="66"/>
      <c r="M2444" s="79" t="str">
        <f>HYPERLINK("http://www.pristavka.com/catalog/funko/Fun72615/")</f>
        <v>http://www.pristavka.com/catalog/funko/Fun72615/</v>
      </c>
      <c r="N2444" s="71">
        <v>4499</v>
      </c>
      <c r="O2444" s="66" t="s">
        <v>27</v>
      </c>
      <c r="P2444" s="82" t="s">
        <v>9412</v>
      </c>
      <c r="Q2444" s="84" t="s">
        <v>1522</v>
      </c>
      <c r="R2444" s="84" t="s">
        <v>1068</v>
      </c>
      <c r="S2444" s="84">
        <v>3.9E-2</v>
      </c>
      <c r="T2444" s="82" t="s">
        <v>9386</v>
      </c>
      <c r="U2444" s="84" t="s">
        <v>3584</v>
      </c>
      <c r="V2444" s="54"/>
    </row>
    <row r="2445" spans="1:22" s="11" customFormat="1" ht="45" customHeight="1" x14ac:dyDescent="0.2">
      <c r="A2445" s="66" t="s">
        <v>9378</v>
      </c>
      <c r="B2445" s="66" t="s">
        <v>1155</v>
      </c>
      <c r="C2445" s="66" t="s">
        <v>3578</v>
      </c>
      <c r="D2445" s="66">
        <v>85333</v>
      </c>
      <c r="E2445" s="68" t="s">
        <v>9413</v>
      </c>
      <c r="F2445" s="66" t="s">
        <v>9414</v>
      </c>
      <c r="G2445" s="71">
        <v>2925</v>
      </c>
      <c r="H2445" s="73"/>
      <c r="I2445" s="75">
        <v>0.2</v>
      </c>
      <c r="J2445" s="77"/>
      <c r="K2445" s="66"/>
      <c r="L2445" s="66"/>
      <c r="M2445" s="79" t="str">
        <f>HYPERLINK("http://www.pristavka.com/catalog/funko/Fun85333/")</f>
        <v>http://www.pristavka.com/catalog/funko/Fun85333/</v>
      </c>
      <c r="N2445" s="71">
        <v>4499</v>
      </c>
      <c r="O2445" s="66" t="s">
        <v>27</v>
      </c>
      <c r="P2445" s="82" t="s">
        <v>9415</v>
      </c>
      <c r="Q2445" s="84" t="s">
        <v>1522</v>
      </c>
      <c r="R2445" s="84" t="s">
        <v>1068</v>
      </c>
      <c r="S2445" s="84">
        <v>4.2000000000000003E-2</v>
      </c>
      <c r="T2445" s="82" t="s">
        <v>9416</v>
      </c>
      <c r="U2445" s="84" t="s">
        <v>3584</v>
      </c>
      <c r="V2445" s="54"/>
    </row>
    <row r="2446" spans="1:22" s="11" customFormat="1" ht="45" customHeight="1" x14ac:dyDescent="0.2">
      <c r="A2446" s="66" t="s">
        <v>9378</v>
      </c>
      <c r="B2446" s="66" t="s">
        <v>1155</v>
      </c>
      <c r="C2446" s="66" t="s">
        <v>3578</v>
      </c>
      <c r="D2446" s="66">
        <v>80336</v>
      </c>
      <c r="E2446" s="68" t="s">
        <v>9417</v>
      </c>
      <c r="F2446" s="66" t="s">
        <v>9418</v>
      </c>
      <c r="G2446" s="71">
        <v>2925</v>
      </c>
      <c r="H2446" s="73"/>
      <c r="I2446" s="75">
        <v>0.2</v>
      </c>
      <c r="J2446" s="77"/>
      <c r="K2446" s="66"/>
      <c r="L2446" s="66"/>
      <c r="M2446" s="79" t="str">
        <f>HYPERLINK("http://www.pristavka.com/catalog/funko/Fun80336/")</f>
        <v>http://www.pristavka.com/catalog/funko/Fun80336/</v>
      </c>
      <c r="N2446" s="71">
        <v>4499</v>
      </c>
      <c r="O2446" s="66" t="s">
        <v>27</v>
      </c>
      <c r="P2446" s="82" t="s">
        <v>9419</v>
      </c>
      <c r="Q2446" s="84" t="s">
        <v>1522</v>
      </c>
      <c r="R2446" s="84" t="s">
        <v>1068</v>
      </c>
      <c r="S2446" s="84">
        <v>4.4999999999999998E-2</v>
      </c>
      <c r="T2446" s="82" t="s">
        <v>9420</v>
      </c>
      <c r="U2446" s="84" t="s">
        <v>3584</v>
      </c>
      <c r="V2446" s="54"/>
    </row>
    <row r="2447" spans="1:22" s="11" customFormat="1" ht="45" customHeight="1" x14ac:dyDescent="0.2">
      <c r="A2447" s="66" t="s">
        <v>9378</v>
      </c>
      <c r="B2447" s="66" t="s">
        <v>1155</v>
      </c>
      <c r="C2447" s="66" t="s">
        <v>3578</v>
      </c>
      <c r="D2447" s="66">
        <v>85334</v>
      </c>
      <c r="E2447" s="68" t="s">
        <v>9421</v>
      </c>
      <c r="F2447" s="66" t="s">
        <v>9422</v>
      </c>
      <c r="G2447" s="71">
        <v>2925</v>
      </c>
      <c r="H2447" s="73"/>
      <c r="I2447" s="75">
        <v>0.2</v>
      </c>
      <c r="J2447" s="77"/>
      <c r="K2447" s="66"/>
      <c r="L2447" s="66"/>
      <c r="M2447" s="79" t="str">
        <f>HYPERLINK("http://www.pristavka.com/catalog/funko/Fun85334/")</f>
        <v>http://www.pristavka.com/catalog/funko/Fun85334/</v>
      </c>
      <c r="N2447" s="71">
        <v>4499</v>
      </c>
      <c r="O2447" s="66" t="s">
        <v>27</v>
      </c>
      <c r="P2447" s="82" t="s">
        <v>9423</v>
      </c>
      <c r="Q2447" s="84" t="s">
        <v>1522</v>
      </c>
      <c r="R2447" s="84" t="s">
        <v>1068</v>
      </c>
      <c r="S2447" s="84">
        <v>4.3999999999999997E-2</v>
      </c>
      <c r="T2447" s="82" t="s">
        <v>9390</v>
      </c>
      <c r="U2447" s="84" t="s">
        <v>3584</v>
      </c>
      <c r="V2447" s="54"/>
    </row>
    <row r="2448" spans="1:22" s="11" customFormat="1" ht="45" customHeight="1" x14ac:dyDescent="0.2">
      <c r="A2448" s="66" t="s">
        <v>9378</v>
      </c>
      <c r="B2448" s="66" t="s">
        <v>1155</v>
      </c>
      <c r="C2448" s="66" t="s">
        <v>3578</v>
      </c>
      <c r="D2448" s="66">
        <v>82374</v>
      </c>
      <c r="E2448" s="68" t="s">
        <v>9424</v>
      </c>
      <c r="F2448" s="66" t="s">
        <v>9425</v>
      </c>
      <c r="G2448" s="71">
        <v>2925</v>
      </c>
      <c r="H2448" s="73"/>
      <c r="I2448" s="75">
        <v>0.2</v>
      </c>
      <c r="J2448" s="77"/>
      <c r="K2448" s="66"/>
      <c r="L2448" s="66"/>
      <c r="M2448" s="79" t="str">
        <f>HYPERLINK("http://www.pristavka.com/catalog/funko/Fun82374/")</f>
        <v>http://www.pristavka.com/catalog/funko/Fun82374/</v>
      </c>
      <c r="N2448" s="71">
        <v>4499</v>
      </c>
      <c r="O2448" s="66" t="s">
        <v>27</v>
      </c>
      <c r="P2448" s="82" t="s">
        <v>9426</v>
      </c>
      <c r="Q2448" s="84" t="s">
        <v>1262</v>
      </c>
      <c r="R2448" s="84" t="s">
        <v>1263</v>
      </c>
      <c r="S2448" s="84">
        <v>0.03</v>
      </c>
      <c r="T2448" s="82" t="s">
        <v>9427</v>
      </c>
      <c r="U2448" s="84" t="s">
        <v>3584</v>
      </c>
      <c r="V2448" s="54"/>
    </row>
    <row r="2449" spans="1:22" s="11" customFormat="1" ht="45" customHeight="1" x14ac:dyDescent="0.2">
      <c r="A2449" s="66" t="s">
        <v>9378</v>
      </c>
      <c r="B2449" s="66" t="s">
        <v>1155</v>
      </c>
      <c r="C2449" s="66" t="s">
        <v>3578</v>
      </c>
      <c r="D2449" s="66">
        <v>87209</v>
      </c>
      <c r="E2449" s="68" t="s">
        <v>9428</v>
      </c>
      <c r="F2449" s="66" t="s">
        <v>9429</v>
      </c>
      <c r="G2449" s="71">
        <v>2925</v>
      </c>
      <c r="H2449" s="73"/>
      <c r="I2449" s="75">
        <v>0.2</v>
      </c>
      <c r="J2449" s="77"/>
      <c r="K2449" s="66"/>
      <c r="L2449" s="66"/>
      <c r="M2449" s="79" t="str">
        <f>HYPERLINK("http://www.pristavka.com/catalog/funko/Fun87209/")</f>
        <v>http://www.pristavka.com/catalog/funko/Fun87209/</v>
      </c>
      <c r="N2449" s="71">
        <v>4499</v>
      </c>
      <c r="O2449" s="66" t="s">
        <v>28</v>
      </c>
      <c r="P2449" s="82" t="s">
        <v>9430</v>
      </c>
      <c r="Q2449" s="84" t="s">
        <v>3582</v>
      </c>
      <c r="R2449" s="84" t="s">
        <v>1315</v>
      </c>
      <c r="S2449" s="84">
        <v>3.7999999999999999E-2</v>
      </c>
      <c r="T2449" s="82" t="s">
        <v>9386</v>
      </c>
      <c r="U2449" s="84" t="s">
        <v>3584</v>
      </c>
      <c r="V2449" s="54"/>
    </row>
    <row r="2450" spans="1:22" s="11" customFormat="1" ht="45" customHeight="1" x14ac:dyDescent="0.2">
      <c r="A2450" s="66" t="s">
        <v>9378</v>
      </c>
      <c r="B2450" s="66" t="s">
        <v>1155</v>
      </c>
      <c r="C2450" s="66" t="s">
        <v>3578</v>
      </c>
      <c r="D2450" s="66">
        <v>83546</v>
      </c>
      <c r="E2450" s="68" t="s">
        <v>9431</v>
      </c>
      <c r="F2450" s="66" t="s">
        <v>9432</v>
      </c>
      <c r="G2450" s="71">
        <v>2925</v>
      </c>
      <c r="H2450" s="73"/>
      <c r="I2450" s="75">
        <v>0.2</v>
      </c>
      <c r="J2450" s="77"/>
      <c r="K2450" s="66"/>
      <c r="L2450" s="66"/>
      <c r="M2450" s="79" t="str">
        <f>HYPERLINK("http://www.pristavka.com/catalog/funko/Fun83546/")</f>
        <v>http://www.pristavka.com/catalog/funko/Fun83546/</v>
      </c>
      <c r="N2450" s="71">
        <v>4499</v>
      </c>
      <c r="O2450" s="66" t="s">
        <v>27</v>
      </c>
      <c r="P2450" s="82" t="s">
        <v>9433</v>
      </c>
      <c r="Q2450" s="84" t="s">
        <v>3816</v>
      </c>
      <c r="R2450" s="84" t="s">
        <v>1315</v>
      </c>
      <c r="S2450" s="84">
        <v>0.04</v>
      </c>
      <c r="T2450" s="82" t="s">
        <v>9434</v>
      </c>
      <c r="U2450" s="84" t="s">
        <v>3584</v>
      </c>
      <c r="V2450" s="54"/>
    </row>
    <row r="2451" spans="1:22" s="11" customFormat="1" ht="45" customHeight="1" x14ac:dyDescent="0.2">
      <c r="A2451" s="66" t="s">
        <v>9378</v>
      </c>
      <c r="B2451" s="66" t="s">
        <v>1155</v>
      </c>
      <c r="C2451" s="66" t="s">
        <v>3578</v>
      </c>
      <c r="D2451" s="66">
        <v>63966</v>
      </c>
      <c r="E2451" s="68" t="s">
        <v>9435</v>
      </c>
      <c r="F2451" s="66" t="s">
        <v>9436</v>
      </c>
      <c r="G2451" s="71">
        <v>2925</v>
      </c>
      <c r="H2451" s="73"/>
      <c r="I2451" s="75">
        <v>0.2</v>
      </c>
      <c r="J2451" s="77"/>
      <c r="K2451" s="66"/>
      <c r="L2451" s="66"/>
      <c r="M2451" s="79" t="str">
        <f>HYPERLINK("http://www.pristavka.com/catalog/funko/Fun63966/")</f>
        <v>http://www.pristavka.com/catalog/funko/Fun63966/</v>
      </c>
      <c r="N2451" s="71">
        <v>4499</v>
      </c>
      <c r="O2451" s="66" t="s">
        <v>27</v>
      </c>
      <c r="P2451" s="82" t="s">
        <v>9437</v>
      </c>
      <c r="Q2451" s="84" t="s">
        <v>1314</v>
      </c>
      <c r="R2451" s="84" t="s">
        <v>1315</v>
      </c>
      <c r="S2451" s="84">
        <v>0.03</v>
      </c>
      <c r="T2451" s="82" t="s">
        <v>9386</v>
      </c>
      <c r="U2451" s="84" t="s">
        <v>3584</v>
      </c>
      <c r="V2451" s="54"/>
    </row>
    <row r="2452" spans="1:22" s="11" customFormat="1" ht="45" customHeight="1" x14ac:dyDescent="0.2">
      <c r="A2452" s="66" t="s">
        <v>9378</v>
      </c>
      <c r="B2452" s="66" t="s">
        <v>1155</v>
      </c>
      <c r="C2452" s="66" t="s">
        <v>3578</v>
      </c>
      <c r="D2452" s="66">
        <v>82822</v>
      </c>
      <c r="E2452" s="68" t="s">
        <v>9438</v>
      </c>
      <c r="F2452" s="66" t="s">
        <v>9439</v>
      </c>
      <c r="G2452" s="71">
        <v>2925</v>
      </c>
      <c r="H2452" s="73"/>
      <c r="I2452" s="75">
        <v>0.2</v>
      </c>
      <c r="J2452" s="77"/>
      <c r="K2452" s="66"/>
      <c r="L2452" s="66"/>
      <c r="M2452" s="79" t="str">
        <f>HYPERLINK("http://www.pristavka.com/catalog/funko/Fun82822/")</f>
        <v>http://www.pristavka.com/catalog/funko/Fun82822/</v>
      </c>
      <c r="N2452" s="71">
        <v>4499</v>
      </c>
      <c r="O2452" s="66" t="s">
        <v>27</v>
      </c>
      <c r="P2452" s="82" t="s">
        <v>9440</v>
      </c>
      <c r="Q2452" s="84" t="s">
        <v>1314</v>
      </c>
      <c r="R2452" s="84" t="s">
        <v>1315</v>
      </c>
      <c r="S2452" s="84">
        <v>4.4999999999999998E-2</v>
      </c>
      <c r="T2452" s="82" t="s">
        <v>9382</v>
      </c>
      <c r="U2452" s="84" t="s">
        <v>3584</v>
      </c>
      <c r="V2452" s="54"/>
    </row>
    <row r="2453" spans="1:22" s="11" customFormat="1" ht="45" customHeight="1" x14ac:dyDescent="0.2">
      <c r="A2453" s="66" t="s">
        <v>9378</v>
      </c>
      <c r="B2453" s="66" t="s">
        <v>1155</v>
      </c>
      <c r="C2453" s="66" t="s">
        <v>3578</v>
      </c>
      <c r="D2453" s="66">
        <v>75640</v>
      </c>
      <c r="E2453" s="68" t="s">
        <v>9441</v>
      </c>
      <c r="F2453" s="66" t="s">
        <v>9442</v>
      </c>
      <c r="G2453" s="71">
        <v>0</v>
      </c>
      <c r="H2453" s="73"/>
      <c r="I2453" s="75">
        <v>0.2</v>
      </c>
      <c r="J2453" s="77"/>
      <c r="K2453" s="66"/>
      <c r="L2453" s="66"/>
      <c r="M2453" s="79" t="str">
        <f>HYPERLINK("http://www.pristavka.com/catalog/funko/Fun75640/")</f>
        <v>http://www.pristavka.com/catalog/funko/Fun75640/</v>
      </c>
      <c r="N2453" s="71"/>
      <c r="O2453" s="66" t="s">
        <v>27</v>
      </c>
      <c r="P2453" s="82" t="s">
        <v>9443</v>
      </c>
      <c r="Q2453" s="84" t="s">
        <v>4434</v>
      </c>
      <c r="R2453" s="84" t="s">
        <v>1068</v>
      </c>
      <c r="S2453" s="84">
        <v>0.05</v>
      </c>
      <c r="T2453" s="82" t="s">
        <v>9386</v>
      </c>
      <c r="U2453" s="84" t="s">
        <v>3584</v>
      </c>
      <c r="V2453" s="54"/>
    </row>
    <row r="2454" spans="1:22" s="11" customFormat="1" ht="45" customHeight="1" x14ac:dyDescent="0.2">
      <c r="A2454" s="66" t="s">
        <v>9378</v>
      </c>
      <c r="B2454" s="66" t="s">
        <v>1155</v>
      </c>
      <c r="C2454" s="66" t="s">
        <v>3578</v>
      </c>
      <c r="D2454" s="66">
        <v>75924</v>
      </c>
      <c r="E2454" s="68" t="s">
        <v>9444</v>
      </c>
      <c r="F2454" s="66" t="s">
        <v>9445</v>
      </c>
      <c r="G2454" s="71">
        <v>2925</v>
      </c>
      <c r="H2454" s="73"/>
      <c r="I2454" s="75">
        <v>0.2</v>
      </c>
      <c r="J2454" s="77"/>
      <c r="K2454" s="66"/>
      <c r="L2454" s="66"/>
      <c r="M2454" s="79" t="str">
        <f>HYPERLINK("http://www.pristavka.com/catalog/funko/Fun75924/")</f>
        <v>http://www.pristavka.com/catalog/funko/Fun75924/</v>
      </c>
      <c r="N2454" s="71">
        <v>4499</v>
      </c>
      <c r="O2454" s="66" t="s">
        <v>27</v>
      </c>
      <c r="P2454" s="82" t="s">
        <v>9446</v>
      </c>
      <c r="Q2454" s="84" t="s">
        <v>7711</v>
      </c>
      <c r="R2454" s="84" t="s">
        <v>1303</v>
      </c>
      <c r="S2454" s="84">
        <v>3.4000000000000002E-2</v>
      </c>
      <c r="T2454" s="82" t="s">
        <v>9447</v>
      </c>
      <c r="U2454" s="84" t="s">
        <v>3584</v>
      </c>
      <c r="V2454" s="54"/>
    </row>
    <row r="2455" spans="1:22" s="11" customFormat="1" ht="45" customHeight="1" x14ac:dyDescent="0.2">
      <c r="A2455" s="66" t="s">
        <v>9378</v>
      </c>
      <c r="B2455" s="66" t="s">
        <v>1155</v>
      </c>
      <c r="C2455" s="66" t="s">
        <v>3578</v>
      </c>
      <c r="D2455" s="66">
        <v>7616</v>
      </c>
      <c r="E2455" s="68" t="s">
        <v>9448</v>
      </c>
      <c r="F2455" s="66" t="s">
        <v>9449</v>
      </c>
      <c r="G2455" s="71">
        <v>2925</v>
      </c>
      <c r="H2455" s="73"/>
      <c r="I2455" s="75">
        <v>0.2</v>
      </c>
      <c r="J2455" s="77" t="s">
        <v>18270</v>
      </c>
      <c r="K2455" s="66"/>
      <c r="L2455" s="66"/>
      <c r="M2455" s="79" t="str">
        <f>HYPERLINK("http://www.pristavka.com/catalog/funko/Fun104/")</f>
        <v>http://www.pristavka.com/catalog/funko/Fun104/</v>
      </c>
      <c r="N2455" s="71">
        <v>4499</v>
      </c>
      <c r="O2455" s="66" t="s">
        <v>27</v>
      </c>
      <c r="P2455" s="82" t="s">
        <v>9450</v>
      </c>
      <c r="Q2455" s="84" t="s">
        <v>1102</v>
      </c>
      <c r="R2455" s="84" t="s">
        <v>1103</v>
      </c>
      <c r="S2455" s="84">
        <v>3.2000000000000001E-2</v>
      </c>
      <c r="T2455" s="82" t="s">
        <v>9451</v>
      </c>
      <c r="U2455" s="84" t="s">
        <v>3584</v>
      </c>
      <c r="V2455" s="54"/>
    </row>
    <row r="2456" spans="1:22" s="11" customFormat="1" ht="45" customHeight="1" x14ac:dyDescent="0.2">
      <c r="A2456" s="66" t="s">
        <v>9378</v>
      </c>
      <c r="B2456" s="66" t="s">
        <v>1155</v>
      </c>
      <c r="C2456" s="66" t="s">
        <v>3578</v>
      </c>
      <c r="D2456" s="66">
        <v>80350</v>
      </c>
      <c r="E2456" s="68" t="s">
        <v>9452</v>
      </c>
      <c r="F2456" s="66" t="s">
        <v>9453</v>
      </c>
      <c r="G2456" s="71">
        <v>0</v>
      </c>
      <c r="H2456" s="73"/>
      <c r="I2456" s="75">
        <v>0.2</v>
      </c>
      <c r="J2456" s="77"/>
      <c r="K2456" s="66"/>
      <c r="L2456" s="66"/>
      <c r="M2456" s="79" t="str">
        <f>HYPERLINK("http://www.pristavka.com/catalog/funko/Fun80350/")</f>
        <v>http://www.pristavka.com/catalog/funko/Fun80350/</v>
      </c>
      <c r="N2456" s="71"/>
      <c r="O2456" s="66" t="s">
        <v>27</v>
      </c>
      <c r="P2456" s="82" t="s">
        <v>9454</v>
      </c>
      <c r="Q2456" s="84" t="s">
        <v>1436</v>
      </c>
      <c r="R2456" s="84" t="s">
        <v>1068</v>
      </c>
      <c r="S2456" s="84">
        <v>0.05</v>
      </c>
      <c r="T2456" s="82" t="s">
        <v>9386</v>
      </c>
      <c r="U2456" s="84" t="s">
        <v>3584</v>
      </c>
      <c r="V2456" s="54"/>
    </row>
    <row r="2457" spans="1:22" s="11" customFormat="1" ht="45" customHeight="1" x14ac:dyDescent="0.2">
      <c r="A2457" s="66" t="s">
        <v>9378</v>
      </c>
      <c r="B2457" s="66" t="s">
        <v>1155</v>
      </c>
      <c r="C2457" s="66" t="s">
        <v>3578</v>
      </c>
      <c r="D2457" s="66">
        <v>31811</v>
      </c>
      <c r="E2457" s="68" t="s">
        <v>9455</v>
      </c>
      <c r="F2457" s="66" t="s">
        <v>9456</v>
      </c>
      <c r="G2457" s="71">
        <v>2925</v>
      </c>
      <c r="H2457" s="73"/>
      <c r="I2457" s="75">
        <v>0.2</v>
      </c>
      <c r="J2457" s="77"/>
      <c r="K2457" s="66"/>
      <c r="L2457" s="66"/>
      <c r="M2457" s="79" t="str">
        <f>HYPERLINK("http://www.pristavka.com/catalog/funko/Fun1388/")</f>
        <v>http://www.pristavka.com/catalog/funko/Fun1388/</v>
      </c>
      <c r="N2457" s="71">
        <v>4499</v>
      </c>
      <c r="O2457" s="66" t="s">
        <v>27</v>
      </c>
      <c r="P2457" s="82" t="s">
        <v>9457</v>
      </c>
      <c r="Q2457" s="84" t="s">
        <v>3592</v>
      </c>
      <c r="R2457" s="84" t="s">
        <v>1303</v>
      </c>
      <c r="S2457" s="84">
        <v>3.2000000000000001E-2</v>
      </c>
      <c r="T2457" s="82" t="s">
        <v>9458</v>
      </c>
      <c r="U2457" s="84" t="s">
        <v>3584</v>
      </c>
      <c r="V2457" s="54"/>
    </row>
    <row r="2458" spans="1:22" s="11" customFormat="1" ht="45" customHeight="1" x14ac:dyDescent="0.2">
      <c r="A2458" s="66" t="s">
        <v>9378</v>
      </c>
      <c r="B2458" s="66" t="s">
        <v>1155</v>
      </c>
      <c r="C2458" s="66" t="s">
        <v>3578</v>
      </c>
      <c r="D2458" s="66">
        <v>75707</v>
      </c>
      <c r="E2458" s="68" t="s">
        <v>9459</v>
      </c>
      <c r="F2458" s="66" t="s">
        <v>9460</v>
      </c>
      <c r="G2458" s="71">
        <v>2925</v>
      </c>
      <c r="H2458" s="73"/>
      <c r="I2458" s="75">
        <v>0.2</v>
      </c>
      <c r="J2458" s="77"/>
      <c r="K2458" s="66"/>
      <c r="L2458" s="66"/>
      <c r="M2458" s="79" t="str">
        <f>HYPERLINK("http://www.pristavka.com/catalog/funko/Fun75707/")</f>
        <v>http://www.pristavka.com/catalog/funko/Fun75707/</v>
      </c>
      <c r="N2458" s="71">
        <v>4499</v>
      </c>
      <c r="O2458" s="66" t="s">
        <v>27</v>
      </c>
      <c r="P2458" s="82" t="s">
        <v>9461</v>
      </c>
      <c r="Q2458" s="84" t="s">
        <v>5010</v>
      </c>
      <c r="R2458" s="84" t="s">
        <v>3512</v>
      </c>
      <c r="S2458" s="84">
        <v>3.5000000000000003E-2</v>
      </c>
      <c r="T2458" s="82" t="s">
        <v>9382</v>
      </c>
      <c r="U2458" s="84" t="s">
        <v>3584</v>
      </c>
      <c r="V2458" s="54"/>
    </row>
    <row r="2459" spans="1:22" s="11" customFormat="1" ht="45" customHeight="1" x14ac:dyDescent="0.2">
      <c r="A2459" s="66" t="s">
        <v>9378</v>
      </c>
      <c r="B2459" s="66" t="s">
        <v>1155</v>
      </c>
      <c r="C2459" s="66" t="s">
        <v>3578</v>
      </c>
      <c r="D2459" s="66">
        <v>82494</v>
      </c>
      <c r="E2459" s="68" t="s">
        <v>9462</v>
      </c>
      <c r="F2459" s="66" t="s">
        <v>9463</v>
      </c>
      <c r="G2459" s="71">
        <v>2925</v>
      </c>
      <c r="H2459" s="73"/>
      <c r="I2459" s="75">
        <v>0.2</v>
      </c>
      <c r="J2459" s="77"/>
      <c r="K2459" s="66"/>
      <c r="L2459" s="66"/>
      <c r="M2459" s="79" t="str">
        <f>HYPERLINK("http://www.pristavka.com/catalog/funko/Fun82494/")</f>
        <v>http://www.pristavka.com/catalog/funko/Fun82494/</v>
      </c>
      <c r="N2459" s="71">
        <v>4499</v>
      </c>
      <c r="O2459" s="66" t="s">
        <v>28</v>
      </c>
      <c r="P2459" s="82" t="s">
        <v>9464</v>
      </c>
      <c r="Q2459" s="84" t="s">
        <v>3833</v>
      </c>
      <c r="R2459" s="84" t="s">
        <v>3512</v>
      </c>
      <c r="S2459" s="84">
        <v>3.5000000000000003E-2</v>
      </c>
      <c r="T2459" s="82" t="s">
        <v>9394</v>
      </c>
      <c r="U2459" s="84" t="s">
        <v>3584</v>
      </c>
      <c r="V2459" s="54"/>
    </row>
    <row r="2460" spans="1:22" s="11" customFormat="1" ht="45" customHeight="1" x14ac:dyDescent="0.2">
      <c r="A2460" s="66" t="s">
        <v>9378</v>
      </c>
      <c r="B2460" s="66" t="s">
        <v>1155</v>
      </c>
      <c r="C2460" s="66" t="s">
        <v>3578</v>
      </c>
      <c r="D2460" s="66">
        <v>82495</v>
      </c>
      <c r="E2460" s="68" t="s">
        <v>9465</v>
      </c>
      <c r="F2460" s="66" t="s">
        <v>9466</v>
      </c>
      <c r="G2460" s="71">
        <v>2925</v>
      </c>
      <c r="H2460" s="73"/>
      <c r="I2460" s="75">
        <v>0.2</v>
      </c>
      <c r="J2460" s="77"/>
      <c r="K2460" s="66"/>
      <c r="L2460" s="66"/>
      <c r="M2460" s="79" t="str">
        <f>HYPERLINK("http://www.pristavka.com/catalog/funko/Fun82495/")</f>
        <v>http://www.pristavka.com/catalog/funko/Fun82495/</v>
      </c>
      <c r="N2460" s="71">
        <v>4499</v>
      </c>
      <c r="O2460" s="66" t="s">
        <v>27</v>
      </c>
      <c r="P2460" s="82" t="s">
        <v>9467</v>
      </c>
      <c r="Q2460" s="84" t="s">
        <v>3527</v>
      </c>
      <c r="R2460" s="84" t="s">
        <v>3512</v>
      </c>
      <c r="S2460" s="84">
        <v>3.2000000000000001E-2</v>
      </c>
      <c r="T2460" s="82" t="s">
        <v>9468</v>
      </c>
      <c r="U2460" s="84" t="s">
        <v>3584</v>
      </c>
      <c r="V2460" s="54"/>
    </row>
    <row r="2461" spans="1:22" s="11" customFormat="1" ht="45" customHeight="1" x14ac:dyDescent="0.2">
      <c r="A2461" s="66" t="s">
        <v>9378</v>
      </c>
      <c r="B2461" s="66" t="s">
        <v>1155</v>
      </c>
      <c r="C2461" s="66" t="s">
        <v>3578</v>
      </c>
      <c r="D2461" s="66">
        <v>10663</v>
      </c>
      <c r="E2461" s="68" t="s">
        <v>9469</v>
      </c>
      <c r="F2461" s="66" t="s">
        <v>9470</v>
      </c>
      <c r="G2461" s="71">
        <v>2925</v>
      </c>
      <c r="H2461" s="73"/>
      <c r="I2461" s="75">
        <v>0.2</v>
      </c>
      <c r="J2461" s="77"/>
      <c r="K2461" s="66"/>
      <c r="L2461" s="66"/>
      <c r="M2461" s="79" t="str">
        <f>HYPERLINK("http://www.pristavka.com/catalog/funko/Fun1260/")</f>
        <v>http://www.pristavka.com/catalog/funko/Fun1260/</v>
      </c>
      <c r="N2461" s="71">
        <v>4499</v>
      </c>
      <c r="O2461" s="66" t="s">
        <v>27</v>
      </c>
      <c r="P2461" s="82" t="s">
        <v>9471</v>
      </c>
      <c r="Q2461" s="84" t="s">
        <v>1334</v>
      </c>
      <c r="R2461" s="84" t="s">
        <v>1068</v>
      </c>
      <c r="S2461" s="84">
        <v>3.4000000000000002E-2</v>
      </c>
      <c r="T2461" s="82" t="s">
        <v>9416</v>
      </c>
      <c r="U2461" s="84" t="s">
        <v>3584</v>
      </c>
      <c r="V2461" s="54"/>
    </row>
    <row r="2462" spans="1:22" s="11" customFormat="1" ht="45" customHeight="1" x14ac:dyDescent="0.2">
      <c r="A2462" s="66" t="s">
        <v>9378</v>
      </c>
      <c r="B2462" s="66" t="s">
        <v>1155</v>
      </c>
      <c r="C2462" s="66" t="s">
        <v>3578</v>
      </c>
      <c r="D2462" s="66">
        <v>61370</v>
      </c>
      <c r="E2462" s="68" t="s">
        <v>9472</v>
      </c>
      <c r="F2462" s="66" t="s">
        <v>9473</v>
      </c>
      <c r="G2462" s="71">
        <v>2925</v>
      </c>
      <c r="H2462" s="73"/>
      <c r="I2462" s="75">
        <v>0.2</v>
      </c>
      <c r="J2462" s="77"/>
      <c r="K2462" s="66"/>
      <c r="L2462" s="66"/>
      <c r="M2462" s="79" t="str">
        <f>HYPERLINK("http://www.pristavka.com/catalog/funko/Fun61370/")</f>
        <v>http://www.pristavka.com/catalog/funko/Fun61370/</v>
      </c>
      <c r="N2462" s="71">
        <v>4499</v>
      </c>
      <c r="O2462" s="66" t="s">
        <v>27</v>
      </c>
      <c r="P2462" s="82" t="s">
        <v>9474</v>
      </c>
      <c r="Q2462" s="84" t="s">
        <v>1148</v>
      </c>
      <c r="R2462" s="84" t="s">
        <v>1068</v>
      </c>
      <c r="S2462" s="84">
        <v>0.04</v>
      </c>
      <c r="T2462" s="82" t="s">
        <v>9475</v>
      </c>
      <c r="U2462" s="84" t="s">
        <v>3584</v>
      </c>
      <c r="V2462" s="54"/>
    </row>
    <row r="2463" spans="1:22" s="11" customFormat="1" ht="45" customHeight="1" x14ac:dyDescent="0.2">
      <c r="A2463" s="66" t="s">
        <v>9378</v>
      </c>
      <c r="B2463" s="66" t="s">
        <v>1155</v>
      </c>
      <c r="C2463" s="66" t="s">
        <v>3578</v>
      </c>
      <c r="D2463" s="66">
        <v>75583</v>
      </c>
      <c r="E2463" s="68" t="s">
        <v>9476</v>
      </c>
      <c r="F2463" s="66" t="s">
        <v>9477</v>
      </c>
      <c r="G2463" s="71">
        <v>2925</v>
      </c>
      <c r="H2463" s="73"/>
      <c r="I2463" s="75">
        <v>0.2</v>
      </c>
      <c r="J2463" s="77"/>
      <c r="K2463" s="66"/>
      <c r="L2463" s="66"/>
      <c r="M2463" s="79" t="str">
        <f>HYPERLINK("http://www.pristavka.com/catalog/funko/Fun75583/")</f>
        <v>http://www.pristavka.com/catalog/funko/Fun75583/</v>
      </c>
      <c r="N2463" s="71">
        <v>4499</v>
      </c>
      <c r="O2463" s="66" t="s">
        <v>27</v>
      </c>
      <c r="P2463" s="82" t="s">
        <v>9478</v>
      </c>
      <c r="Q2463" s="84" t="s">
        <v>1148</v>
      </c>
      <c r="R2463" s="84" t="s">
        <v>1068</v>
      </c>
      <c r="S2463" s="84">
        <v>0.05</v>
      </c>
      <c r="T2463" s="82" t="s">
        <v>9394</v>
      </c>
      <c r="U2463" s="84" t="s">
        <v>3584</v>
      </c>
      <c r="V2463" s="54"/>
    </row>
    <row r="2464" spans="1:22" s="11" customFormat="1" ht="45" customHeight="1" x14ac:dyDescent="0.2">
      <c r="A2464" s="66" t="s">
        <v>9378</v>
      </c>
      <c r="B2464" s="66" t="s">
        <v>1155</v>
      </c>
      <c r="C2464" s="66" t="s">
        <v>3578</v>
      </c>
      <c r="D2464" s="66">
        <v>82223</v>
      </c>
      <c r="E2464" s="68" t="s">
        <v>9479</v>
      </c>
      <c r="F2464" s="66" t="s">
        <v>9480</v>
      </c>
      <c r="G2464" s="71">
        <v>2925</v>
      </c>
      <c r="H2464" s="73"/>
      <c r="I2464" s="75">
        <v>0.2</v>
      </c>
      <c r="J2464" s="77"/>
      <c r="K2464" s="66"/>
      <c r="L2464" s="66"/>
      <c r="M2464" s="79" t="str">
        <f>HYPERLINK("http://www.pristavka.com/catalog/funko/Fun82223/")</f>
        <v>http://www.pristavka.com/catalog/funko/Fun82223/</v>
      </c>
      <c r="N2464" s="71">
        <v>4499</v>
      </c>
      <c r="O2464" s="66" t="s">
        <v>27</v>
      </c>
      <c r="P2464" s="82" t="s">
        <v>9481</v>
      </c>
      <c r="Q2464" s="84" t="s">
        <v>8008</v>
      </c>
      <c r="R2464" s="84" t="s">
        <v>8009</v>
      </c>
      <c r="S2464" s="84">
        <v>3.5000000000000003E-2</v>
      </c>
      <c r="T2464" s="82" t="s">
        <v>9394</v>
      </c>
      <c r="U2464" s="84" t="s">
        <v>3584</v>
      </c>
      <c r="V2464" s="54"/>
    </row>
    <row r="2465" spans="1:22" s="11" customFormat="1" ht="45" customHeight="1" x14ac:dyDescent="0.2">
      <c r="A2465" s="66" t="s">
        <v>9378</v>
      </c>
      <c r="B2465" s="66" t="s">
        <v>1155</v>
      </c>
      <c r="C2465" s="66" t="s">
        <v>3578</v>
      </c>
      <c r="D2465" s="66">
        <v>77021</v>
      </c>
      <c r="E2465" s="68" t="s">
        <v>9482</v>
      </c>
      <c r="F2465" s="66" t="s">
        <v>9483</v>
      </c>
      <c r="G2465" s="71">
        <v>2925</v>
      </c>
      <c r="H2465" s="73"/>
      <c r="I2465" s="75">
        <v>0.2</v>
      </c>
      <c r="J2465" s="77"/>
      <c r="K2465" s="66"/>
      <c r="L2465" s="66"/>
      <c r="M2465" s="79" t="str">
        <f>HYPERLINK("http://www.pristavka.com/catalog/funko/Fun77021/")</f>
        <v>http://www.pristavka.com/catalog/funko/Fun77021/</v>
      </c>
      <c r="N2465" s="71">
        <v>4499</v>
      </c>
      <c r="O2465" s="66" t="s">
        <v>27</v>
      </c>
      <c r="P2465" s="82" t="s">
        <v>9484</v>
      </c>
      <c r="Q2465" s="84" t="s">
        <v>1321</v>
      </c>
      <c r="R2465" s="84" t="s">
        <v>1322</v>
      </c>
      <c r="S2465" s="84">
        <v>0.03</v>
      </c>
      <c r="T2465" s="82" t="s">
        <v>9394</v>
      </c>
      <c r="U2465" s="84" t="s">
        <v>3584</v>
      </c>
      <c r="V2465" s="54"/>
    </row>
    <row r="2466" spans="1:22" s="11" customFormat="1" ht="45" customHeight="1" x14ac:dyDescent="0.2">
      <c r="A2466" s="66" t="s">
        <v>9378</v>
      </c>
      <c r="B2466" s="66" t="s">
        <v>1155</v>
      </c>
      <c r="C2466" s="66" t="s">
        <v>3578</v>
      </c>
      <c r="D2466" s="66">
        <v>53049</v>
      </c>
      <c r="E2466" s="68" t="s">
        <v>9485</v>
      </c>
      <c r="F2466" s="66" t="s">
        <v>9486</v>
      </c>
      <c r="G2466" s="71">
        <v>2925</v>
      </c>
      <c r="H2466" s="73"/>
      <c r="I2466" s="75">
        <v>0.2</v>
      </c>
      <c r="J2466" s="77"/>
      <c r="K2466" s="66"/>
      <c r="L2466" s="66"/>
      <c r="M2466" s="79" t="str">
        <f>HYPERLINK("http://www.pristavka.com/catalog/funko/Fun2040122/")</f>
        <v>http://www.pristavka.com/catalog/funko/Fun2040122/</v>
      </c>
      <c r="N2466" s="71">
        <v>4499</v>
      </c>
      <c r="O2466" s="66" t="s">
        <v>28</v>
      </c>
      <c r="P2466" s="82" t="s">
        <v>9487</v>
      </c>
      <c r="Q2466" s="84" t="s">
        <v>1321</v>
      </c>
      <c r="R2466" s="84" t="s">
        <v>1322</v>
      </c>
      <c r="S2466" s="84">
        <v>3.5000000000000003E-2</v>
      </c>
      <c r="T2466" s="82" t="s">
        <v>9394</v>
      </c>
      <c r="U2466" s="84" t="s">
        <v>3584</v>
      </c>
      <c r="V2466" s="54"/>
    </row>
    <row r="2467" spans="1:22" s="11" customFormat="1" ht="45" customHeight="1" x14ac:dyDescent="0.2">
      <c r="A2467" s="66" t="s">
        <v>9378</v>
      </c>
      <c r="B2467" s="66" t="s">
        <v>1155</v>
      </c>
      <c r="C2467" s="66" t="s">
        <v>3578</v>
      </c>
      <c r="D2467" s="66">
        <v>82855</v>
      </c>
      <c r="E2467" s="68" t="s">
        <v>9488</v>
      </c>
      <c r="F2467" s="66" t="s">
        <v>9489</v>
      </c>
      <c r="G2467" s="71">
        <v>2925</v>
      </c>
      <c r="H2467" s="73"/>
      <c r="I2467" s="75">
        <v>0.2</v>
      </c>
      <c r="J2467" s="77"/>
      <c r="K2467" s="66"/>
      <c r="L2467" s="66"/>
      <c r="M2467" s="79" t="str">
        <f>HYPERLINK("http://www.pristavka.com/catalog/funko/Fun82855/")</f>
        <v>http://www.pristavka.com/catalog/funko/Fun82855/</v>
      </c>
      <c r="N2467" s="71">
        <v>4499</v>
      </c>
      <c r="O2467" s="66" t="s">
        <v>27</v>
      </c>
      <c r="P2467" s="82" t="s">
        <v>9490</v>
      </c>
      <c r="Q2467" s="84" t="s">
        <v>8046</v>
      </c>
      <c r="R2467" s="84" t="s">
        <v>1840</v>
      </c>
      <c r="S2467" s="84">
        <v>4.1000000000000002E-2</v>
      </c>
      <c r="T2467" s="82" t="s">
        <v>9491</v>
      </c>
      <c r="U2467" s="84" t="s">
        <v>3584</v>
      </c>
      <c r="V2467" s="54"/>
    </row>
    <row r="2468" spans="1:22" s="11" customFormat="1" ht="45" customHeight="1" x14ac:dyDescent="0.2">
      <c r="A2468" s="66" t="s">
        <v>9378</v>
      </c>
      <c r="B2468" s="66" t="s">
        <v>1155</v>
      </c>
      <c r="C2468" s="66" t="s">
        <v>3578</v>
      </c>
      <c r="D2468" s="66">
        <v>83446</v>
      </c>
      <c r="E2468" s="68" t="s">
        <v>9492</v>
      </c>
      <c r="F2468" s="66" t="s">
        <v>9493</v>
      </c>
      <c r="G2468" s="71">
        <v>2925</v>
      </c>
      <c r="H2468" s="73"/>
      <c r="I2468" s="75">
        <v>0.2</v>
      </c>
      <c r="J2468" s="77"/>
      <c r="K2468" s="66"/>
      <c r="L2468" s="66"/>
      <c r="M2468" s="79" t="str">
        <f>HYPERLINK("http://www.pristavka.com/catalog/funko/Fun83446/")</f>
        <v>http://www.pristavka.com/catalog/funko/Fun83446/</v>
      </c>
      <c r="N2468" s="71">
        <v>4499</v>
      </c>
      <c r="O2468" s="66" t="s">
        <v>27</v>
      </c>
      <c r="P2468" s="82" t="s">
        <v>9494</v>
      </c>
      <c r="Q2468" s="84" t="s">
        <v>1223</v>
      </c>
      <c r="R2468" s="84" t="s">
        <v>1303</v>
      </c>
      <c r="S2468" s="84">
        <v>3.5999999999999997E-2</v>
      </c>
      <c r="T2468" s="82" t="s">
        <v>9495</v>
      </c>
      <c r="U2468" s="84" t="s">
        <v>3593</v>
      </c>
      <c r="V2468" s="54"/>
    </row>
    <row r="2469" spans="1:22" s="11" customFormat="1" ht="45" customHeight="1" x14ac:dyDescent="0.2">
      <c r="A2469" s="66" t="s">
        <v>9378</v>
      </c>
      <c r="B2469" s="66" t="s">
        <v>1155</v>
      </c>
      <c r="C2469" s="66" t="s">
        <v>3578</v>
      </c>
      <c r="D2469" s="66">
        <v>81863</v>
      </c>
      <c r="E2469" s="68" t="s">
        <v>9496</v>
      </c>
      <c r="F2469" s="66" t="s">
        <v>9497</v>
      </c>
      <c r="G2469" s="71">
        <v>2925</v>
      </c>
      <c r="H2469" s="73"/>
      <c r="I2469" s="75">
        <v>0.2</v>
      </c>
      <c r="J2469" s="77"/>
      <c r="K2469" s="66"/>
      <c r="L2469" s="66"/>
      <c r="M2469" s="79" t="str">
        <f>HYPERLINK("http://www.pristavka.com/catalog/funko/Fun81863/")</f>
        <v>http://www.pristavka.com/catalog/funko/Fun81863/</v>
      </c>
      <c r="N2469" s="71">
        <v>4499</v>
      </c>
      <c r="O2469" s="66" t="s">
        <v>27</v>
      </c>
      <c r="P2469" s="82" t="s">
        <v>9498</v>
      </c>
      <c r="Q2469" s="84" t="s">
        <v>3326</v>
      </c>
      <c r="R2469" s="84" t="s">
        <v>3327</v>
      </c>
      <c r="S2469" s="84">
        <v>3.5000000000000003E-2</v>
      </c>
      <c r="T2469" s="82" t="s">
        <v>9394</v>
      </c>
      <c r="U2469" s="84" t="s">
        <v>3584</v>
      </c>
      <c r="V2469" s="54"/>
    </row>
    <row r="2470" spans="1:22" s="11" customFormat="1" ht="45" customHeight="1" x14ac:dyDescent="0.2">
      <c r="A2470" s="66" t="s">
        <v>9378</v>
      </c>
      <c r="B2470" s="66" t="s">
        <v>1155</v>
      </c>
      <c r="C2470" s="66" t="s">
        <v>3578</v>
      </c>
      <c r="D2470" s="66">
        <v>79745</v>
      </c>
      <c r="E2470" s="68" t="s">
        <v>9499</v>
      </c>
      <c r="F2470" s="66" t="s">
        <v>9500</v>
      </c>
      <c r="G2470" s="71">
        <v>2925</v>
      </c>
      <c r="H2470" s="73"/>
      <c r="I2470" s="75">
        <v>0.2</v>
      </c>
      <c r="J2470" s="77"/>
      <c r="K2470" s="66"/>
      <c r="L2470" s="66"/>
      <c r="M2470" s="79" t="str">
        <f>HYPERLINK("http://www.pristavka.com/catalog/funko/Fun79745/")</f>
        <v>http://www.pristavka.com/catalog/funko/Fun79745/</v>
      </c>
      <c r="N2470" s="71">
        <v>4499</v>
      </c>
      <c r="O2470" s="66" t="s">
        <v>27</v>
      </c>
      <c r="P2470" s="82" t="s">
        <v>9501</v>
      </c>
      <c r="Q2470" s="84" t="s">
        <v>3686</v>
      </c>
      <c r="R2470" s="84" t="s">
        <v>1212</v>
      </c>
      <c r="S2470" s="84">
        <v>4.3999999999999997E-2</v>
      </c>
      <c r="T2470" s="82" t="s">
        <v>9502</v>
      </c>
      <c r="U2470" s="84" t="s">
        <v>3584</v>
      </c>
      <c r="V2470" s="54"/>
    </row>
    <row r="2471" spans="1:22" s="11" customFormat="1" ht="45" customHeight="1" x14ac:dyDescent="0.2">
      <c r="A2471" s="66" t="s">
        <v>9378</v>
      </c>
      <c r="B2471" s="66" t="s">
        <v>1155</v>
      </c>
      <c r="C2471" s="66" t="s">
        <v>3578</v>
      </c>
      <c r="D2471" s="66">
        <v>79746</v>
      </c>
      <c r="E2471" s="68" t="s">
        <v>9503</v>
      </c>
      <c r="F2471" s="66" t="s">
        <v>9504</v>
      </c>
      <c r="G2471" s="71">
        <v>2925</v>
      </c>
      <c r="H2471" s="73"/>
      <c r="I2471" s="75">
        <v>0.2</v>
      </c>
      <c r="J2471" s="77"/>
      <c r="K2471" s="66"/>
      <c r="L2471" s="66"/>
      <c r="M2471" s="79" t="str">
        <f>HYPERLINK("http://www.pristavka.com/catalog/funko/Fun79746/")</f>
        <v>http://www.pristavka.com/catalog/funko/Fun79746/</v>
      </c>
      <c r="N2471" s="71">
        <v>4499</v>
      </c>
      <c r="O2471" s="66" t="s">
        <v>28</v>
      </c>
      <c r="P2471" s="82" t="s">
        <v>9505</v>
      </c>
      <c r="Q2471" s="84" t="s">
        <v>3686</v>
      </c>
      <c r="R2471" s="84" t="s">
        <v>1212</v>
      </c>
      <c r="S2471" s="84">
        <v>4.8000000000000001E-2</v>
      </c>
      <c r="T2471" s="82" t="s">
        <v>9502</v>
      </c>
      <c r="U2471" s="84" t="s">
        <v>3584</v>
      </c>
      <c r="V2471" s="54"/>
    </row>
    <row r="2472" spans="1:22" s="11" customFormat="1" ht="45" customHeight="1" x14ac:dyDescent="0.2">
      <c r="A2472" s="66" t="s">
        <v>9506</v>
      </c>
      <c r="B2472" s="66" t="s">
        <v>1155</v>
      </c>
      <c r="C2472" s="66" t="s">
        <v>3578</v>
      </c>
      <c r="D2472" s="66" t="s">
        <v>9507</v>
      </c>
      <c r="E2472" s="68" t="s">
        <v>9508</v>
      </c>
      <c r="F2472" s="66" t="s">
        <v>9509</v>
      </c>
      <c r="G2472" s="71">
        <v>2925</v>
      </c>
      <c r="H2472" s="73"/>
      <c r="I2472" s="75">
        <v>0.2</v>
      </c>
      <c r="J2472" s="77"/>
      <c r="K2472" s="66"/>
      <c r="L2472" s="66"/>
      <c r="M2472" s="79" t="str">
        <f>HYPERLINK("http://www.pristavka.com/catalog/funko/Fun47597/")</f>
        <v>http://www.pristavka.com/catalog/funko/Fun47597/</v>
      </c>
      <c r="N2472" s="71">
        <v>4499</v>
      </c>
      <c r="O2472" s="66" t="s">
        <v>28</v>
      </c>
      <c r="P2472" s="82" t="s">
        <v>9510</v>
      </c>
      <c r="Q2472" s="84" t="s">
        <v>3582</v>
      </c>
      <c r="R2472" s="84" t="s">
        <v>1315</v>
      </c>
      <c r="S2472" s="84">
        <v>1.4E-2</v>
      </c>
      <c r="T2472" s="82" t="s">
        <v>9511</v>
      </c>
      <c r="U2472" s="84" t="s">
        <v>177</v>
      </c>
      <c r="V2472" s="54"/>
    </row>
    <row r="2473" spans="1:22" s="11" customFormat="1" ht="45" customHeight="1" x14ac:dyDescent="0.2">
      <c r="A2473" s="66" t="s">
        <v>9506</v>
      </c>
      <c r="B2473" s="66" t="s">
        <v>1155</v>
      </c>
      <c r="C2473" s="66" t="s">
        <v>3578</v>
      </c>
      <c r="D2473" s="66" t="s">
        <v>9512</v>
      </c>
      <c r="E2473" s="68" t="s">
        <v>9513</v>
      </c>
      <c r="F2473" s="66" t="s">
        <v>9514</v>
      </c>
      <c r="G2473" s="71">
        <v>2925</v>
      </c>
      <c r="H2473" s="73"/>
      <c r="I2473" s="75">
        <v>0.2</v>
      </c>
      <c r="J2473" s="77"/>
      <c r="K2473" s="66"/>
      <c r="L2473" s="66"/>
      <c r="M2473" s="79" t="str">
        <f>HYPERLINK("http://www.pristavka.com/catalog/funko/Fun43077/")</f>
        <v>http://www.pristavka.com/catalog/funko/Fun43077/</v>
      </c>
      <c r="N2473" s="71">
        <v>4499</v>
      </c>
      <c r="O2473" s="66" t="s">
        <v>28</v>
      </c>
      <c r="P2473" s="82" t="s">
        <v>9515</v>
      </c>
      <c r="Q2473" s="84" t="s">
        <v>3512</v>
      </c>
      <c r="R2473" s="84" t="s">
        <v>3512</v>
      </c>
      <c r="S2473" s="84">
        <v>2.4E-2</v>
      </c>
      <c r="T2473" s="82" t="s">
        <v>9516</v>
      </c>
      <c r="U2473" s="84" t="s">
        <v>177</v>
      </c>
      <c r="V2473" s="54"/>
    </row>
    <row r="2474" spans="1:22" s="11" customFormat="1" ht="45" customHeight="1" x14ac:dyDescent="0.2">
      <c r="A2474" s="66" t="s">
        <v>9506</v>
      </c>
      <c r="B2474" s="66" t="s">
        <v>26</v>
      </c>
      <c r="C2474" s="66" t="s">
        <v>9517</v>
      </c>
      <c r="D2474" s="66" t="s">
        <v>9518</v>
      </c>
      <c r="E2474" s="68" t="s">
        <v>9519</v>
      </c>
      <c r="F2474" s="66" t="s">
        <v>9520</v>
      </c>
      <c r="G2474" s="71">
        <v>0</v>
      </c>
      <c r="H2474" s="73"/>
      <c r="I2474" s="75">
        <v>0.2</v>
      </c>
      <c r="J2474" s="77"/>
      <c r="K2474" s="66"/>
      <c r="L2474" s="66"/>
      <c r="M2474" s="79" t="str">
        <f>HYPERLINK("http://www.pristavka.com/catalog/funko/Fun2164332/")</f>
        <v>http://www.pristavka.com/catalog/funko/Fun2164332/</v>
      </c>
      <c r="N2474" s="71"/>
      <c r="O2474" s="66" t="s">
        <v>28</v>
      </c>
      <c r="P2474" s="82" t="s">
        <v>9521</v>
      </c>
      <c r="Q2474" s="84" t="s">
        <v>1738</v>
      </c>
      <c r="R2474" s="84" t="s">
        <v>1315</v>
      </c>
      <c r="S2474" s="84">
        <v>0.12</v>
      </c>
      <c r="T2474" s="82" t="s">
        <v>9522</v>
      </c>
      <c r="U2474" s="84"/>
      <c r="V2474" s="54"/>
    </row>
    <row r="2475" spans="1:22" s="11" customFormat="1" ht="45" customHeight="1" x14ac:dyDescent="0.2">
      <c r="A2475" s="66" t="s">
        <v>9523</v>
      </c>
      <c r="B2475" s="66" t="s">
        <v>1707</v>
      </c>
      <c r="C2475" s="66" t="s">
        <v>3578</v>
      </c>
      <c r="D2475" s="66">
        <v>87218</v>
      </c>
      <c r="E2475" s="68" t="s">
        <v>9524</v>
      </c>
      <c r="F2475" s="66" t="s">
        <v>9525</v>
      </c>
      <c r="G2475" s="71">
        <v>3250</v>
      </c>
      <c r="H2475" s="73"/>
      <c r="I2475" s="75">
        <v>0.1</v>
      </c>
      <c r="J2475" s="77"/>
      <c r="K2475" s="66"/>
      <c r="L2475" s="66"/>
      <c r="M2475" s="79" t="str">
        <f>HYPERLINK("http://www.pristavka.com/catalog/funko/Fun87218/")</f>
        <v>http://www.pristavka.com/catalog/funko/Fun87218/</v>
      </c>
      <c r="N2475" s="71">
        <v>4999</v>
      </c>
      <c r="O2475" s="66" t="s">
        <v>27</v>
      </c>
      <c r="P2475" s="82" t="s">
        <v>9526</v>
      </c>
      <c r="Q2475" s="84" t="s">
        <v>5190</v>
      </c>
      <c r="R2475" s="84" t="s">
        <v>3512</v>
      </c>
      <c r="S2475" s="84">
        <v>0.06</v>
      </c>
      <c r="T2475" s="82" t="s">
        <v>9527</v>
      </c>
      <c r="U2475" s="84" t="s">
        <v>3584</v>
      </c>
      <c r="V2475" s="54"/>
    </row>
    <row r="2476" spans="1:22" s="11" customFormat="1" ht="45" customHeight="1" x14ac:dyDescent="0.2">
      <c r="A2476" s="66" t="s">
        <v>9523</v>
      </c>
      <c r="B2476" s="66" t="s">
        <v>1707</v>
      </c>
      <c r="C2476" s="66" t="s">
        <v>3578</v>
      </c>
      <c r="D2476" s="66">
        <v>82501</v>
      </c>
      <c r="E2476" s="68" t="s">
        <v>9528</v>
      </c>
      <c r="F2476" s="66" t="s">
        <v>9529</v>
      </c>
      <c r="G2476" s="71">
        <v>3900</v>
      </c>
      <c r="H2476" s="73"/>
      <c r="I2476" s="75">
        <v>0.1</v>
      </c>
      <c r="J2476" s="77"/>
      <c r="K2476" s="66"/>
      <c r="L2476" s="66"/>
      <c r="M2476" s="79" t="str">
        <f>HYPERLINK("http://www.pristavka.com/catalog/funko/Fun82501/")</f>
        <v>http://www.pristavka.com/catalog/funko/Fun82501/</v>
      </c>
      <c r="N2476" s="71">
        <v>5999</v>
      </c>
      <c r="O2476" s="66" t="s">
        <v>27</v>
      </c>
      <c r="P2476" s="82" t="s">
        <v>9530</v>
      </c>
      <c r="Q2476" s="84" t="s">
        <v>3512</v>
      </c>
      <c r="R2476" s="84" t="s">
        <v>3512</v>
      </c>
      <c r="S2476" s="84">
        <v>0.08</v>
      </c>
      <c r="T2476" s="82" t="s">
        <v>9531</v>
      </c>
      <c r="U2476" s="84" t="s">
        <v>3584</v>
      </c>
      <c r="V2476" s="54"/>
    </row>
    <row r="2477" spans="1:22" s="11" customFormat="1" ht="45" customHeight="1" x14ac:dyDescent="0.2">
      <c r="A2477" s="66" t="s">
        <v>9523</v>
      </c>
      <c r="B2477" s="66" t="s">
        <v>1707</v>
      </c>
      <c r="C2477" s="66" t="s">
        <v>3578</v>
      </c>
      <c r="D2477" s="66">
        <v>62094</v>
      </c>
      <c r="E2477" s="68" t="s">
        <v>9532</v>
      </c>
      <c r="F2477" s="66" t="s">
        <v>9533</v>
      </c>
      <c r="G2477" s="71">
        <v>3900</v>
      </c>
      <c r="H2477" s="73"/>
      <c r="I2477" s="75">
        <v>0.1</v>
      </c>
      <c r="J2477" s="77"/>
      <c r="K2477" s="66"/>
      <c r="L2477" s="66"/>
      <c r="M2477" s="79" t="str">
        <f>HYPERLINK("http://www.pristavka.com/catalog/funko/Fun62094/")</f>
        <v>http://www.pristavka.com/catalog/funko/Fun62094/</v>
      </c>
      <c r="N2477" s="71">
        <v>5999</v>
      </c>
      <c r="O2477" s="66" t="s">
        <v>27</v>
      </c>
      <c r="P2477" s="82" t="s">
        <v>9534</v>
      </c>
      <c r="Q2477" s="84" t="s">
        <v>1522</v>
      </c>
      <c r="R2477" s="84" t="s">
        <v>1068</v>
      </c>
      <c r="S2477" s="84">
        <v>6.6000000000000003E-2</v>
      </c>
      <c r="T2477" s="82" t="s">
        <v>9535</v>
      </c>
      <c r="U2477" s="84" t="s">
        <v>3584</v>
      </c>
      <c r="V2477" s="54"/>
    </row>
    <row r="2478" spans="1:22" s="11" customFormat="1" ht="45" customHeight="1" x14ac:dyDescent="0.2">
      <c r="A2478" s="66" t="s">
        <v>9523</v>
      </c>
      <c r="B2478" s="66" t="s">
        <v>1707</v>
      </c>
      <c r="C2478" s="66" t="s">
        <v>3578</v>
      </c>
      <c r="D2478" s="66">
        <v>55816</v>
      </c>
      <c r="E2478" s="68" t="s">
        <v>9536</v>
      </c>
      <c r="F2478" s="66" t="s">
        <v>9537</v>
      </c>
      <c r="G2478" s="71">
        <v>3900</v>
      </c>
      <c r="H2478" s="73"/>
      <c r="I2478" s="75">
        <v>0.1</v>
      </c>
      <c r="J2478" s="77"/>
      <c r="K2478" s="66"/>
      <c r="L2478" s="66"/>
      <c r="M2478" s="79" t="str">
        <f>HYPERLINK("http://www.pristavka.com/catalog/funko/Fun55816/")</f>
        <v>http://www.pristavka.com/catalog/funko/Fun55816/</v>
      </c>
      <c r="N2478" s="71">
        <v>5999</v>
      </c>
      <c r="O2478" s="66" t="s">
        <v>27</v>
      </c>
      <c r="P2478" s="82" t="s">
        <v>9538</v>
      </c>
      <c r="Q2478" s="84" t="s">
        <v>3582</v>
      </c>
      <c r="R2478" s="84" t="s">
        <v>1315</v>
      </c>
      <c r="S2478" s="84">
        <v>6.2E-2</v>
      </c>
      <c r="T2478" s="82" t="s">
        <v>9539</v>
      </c>
      <c r="U2478" s="84" t="s">
        <v>3584</v>
      </c>
      <c r="V2478" s="54"/>
    </row>
    <row r="2479" spans="1:22" s="11" customFormat="1" ht="45" customHeight="1" x14ac:dyDescent="0.2">
      <c r="A2479" s="66" t="s">
        <v>9523</v>
      </c>
      <c r="B2479" s="66" t="s">
        <v>1707</v>
      </c>
      <c r="C2479" s="66" t="s">
        <v>3578</v>
      </c>
      <c r="D2479" s="66">
        <v>76081</v>
      </c>
      <c r="E2479" s="68" t="s">
        <v>9540</v>
      </c>
      <c r="F2479" s="66" t="s">
        <v>9541</v>
      </c>
      <c r="G2479" s="71">
        <v>3900</v>
      </c>
      <c r="H2479" s="73"/>
      <c r="I2479" s="75">
        <v>0.1</v>
      </c>
      <c r="J2479" s="77"/>
      <c r="K2479" s="66"/>
      <c r="L2479" s="66"/>
      <c r="M2479" s="79" t="str">
        <f>HYPERLINK("http://www.pristavka.com/catalog/funko/Fun76081/")</f>
        <v>http://www.pristavka.com/catalog/funko/Fun76081/</v>
      </c>
      <c r="N2479" s="71">
        <v>5999</v>
      </c>
      <c r="O2479" s="66" t="s">
        <v>27</v>
      </c>
      <c r="P2479" s="82" t="s">
        <v>9542</v>
      </c>
      <c r="Q2479" s="84" t="s">
        <v>3582</v>
      </c>
      <c r="R2479" s="84" t="s">
        <v>1315</v>
      </c>
      <c r="S2479" s="84">
        <v>5.1999999999999998E-2</v>
      </c>
      <c r="T2479" s="82" t="s">
        <v>9543</v>
      </c>
      <c r="U2479" s="84" t="s">
        <v>3584</v>
      </c>
      <c r="V2479" s="54"/>
    </row>
    <row r="2480" spans="1:22" s="11" customFormat="1" ht="45" customHeight="1" x14ac:dyDescent="0.2">
      <c r="A2480" s="66" t="s">
        <v>9523</v>
      </c>
      <c r="B2480" s="66" t="s">
        <v>1707</v>
      </c>
      <c r="C2480" s="66" t="s">
        <v>3578</v>
      </c>
      <c r="D2480" s="66">
        <v>59617</v>
      </c>
      <c r="E2480" s="68" t="s">
        <v>9544</v>
      </c>
      <c r="F2480" s="66" t="s">
        <v>9545</v>
      </c>
      <c r="G2480" s="71">
        <v>3900</v>
      </c>
      <c r="H2480" s="73"/>
      <c r="I2480" s="75">
        <v>0.1</v>
      </c>
      <c r="J2480" s="77"/>
      <c r="K2480" s="66"/>
      <c r="L2480" s="66"/>
      <c r="M2480" s="79" t="str">
        <f>HYPERLINK("http://www.pristavka.com/catalog/funko/Fun189437/")</f>
        <v>http://www.pristavka.com/catalog/funko/Fun189437/</v>
      </c>
      <c r="N2480" s="71">
        <v>5999</v>
      </c>
      <c r="O2480" s="66" t="s">
        <v>27</v>
      </c>
      <c r="P2480" s="82" t="s">
        <v>9546</v>
      </c>
      <c r="Q2480" s="84" t="s">
        <v>1738</v>
      </c>
      <c r="R2480" s="84" t="s">
        <v>1315</v>
      </c>
      <c r="S2480" s="84">
        <v>0.06</v>
      </c>
      <c r="T2480" s="82" t="s">
        <v>9547</v>
      </c>
      <c r="U2480" s="84" t="s">
        <v>3584</v>
      </c>
      <c r="V2480" s="54"/>
    </row>
    <row r="2481" spans="1:22" s="11" customFormat="1" ht="45" customHeight="1" x14ac:dyDescent="0.2">
      <c r="A2481" s="66" t="s">
        <v>9523</v>
      </c>
      <c r="B2481" s="66" t="s">
        <v>1707</v>
      </c>
      <c r="C2481" s="66" t="s">
        <v>3578</v>
      </c>
      <c r="D2481" s="66">
        <v>73079</v>
      </c>
      <c r="E2481" s="68" t="s">
        <v>9548</v>
      </c>
      <c r="F2481" s="66" t="s">
        <v>9549</v>
      </c>
      <c r="G2481" s="71">
        <v>3900</v>
      </c>
      <c r="H2481" s="73"/>
      <c r="I2481" s="75">
        <v>0.1</v>
      </c>
      <c r="J2481" s="77"/>
      <c r="K2481" s="66"/>
      <c r="L2481" s="66"/>
      <c r="M2481" s="79" t="str">
        <f>HYPERLINK("http://www.pristavka.com/catalog/funko/Fun73079/")</f>
        <v>http://www.pristavka.com/catalog/funko/Fun73079/</v>
      </c>
      <c r="N2481" s="71">
        <v>5999</v>
      </c>
      <c r="O2481" s="66" t="s">
        <v>27</v>
      </c>
      <c r="P2481" s="82" t="s">
        <v>9550</v>
      </c>
      <c r="Q2481" s="84" t="s">
        <v>1314</v>
      </c>
      <c r="R2481" s="84" t="s">
        <v>1315</v>
      </c>
      <c r="S2481" s="84">
        <v>7.4999999999999997E-2</v>
      </c>
      <c r="T2481" s="82" t="s">
        <v>9531</v>
      </c>
      <c r="U2481" s="84" t="s">
        <v>3584</v>
      </c>
      <c r="V2481" s="54"/>
    </row>
    <row r="2482" spans="1:22" s="11" customFormat="1" ht="45" customHeight="1" x14ac:dyDescent="0.2">
      <c r="A2482" s="66" t="s">
        <v>9523</v>
      </c>
      <c r="B2482" s="66" t="s">
        <v>1707</v>
      </c>
      <c r="C2482" s="66" t="s">
        <v>3578</v>
      </c>
      <c r="D2482" s="66">
        <v>54740</v>
      </c>
      <c r="E2482" s="68" t="s">
        <v>9551</v>
      </c>
      <c r="F2482" s="66" t="s">
        <v>9552</v>
      </c>
      <c r="G2482" s="71">
        <v>3900</v>
      </c>
      <c r="H2482" s="73"/>
      <c r="I2482" s="75">
        <v>0.1</v>
      </c>
      <c r="J2482" s="77"/>
      <c r="K2482" s="66"/>
      <c r="L2482" s="66"/>
      <c r="M2482" s="79" t="str">
        <f>HYPERLINK("http://www.pristavka.com/catalog/funko/Fun54740/")</f>
        <v>http://www.pristavka.com/catalog/funko/Fun54740/</v>
      </c>
      <c r="N2482" s="71">
        <v>5999</v>
      </c>
      <c r="O2482" s="66" t="s">
        <v>28</v>
      </c>
      <c r="P2482" s="82" t="s">
        <v>9553</v>
      </c>
      <c r="Q2482" s="84" t="s">
        <v>1315</v>
      </c>
      <c r="R2482" s="84" t="s">
        <v>1315</v>
      </c>
      <c r="S2482" s="84">
        <v>8.8999999999999996E-2</v>
      </c>
      <c r="T2482" s="82" t="s">
        <v>9535</v>
      </c>
      <c r="U2482" s="84" t="s">
        <v>3584</v>
      </c>
      <c r="V2482" s="54"/>
    </row>
    <row r="2483" spans="1:22" s="11" customFormat="1" ht="45" customHeight="1" x14ac:dyDescent="0.2">
      <c r="A2483" s="66" t="s">
        <v>9523</v>
      </c>
      <c r="B2483" s="66" t="s">
        <v>1707</v>
      </c>
      <c r="C2483" s="66" t="s">
        <v>3578</v>
      </c>
      <c r="D2483" s="66">
        <v>57347</v>
      </c>
      <c r="E2483" s="68" t="s">
        <v>9554</v>
      </c>
      <c r="F2483" s="66" t="s">
        <v>9555</v>
      </c>
      <c r="G2483" s="71">
        <v>3900</v>
      </c>
      <c r="H2483" s="73"/>
      <c r="I2483" s="75">
        <v>0.1</v>
      </c>
      <c r="J2483" s="77"/>
      <c r="K2483" s="66"/>
      <c r="L2483" s="66"/>
      <c r="M2483" s="79" t="str">
        <f>HYPERLINK("http://www.pristavka.com/catalog/funko/Fun189438/")</f>
        <v>http://www.pristavka.com/catalog/funko/Fun189438/</v>
      </c>
      <c r="N2483" s="71">
        <v>5999</v>
      </c>
      <c r="O2483" s="66" t="s">
        <v>27</v>
      </c>
      <c r="P2483" s="82" t="s">
        <v>9556</v>
      </c>
      <c r="Q2483" s="84" t="s">
        <v>9557</v>
      </c>
      <c r="R2483" s="84" t="s">
        <v>1315</v>
      </c>
      <c r="S2483" s="84">
        <v>0.08</v>
      </c>
      <c r="T2483" s="82" t="s">
        <v>9558</v>
      </c>
      <c r="U2483" s="84" t="s">
        <v>3584</v>
      </c>
      <c r="V2483" s="54"/>
    </row>
    <row r="2484" spans="1:22" s="11" customFormat="1" ht="45" customHeight="1" x14ac:dyDescent="0.2">
      <c r="A2484" s="66" t="s">
        <v>9523</v>
      </c>
      <c r="B2484" s="66" t="s">
        <v>1707</v>
      </c>
      <c r="C2484" s="66" t="s">
        <v>3578</v>
      </c>
      <c r="D2484" s="66">
        <v>67871</v>
      </c>
      <c r="E2484" s="68" t="s">
        <v>9559</v>
      </c>
      <c r="F2484" s="66" t="s">
        <v>9560</v>
      </c>
      <c r="G2484" s="71">
        <v>3900</v>
      </c>
      <c r="H2484" s="73"/>
      <c r="I2484" s="75">
        <v>0.1</v>
      </c>
      <c r="J2484" s="77"/>
      <c r="K2484" s="66"/>
      <c r="L2484" s="66"/>
      <c r="M2484" s="79" t="str">
        <f>HYPERLINK("http://www.pristavka.com/catalog/funko/Fun67871/")</f>
        <v>http://www.pristavka.com/catalog/funko/Fun67871/</v>
      </c>
      <c r="N2484" s="71">
        <v>5999</v>
      </c>
      <c r="O2484" s="66" t="s">
        <v>27</v>
      </c>
      <c r="P2484" s="82" t="s">
        <v>9561</v>
      </c>
      <c r="Q2484" s="84" t="s">
        <v>1419</v>
      </c>
      <c r="R2484" s="84" t="s">
        <v>3630</v>
      </c>
      <c r="S2484" s="84">
        <v>0.06</v>
      </c>
      <c r="T2484" s="82" t="s">
        <v>9547</v>
      </c>
      <c r="U2484" s="84" t="s">
        <v>3584</v>
      </c>
      <c r="V2484" s="54"/>
    </row>
    <row r="2485" spans="1:22" s="11" customFormat="1" ht="45" customHeight="1" x14ac:dyDescent="0.2">
      <c r="A2485" s="66" t="s">
        <v>9523</v>
      </c>
      <c r="B2485" s="66" t="s">
        <v>1707</v>
      </c>
      <c r="C2485" s="66" t="s">
        <v>3578</v>
      </c>
      <c r="D2485" s="66">
        <v>59687</v>
      </c>
      <c r="E2485" s="68" t="s">
        <v>9562</v>
      </c>
      <c r="F2485" s="66" t="s">
        <v>9563</v>
      </c>
      <c r="G2485" s="71">
        <v>3900</v>
      </c>
      <c r="H2485" s="73"/>
      <c r="I2485" s="75">
        <v>0.1</v>
      </c>
      <c r="J2485" s="77"/>
      <c r="K2485" s="66"/>
      <c r="L2485" s="66"/>
      <c r="M2485" s="79" t="str">
        <f>HYPERLINK("http://www.pristavka.com/catalog/funko/Fun189432/")</f>
        <v>http://www.pristavka.com/catalog/funko/Fun189432/</v>
      </c>
      <c r="N2485" s="71">
        <v>5999</v>
      </c>
      <c r="O2485" s="66" t="s">
        <v>28</v>
      </c>
      <c r="P2485" s="82" t="s">
        <v>9564</v>
      </c>
      <c r="Q2485" s="84" t="s">
        <v>1419</v>
      </c>
      <c r="R2485" s="84" t="s">
        <v>3630</v>
      </c>
      <c r="S2485" s="84">
        <v>6.2E-2</v>
      </c>
      <c r="T2485" s="82" t="s">
        <v>9565</v>
      </c>
      <c r="U2485" s="84" t="s">
        <v>3584</v>
      </c>
      <c r="V2485" s="54"/>
    </row>
    <row r="2486" spans="1:22" s="11" customFormat="1" ht="45" customHeight="1" x14ac:dyDescent="0.2">
      <c r="A2486" s="66" t="s">
        <v>9523</v>
      </c>
      <c r="B2486" s="66" t="s">
        <v>1707</v>
      </c>
      <c r="C2486" s="66" t="s">
        <v>3578</v>
      </c>
      <c r="D2486" s="66">
        <v>80883</v>
      </c>
      <c r="E2486" s="68" t="s">
        <v>9566</v>
      </c>
      <c r="F2486" s="66" t="s">
        <v>9567</v>
      </c>
      <c r="G2486" s="71">
        <v>3900</v>
      </c>
      <c r="H2486" s="73"/>
      <c r="I2486" s="75">
        <v>0.1</v>
      </c>
      <c r="J2486" s="77"/>
      <c r="K2486" s="66"/>
      <c r="L2486" s="66"/>
      <c r="M2486" s="79" t="str">
        <f>HYPERLINK("http://www.pristavka.com/catalog/funko/Fun80883/")</f>
        <v>http://www.pristavka.com/catalog/funko/Fun80883/</v>
      </c>
      <c r="N2486" s="71">
        <v>5999</v>
      </c>
      <c r="O2486" s="66" t="s">
        <v>28</v>
      </c>
      <c r="P2486" s="82" t="s">
        <v>9568</v>
      </c>
      <c r="Q2486" s="84" t="s">
        <v>2372</v>
      </c>
      <c r="R2486" s="84" t="s">
        <v>1840</v>
      </c>
      <c r="S2486" s="84">
        <v>8.2000000000000003E-2</v>
      </c>
      <c r="T2486" s="82" t="s">
        <v>9569</v>
      </c>
      <c r="U2486" s="84" t="s">
        <v>3584</v>
      </c>
      <c r="V2486" s="54"/>
    </row>
    <row r="2487" spans="1:22" s="11" customFormat="1" ht="45" customHeight="1" x14ac:dyDescent="0.2">
      <c r="A2487" s="66" t="s">
        <v>9523</v>
      </c>
      <c r="B2487" s="66" t="s">
        <v>1707</v>
      </c>
      <c r="C2487" s="66" t="s">
        <v>3578</v>
      </c>
      <c r="D2487" s="66">
        <v>80286</v>
      </c>
      <c r="E2487" s="68" t="s">
        <v>9570</v>
      </c>
      <c r="F2487" s="66" t="s">
        <v>9571</v>
      </c>
      <c r="G2487" s="71">
        <v>3900</v>
      </c>
      <c r="H2487" s="73"/>
      <c r="I2487" s="75">
        <v>0.1</v>
      </c>
      <c r="J2487" s="77"/>
      <c r="K2487" s="66"/>
      <c r="L2487" s="66"/>
      <c r="M2487" s="79" t="str">
        <f>HYPERLINK("http://www.pristavka.com/catalog/funko/Fun80286/")</f>
        <v>http://www.pristavka.com/catalog/funko/Fun80286/</v>
      </c>
      <c r="N2487" s="71">
        <v>5999</v>
      </c>
      <c r="O2487" s="66" t="s">
        <v>28</v>
      </c>
      <c r="P2487" s="82" t="s">
        <v>9572</v>
      </c>
      <c r="Q2487" s="84" t="s">
        <v>1117</v>
      </c>
      <c r="R2487" s="84" t="s">
        <v>1068</v>
      </c>
      <c r="S2487" s="84">
        <v>7.8E-2</v>
      </c>
      <c r="T2487" s="82" t="s">
        <v>9573</v>
      </c>
      <c r="U2487" s="84" t="s">
        <v>3584</v>
      </c>
      <c r="V2487" s="54"/>
    </row>
    <row r="2488" spans="1:22" s="11" customFormat="1" ht="45" customHeight="1" x14ac:dyDescent="0.2">
      <c r="A2488" s="66" t="s">
        <v>9523</v>
      </c>
      <c r="B2488" s="66" t="s">
        <v>1707</v>
      </c>
      <c r="C2488" s="66" t="s">
        <v>3578</v>
      </c>
      <c r="D2488" s="66">
        <v>70656</v>
      </c>
      <c r="E2488" s="68" t="s">
        <v>9574</v>
      </c>
      <c r="F2488" s="66" t="s">
        <v>9575</v>
      </c>
      <c r="G2488" s="71">
        <v>3900</v>
      </c>
      <c r="H2488" s="73"/>
      <c r="I2488" s="75">
        <v>0.1</v>
      </c>
      <c r="J2488" s="77"/>
      <c r="K2488" s="66"/>
      <c r="L2488" s="66"/>
      <c r="M2488" s="79" t="str">
        <f>HYPERLINK("http://www.pristavka.com/catalog/funko/Fun70656/")</f>
        <v>http://www.pristavka.com/catalog/funko/Fun70656/</v>
      </c>
      <c r="N2488" s="71">
        <v>5999</v>
      </c>
      <c r="O2488" s="66" t="s">
        <v>28</v>
      </c>
      <c r="P2488" s="82" t="s">
        <v>9576</v>
      </c>
      <c r="Q2488" s="84" t="s">
        <v>5324</v>
      </c>
      <c r="R2488" s="84" t="s">
        <v>3512</v>
      </c>
      <c r="S2488" s="84">
        <v>7.2999999999999995E-2</v>
      </c>
      <c r="T2488" s="82" t="s">
        <v>9535</v>
      </c>
      <c r="U2488" s="84" t="s">
        <v>3584</v>
      </c>
      <c r="V2488" s="54"/>
    </row>
    <row r="2489" spans="1:22" s="11" customFormat="1" ht="45" customHeight="1" x14ac:dyDescent="0.2">
      <c r="A2489" s="66" t="s">
        <v>9523</v>
      </c>
      <c r="B2489" s="66" t="s">
        <v>1707</v>
      </c>
      <c r="C2489" s="66" t="s">
        <v>3578</v>
      </c>
      <c r="D2489" s="66">
        <v>83978</v>
      </c>
      <c r="E2489" s="68" t="s">
        <v>9577</v>
      </c>
      <c r="F2489" s="66" t="s">
        <v>9578</v>
      </c>
      <c r="G2489" s="71">
        <v>3900</v>
      </c>
      <c r="H2489" s="73"/>
      <c r="I2489" s="75">
        <v>0.1</v>
      </c>
      <c r="J2489" s="77"/>
      <c r="K2489" s="66"/>
      <c r="L2489" s="66"/>
      <c r="M2489" s="79" t="str">
        <f>HYPERLINK("http://www.pristavka.com/catalog/funko/Fun83978/")</f>
        <v>http://www.pristavka.com/catalog/funko/Fun83978/</v>
      </c>
      <c r="N2489" s="71">
        <v>5999</v>
      </c>
      <c r="O2489" s="66" t="s">
        <v>27</v>
      </c>
      <c r="P2489" s="82" t="s">
        <v>9579</v>
      </c>
      <c r="Q2489" s="84"/>
      <c r="R2489" s="84" t="s">
        <v>3785</v>
      </c>
      <c r="S2489" s="84">
        <v>7.2999999999999995E-2</v>
      </c>
      <c r="T2489" s="82" t="s">
        <v>9573</v>
      </c>
      <c r="U2489" s="84" t="s">
        <v>3584</v>
      </c>
      <c r="V2489" s="54"/>
    </row>
    <row r="2490" spans="1:22" s="11" customFormat="1" ht="45" customHeight="1" x14ac:dyDescent="0.2">
      <c r="A2490" s="66" t="s">
        <v>9523</v>
      </c>
      <c r="B2490" s="66" t="s">
        <v>1707</v>
      </c>
      <c r="C2490" s="66" t="s">
        <v>3578</v>
      </c>
      <c r="D2490" s="66">
        <v>80257</v>
      </c>
      <c r="E2490" s="68" t="s">
        <v>9580</v>
      </c>
      <c r="F2490" s="66" t="s">
        <v>9581</v>
      </c>
      <c r="G2490" s="71">
        <v>3900</v>
      </c>
      <c r="H2490" s="73"/>
      <c r="I2490" s="75">
        <v>0.1</v>
      </c>
      <c r="J2490" s="77"/>
      <c r="K2490" s="66"/>
      <c r="L2490" s="66"/>
      <c r="M2490" s="79" t="str">
        <f>HYPERLINK("http://www.pristavka.com/catalog/funko/Fun80257/")</f>
        <v>http://www.pristavka.com/catalog/funko/Fun80257/</v>
      </c>
      <c r="N2490" s="71">
        <v>5999</v>
      </c>
      <c r="O2490" s="66" t="s">
        <v>27</v>
      </c>
      <c r="P2490" s="82" t="s">
        <v>9582</v>
      </c>
      <c r="Q2490" s="84" t="s">
        <v>1334</v>
      </c>
      <c r="R2490" s="84" t="s">
        <v>1068</v>
      </c>
      <c r="S2490" s="84">
        <v>5.8999999999999997E-2</v>
      </c>
      <c r="T2490" s="82" t="s">
        <v>9583</v>
      </c>
      <c r="U2490" s="84" t="s">
        <v>3584</v>
      </c>
      <c r="V2490" s="54"/>
    </row>
    <row r="2491" spans="1:22" s="11" customFormat="1" ht="45" customHeight="1" x14ac:dyDescent="0.2">
      <c r="A2491" s="66" t="s">
        <v>9523</v>
      </c>
      <c r="B2491" s="66" t="s">
        <v>1707</v>
      </c>
      <c r="C2491" s="66" t="s">
        <v>3578</v>
      </c>
      <c r="D2491" s="66">
        <v>87800</v>
      </c>
      <c r="E2491" s="68" t="s">
        <v>9584</v>
      </c>
      <c r="F2491" s="66" t="s">
        <v>9585</v>
      </c>
      <c r="G2491" s="71">
        <v>3250</v>
      </c>
      <c r="H2491" s="73"/>
      <c r="I2491" s="75">
        <v>0.1</v>
      </c>
      <c r="J2491" s="77"/>
      <c r="K2491" s="66"/>
      <c r="L2491" s="66"/>
      <c r="M2491" s="79" t="str">
        <f>HYPERLINK("http://www.pristavka.com/catalog/funko/Fun87800/")</f>
        <v>http://www.pristavka.com/catalog/funko/Fun87800/</v>
      </c>
      <c r="N2491" s="71">
        <v>4999</v>
      </c>
      <c r="O2491" s="66" t="s">
        <v>27</v>
      </c>
      <c r="P2491" s="82" t="s">
        <v>9586</v>
      </c>
      <c r="Q2491" s="84" t="s">
        <v>1223</v>
      </c>
      <c r="R2491" s="84" t="s">
        <v>1212</v>
      </c>
      <c r="S2491" s="84">
        <v>0.04</v>
      </c>
      <c r="T2491" s="82" t="s">
        <v>9587</v>
      </c>
      <c r="U2491" s="84" t="s">
        <v>3584</v>
      </c>
      <c r="V2491" s="54"/>
    </row>
    <row r="2492" spans="1:22" s="11" customFormat="1" ht="45" customHeight="1" x14ac:dyDescent="0.2">
      <c r="A2492" s="66" t="s">
        <v>9588</v>
      </c>
      <c r="B2492" s="66" t="s">
        <v>1707</v>
      </c>
      <c r="C2492" s="66" t="s">
        <v>3578</v>
      </c>
      <c r="D2492" s="66">
        <v>59561</v>
      </c>
      <c r="E2492" s="68" t="s">
        <v>9589</v>
      </c>
      <c r="F2492" s="66" t="s">
        <v>9590</v>
      </c>
      <c r="G2492" s="71">
        <v>9430</v>
      </c>
      <c r="H2492" s="73"/>
      <c r="I2492" s="75">
        <v>0.1</v>
      </c>
      <c r="J2492" s="77"/>
      <c r="K2492" s="66"/>
      <c r="L2492" s="66"/>
      <c r="M2492" s="79" t="str">
        <f>HYPERLINK("http://www.pristavka.com/catalog/funko/Fun254840/")</f>
        <v>http://www.pristavka.com/catalog/funko/Fun254840/</v>
      </c>
      <c r="N2492" s="71">
        <v>14499</v>
      </c>
      <c r="O2492" s="66" t="s">
        <v>27</v>
      </c>
      <c r="P2492" s="82" t="s">
        <v>9591</v>
      </c>
      <c r="Q2492" s="84" t="s">
        <v>1419</v>
      </c>
      <c r="R2492" s="84" t="s">
        <v>3630</v>
      </c>
      <c r="S2492" s="84">
        <v>0.08</v>
      </c>
      <c r="T2492" s="82" t="s">
        <v>9592</v>
      </c>
      <c r="U2492" s="84" t="s">
        <v>3584</v>
      </c>
      <c r="V2492" s="54"/>
    </row>
    <row r="2493" spans="1:22" s="11" customFormat="1" ht="45" customHeight="1" x14ac:dyDescent="0.2">
      <c r="A2493" s="66" t="s">
        <v>9588</v>
      </c>
      <c r="B2493" s="66" t="s">
        <v>1707</v>
      </c>
      <c r="C2493" s="66" t="s">
        <v>3578</v>
      </c>
      <c r="D2493" s="66">
        <v>64221</v>
      </c>
      <c r="E2493" s="68" t="s">
        <v>9593</v>
      </c>
      <c r="F2493" s="66" t="s">
        <v>9594</v>
      </c>
      <c r="G2493" s="71">
        <v>9430</v>
      </c>
      <c r="H2493" s="73"/>
      <c r="I2493" s="75">
        <v>0.1</v>
      </c>
      <c r="J2493" s="77"/>
      <c r="K2493" s="66"/>
      <c r="L2493" s="66"/>
      <c r="M2493" s="79" t="str">
        <f>HYPERLINK("http://www.pristavka.com/catalog/funko/Fun64221/")</f>
        <v>http://www.pristavka.com/catalog/funko/Fun64221/</v>
      </c>
      <c r="N2493" s="71">
        <v>14499</v>
      </c>
      <c r="O2493" s="66" t="s">
        <v>28</v>
      </c>
      <c r="P2493" s="82" t="s">
        <v>9595</v>
      </c>
      <c r="Q2493" s="84" t="s">
        <v>1419</v>
      </c>
      <c r="R2493" s="84" t="s">
        <v>3630</v>
      </c>
      <c r="S2493" s="84">
        <v>7.6999999999999999E-2</v>
      </c>
      <c r="T2493" s="82" t="s">
        <v>9596</v>
      </c>
      <c r="U2493" s="84" t="s">
        <v>3584</v>
      </c>
      <c r="V2493" s="54"/>
    </row>
    <row r="2494" spans="1:22" s="11" customFormat="1" ht="45" customHeight="1" x14ac:dyDescent="0.2">
      <c r="A2494" s="66" t="s">
        <v>9588</v>
      </c>
      <c r="B2494" s="66" t="s">
        <v>1707</v>
      </c>
      <c r="C2494" s="66" t="s">
        <v>3578</v>
      </c>
      <c r="D2494" s="66">
        <v>64224</v>
      </c>
      <c r="E2494" s="68" t="s">
        <v>9597</v>
      </c>
      <c r="F2494" s="66" t="s">
        <v>9598</v>
      </c>
      <c r="G2494" s="71">
        <v>9430</v>
      </c>
      <c r="H2494" s="73"/>
      <c r="I2494" s="75">
        <v>0.1</v>
      </c>
      <c r="J2494" s="77"/>
      <c r="K2494" s="66"/>
      <c r="L2494" s="66"/>
      <c r="M2494" s="79" t="str">
        <f>HYPERLINK("http://www.pristavka.com/catalog/funko/Fun64224/")</f>
        <v>http://www.pristavka.com/catalog/funko/Fun64224/</v>
      </c>
      <c r="N2494" s="71">
        <v>14499</v>
      </c>
      <c r="O2494" s="66" t="s">
        <v>27</v>
      </c>
      <c r="P2494" s="82" t="s">
        <v>9599</v>
      </c>
      <c r="Q2494" s="84" t="s">
        <v>1419</v>
      </c>
      <c r="R2494" s="84" t="s">
        <v>3630</v>
      </c>
      <c r="S2494" s="84">
        <v>8.4000000000000005E-2</v>
      </c>
      <c r="T2494" s="82" t="s">
        <v>9600</v>
      </c>
      <c r="U2494" s="84" t="s">
        <v>3584</v>
      </c>
      <c r="V2494" s="54"/>
    </row>
    <row r="2495" spans="1:22" s="11" customFormat="1" ht="45" customHeight="1" x14ac:dyDescent="0.2">
      <c r="A2495" s="66" t="s">
        <v>9588</v>
      </c>
      <c r="B2495" s="66" t="s">
        <v>1707</v>
      </c>
      <c r="C2495" s="66" t="s">
        <v>3578</v>
      </c>
      <c r="D2495" s="66">
        <v>81182</v>
      </c>
      <c r="E2495" s="68" t="s">
        <v>9601</v>
      </c>
      <c r="F2495" s="66" t="s">
        <v>9602</v>
      </c>
      <c r="G2495" s="71">
        <v>9430</v>
      </c>
      <c r="H2495" s="73"/>
      <c r="I2495" s="75">
        <v>0.1</v>
      </c>
      <c r="J2495" s="77"/>
      <c r="K2495" s="66"/>
      <c r="L2495" s="66"/>
      <c r="M2495" s="79" t="str">
        <f>HYPERLINK("http://www.pristavka.com/catalog/funko/Fun81182/")</f>
        <v>http://www.pristavka.com/catalog/funko/Fun81182/</v>
      </c>
      <c r="N2495" s="71">
        <v>14499</v>
      </c>
      <c r="O2495" s="66" t="s">
        <v>27</v>
      </c>
      <c r="P2495" s="82" t="s">
        <v>9603</v>
      </c>
      <c r="Q2495" s="84" t="s">
        <v>6141</v>
      </c>
      <c r="R2495" s="84" t="s">
        <v>1212</v>
      </c>
      <c r="S2495" s="84">
        <v>0.186</v>
      </c>
      <c r="T2495" s="82" t="s">
        <v>9604</v>
      </c>
      <c r="U2495" s="84" t="s">
        <v>3584</v>
      </c>
      <c r="V2495" s="54"/>
    </row>
    <row r="2496" spans="1:22" s="11" customFormat="1" ht="45" customHeight="1" x14ac:dyDescent="0.2">
      <c r="A2496" s="66" t="s">
        <v>1963</v>
      </c>
      <c r="B2496" s="66" t="s">
        <v>1155</v>
      </c>
      <c r="C2496" s="66" t="s">
        <v>9605</v>
      </c>
      <c r="D2496" s="66">
        <v>6974096534173</v>
      </c>
      <c r="E2496" s="68" t="s">
        <v>9606</v>
      </c>
      <c r="F2496" s="66" t="s">
        <v>9607</v>
      </c>
      <c r="G2496" s="71">
        <v>4088</v>
      </c>
      <c r="H2496" s="73"/>
      <c r="I2496" s="75">
        <v>0.2</v>
      </c>
      <c r="J2496" s="77"/>
      <c r="K2496" s="66"/>
      <c r="L2496" s="66"/>
      <c r="M2496" s="79" t="str">
        <f>HYPERLINK("http://www.pristavka.com/catalog/Genshin Impact/GEN16/")</f>
        <v>http://www.pristavka.com/catalog/Genshin Impact/GEN16/</v>
      </c>
      <c r="N2496" s="71">
        <v>6899</v>
      </c>
      <c r="O2496" s="66" t="s">
        <v>27</v>
      </c>
      <c r="P2496" s="82" t="s">
        <v>9608</v>
      </c>
      <c r="Q2496" s="84" t="s">
        <v>1963</v>
      </c>
      <c r="R2496" s="84" t="s">
        <v>9605</v>
      </c>
      <c r="S2496" s="84">
        <v>0.11799999999999999</v>
      </c>
      <c r="T2496" s="82" t="s">
        <v>9609</v>
      </c>
      <c r="U2496" s="84" t="s">
        <v>2255</v>
      </c>
      <c r="V2496" s="54"/>
    </row>
    <row r="2497" spans="1:22" s="11" customFormat="1" ht="45" customHeight="1" x14ac:dyDescent="0.2">
      <c r="A2497" s="66" t="s">
        <v>1963</v>
      </c>
      <c r="B2497" s="66" t="s">
        <v>1155</v>
      </c>
      <c r="C2497" s="66" t="s">
        <v>9605</v>
      </c>
      <c r="D2497" s="66">
        <v>6975213680124</v>
      </c>
      <c r="E2497" s="68" t="s">
        <v>9610</v>
      </c>
      <c r="F2497" s="66" t="s">
        <v>9611</v>
      </c>
      <c r="G2497" s="71">
        <v>4722</v>
      </c>
      <c r="H2497" s="73"/>
      <c r="I2497" s="75">
        <v>0.2</v>
      </c>
      <c r="J2497" s="77"/>
      <c r="K2497" s="66"/>
      <c r="L2497" s="66"/>
      <c r="M2497" s="79" t="str">
        <f>HYPERLINK("http://www.pristavka.com/catalog/Genshin Impact/GEN461/")</f>
        <v>http://www.pristavka.com/catalog/Genshin Impact/GEN461/</v>
      </c>
      <c r="N2497" s="71">
        <v>7899</v>
      </c>
      <c r="O2497" s="66" t="s">
        <v>27</v>
      </c>
      <c r="P2497" s="82" t="s">
        <v>9612</v>
      </c>
      <c r="Q2497" s="84" t="s">
        <v>1963</v>
      </c>
      <c r="R2497" s="84" t="s">
        <v>9605</v>
      </c>
      <c r="S2497" s="84">
        <v>0.10299999999999999</v>
      </c>
      <c r="T2497" s="82" t="s">
        <v>9613</v>
      </c>
      <c r="U2497" s="84" t="s">
        <v>2255</v>
      </c>
      <c r="V2497" s="54"/>
    </row>
    <row r="2498" spans="1:22" s="11" customFormat="1" ht="45" customHeight="1" x14ac:dyDescent="0.2">
      <c r="A2498" s="66" t="s">
        <v>1963</v>
      </c>
      <c r="B2498" s="66" t="s">
        <v>1155</v>
      </c>
      <c r="C2498" s="66" t="s">
        <v>9605</v>
      </c>
      <c r="D2498" s="66">
        <v>6975213689608</v>
      </c>
      <c r="E2498" s="68" t="s">
        <v>9614</v>
      </c>
      <c r="F2498" s="66" t="s">
        <v>9615</v>
      </c>
      <c r="G2498" s="71">
        <v>3455</v>
      </c>
      <c r="H2498" s="73"/>
      <c r="I2498" s="75">
        <v>0.2</v>
      </c>
      <c r="J2498" s="77"/>
      <c r="K2498" s="66"/>
      <c r="L2498" s="66"/>
      <c r="M2498" s="79" t="str">
        <f>HYPERLINK("http://www.pristavka.com/catalog/Genshin Impact/GEN462/")</f>
        <v>http://www.pristavka.com/catalog/Genshin Impact/GEN462/</v>
      </c>
      <c r="N2498" s="71">
        <v>5799</v>
      </c>
      <c r="O2498" s="66" t="s">
        <v>27</v>
      </c>
      <c r="P2498" s="82" t="s">
        <v>9616</v>
      </c>
      <c r="Q2498" s="84" t="s">
        <v>1963</v>
      </c>
      <c r="R2498" s="84" t="s">
        <v>9605</v>
      </c>
      <c r="S2498" s="84">
        <v>6.3E-2</v>
      </c>
      <c r="T2498" s="82" t="s">
        <v>9617</v>
      </c>
      <c r="U2498" s="84" t="s">
        <v>2255</v>
      </c>
      <c r="V2498" s="54"/>
    </row>
    <row r="2499" spans="1:22" s="11" customFormat="1" ht="45" customHeight="1" x14ac:dyDescent="0.2">
      <c r="A2499" s="66" t="s">
        <v>1963</v>
      </c>
      <c r="B2499" s="66" t="s">
        <v>1155</v>
      </c>
      <c r="C2499" s="66" t="s">
        <v>9605</v>
      </c>
      <c r="D2499" s="66">
        <v>6976068141341</v>
      </c>
      <c r="E2499" s="68" t="s">
        <v>9618</v>
      </c>
      <c r="F2499" s="66" t="s">
        <v>9619</v>
      </c>
      <c r="G2499" s="71">
        <v>3455</v>
      </c>
      <c r="H2499" s="73"/>
      <c r="I2499" s="75">
        <v>0.2</v>
      </c>
      <c r="J2499" s="77"/>
      <c r="K2499" s="66"/>
      <c r="L2499" s="66"/>
      <c r="M2499" s="79" t="str">
        <f>HYPERLINK("http://www.pristavka.com/catalog/Genshin Impact/GEN460/")</f>
        <v>http://www.pristavka.com/catalog/Genshin Impact/GEN460/</v>
      </c>
      <c r="N2499" s="71">
        <v>5799</v>
      </c>
      <c r="O2499" s="66" t="s">
        <v>27</v>
      </c>
      <c r="P2499" s="82" t="s">
        <v>9620</v>
      </c>
      <c r="Q2499" s="84" t="s">
        <v>1963</v>
      </c>
      <c r="R2499" s="84" t="s">
        <v>9605</v>
      </c>
      <c r="S2499" s="84">
        <v>8.1000000000000003E-2</v>
      </c>
      <c r="T2499" s="82" t="s">
        <v>9617</v>
      </c>
      <c r="U2499" s="84" t="s">
        <v>2255</v>
      </c>
      <c r="V2499" s="54"/>
    </row>
    <row r="2500" spans="1:22" s="11" customFormat="1" ht="45" customHeight="1" x14ac:dyDescent="0.2">
      <c r="A2500" s="66" t="s">
        <v>1963</v>
      </c>
      <c r="B2500" s="66" t="s">
        <v>1155</v>
      </c>
      <c r="C2500" s="66" t="s">
        <v>9605</v>
      </c>
      <c r="D2500" s="66">
        <v>6974096530069</v>
      </c>
      <c r="E2500" s="68" t="s">
        <v>9621</v>
      </c>
      <c r="F2500" s="66" t="s">
        <v>9622</v>
      </c>
      <c r="G2500" s="71">
        <v>3455</v>
      </c>
      <c r="H2500" s="73"/>
      <c r="I2500" s="75">
        <v>0.2</v>
      </c>
      <c r="J2500" s="77"/>
      <c r="K2500" s="66"/>
      <c r="L2500" s="66"/>
      <c r="M2500" s="79" t="str">
        <f>HYPERLINK("http://www.pristavka.com/catalog/Genshin Impact/GEN458/")</f>
        <v>http://www.pristavka.com/catalog/Genshin Impact/GEN458/</v>
      </c>
      <c r="N2500" s="71">
        <v>5799</v>
      </c>
      <c r="O2500" s="66" t="s">
        <v>27</v>
      </c>
      <c r="P2500" s="82" t="s">
        <v>9623</v>
      </c>
      <c r="Q2500" s="84" t="s">
        <v>1963</v>
      </c>
      <c r="R2500" s="84" t="s">
        <v>9605</v>
      </c>
      <c r="S2500" s="84">
        <v>7.9000000000000001E-2</v>
      </c>
      <c r="T2500" s="82" t="s">
        <v>9617</v>
      </c>
      <c r="U2500" s="84" t="s">
        <v>2255</v>
      </c>
      <c r="V2500" s="54"/>
    </row>
    <row r="2501" spans="1:22" s="11" customFormat="1" ht="45" customHeight="1" x14ac:dyDescent="0.2">
      <c r="A2501" s="66" t="s">
        <v>1963</v>
      </c>
      <c r="B2501" s="66" t="s">
        <v>1155</v>
      </c>
      <c r="C2501" s="66" t="s">
        <v>9605</v>
      </c>
      <c r="D2501" s="66">
        <v>6975628249183</v>
      </c>
      <c r="E2501" s="68" t="s">
        <v>9624</v>
      </c>
      <c r="F2501" s="66" t="s">
        <v>9625</v>
      </c>
      <c r="G2501" s="71">
        <v>3455</v>
      </c>
      <c r="H2501" s="73"/>
      <c r="I2501" s="75">
        <v>0.2</v>
      </c>
      <c r="J2501" s="77"/>
      <c r="K2501" s="66"/>
      <c r="L2501" s="66"/>
      <c r="M2501" s="79" t="str">
        <f>HYPERLINK("http://www.pristavka.com/catalog/Genshin Impact/GEN468/")</f>
        <v>http://www.pristavka.com/catalog/Genshin Impact/GEN468/</v>
      </c>
      <c r="N2501" s="71">
        <v>5799</v>
      </c>
      <c r="O2501" s="66" t="s">
        <v>27</v>
      </c>
      <c r="P2501" s="82" t="s">
        <v>9626</v>
      </c>
      <c r="Q2501" s="84" t="s">
        <v>1963</v>
      </c>
      <c r="R2501" s="84" t="s">
        <v>9605</v>
      </c>
      <c r="S2501" s="84">
        <v>9.7000000000000003E-2</v>
      </c>
      <c r="T2501" s="82" t="s">
        <v>9627</v>
      </c>
      <c r="U2501" s="84" t="s">
        <v>2255</v>
      </c>
      <c r="V2501" s="54"/>
    </row>
    <row r="2502" spans="1:22" s="11" customFormat="1" ht="45" customHeight="1" x14ac:dyDescent="0.2">
      <c r="A2502" s="66" t="s">
        <v>1963</v>
      </c>
      <c r="B2502" s="66" t="s">
        <v>1155</v>
      </c>
      <c r="C2502" s="66" t="s">
        <v>9605</v>
      </c>
      <c r="D2502" s="66">
        <v>6975628249152</v>
      </c>
      <c r="E2502" s="68" t="s">
        <v>9628</v>
      </c>
      <c r="F2502" s="66" t="s">
        <v>9629</v>
      </c>
      <c r="G2502" s="71">
        <v>3455</v>
      </c>
      <c r="H2502" s="73"/>
      <c r="I2502" s="75">
        <v>0.2</v>
      </c>
      <c r="J2502" s="77"/>
      <c r="K2502" s="66"/>
      <c r="L2502" s="66"/>
      <c r="M2502" s="79" t="str">
        <f>HYPERLINK("http://www.pristavka.com/catalog/Genshin Impact/GEN465/")</f>
        <v>http://www.pristavka.com/catalog/Genshin Impact/GEN465/</v>
      </c>
      <c r="N2502" s="71">
        <v>5799</v>
      </c>
      <c r="O2502" s="66" t="s">
        <v>27</v>
      </c>
      <c r="P2502" s="82" t="s">
        <v>9630</v>
      </c>
      <c r="Q2502" s="84" t="s">
        <v>1963</v>
      </c>
      <c r="R2502" s="84" t="s">
        <v>9605</v>
      </c>
      <c r="S2502" s="84">
        <v>0.109</v>
      </c>
      <c r="T2502" s="82" t="s">
        <v>9627</v>
      </c>
      <c r="U2502" s="84" t="s">
        <v>2255</v>
      </c>
      <c r="V2502" s="54"/>
    </row>
    <row r="2503" spans="1:22" s="11" customFormat="1" ht="45" customHeight="1" x14ac:dyDescent="0.2">
      <c r="A2503" s="66" t="s">
        <v>1963</v>
      </c>
      <c r="B2503" s="66" t="s">
        <v>1155</v>
      </c>
      <c r="C2503" s="66" t="s">
        <v>9605</v>
      </c>
      <c r="D2503" s="66">
        <v>6976068141334</v>
      </c>
      <c r="E2503" s="68" t="s">
        <v>9631</v>
      </c>
      <c r="F2503" s="66" t="s">
        <v>9632</v>
      </c>
      <c r="G2503" s="71">
        <v>3455</v>
      </c>
      <c r="H2503" s="73"/>
      <c r="I2503" s="75">
        <v>0.2</v>
      </c>
      <c r="J2503" s="77"/>
      <c r="K2503" s="66"/>
      <c r="L2503" s="66"/>
      <c r="M2503" s="79" t="str">
        <f>HYPERLINK("http://www.pristavka.com/catalog/Genshin Impact/GEN473/")</f>
        <v>http://www.pristavka.com/catalog/Genshin Impact/GEN473/</v>
      </c>
      <c r="N2503" s="71">
        <v>5799</v>
      </c>
      <c r="O2503" s="66" t="s">
        <v>27</v>
      </c>
      <c r="P2503" s="82" t="s">
        <v>9633</v>
      </c>
      <c r="Q2503" s="84" t="s">
        <v>1963</v>
      </c>
      <c r="R2503" s="84" t="s">
        <v>9605</v>
      </c>
      <c r="S2503" s="84">
        <v>0.10100000000000001</v>
      </c>
      <c r="T2503" s="82" t="s">
        <v>9617</v>
      </c>
      <c r="U2503" s="84" t="s">
        <v>2255</v>
      </c>
      <c r="V2503" s="54"/>
    </row>
    <row r="2504" spans="1:22" s="11" customFormat="1" ht="45" customHeight="1" x14ac:dyDescent="0.2">
      <c r="A2504" s="66" t="s">
        <v>1963</v>
      </c>
      <c r="B2504" s="66" t="s">
        <v>1155</v>
      </c>
      <c r="C2504" s="66" t="s">
        <v>9605</v>
      </c>
      <c r="D2504" s="66">
        <v>6975628249176</v>
      </c>
      <c r="E2504" s="68" t="s">
        <v>9634</v>
      </c>
      <c r="F2504" s="66" t="s">
        <v>9635</v>
      </c>
      <c r="G2504" s="71">
        <v>3455</v>
      </c>
      <c r="H2504" s="73"/>
      <c r="I2504" s="75">
        <v>0.2</v>
      </c>
      <c r="J2504" s="77"/>
      <c r="K2504" s="66"/>
      <c r="L2504" s="66"/>
      <c r="M2504" s="79" t="str">
        <f>HYPERLINK("http://www.pristavka.com/catalog/Genshin Impact/GEN467/")</f>
        <v>http://www.pristavka.com/catalog/Genshin Impact/GEN467/</v>
      </c>
      <c r="N2504" s="71">
        <v>5799</v>
      </c>
      <c r="O2504" s="66" t="s">
        <v>27</v>
      </c>
      <c r="P2504" s="82" t="s">
        <v>9636</v>
      </c>
      <c r="Q2504" s="84" t="s">
        <v>1963</v>
      </c>
      <c r="R2504" s="84" t="s">
        <v>9605</v>
      </c>
      <c r="S2504" s="84">
        <v>8.7999999999999995E-2</v>
      </c>
      <c r="T2504" s="82" t="s">
        <v>9617</v>
      </c>
      <c r="U2504" s="84" t="s">
        <v>2255</v>
      </c>
      <c r="V2504" s="54"/>
    </row>
    <row r="2505" spans="1:22" s="11" customFormat="1" ht="45" customHeight="1" x14ac:dyDescent="0.2">
      <c r="A2505" s="66" t="s">
        <v>1963</v>
      </c>
      <c r="B2505" s="66" t="s">
        <v>1155</v>
      </c>
      <c r="C2505" s="66" t="s">
        <v>9605</v>
      </c>
      <c r="D2505" s="66">
        <v>6975628249220</v>
      </c>
      <c r="E2505" s="68" t="s">
        <v>9637</v>
      </c>
      <c r="F2505" s="66" t="s">
        <v>9638</v>
      </c>
      <c r="G2505" s="71">
        <v>3455</v>
      </c>
      <c r="H2505" s="73"/>
      <c r="I2505" s="75">
        <v>0.2</v>
      </c>
      <c r="J2505" s="77"/>
      <c r="K2505" s="66"/>
      <c r="L2505" s="66"/>
      <c r="M2505" s="79" t="str">
        <f>HYPERLINK("http://www.pristavka.com/catalog/Genshin Impact/GEN472/")</f>
        <v>http://www.pristavka.com/catalog/Genshin Impact/GEN472/</v>
      </c>
      <c r="N2505" s="71">
        <v>5799</v>
      </c>
      <c r="O2505" s="66" t="s">
        <v>27</v>
      </c>
      <c r="P2505" s="82" t="s">
        <v>9639</v>
      </c>
      <c r="Q2505" s="84" t="s">
        <v>1963</v>
      </c>
      <c r="R2505" s="84" t="s">
        <v>9605</v>
      </c>
      <c r="S2505" s="84">
        <v>8.7999999999999995E-2</v>
      </c>
      <c r="T2505" s="82" t="s">
        <v>9617</v>
      </c>
      <c r="U2505" s="84" t="s">
        <v>2255</v>
      </c>
      <c r="V2505" s="54"/>
    </row>
    <row r="2506" spans="1:22" s="11" customFormat="1" ht="45" customHeight="1" x14ac:dyDescent="0.2">
      <c r="A2506" s="66" t="s">
        <v>1963</v>
      </c>
      <c r="B2506" s="66" t="s">
        <v>1155</v>
      </c>
      <c r="C2506" s="66" t="s">
        <v>9605</v>
      </c>
      <c r="D2506" s="66">
        <v>6975628249206</v>
      </c>
      <c r="E2506" s="68" t="s">
        <v>9640</v>
      </c>
      <c r="F2506" s="66" t="s">
        <v>9641</v>
      </c>
      <c r="G2506" s="71">
        <v>3455</v>
      </c>
      <c r="H2506" s="73"/>
      <c r="I2506" s="75">
        <v>0.2</v>
      </c>
      <c r="J2506" s="77"/>
      <c r="K2506" s="66"/>
      <c r="L2506" s="66"/>
      <c r="M2506" s="79" t="str">
        <f>HYPERLINK("http://www.pristavka.com/catalog/Genshin Impact/GEN470/")</f>
        <v>http://www.pristavka.com/catalog/Genshin Impact/GEN470/</v>
      </c>
      <c r="N2506" s="71">
        <v>5799</v>
      </c>
      <c r="O2506" s="66" t="s">
        <v>27</v>
      </c>
      <c r="P2506" s="82" t="s">
        <v>9642</v>
      </c>
      <c r="Q2506" s="84" t="s">
        <v>1963</v>
      </c>
      <c r="R2506" s="84" t="s">
        <v>9605</v>
      </c>
      <c r="S2506" s="84">
        <v>8.8999999999999996E-2</v>
      </c>
      <c r="T2506" s="82" t="s">
        <v>9617</v>
      </c>
      <c r="U2506" s="84" t="s">
        <v>2255</v>
      </c>
      <c r="V2506" s="54"/>
    </row>
    <row r="2507" spans="1:22" s="11" customFormat="1" ht="45" customHeight="1" x14ac:dyDescent="0.2">
      <c r="A2507" s="66" t="s">
        <v>1963</v>
      </c>
      <c r="B2507" s="66" t="s">
        <v>1155</v>
      </c>
      <c r="C2507" s="66" t="s">
        <v>9605</v>
      </c>
      <c r="D2507" s="66">
        <v>6975628249145</v>
      </c>
      <c r="E2507" s="68" t="s">
        <v>9643</v>
      </c>
      <c r="F2507" s="66" t="s">
        <v>9644</v>
      </c>
      <c r="G2507" s="71">
        <v>3455</v>
      </c>
      <c r="H2507" s="73"/>
      <c r="I2507" s="75">
        <v>0.2</v>
      </c>
      <c r="J2507" s="77"/>
      <c r="K2507" s="66"/>
      <c r="L2507" s="66"/>
      <c r="M2507" s="79" t="str">
        <f>HYPERLINK("http://www.pristavka.com/catalog/Genshin Impact/GEN464/")</f>
        <v>http://www.pristavka.com/catalog/Genshin Impact/GEN464/</v>
      </c>
      <c r="N2507" s="71">
        <v>5799</v>
      </c>
      <c r="O2507" s="66" t="s">
        <v>27</v>
      </c>
      <c r="P2507" s="82" t="s">
        <v>9645</v>
      </c>
      <c r="Q2507" s="84" t="s">
        <v>1963</v>
      </c>
      <c r="R2507" s="84" t="s">
        <v>9605</v>
      </c>
      <c r="S2507" s="84">
        <v>0.09</v>
      </c>
      <c r="T2507" s="82" t="s">
        <v>9617</v>
      </c>
      <c r="U2507" s="84" t="s">
        <v>2255</v>
      </c>
      <c r="V2507" s="54"/>
    </row>
    <row r="2508" spans="1:22" s="11" customFormat="1" ht="45" customHeight="1" x14ac:dyDescent="0.2">
      <c r="A2508" s="66" t="s">
        <v>1963</v>
      </c>
      <c r="B2508" s="66" t="s">
        <v>1155</v>
      </c>
      <c r="C2508" s="66" t="s">
        <v>9605</v>
      </c>
      <c r="D2508" s="66">
        <v>6975628249213</v>
      </c>
      <c r="E2508" s="68" t="s">
        <v>9646</v>
      </c>
      <c r="F2508" s="66" t="s">
        <v>9647</v>
      </c>
      <c r="G2508" s="71">
        <v>3771</v>
      </c>
      <c r="H2508" s="73"/>
      <c r="I2508" s="75">
        <v>0.2</v>
      </c>
      <c r="J2508" s="77"/>
      <c r="K2508" s="66"/>
      <c r="L2508" s="66"/>
      <c r="M2508" s="79" t="str">
        <f>HYPERLINK("http://www.pristavka.com/catalog/Genshin Impact/GEN471/")</f>
        <v>http://www.pristavka.com/catalog/Genshin Impact/GEN471/</v>
      </c>
      <c r="N2508" s="71">
        <v>6299</v>
      </c>
      <c r="O2508" s="66" t="s">
        <v>27</v>
      </c>
      <c r="P2508" s="82" t="s">
        <v>9648</v>
      </c>
      <c r="Q2508" s="84" t="s">
        <v>1963</v>
      </c>
      <c r="R2508" s="84" t="s">
        <v>9605</v>
      </c>
      <c r="S2508" s="84">
        <v>9.7000000000000003E-2</v>
      </c>
      <c r="T2508" s="82" t="s">
        <v>9617</v>
      </c>
      <c r="U2508" s="84" t="s">
        <v>2255</v>
      </c>
      <c r="V2508" s="54"/>
    </row>
    <row r="2509" spans="1:22" s="11" customFormat="1" ht="45" customHeight="1" x14ac:dyDescent="0.2">
      <c r="A2509" s="66" t="s">
        <v>1963</v>
      </c>
      <c r="B2509" s="66" t="s">
        <v>1155</v>
      </c>
      <c r="C2509" s="66" t="s">
        <v>9605</v>
      </c>
      <c r="D2509" s="66">
        <v>6975628249138</v>
      </c>
      <c r="E2509" s="68" t="s">
        <v>9649</v>
      </c>
      <c r="F2509" s="66" t="s">
        <v>9650</v>
      </c>
      <c r="G2509" s="71">
        <v>3455</v>
      </c>
      <c r="H2509" s="73"/>
      <c r="I2509" s="75">
        <v>0.2</v>
      </c>
      <c r="J2509" s="77"/>
      <c r="K2509" s="66"/>
      <c r="L2509" s="66"/>
      <c r="M2509" s="79" t="str">
        <f>HYPERLINK("http://www.pristavka.com/catalog/Genshin Impact/GEN463/")</f>
        <v>http://www.pristavka.com/catalog/Genshin Impact/GEN463/</v>
      </c>
      <c r="N2509" s="71">
        <v>5799</v>
      </c>
      <c r="O2509" s="66" t="s">
        <v>27</v>
      </c>
      <c r="P2509" s="82" t="s">
        <v>9651</v>
      </c>
      <c r="Q2509" s="84" t="s">
        <v>1963</v>
      </c>
      <c r="R2509" s="84" t="s">
        <v>9605</v>
      </c>
      <c r="S2509" s="84">
        <v>9.6000000000000002E-2</v>
      </c>
      <c r="T2509" s="82" t="s">
        <v>9617</v>
      </c>
      <c r="U2509" s="84" t="s">
        <v>2255</v>
      </c>
      <c r="V2509" s="54"/>
    </row>
    <row r="2510" spans="1:22" s="11" customFormat="1" ht="45" customHeight="1" x14ac:dyDescent="0.2">
      <c r="A2510" s="66" t="s">
        <v>1963</v>
      </c>
      <c r="B2510" s="66" t="s">
        <v>1155</v>
      </c>
      <c r="C2510" s="66" t="s">
        <v>9605</v>
      </c>
      <c r="D2510" s="66">
        <v>6976068149712</v>
      </c>
      <c r="E2510" s="68" t="s">
        <v>9652</v>
      </c>
      <c r="F2510" s="66" t="s">
        <v>9653</v>
      </c>
      <c r="G2510" s="71">
        <v>3455</v>
      </c>
      <c r="H2510" s="73"/>
      <c r="I2510" s="75">
        <v>0.2</v>
      </c>
      <c r="J2510" s="77"/>
      <c r="K2510" s="66"/>
      <c r="L2510" s="66"/>
      <c r="M2510" s="79" t="str">
        <f>HYPERLINK("http://www.pristavka.com/catalog/Genshin Impact/GEN969/")</f>
        <v>http://www.pristavka.com/catalog/Genshin Impact/GEN969/</v>
      </c>
      <c r="N2510" s="71">
        <v>5799</v>
      </c>
      <c r="O2510" s="66" t="s">
        <v>27</v>
      </c>
      <c r="P2510" s="82" t="s">
        <v>9654</v>
      </c>
      <c r="Q2510" s="84" t="s">
        <v>1963</v>
      </c>
      <c r="R2510" s="84" t="s">
        <v>9605</v>
      </c>
      <c r="S2510" s="84">
        <v>0.06</v>
      </c>
      <c r="T2510" s="82" t="s">
        <v>9655</v>
      </c>
      <c r="U2510" s="84" t="s">
        <v>2255</v>
      </c>
      <c r="V2510" s="54"/>
    </row>
    <row r="2511" spans="1:22" s="11" customFormat="1" ht="45" customHeight="1" x14ac:dyDescent="0.2">
      <c r="A2511" s="66" t="s">
        <v>1963</v>
      </c>
      <c r="B2511" s="66" t="s">
        <v>1155</v>
      </c>
      <c r="C2511" s="66" t="s">
        <v>9605</v>
      </c>
      <c r="D2511" s="66">
        <v>6976525004103</v>
      </c>
      <c r="E2511" s="68" t="s">
        <v>9656</v>
      </c>
      <c r="F2511" s="66" t="s">
        <v>9657</v>
      </c>
      <c r="G2511" s="71">
        <v>3771</v>
      </c>
      <c r="H2511" s="73"/>
      <c r="I2511" s="75">
        <v>0.2</v>
      </c>
      <c r="J2511" s="77"/>
      <c r="K2511" s="66"/>
      <c r="L2511" s="66"/>
      <c r="M2511" s="79" t="str">
        <f>HYPERLINK("http://www.pristavka.com/catalog/Genshin Impact/GEN941/")</f>
        <v>http://www.pristavka.com/catalog/Genshin Impact/GEN941/</v>
      </c>
      <c r="N2511" s="71">
        <v>6299</v>
      </c>
      <c r="O2511" s="66" t="s">
        <v>27</v>
      </c>
      <c r="P2511" s="82" t="s">
        <v>9658</v>
      </c>
      <c r="Q2511" s="84" t="s">
        <v>1963</v>
      </c>
      <c r="R2511" s="84" t="s">
        <v>9605</v>
      </c>
      <c r="S2511" s="84">
        <v>0.08</v>
      </c>
      <c r="T2511" s="82" t="s">
        <v>9659</v>
      </c>
      <c r="U2511" s="84" t="s">
        <v>2255</v>
      </c>
      <c r="V2511" s="54"/>
    </row>
    <row r="2512" spans="1:22" s="11" customFormat="1" ht="45" customHeight="1" x14ac:dyDescent="0.2">
      <c r="A2512" s="66" t="s">
        <v>1963</v>
      </c>
      <c r="B2512" s="66" t="s">
        <v>1155</v>
      </c>
      <c r="C2512" s="66" t="s">
        <v>9605</v>
      </c>
      <c r="D2512" s="66">
        <v>6972957482854</v>
      </c>
      <c r="E2512" s="68" t="s">
        <v>9660</v>
      </c>
      <c r="F2512" s="66" t="s">
        <v>9661</v>
      </c>
      <c r="G2512" s="71">
        <v>3006</v>
      </c>
      <c r="H2512" s="73"/>
      <c r="I2512" s="75">
        <v>0.2</v>
      </c>
      <c r="J2512" s="77"/>
      <c r="K2512" s="66"/>
      <c r="L2512" s="66"/>
      <c r="M2512" s="79" t="str">
        <f>HYPERLINK("http://www.pristavka.com/catalog/Genshin Impact/GEN33/")</f>
        <v>http://www.pristavka.com/catalog/Genshin Impact/GEN33/</v>
      </c>
      <c r="N2512" s="71">
        <v>5099</v>
      </c>
      <c r="O2512" s="66" t="s">
        <v>27</v>
      </c>
      <c r="P2512" s="82" t="s">
        <v>9662</v>
      </c>
      <c r="Q2512" s="84" t="s">
        <v>1963</v>
      </c>
      <c r="R2512" s="84" t="s">
        <v>9605</v>
      </c>
      <c r="S2512" s="84">
        <v>7.8E-2</v>
      </c>
      <c r="T2512" s="82" t="s">
        <v>9659</v>
      </c>
      <c r="U2512" s="84" t="s">
        <v>2255</v>
      </c>
      <c r="V2512" s="54"/>
    </row>
    <row r="2513" spans="1:22" s="11" customFormat="1" ht="45" customHeight="1" x14ac:dyDescent="0.2">
      <c r="A2513" s="66" t="s">
        <v>1963</v>
      </c>
      <c r="B2513" s="66" t="s">
        <v>1155</v>
      </c>
      <c r="C2513" s="66" t="s">
        <v>9605</v>
      </c>
      <c r="D2513" s="66">
        <v>6972957482861</v>
      </c>
      <c r="E2513" s="68" t="s">
        <v>9663</v>
      </c>
      <c r="F2513" s="66" t="s">
        <v>9664</v>
      </c>
      <c r="G2513" s="71">
        <v>3006</v>
      </c>
      <c r="H2513" s="73"/>
      <c r="I2513" s="75">
        <v>0.2</v>
      </c>
      <c r="J2513" s="77"/>
      <c r="K2513" s="66"/>
      <c r="L2513" s="66"/>
      <c r="M2513" s="79" t="str">
        <f>HYPERLINK("http://www.pristavka.com/catalog/Genshin Impact/GEN2/")</f>
        <v>http://www.pristavka.com/catalog/Genshin Impact/GEN2/</v>
      </c>
      <c r="N2513" s="71">
        <v>5099</v>
      </c>
      <c r="O2513" s="66" t="s">
        <v>27</v>
      </c>
      <c r="P2513" s="82" t="s">
        <v>9665</v>
      </c>
      <c r="Q2513" s="84" t="s">
        <v>1963</v>
      </c>
      <c r="R2513" s="84" t="s">
        <v>9605</v>
      </c>
      <c r="S2513" s="84">
        <v>7.4999999999999997E-2</v>
      </c>
      <c r="T2513" s="82" t="s">
        <v>9659</v>
      </c>
      <c r="U2513" s="84" t="s">
        <v>2255</v>
      </c>
      <c r="V2513" s="54"/>
    </row>
    <row r="2514" spans="1:22" s="11" customFormat="1" ht="45" customHeight="1" x14ac:dyDescent="0.2">
      <c r="A2514" s="66" t="s">
        <v>1963</v>
      </c>
      <c r="B2514" s="66" t="s">
        <v>1155</v>
      </c>
      <c r="C2514" s="66" t="s">
        <v>9605</v>
      </c>
      <c r="D2514" s="66">
        <v>6972957488115</v>
      </c>
      <c r="E2514" s="68" t="s">
        <v>9666</v>
      </c>
      <c r="F2514" s="66" t="s">
        <v>9667</v>
      </c>
      <c r="G2514" s="71">
        <v>3771</v>
      </c>
      <c r="H2514" s="73"/>
      <c r="I2514" s="75">
        <v>0.2</v>
      </c>
      <c r="J2514" s="77"/>
      <c r="K2514" s="66"/>
      <c r="L2514" s="66"/>
      <c r="M2514" s="79" t="str">
        <f>HYPERLINK("http://www.pristavka.com/catalog/Genshin Impact/GEN67/")</f>
        <v>http://www.pristavka.com/catalog/Genshin Impact/GEN67/</v>
      </c>
      <c r="N2514" s="71">
        <v>6299</v>
      </c>
      <c r="O2514" s="66" t="s">
        <v>27</v>
      </c>
      <c r="P2514" s="82" t="s">
        <v>9668</v>
      </c>
      <c r="Q2514" s="84" t="s">
        <v>1963</v>
      </c>
      <c r="R2514" s="84" t="s">
        <v>9605</v>
      </c>
      <c r="S2514" s="84">
        <v>6.0999999999999999E-2</v>
      </c>
      <c r="T2514" s="82" t="s">
        <v>9669</v>
      </c>
      <c r="U2514" s="84" t="s">
        <v>2255</v>
      </c>
      <c r="V2514" s="54"/>
    </row>
    <row r="2515" spans="1:22" s="11" customFormat="1" ht="45" customHeight="1" x14ac:dyDescent="0.2">
      <c r="A2515" s="66" t="s">
        <v>1963</v>
      </c>
      <c r="B2515" s="66" t="s">
        <v>1155</v>
      </c>
      <c r="C2515" s="66" t="s">
        <v>9605</v>
      </c>
      <c r="D2515" s="66">
        <v>6974096538591</v>
      </c>
      <c r="E2515" s="68" t="s">
        <v>9670</v>
      </c>
      <c r="F2515" s="66" t="s">
        <v>9671</v>
      </c>
      <c r="G2515" s="71">
        <v>2689</v>
      </c>
      <c r="H2515" s="73"/>
      <c r="I2515" s="75">
        <v>0.2</v>
      </c>
      <c r="J2515" s="77"/>
      <c r="K2515" s="66"/>
      <c r="L2515" s="66"/>
      <c r="M2515" s="79" t="str">
        <f>HYPERLINK("http://www.pristavka.com/catalog/Genshin Impact/GEN315/")</f>
        <v>http://www.pristavka.com/catalog/Genshin Impact/GEN315/</v>
      </c>
      <c r="N2515" s="71">
        <v>4499</v>
      </c>
      <c r="O2515" s="66" t="s">
        <v>27</v>
      </c>
      <c r="P2515" s="82" t="s">
        <v>9672</v>
      </c>
      <c r="Q2515" s="84" t="s">
        <v>1963</v>
      </c>
      <c r="R2515" s="84" t="s">
        <v>9605</v>
      </c>
      <c r="S2515" s="84">
        <v>4.5999999999999999E-2</v>
      </c>
      <c r="T2515" s="82" t="s">
        <v>9673</v>
      </c>
      <c r="U2515" s="84" t="s">
        <v>2255</v>
      </c>
      <c r="V2515" s="54"/>
    </row>
    <row r="2516" spans="1:22" s="11" customFormat="1" ht="45" customHeight="1" x14ac:dyDescent="0.2">
      <c r="A2516" s="66" t="s">
        <v>1963</v>
      </c>
      <c r="B2516" s="66" t="s">
        <v>1155</v>
      </c>
      <c r="C2516" s="66" t="s">
        <v>9605</v>
      </c>
      <c r="D2516" s="66">
        <v>6974096538638</v>
      </c>
      <c r="E2516" s="68" t="s">
        <v>9674</v>
      </c>
      <c r="F2516" s="66" t="s">
        <v>9675</v>
      </c>
      <c r="G2516" s="71">
        <v>2689</v>
      </c>
      <c r="H2516" s="73"/>
      <c r="I2516" s="75">
        <v>0.2</v>
      </c>
      <c r="J2516" s="77"/>
      <c r="K2516" s="66"/>
      <c r="L2516" s="66"/>
      <c r="M2516" s="79" t="str">
        <f>HYPERLINK("http://www.pristavka.com/catalog/Genshin Impact/GEN308/")</f>
        <v>http://www.pristavka.com/catalog/Genshin Impact/GEN308/</v>
      </c>
      <c r="N2516" s="71">
        <v>4499</v>
      </c>
      <c r="O2516" s="66" t="s">
        <v>27</v>
      </c>
      <c r="P2516" s="82" t="s">
        <v>9676</v>
      </c>
      <c r="Q2516" s="84" t="s">
        <v>1963</v>
      </c>
      <c r="R2516" s="84" t="s">
        <v>9605</v>
      </c>
      <c r="S2516" s="84">
        <v>6.6000000000000003E-2</v>
      </c>
      <c r="T2516" s="82" t="s">
        <v>9677</v>
      </c>
      <c r="U2516" s="84" t="s">
        <v>2255</v>
      </c>
      <c r="V2516" s="54"/>
    </row>
    <row r="2517" spans="1:22" s="11" customFormat="1" ht="45" customHeight="1" x14ac:dyDescent="0.2">
      <c r="A2517" s="66" t="s">
        <v>1963</v>
      </c>
      <c r="B2517" s="66" t="s">
        <v>1155</v>
      </c>
      <c r="C2517" s="66" t="s">
        <v>9605</v>
      </c>
      <c r="D2517" s="66">
        <v>6974096538607</v>
      </c>
      <c r="E2517" s="68" t="s">
        <v>9678</v>
      </c>
      <c r="F2517" s="66" t="s">
        <v>9679</v>
      </c>
      <c r="G2517" s="71">
        <v>2689</v>
      </c>
      <c r="H2517" s="73"/>
      <c r="I2517" s="75">
        <v>0.2</v>
      </c>
      <c r="J2517" s="77"/>
      <c r="K2517" s="66"/>
      <c r="L2517" s="66"/>
      <c r="M2517" s="79" t="str">
        <f>HYPERLINK("http://www.pristavka.com/catalog/Genshin Impact/GEN311/")</f>
        <v>http://www.pristavka.com/catalog/Genshin Impact/GEN311/</v>
      </c>
      <c r="N2517" s="71">
        <v>4499</v>
      </c>
      <c r="O2517" s="66" t="s">
        <v>27</v>
      </c>
      <c r="P2517" s="82" t="s">
        <v>9680</v>
      </c>
      <c r="Q2517" s="84" t="s">
        <v>1963</v>
      </c>
      <c r="R2517" s="84" t="s">
        <v>9605</v>
      </c>
      <c r="S2517" s="84">
        <v>5.1999999999999998E-2</v>
      </c>
      <c r="T2517" s="82" t="s">
        <v>9677</v>
      </c>
      <c r="U2517" s="84" t="s">
        <v>2255</v>
      </c>
      <c r="V2517" s="54"/>
    </row>
    <row r="2518" spans="1:22" s="11" customFormat="1" ht="45" customHeight="1" x14ac:dyDescent="0.2">
      <c r="A2518" s="66" t="s">
        <v>1963</v>
      </c>
      <c r="B2518" s="66" t="s">
        <v>1155</v>
      </c>
      <c r="C2518" s="66" t="s">
        <v>9605</v>
      </c>
      <c r="D2518" s="66">
        <v>6974096538782</v>
      </c>
      <c r="E2518" s="68" t="s">
        <v>9681</v>
      </c>
      <c r="F2518" s="66" t="s">
        <v>9682</v>
      </c>
      <c r="G2518" s="71">
        <v>1738</v>
      </c>
      <c r="H2518" s="73"/>
      <c r="I2518" s="75">
        <v>0.2</v>
      </c>
      <c r="J2518" s="77"/>
      <c r="K2518" s="66"/>
      <c r="L2518" s="66"/>
      <c r="M2518" s="79" t="str">
        <f>HYPERLINK("http://www.pristavka.com/catalog/Genshin Impact/GEN329/")</f>
        <v>http://www.pristavka.com/catalog/Genshin Impact/GEN329/</v>
      </c>
      <c r="N2518" s="71">
        <v>2899</v>
      </c>
      <c r="O2518" s="66" t="s">
        <v>28</v>
      </c>
      <c r="P2518" s="82" t="s">
        <v>9683</v>
      </c>
      <c r="Q2518" s="84" t="s">
        <v>1963</v>
      </c>
      <c r="R2518" s="84" t="s">
        <v>9605</v>
      </c>
      <c r="S2518" s="84">
        <v>1.7000000000000001E-2</v>
      </c>
      <c r="T2518" s="82" t="s">
        <v>9684</v>
      </c>
      <c r="U2518" s="84" t="s">
        <v>2255</v>
      </c>
      <c r="V2518" s="54"/>
    </row>
    <row r="2519" spans="1:22" s="11" customFormat="1" ht="45" customHeight="1" x14ac:dyDescent="0.2">
      <c r="A2519" s="66" t="s">
        <v>1963</v>
      </c>
      <c r="B2519" s="66" t="s">
        <v>1155</v>
      </c>
      <c r="C2519" s="66" t="s">
        <v>9605</v>
      </c>
      <c r="D2519" s="66">
        <v>6974096538744</v>
      </c>
      <c r="E2519" s="68" t="s">
        <v>9685</v>
      </c>
      <c r="F2519" s="66" t="s">
        <v>9686</v>
      </c>
      <c r="G2519" s="71">
        <v>1738</v>
      </c>
      <c r="H2519" s="73"/>
      <c r="I2519" s="75">
        <v>0.2</v>
      </c>
      <c r="J2519" s="77"/>
      <c r="K2519" s="66"/>
      <c r="L2519" s="66"/>
      <c r="M2519" s="79" t="str">
        <f>HYPERLINK("http://www.pristavka.com/catalog/Genshin Impact/GEN325/")</f>
        <v>http://www.pristavka.com/catalog/Genshin Impact/GEN325/</v>
      </c>
      <c r="N2519" s="71">
        <v>2899</v>
      </c>
      <c r="O2519" s="66" t="s">
        <v>27</v>
      </c>
      <c r="P2519" s="82" t="s">
        <v>9687</v>
      </c>
      <c r="Q2519" s="84" t="s">
        <v>1963</v>
      </c>
      <c r="R2519" s="84" t="s">
        <v>9605</v>
      </c>
      <c r="S2519" s="84">
        <v>1.7000000000000001E-2</v>
      </c>
      <c r="T2519" s="82" t="s">
        <v>9688</v>
      </c>
      <c r="U2519" s="84" t="s">
        <v>2255</v>
      </c>
      <c r="V2519" s="54"/>
    </row>
    <row r="2520" spans="1:22" s="11" customFormat="1" ht="45" customHeight="1" x14ac:dyDescent="0.2">
      <c r="A2520" s="66" t="s">
        <v>1963</v>
      </c>
      <c r="B2520" s="66" t="s">
        <v>1155</v>
      </c>
      <c r="C2520" s="66" t="s">
        <v>9605</v>
      </c>
      <c r="D2520" s="66">
        <v>6974096538614</v>
      </c>
      <c r="E2520" s="68" t="s">
        <v>9689</v>
      </c>
      <c r="F2520" s="66" t="s">
        <v>9690</v>
      </c>
      <c r="G2520" s="71">
        <v>2689</v>
      </c>
      <c r="H2520" s="73"/>
      <c r="I2520" s="75">
        <v>0.2</v>
      </c>
      <c r="J2520" s="77"/>
      <c r="K2520" s="66"/>
      <c r="L2520" s="66"/>
      <c r="M2520" s="79" t="str">
        <f>HYPERLINK("http://www.pristavka.com/catalog/Genshin Impact/GEN310/")</f>
        <v>http://www.pristavka.com/catalog/Genshin Impact/GEN310/</v>
      </c>
      <c r="N2520" s="71">
        <v>4499</v>
      </c>
      <c r="O2520" s="66" t="s">
        <v>27</v>
      </c>
      <c r="P2520" s="82" t="s">
        <v>9691</v>
      </c>
      <c r="Q2520" s="84" t="s">
        <v>1963</v>
      </c>
      <c r="R2520" s="84" t="s">
        <v>9605</v>
      </c>
      <c r="S2520" s="84">
        <v>4.2999999999999997E-2</v>
      </c>
      <c r="T2520" s="82" t="s">
        <v>9673</v>
      </c>
      <c r="U2520" s="84" t="s">
        <v>2255</v>
      </c>
      <c r="V2520" s="54"/>
    </row>
    <row r="2521" spans="1:22" s="11" customFormat="1" ht="45" customHeight="1" x14ac:dyDescent="0.2">
      <c r="A2521" s="66" t="s">
        <v>1963</v>
      </c>
      <c r="B2521" s="66" t="s">
        <v>1155</v>
      </c>
      <c r="C2521" s="66" t="s">
        <v>9605</v>
      </c>
      <c r="D2521" s="66">
        <v>6974096538584</v>
      </c>
      <c r="E2521" s="68" t="s">
        <v>9692</v>
      </c>
      <c r="F2521" s="66" t="s">
        <v>9693</v>
      </c>
      <c r="G2521" s="71">
        <v>2689</v>
      </c>
      <c r="H2521" s="73"/>
      <c r="I2521" s="75">
        <v>0.2</v>
      </c>
      <c r="J2521" s="77"/>
      <c r="K2521" s="66"/>
      <c r="L2521" s="66"/>
      <c r="M2521" s="79" t="str">
        <f>HYPERLINK("http://www.pristavka.com/catalog/Genshin Impact/GEN312/")</f>
        <v>http://www.pristavka.com/catalog/Genshin Impact/GEN312/</v>
      </c>
      <c r="N2521" s="71">
        <v>4499</v>
      </c>
      <c r="O2521" s="66" t="s">
        <v>27</v>
      </c>
      <c r="P2521" s="82" t="s">
        <v>9694</v>
      </c>
      <c r="Q2521" s="84" t="s">
        <v>1963</v>
      </c>
      <c r="R2521" s="84" t="s">
        <v>9605</v>
      </c>
      <c r="S2521" s="84">
        <v>5.8000000000000003E-2</v>
      </c>
      <c r="T2521" s="82" t="s">
        <v>9609</v>
      </c>
      <c r="U2521" s="84" t="s">
        <v>2255</v>
      </c>
      <c r="V2521" s="54"/>
    </row>
    <row r="2522" spans="1:22" s="11" customFormat="1" ht="45" customHeight="1" x14ac:dyDescent="0.2">
      <c r="A2522" s="66" t="s">
        <v>1963</v>
      </c>
      <c r="B2522" s="66" t="s">
        <v>1155</v>
      </c>
      <c r="C2522" s="66" t="s">
        <v>9605</v>
      </c>
      <c r="D2522" s="66">
        <v>6976525000839</v>
      </c>
      <c r="E2522" s="68" t="s">
        <v>9695</v>
      </c>
      <c r="F2522" s="66" t="s">
        <v>9696</v>
      </c>
      <c r="G2522" s="71">
        <v>7258</v>
      </c>
      <c r="H2522" s="73"/>
      <c r="I2522" s="75">
        <v>0.2</v>
      </c>
      <c r="J2522" s="77"/>
      <c r="K2522" s="66"/>
      <c r="L2522" s="66"/>
      <c r="M2522" s="79" t="str">
        <f>HYPERLINK("http://www.pristavka.com/catalog/Genshin Impact/GEN1137/")</f>
        <v>http://www.pristavka.com/catalog/Genshin Impact/GEN1137/</v>
      </c>
      <c r="N2522" s="71">
        <v>12099</v>
      </c>
      <c r="O2522" s="66" t="s">
        <v>27</v>
      </c>
      <c r="P2522" s="82" t="s">
        <v>9697</v>
      </c>
      <c r="Q2522" s="84" t="s">
        <v>1963</v>
      </c>
      <c r="R2522" s="84" t="s">
        <v>9605</v>
      </c>
      <c r="S2522" s="84">
        <v>0.05</v>
      </c>
      <c r="T2522" s="82" t="s">
        <v>9698</v>
      </c>
      <c r="U2522" s="84"/>
      <c r="V2522" s="54"/>
    </row>
    <row r="2523" spans="1:22" s="11" customFormat="1" ht="45" customHeight="1" x14ac:dyDescent="0.2">
      <c r="A2523" s="66" t="s">
        <v>1963</v>
      </c>
      <c r="B2523" s="66" t="s">
        <v>1155</v>
      </c>
      <c r="C2523" s="66" t="s">
        <v>9605</v>
      </c>
      <c r="D2523" s="66">
        <v>6976525000853</v>
      </c>
      <c r="E2523" s="68" t="s">
        <v>9699</v>
      </c>
      <c r="F2523" s="66" t="s">
        <v>9700</v>
      </c>
      <c r="G2523" s="71">
        <v>3771</v>
      </c>
      <c r="H2523" s="73"/>
      <c r="I2523" s="75">
        <v>0.2</v>
      </c>
      <c r="J2523" s="77"/>
      <c r="K2523" s="66"/>
      <c r="L2523" s="66"/>
      <c r="M2523" s="79" t="str">
        <f>HYPERLINK("http://www.pristavka.com/catalog/Genshin Impact/GEN1139/")</f>
        <v>http://www.pristavka.com/catalog/Genshin Impact/GEN1139/</v>
      </c>
      <c r="N2523" s="71">
        <v>6299</v>
      </c>
      <c r="O2523" s="66" t="s">
        <v>27</v>
      </c>
      <c r="P2523" s="82" t="s">
        <v>9701</v>
      </c>
      <c r="Q2523" s="84" t="s">
        <v>1963</v>
      </c>
      <c r="R2523" s="84" t="s">
        <v>9605</v>
      </c>
      <c r="S2523" s="84">
        <v>2.1999999999999999E-2</v>
      </c>
      <c r="T2523" s="82" t="s">
        <v>9702</v>
      </c>
      <c r="U2523" s="84"/>
      <c r="V2523" s="54"/>
    </row>
    <row r="2524" spans="1:22" s="11" customFormat="1" ht="45" customHeight="1" x14ac:dyDescent="0.2">
      <c r="A2524" s="66" t="s">
        <v>1963</v>
      </c>
      <c r="B2524" s="66" t="s">
        <v>1155</v>
      </c>
      <c r="C2524" s="66" t="s">
        <v>9605</v>
      </c>
      <c r="D2524" s="66">
        <v>6976525000846</v>
      </c>
      <c r="E2524" s="68" t="s">
        <v>9703</v>
      </c>
      <c r="F2524" s="66" t="s">
        <v>9704</v>
      </c>
      <c r="G2524" s="71">
        <v>7258</v>
      </c>
      <c r="H2524" s="73"/>
      <c r="I2524" s="75">
        <v>0.2</v>
      </c>
      <c r="J2524" s="77"/>
      <c r="K2524" s="66"/>
      <c r="L2524" s="66"/>
      <c r="M2524" s="79" t="str">
        <f>HYPERLINK("http://www.pristavka.com/catalog/Genshin Impact/GEN1138/")</f>
        <v>http://www.pristavka.com/catalog/Genshin Impact/GEN1138/</v>
      </c>
      <c r="N2524" s="71">
        <v>12099</v>
      </c>
      <c r="O2524" s="66" t="s">
        <v>27</v>
      </c>
      <c r="P2524" s="82" t="s">
        <v>9705</v>
      </c>
      <c r="Q2524" s="84" t="s">
        <v>1963</v>
      </c>
      <c r="R2524" s="84" t="s">
        <v>9605</v>
      </c>
      <c r="S2524" s="84">
        <v>0.05</v>
      </c>
      <c r="T2524" s="82" t="s">
        <v>9706</v>
      </c>
      <c r="U2524" s="84"/>
      <c r="V2524" s="54"/>
    </row>
    <row r="2525" spans="1:22" s="11" customFormat="1" ht="45" customHeight="1" x14ac:dyDescent="0.2">
      <c r="A2525" s="66" t="s">
        <v>1963</v>
      </c>
      <c r="B2525" s="66" t="s">
        <v>1155</v>
      </c>
      <c r="C2525" s="66" t="s">
        <v>9605</v>
      </c>
      <c r="D2525" s="66">
        <v>6976525000860</v>
      </c>
      <c r="E2525" s="68" t="s">
        <v>9707</v>
      </c>
      <c r="F2525" s="66" t="s">
        <v>9708</v>
      </c>
      <c r="G2525" s="71">
        <v>3771</v>
      </c>
      <c r="H2525" s="73"/>
      <c r="I2525" s="75">
        <v>0.2</v>
      </c>
      <c r="J2525" s="77"/>
      <c r="K2525" s="66"/>
      <c r="L2525" s="66"/>
      <c r="M2525" s="79" t="str">
        <f>HYPERLINK("http://www.pristavka.com/catalog/Genshin Impact/GEN1140/")</f>
        <v>http://www.pristavka.com/catalog/Genshin Impact/GEN1140/</v>
      </c>
      <c r="N2525" s="71">
        <v>6299</v>
      </c>
      <c r="O2525" s="66" t="s">
        <v>27</v>
      </c>
      <c r="P2525" s="82" t="s">
        <v>9709</v>
      </c>
      <c r="Q2525" s="84" t="s">
        <v>1963</v>
      </c>
      <c r="R2525" s="84" t="s">
        <v>9605</v>
      </c>
      <c r="S2525" s="84">
        <v>0.02</v>
      </c>
      <c r="T2525" s="82" t="s">
        <v>9710</v>
      </c>
      <c r="U2525" s="84"/>
      <c r="V2525" s="54"/>
    </row>
    <row r="2526" spans="1:22" s="11" customFormat="1" ht="45" customHeight="1" x14ac:dyDescent="0.2">
      <c r="A2526" s="66" t="s">
        <v>1963</v>
      </c>
      <c r="B2526" s="66" t="s">
        <v>1155</v>
      </c>
      <c r="C2526" s="66" t="s">
        <v>9605</v>
      </c>
      <c r="D2526" s="66">
        <v>6942421138334</v>
      </c>
      <c r="E2526" s="68" t="s">
        <v>9711</v>
      </c>
      <c r="F2526" s="66" t="s">
        <v>9712</v>
      </c>
      <c r="G2526" s="71">
        <v>5356</v>
      </c>
      <c r="H2526" s="73"/>
      <c r="I2526" s="75">
        <v>0.2</v>
      </c>
      <c r="J2526" s="77"/>
      <c r="K2526" s="66"/>
      <c r="L2526" s="66"/>
      <c r="M2526" s="79" t="str">
        <f>HYPERLINK("http://www.pristavka.com/catalog/Genshin Impact/GEN1349/")</f>
        <v>http://www.pristavka.com/catalog/Genshin Impact/GEN1349/</v>
      </c>
      <c r="N2526" s="71">
        <v>8999</v>
      </c>
      <c r="O2526" s="66" t="s">
        <v>27</v>
      </c>
      <c r="P2526" s="82" t="s">
        <v>9713</v>
      </c>
      <c r="Q2526" s="84" t="s">
        <v>1963</v>
      </c>
      <c r="R2526" s="84" t="s">
        <v>9605</v>
      </c>
      <c r="S2526" s="84">
        <v>6.5000000000000002E-2</v>
      </c>
      <c r="T2526" s="82" t="s">
        <v>9714</v>
      </c>
      <c r="U2526" s="84"/>
      <c r="V2526" s="54"/>
    </row>
    <row r="2527" spans="1:22" s="11" customFormat="1" ht="45" customHeight="1" x14ac:dyDescent="0.2">
      <c r="A2527" s="66" t="s">
        <v>1963</v>
      </c>
      <c r="B2527" s="66" t="s">
        <v>1155</v>
      </c>
      <c r="C2527" s="66" t="s">
        <v>9605</v>
      </c>
      <c r="D2527" s="66">
        <v>6942421134206</v>
      </c>
      <c r="E2527" s="68" t="s">
        <v>9715</v>
      </c>
      <c r="F2527" s="66" t="s">
        <v>9716</v>
      </c>
      <c r="G2527" s="71">
        <v>5356</v>
      </c>
      <c r="H2527" s="73"/>
      <c r="I2527" s="75">
        <v>0.2</v>
      </c>
      <c r="J2527" s="77"/>
      <c r="K2527" s="66"/>
      <c r="L2527" s="66"/>
      <c r="M2527" s="79" t="str">
        <f>HYPERLINK("http://www.pristavka.com/catalog/Genshin Impact/GEN1290/")</f>
        <v>http://www.pristavka.com/catalog/Genshin Impact/GEN1290/</v>
      </c>
      <c r="N2527" s="71">
        <v>8999</v>
      </c>
      <c r="O2527" s="66" t="s">
        <v>27</v>
      </c>
      <c r="P2527" s="82" t="s">
        <v>9717</v>
      </c>
      <c r="Q2527" s="84" t="s">
        <v>1963</v>
      </c>
      <c r="R2527" s="84" t="s">
        <v>9605</v>
      </c>
      <c r="S2527" s="84">
        <v>5.2999999999999999E-2</v>
      </c>
      <c r="T2527" s="82" t="s">
        <v>9718</v>
      </c>
      <c r="U2527" s="84"/>
      <c r="V2527" s="54"/>
    </row>
    <row r="2528" spans="1:22" s="11" customFormat="1" ht="45" customHeight="1" x14ac:dyDescent="0.2">
      <c r="A2528" s="66" t="s">
        <v>1963</v>
      </c>
      <c r="B2528" s="66" t="s">
        <v>1155</v>
      </c>
      <c r="C2528" s="66" t="s">
        <v>9605</v>
      </c>
      <c r="D2528" s="66">
        <v>6942421104728</v>
      </c>
      <c r="E2528" s="68" t="s">
        <v>9719</v>
      </c>
      <c r="F2528" s="66" t="s">
        <v>9720</v>
      </c>
      <c r="G2528" s="71">
        <v>5039</v>
      </c>
      <c r="H2528" s="73"/>
      <c r="I2528" s="75">
        <v>0.2</v>
      </c>
      <c r="J2528" s="77"/>
      <c r="K2528" s="66"/>
      <c r="L2528" s="66"/>
      <c r="M2528" s="79" t="str">
        <f>HYPERLINK("http://www.pristavka.com/catalog/Genshin Impact/GEN1107/")</f>
        <v>http://www.pristavka.com/catalog/Genshin Impact/GEN1107/</v>
      </c>
      <c r="N2528" s="71">
        <v>8399</v>
      </c>
      <c r="O2528" s="66" t="s">
        <v>27</v>
      </c>
      <c r="P2528" s="82" t="s">
        <v>9721</v>
      </c>
      <c r="Q2528" s="84" t="s">
        <v>1963</v>
      </c>
      <c r="R2528" s="84" t="s">
        <v>9605</v>
      </c>
      <c r="S2528" s="84">
        <v>0.09</v>
      </c>
      <c r="T2528" s="82" t="s">
        <v>9722</v>
      </c>
      <c r="U2528" s="84"/>
      <c r="V2528" s="54"/>
    </row>
    <row r="2529" spans="1:22" s="11" customFormat="1" ht="45" customHeight="1" x14ac:dyDescent="0.2">
      <c r="A2529" s="66" t="s">
        <v>1963</v>
      </c>
      <c r="B2529" s="66" t="s">
        <v>1155</v>
      </c>
      <c r="C2529" s="66" t="s">
        <v>9605</v>
      </c>
      <c r="D2529" s="66">
        <v>6942421104742</v>
      </c>
      <c r="E2529" s="68" t="s">
        <v>9723</v>
      </c>
      <c r="F2529" s="66" t="s">
        <v>9724</v>
      </c>
      <c r="G2529" s="71">
        <v>5039</v>
      </c>
      <c r="H2529" s="73"/>
      <c r="I2529" s="75">
        <v>0.2</v>
      </c>
      <c r="J2529" s="77"/>
      <c r="K2529" s="66"/>
      <c r="L2529" s="66"/>
      <c r="M2529" s="79" t="str">
        <f>HYPERLINK("http://www.pristavka.com/catalog/Genshin Impact/GEN1061/")</f>
        <v>http://www.pristavka.com/catalog/Genshin Impact/GEN1061/</v>
      </c>
      <c r="N2529" s="71">
        <v>8399</v>
      </c>
      <c r="O2529" s="66" t="s">
        <v>27</v>
      </c>
      <c r="P2529" s="82" t="s">
        <v>9725</v>
      </c>
      <c r="Q2529" s="84" t="s">
        <v>1963</v>
      </c>
      <c r="R2529" s="84" t="s">
        <v>9605</v>
      </c>
      <c r="S2529" s="84">
        <v>9.1999999999999998E-2</v>
      </c>
      <c r="T2529" s="82" t="s">
        <v>9726</v>
      </c>
      <c r="U2529" s="84"/>
      <c r="V2529" s="54"/>
    </row>
    <row r="2530" spans="1:22" s="11" customFormat="1" ht="45" customHeight="1" x14ac:dyDescent="0.2">
      <c r="A2530" s="66" t="s">
        <v>1963</v>
      </c>
      <c r="B2530" s="66" t="s">
        <v>1155</v>
      </c>
      <c r="C2530" s="66" t="s">
        <v>9605</v>
      </c>
      <c r="D2530" s="66">
        <v>6942421101529</v>
      </c>
      <c r="E2530" s="68" t="s">
        <v>9727</v>
      </c>
      <c r="F2530" s="66" t="s">
        <v>9728</v>
      </c>
      <c r="G2530" s="71">
        <v>5039</v>
      </c>
      <c r="H2530" s="73"/>
      <c r="I2530" s="75">
        <v>0.2</v>
      </c>
      <c r="J2530" s="77"/>
      <c r="K2530" s="66"/>
      <c r="L2530" s="66"/>
      <c r="M2530" s="79" t="str">
        <f>HYPERLINK("http://www.pristavka.com/catalog/Genshin Impact/GEN1060/")</f>
        <v>http://www.pristavka.com/catalog/Genshin Impact/GEN1060/</v>
      </c>
      <c r="N2530" s="71">
        <v>8399</v>
      </c>
      <c r="O2530" s="66" t="s">
        <v>27</v>
      </c>
      <c r="P2530" s="82" t="s">
        <v>9729</v>
      </c>
      <c r="Q2530" s="84" t="s">
        <v>1963</v>
      </c>
      <c r="R2530" s="84" t="s">
        <v>9605</v>
      </c>
      <c r="S2530" s="84">
        <v>9.4E-2</v>
      </c>
      <c r="T2530" s="82" t="s">
        <v>9730</v>
      </c>
      <c r="U2530" s="84"/>
      <c r="V2530" s="54"/>
    </row>
    <row r="2531" spans="1:22" s="11" customFormat="1" ht="45" customHeight="1" x14ac:dyDescent="0.2">
      <c r="A2531" s="66" t="s">
        <v>1963</v>
      </c>
      <c r="B2531" s="66" t="s">
        <v>1155</v>
      </c>
      <c r="C2531" s="66" t="s">
        <v>9605</v>
      </c>
      <c r="D2531" s="66">
        <v>6942421104711</v>
      </c>
      <c r="E2531" s="68" t="s">
        <v>9731</v>
      </c>
      <c r="F2531" s="66" t="s">
        <v>9732</v>
      </c>
      <c r="G2531" s="71">
        <v>5039</v>
      </c>
      <c r="H2531" s="73"/>
      <c r="I2531" s="75">
        <v>0.2</v>
      </c>
      <c r="J2531" s="77"/>
      <c r="K2531" s="66"/>
      <c r="L2531" s="66"/>
      <c r="M2531" s="79" t="str">
        <f>HYPERLINK("http://www.pristavka.com/catalog/Genshin Impact/GEN1106/")</f>
        <v>http://www.pristavka.com/catalog/Genshin Impact/GEN1106/</v>
      </c>
      <c r="N2531" s="71">
        <v>8399</v>
      </c>
      <c r="O2531" s="66" t="s">
        <v>27</v>
      </c>
      <c r="P2531" s="82" t="s">
        <v>9733</v>
      </c>
      <c r="Q2531" s="84" t="s">
        <v>1963</v>
      </c>
      <c r="R2531" s="84" t="s">
        <v>9605</v>
      </c>
      <c r="S2531" s="84">
        <v>0.114</v>
      </c>
      <c r="T2531" s="82" t="s">
        <v>9734</v>
      </c>
      <c r="U2531" s="84"/>
      <c r="V2531" s="54"/>
    </row>
    <row r="2532" spans="1:22" s="11" customFormat="1" ht="45" customHeight="1" x14ac:dyDescent="0.2">
      <c r="A2532" s="66" t="s">
        <v>1963</v>
      </c>
      <c r="B2532" s="66" t="s">
        <v>1155</v>
      </c>
      <c r="C2532" s="66" t="s">
        <v>9605</v>
      </c>
      <c r="D2532" s="66">
        <v>6942421110040</v>
      </c>
      <c r="E2532" s="68" t="s">
        <v>9735</v>
      </c>
      <c r="F2532" s="66" t="s">
        <v>9736</v>
      </c>
      <c r="G2532" s="71">
        <v>5039</v>
      </c>
      <c r="H2532" s="73"/>
      <c r="I2532" s="75">
        <v>0.2</v>
      </c>
      <c r="J2532" s="77"/>
      <c r="K2532" s="66"/>
      <c r="L2532" s="66"/>
      <c r="M2532" s="79" t="str">
        <f>HYPERLINK("http://www.pristavka.com/catalog/Genshin Impact/GEN1105/")</f>
        <v>http://www.pristavka.com/catalog/Genshin Impact/GEN1105/</v>
      </c>
      <c r="N2532" s="71">
        <v>8399</v>
      </c>
      <c r="O2532" s="66" t="s">
        <v>27</v>
      </c>
      <c r="P2532" s="82" t="s">
        <v>9737</v>
      </c>
      <c r="Q2532" s="84" t="s">
        <v>1963</v>
      </c>
      <c r="R2532" s="84" t="s">
        <v>9605</v>
      </c>
      <c r="S2532" s="84">
        <v>8.6999999999999994E-2</v>
      </c>
      <c r="T2532" s="82" t="s">
        <v>9738</v>
      </c>
      <c r="U2532" s="84"/>
      <c r="V2532" s="54"/>
    </row>
    <row r="2533" spans="1:22" s="11" customFormat="1" ht="45" customHeight="1" x14ac:dyDescent="0.2">
      <c r="A2533" s="66" t="s">
        <v>1963</v>
      </c>
      <c r="B2533" s="66" t="s">
        <v>1155</v>
      </c>
      <c r="C2533" s="66" t="s">
        <v>9605</v>
      </c>
      <c r="D2533" s="66">
        <v>6976068142096</v>
      </c>
      <c r="E2533" s="68" t="s">
        <v>9739</v>
      </c>
      <c r="F2533" s="66" t="s">
        <v>9740</v>
      </c>
      <c r="G2533" s="71">
        <v>4722</v>
      </c>
      <c r="H2533" s="73"/>
      <c r="I2533" s="75">
        <v>0.2</v>
      </c>
      <c r="J2533" s="77"/>
      <c r="K2533" s="66"/>
      <c r="L2533" s="66"/>
      <c r="M2533" s="79" t="str">
        <f>HYPERLINK("http://www.pristavka.com/catalog/Genshin Impact/GEN1103/")</f>
        <v>http://www.pristavka.com/catalog/Genshin Impact/GEN1103/</v>
      </c>
      <c r="N2533" s="71">
        <v>7899</v>
      </c>
      <c r="O2533" s="66" t="s">
        <v>27</v>
      </c>
      <c r="P2533" s="82" t="s">
        <v>9741</v>
      </c>
      <c r="Q2533" s="84" t="s">
        <v>1963</v>
      </c>
      <c r="R2533" s="84" t="s">
        <v>9605</v>
      </c>
      <c r="S2533" s="84">
        <v>0.09</v>
      </c>
      <c r="T2533" s="82" t="s">
        <v>9730</v>
      </c>
      <c r="U2533" s="84"/>
      <c r="V2533" s="54"/>
    </row>
    <row r="2534" spans="1:22" s="11" customFormat="1" ht="45" customHeight="1" x14ac:dyDescent="0.2">
      <c r="A2534" s="66" t="s">
        <v>1963</v>
      </c>
      <c r="B2534" s="66" t="s">
        <v>1155</v>
      </c>
      <c r="C2534" s="66" t="s">
        <v>9605</v>
      </c>
      <c r="D2534" s="66">
        <v>6942421102618</v>
      </c>
      <c r="E2534" s="68" t="s">
        <v>9742</v>
      </c>
      <c r="F2534" s="66" t="s">
        <v>9743</v>
      </c>
      <c r="G2534" s="71">
        <v>5039</v>
      </c>
      <c r="H2534" s="73"/>
      <c r="I2534" s="75">
        <v>0.2</v>
      </c>
      <c r="J2534" s="77"/>
      <c r="K2534" s="66"/>
      <c r="L2534" s="66"/>
      <c r="M2534" s="79" t="str">
        <f>HYPERLINK("http://www.pristavka.com/catalog/Genshin Impact/GEN1109/")</f>
        <v>http://www.pristavka.com/catalog/Genshin Impact/GEN1109/</v>
      </c>
      <c r="N2534" s="71">
        <v>8399</v>
      </c>
      <c r="O2534" s="66" t="s">
        <v>27</v>
      </c>
      <c r="P2534" s="82" t="s">
        <v>9744</v>
      </c>
      <c r="Q2534" s="84" t="s">
        <v>1963</v>
      </c>
      <c r="R2534" s="84" t="s">
        <v>9605</v>
      </c>
      <c r="S2534" s="84">
        <v>7.8E-2</v>
      </c>
      <c r="T2534" s="82" t="s">
        <v>9745</v>
      </c>
      <c r="U2534" s="84"/>
      <c r="V2534" s="54"/>
    </row>
    <row r="2535" spans="1:22" s="11" customFormat="1" ht="45" customHeight="1" x14ac:dyDescent="0.2">
      <c r="A2535" s="66" t="s">
        <v>1963</v>
      </c>
      <c r="B2535" s="66" t="s">
        <v>1155</v>
      </c>
      <c r="C2535" s="66" t="s">
        <v>9605</v>
      </c>
      <c r="D2535" s="66">
        <v>6942421102601</v>
      </c>
      <c r="E2535" s="68" t="s">
        <v>9746</v>
      </c>
      <c r="F2535" s="66" t="s">
        <v>9747</v>
      </c>
      <c r="G2535" s="71">
        <v>5039</v>
      </c>
      <c r="H2535" s="73"/>
      <c r="I2535" s="75">
        <v>0.2</v>
      </c>
      <c r="J2535" s="77"/>
      <c r="K2535" s="66"/>
      <c r="L2535" s="66"/>
      <c r="M2535" s="79" t="str">
        <f>HYPERLINK("http://www.pristavka.com/catalog/Genshin Impact/GEN1108/")</f>
        <v>http://www.pristavka.com/catalog/Genshin Impact/GEN1108/</v>
      </c>
      <c r="N2535" s="71">
        <v>8399</v>
      </c>
      <c r="O2535" s="66" t="s">
        <v>27</v>
      </c>
      <c r="P2535" s="82" t="s">
        <v>9748</v>
      </c>
      <c r="Q2535" s="84" t="s">
        <v>1963</v>
      </c>
      <c r="R2535" s="84" t="s">
        <v>9605</v>
      </c>
      <c r="S2535" s="84">
        <v>7.9000000000000001E-2</v>
      </c>
      <c r="T2535" s="82" t="s">
        <v>9749</v>
      </c>
      <c r="U2535" s="84"/>
      <c r="V2535" s="54"/>
    </row>
    <row r="2536" spans="1:22" s="11" customFormat="1" ht="45" customHeight="1" x14ac:dyDescent="0.2">
      <c r="A2536" s="66" t="s">
        <v>1963</v>
      </c>
      <c r="B2536" s="66" t="s">
        <v>1155</v>
      </c>
      <c r="C2536" s="66" t="s">
        <v>9605</v>
      </c>
      <c r="D2536" s="66">
        <v>6942421139744</v>
      </c>
      <c r="E2536" s="68" t="s">
        <v>9750</v>
      </c>
      <c r="F2536" s="66" t="s">
        <v>9751</v>
      </c>
      <c r="G2536" s="71">
        <v>3771</v>
      </c>
      <c r="H2536" s="73"/>
      <c r="I2536" s="75">
        <v>0.2</v>
      </c>
      <c r="J2536" s="77"/>
      <c r="K2536" s="66"/>
      <c r="L2536" s="66"/>
      <c r="M2536" s="79" t="str">
        <f>HYPERLINK("http://www.pristavka.com/catalog/Genshin Impact/GEN1285/")</f>
        <v>http://www.pristavka.com/catalog/Genshin Impact/GEN1285/</v>
      </c>
      <c r="N2536" s="71">
        <v>6299</v>
      </c>
      <c r="O2536" s="66" t="s">
        <v>27</v>
      </c>
      <c r="P2536" s="82" t="s">
        <v>9752</v>
      </c>
      <c r="Q2536" s="84" t="s">
        <v>1963</v>
      </c>
      <c r="R2536" s="84" t="s">
        <v>9605</v>
      </c>
      <c r="S2536" s="84">
        <v>5.8000000000000003E-2</v>
      </c>
      <c r="T2536" s="82" t="s">
        <v>9753</v>
      </c>
      <c r="U2536" s="84"/>
      <c r="V2536" s="54"/>
    </row>
    <row r="2537" spans="1:22" s="11" customFormat="1" ht="45" customHeight="1" x14ac:dyDescent="0.2">
      <c r="A2537" s="66" t="s">
        <v>1963</v>
      </c>
      <c r="B2537" s="66" t="s">
        <v>1155</v>
      </c>
      <c r="C2537" s="66" t="s">
        <v>9605</v>
      </c>
      <c r="D2537" s="66">
        <v>6942421139713</v>
      </c>
      <c r="E2537" s="68" t="s">
        <v>9754</v>
      </c>
      <c r="F2537" s="66" t="s">
        <v>9755</v>
      </c>
      <c r="G2537" s="71">
        <v>3771</v>
      </c>
      <c r="H2537" s="73"/>
      <c r="I2537" s="75">
        <v>0.2</v>
      </c>
      <c r="J2537" s="77"/>
      <c r="K2537" s="66"/>
      <c r="L2537" s="66"/>
      <c r="M2537" s="79" t="str">
        <f>HYPERLINK("http://www.pristavka.com/catalog/Genshin Impact/GEN1284/")</f>
        <v>http://www.pristavka.com/catalog/Genshin Impact/GEN1284/</v>
      </c>
      <c r="N2537" s="71">
        <v>6299</v>
      </c>
      <c r="O2537" s="66" t="s">
        <v>27</v>
      </c>
      <c r="P2537" s="82" t="s">
        <v>9756</v>
      </c>
      <c r="Q2537" s="84" t="s">
        <v>1963</v>
      </c>
      <c r="R2537" s="84" t="s">
        <v>9605</v>
      </c>
      <c r="S2537" s="84">
        <v>5.8000000000000003E-2</v>
      </c>
      <c r="T2537" s="82" t="s">
        <v>9753</v>
      </c>
      <c r="U2537" s="84"/>
      <c r="V2537" s="54"/>
    </row>
    <row r="2538" spans="1:22" s="11" customFormat="1" ht="45" customHeight="1" x14ac:dyDescent="0.2">
      <c r="A2538" s="66" t="s">
        <v>1963</v>
      </c>
      <c r="B2538" s="66" t="s">
        <v>1155</v>
      </c>
      <c r="C2538" s="66" t="s">
        <v>9605</v>
      </c>
      <c r="D2538" s="66">
        <v>6976068142065</v>
      </c>
      <c r="E2538" s="68" t="s">
        <v>9757</v>
      </c>
      <c r="F2538" s="66" t="s">
        <v>9758</v>
      </c>
      <c r="G2538" s="71">
        <v>4722</v>
      </c>
      <c r="H2538" s="73"/>
      <c r="I2538" s="75">
        <v>0.2</v>
      </c>
      <c r="J2538" s="77"/>
      <c r="K2538" s="66"/>
      <c r="L2538" s="66"/>
      <c r="M2538" s="79" t="str">
        <f>HYPERLINK("http://www.pristavka.com/catalog/Genshin Impact/GEN1062/")</f>
        <v>http://www.pristavka.com/catalog/Genshin Impact/GEN1062/</v>
      </c>
      <c r="N2538" s="71">
        <v>7899</v>
      </c>
      <c r="O2538" s="66" t="s">
        <v>27</v>
      </c>
      <c r="P2538" s="82" t="s">
        <v>9759</v>
      </c>
      <c r="Q2538" s="84" t="s">
        <v>1963</v>
      </c>
      <c r="R2538" s="84" t="s">
        <v>9605</v>
      </c>
      <c r="S2538" s="84">
        <v>0.1</v>
      </c>
      <c r="T2538" s="82" t="s">
        <v>9760</v>
      </c>
      <c r="U2538" s="84"/>
      <c r="V2538" s="54"/>
    </row>
    <row r="2539" spans="1:22" s="11" customFormat="1" ht="45" customHeight="1" x14ac:dyDescent="0.2">
      <c r="A2539" s="66" t="s">
        <v>1963</v>
      </c>
      <c r="B2539" s="66" t="s">
        <v>1155</v>
      </c>
      <c r="C2539" s="66" t="s">
        <v>9605</v>
      </c>
      <c r="D2539" s="66">
        <v>6942421132820</v>
      </c>
      <c r="E2539" s="68" t="s">
        <v>9761</v>
      </c>
      <c r="F2539" s="66" t="s">
        <v>9762</v>
      </c>
      <c r="G2539" s="71">
        <v>6307</v>
      </c>
      <c r="H2539" s="73"/>
      <c r="I2539" s="75">
        <v>0.2</v>
      </c>
      <c r="J2539" s="77"/>
      <c r="K2539" s="66"/>
      <c r="L2539" s="66"/>
      <c r="M2539" s="79" t="str">
        <f>HYPERLINK("http://www.pristavka.com/catalog/Genshin Impact/GEN1273/")</f>
        <v>http://www.pristavka.com/catalog/Genshin Impact/GEN1273/</v>
      </c>
      <c r="N2539" s="71">
        <v>10599</v>
      </c>
      <c r="O2539" s="66" t="s">
        <v>27</v>
      </c>
      <c r="P2539" s="82" t="s">
        <v>9763</v>
      </c>
      <c r="Q2539" s="84" t="s">
        <v>1963</v>
      </c>
      <c r="R2539" s="84" t="s">
        <v>9605</v>
      </c>
      <c r="S2539" s="84">
        <v>0.14000000000000001</v>
      </c>
      <c r="T2539" s="82" t="s">
        <v>9764</v>
      </c>
      <c r="U2539" s="84"/>
      <c r="V2539" s="54"/>
    </row>
    <row r="2540" spans="1:22" s="11" customFormat="1" ht="45" customHeight="1" x14ac:dyDescent="0.2">
      <c r="A2540" s="66" t="s">
        <v>1963</v>
      </c>
      <c r="B2540" s="66" t="s">
        <v>1155</v>
      </c>
      <c r="C2540" s="66" t="s">
        <v>9605</v>
      </c>
      <c r="D2540" s="66">
        <v>6942421104230</v>
      </c>
      <c r="E2540" s="68" t="s">
        <v>9765</v>
      </c>
      <c r="F2540" s="66" t="s">
        <v>9766</v>
      </c>
      <c r="G2540" s="71">
        <v>2689</v>
      </c>
      <c r="H2540" s="73"/>
      <c r="I2540" s="75">
        <v>0.2</v>
      </c>
      <c r="J2540" s="77"/>
      <c r="K2540" s="66"/>
      <c r="L2540" s="66"/>
      <c r="M2540" s="79" t="str">
        <f>HYPERLINK("http://www.pristavka.com/catalog/Genshin Impact/GEN1056/")</f>
        <v>http://www.pristavka.com/catalog/Genshin Impact/GEN1056/</v>
      </c>
      <c r="N2540" s="71">
        <v>4499</v>
      </c>
      <c r="O2540" s="66" t="s">
        <v>27</v>
      </c>
      <c r="P2540" s="82" t="s">
        <v>9767</v>
      </c>
      <c r="Q2540" s="84" t="s">
        <v>1963</v>
      </c>
      <c r="R2540" s="84" t="s">
        <v>9605</v>
      </c>
      <c r="S2540" s="84">
        <v>1.9E-2</v>
      </c>
      <c r="T2540" s="82" t="s">
        <v>9768</v>
      </c>
      <c r="U2540" s="84"/>
      <c r="V2540" s="54"/>
    </row>
    <row r="2541" spans="1:22" s="11" customFormat="1" ht="45" customHeight="1" x14ac:dyDescent="0.2">
      <c r="A2541" s="66" t="s">
        <v>1963</v>
      </c>
      <c r="B2541" s="66" t="s">
        <v>1155</v>
      </c>
      <c r="C2541" s="66" t="s">
        <v>9605</v>
      </c>
      <c r="D2541" s="66">
        <v>6942421104193</v>
      </c>
      <c r="E2541" s="68" t="s">
        <v>9769</v>
      </c>
      <c r="F2541" s="66" t="s">
        <v>9770</v>
      </c>
      <c r="G2541" s="71">
        <v>2689</v>
      </c>
      <c r="H2541" s="73"/>
      <c r="I2541" s="75">
        <v>0.2</v>
      </c>
      <c r="J2541" s="77"/>
      <c r="K2541" s="66"/>
      <c r="L2541" s="66"/>
      <c r="M2541" s="79" t="str">
        <f>HYPERLINK("http://www.pristavka.com/catalog/Genshin Impact/GEN1052/")</f>
        <v>http://www.pristavka.com/catalog/Genshin Impact/GEN1052/</v>
      </c>
      <c r="N2541" s="71">
        <v>4499</v>
      </c>
      <c r="O2541" s="66" t="s">
        <v>27</v>
      </c>
      <c r="P2541" s="82" t="s">
        <v>9771</v>
      </c>
      <c r="Q2541" s="84" t="s">
        <v>1963</v>
      </c>
      <c r="R2541" s="84" t="s">
        <v>9605</v>
      </c>
      <c r="S2541" s="84">
        <v>1.7000000000000001E-2</v>
      </c>
      <c r="T2541" s="82" t="s">
        <v>9772</v>
      </c>
      <c r="U2541" s="84"/>
      <c r="V2541" s="54"/>
    </row>
    <row r="2542" spans="1:22" s="11" customFormat="1" ht="45" customHeight="1" x14ac:dyDescent="0.2">
      <c r="A2542" s="66" t="s">
        <v>1963</v>
      </c>
      <c r="B2542" s="66" t="s">
        <v>1155</v>
      </c>
      <c r="C2542" s="66" t="s">
        <v>9605</v>
      </c>
      <c r="D2542" s="66">
        <v>6942421104209</v>
      </c>
      <c r="E2542" s="68" t="s">
        <v>9773</v>
      </c>
      <c r="F2542" s="66" t="s">
        <v>9774</v>
      </c>
      <c r="G2542" s="71">
        <v>2689</v>
      </c>
      <c r="H2542" s="73"/>
      <c r="I2542" s="75">
        <v>0.2</v>
      </c>
      <c r="J2542" s="77"/>
      <c r="K2542" s="66"/>
      <c r="L2542" s="66"/>
      <c r="M2542" s="79" t="str">
        <f>HYPERLINK("http://www.pristavka.com/catalog/Genshin Impact/GEN1053/")</f>
        <v>http://www.pristavka.com/catalog/Genshin Impact/GEN1053/</v>
      </c>
      <c r="N2542" s="71">
        <v>4499</v>
      </c>
      <c r="O2542" s="66" t="s">
        <v>27</v>
      </c>
      <c r="P2542" s="82" t="s">
        <v>9775</v>
      </c>
      <c r="Q2542" s="84" t="s">
        <v>1963</v>
      </c>
      <c r="R2542" s="84" t="s">
        <v>9605</v>
      </c>
      <c r="S2542" s="84">
        <v>0.02</v>
      </c>
      <c r="T2542" s="82" t="s">
        <v>9776</v>
      </c>
      <c r="U2542" s="84"/>
      <c r="V2542" s="54"/>
    </row>
    <row r="2543" spans="1:22" s="11" customFormat="1" ht="45" customHeight="1" x14ac:dyDescent="0.2">
      <c r="A2543" s="66" t="s">
        <v>1963</v>
      </c>
      <c r="B2543" s="66" t="s">
        <v>1155</v>
      </c>
      <c r="C2543" s="66" t="s">
        <v>9605</v>
      </c>
      <c r="D2543" s="66">
        <v>6942421104216</v>
      </c>
      <c r="E2543" s="68" t="s">
        <v>9777</v>
      </c>
      <c r="F2543" s="66" t="s">
        <v>9778</v>
      </c>
      <c r="G2543" s="71">
        <v>2689</v>
      </c>
      <c r="H2543" s="73"/>
      <c r="I2543" s="75">
        <v>0.2</v>
      </c>
      <c r="J2543" s="77"/>
      <c r="K2543" s="66"/>
      <c r="L2543" s="66"/>
      <c r="M2543" s="79" t="str">
        <f>HYPERLINK("http://www.pristavka.com/catalog/Genshin Impact/GEN1054/")</f>
        <v>http://www.pristavka.com/catalog/Genshin Impact/GEN1054/</v>
      </c>
      <c r="N2543" s="71">
        <v>4499</v>
      </c>
      <c r="O2543" s="66" t="s">
        <v>27</v>
      </c>
      <c r="P2543" s="82" t="s">
        <v>9779</v>
      </c>
      <c r="Q2543" s="84" t="s">
        <v>1963</v>
      </c>
      <c r="R2543" s="84" t="s">
        <v>9605</v>
      </c>
      <c r="S2543" s="84">
        <v>1.4999999999999999E-2</v>
      </c>
      <c r="T2543" s="82" t="s">
        <v>9776</v>
      </c>
      <c r="U2543" s="84"/>
      <c r="V2543" s="54"/>
    </row>
    <row r="2544" spans="1:22" s="11" customFormat="1" ht="45" customHeight="1" x14ac:dyDescent="0.2">
      <c r="A2544" s="66" t="s">
        <v>1963</v>
      </c>
      <c r="B2544" s="66" t="s">
        <v>1155</v>
      </c>
      <c r="C2544" s="66" t="s">
        <v>9605</v>
      </c>
      <c r="D2544" s="66">
        <v>6942421104247</v>
      </c>
      <c r="E2544" s="68" t="s">
        <v>9780</v>
      </c>
      <c r="F2544" s="66" t="s">
        <v>9781</v>
      </c>
      <c r="G2544" s="71">
        <v>2689</v>
      </c>
      <c r="H2544" s="73"/>
      <c r="I2544" s="75">
        <v>0.2</v>
      </c>
      <c r="J2544" s="77"/>
      <c r="K2544" s="66"/>
      <c r="L2544" s="66"/>
      <c r="M2544" s="79" t="str">
        <f>HYPERLINK("http://www.pristavka.com/catalog/Genshin Impact/GEN1057/")</f>
        <v>http://www.pristavka.com/catalog/Genshin Impact/GEN1057/</v>
      </c>
      <c r="N2544" s="71">
        <v>4499</v>
      </c>
      <c r="O2544" s="66" t="s">
        <v>27</v>
      </c>
      <c r="P2544" s="82" t="s">
        <v>9782</v>
      </c>
      <c r="Q2544" s="84" t="s">
        <v>1963</v>
      </c>
      <c r="R2544" s="84" t="s">
        <v>9605</v>
      </c>
      <c r="S2544" s="84">
        <v>0.02</v>
      </c>
      <c r="T2544" s="82" t="s">
        <v>9772</v>
      </c>
      <c r="U2544" s="84"/>
      <c r="V2544" s="54"/>
    </row>
    <row r="2545" spans="1:22" s="11" customFormat="1" ht="45" customHeight="1" x14ac:dyDescent="0.2">
      <c r="A2545" s="66" t="s">
        <v>1963</v>
      </c>
      <c r="B2545" s="66" t="s">
        <v>1155</v>
      </c>
      <c r="C2545" s="66" t="s">
        <v>9605</v>
      </c>
      <c r="D2545" s="66">
        <v>6942421104223</v>
      </c>
      <c r="E2545" s="68" t="s">
        <v>9783</v>
      </c>
      <c r="F2545" s="66" t="s">
        <v>9784</v>
      </c>
      <c r="G2545" s="71">
        <v>2689</v>
      </c>
      <c r="H2545" s="73"/>
      <c r="I2545" s="75">
        <v>0.2</v>
      </c>
      <c r="J2545" s="77"/>
      <c r="K2545" s="66"/>
      <c r="L2545" s="66"/>
      <c r="M2545" s="79" t="str">
        <f>HYPERLINK("http://www.pristavka.com/catalog/Genshin Impact/GEN1055/")</f>
        <v>http://www.pristavka.com/catalog/Genshin Impact/GEN1055/</v>
      </c>
      <c r="N2545" s="71">
        <v>4499</v>
      </c>
      <c r="O2545" s="66" t="s">
        <v>27</v>
      </c>
      <c r="P2545" s="82" t="s">
        <v>9785</v>
      </c>
      <c r="Q2545" s="84" t="s">
        <v>1963</v>
      </c>
      <c r="R2545" s="84" t="s">
        <v>9605</v>
      </c>
      <c r="S2545" s="84">
        <v>1.7999999999999999E-2</v>
      </c>
      <c r="T2545" s="82" t="s">
        <v>9768</v>
      </c>
      <c r="U2545" s="84"/>
      <c r="V2545" s="54"/>
    </row>
    <row r="2546" spans="1:22" s="11" customFormat="1" ht="45" customHeight="1" x14ac:dyDescent="0.2">
      <c r="A2546" s="66" t="s">
        <v>1963</v>
      </c>
      <c r="B2546" s="66" t="s">
        <v>1155</v>
      </c>
      <c r="C2546" s="66" t="s">
        <v>9605</v>
      </c>
      <c r="D2546" s="66">
        <v>6942421111412</v>
      </c>
      <c r="E2546" s="68" t="s">
        <v>9786</v>
      </c>
      <c r="F2546" s="66" t="s">
        <v>9787</v>
      </c>
      <c r="G2546" s="71">
        <v>10110</v>
      </c>
      <c r="H2546" s="73"/>
      <c r="I2546" s="75">
        <v>0.2</v>
      </c>
      <c r="J2546" s="77"/>
      <c r="K2546" s="66"/>
      <c r="L2546" s="66"/>
      <c r="M2546" s="79" t="str">
        <f>HYPERLINK("http://www.pristavka.com/catalog/Genshin Impact/GEN1049/")</f>
        <v>http://www.pristavka.com/catalog/Genshin Impact/GEN1049/</v>
      </c>
      <c r="N2546" s="71">
        <v>16899</v>
      </c>
      <c r="O2546" s="66" t="s">
        <v>27</v>
      </c>
      <c r="P2546" s="82" t="s">
        <v>9788</v>
      </c>
      <c r="Q2546" s="84" t="s">
        <v>1963</v>
      </c>
      <c r="R2546" s="84" t="s">
        <v>9605</v>
      </c>
      <c r="S2546" s="84">
        <v>0.123</v>
      </c>
      <c r="T2546" s="82" t="s">
        <v>9789</v>
      </c>
      <c r="U2546" s="84"/>
      <c r="V2546" s="54"/>
    </row>
    <row r="2547" spans="1:22" s="11" customFormat="1" ht="45" customHeight="1" x14ac:dyDescent="0.2">
      <c r="A2547" s="66" t="s">
        <v>1963</v>
      </c>
      <c r="B2547" s="66" t="s">
        <v>1155</v>
      </c>
      <c r="C2547" s="66" t="s">
        <v>9605</v>
      </c>
      <c r="D2547" s="66">
        <v>6942421136729</v>
      </c>
      <c r="E2547" s="68" t="s">
        <v>9790</v>
      </c>
      <c r="F2547" s="66" t="s">
        <v>9791</v>
      </c>
      <c r="G2547" s="71">
        <v>4722</v>
      </c>
      <c r="H2547" s="73"/>
      <c r="I2547" s="75">
        <v>0.2</v>
      </c>
      <c r="J2547" s="77"/>
      <c r="K2547" s="66"/>
      <c r="L2547" s="66"/>
      <c r="M2547" s="79" t="str">
        <f>HYPERLINK("http://www.pristavka.com/catalog/Genshin Impact/GEN1367/")</f>
        <v>http://www.pristavka.com/catalog/Genshin Impact/GEN1367/</v>
      </c>
      <c r="N2547" s="71">
        <v>7899</v>
      </c>
      <c r="O2547" s="66" t="s">
        <v>27</v>
      </c>
      <c r="P2547" s="82" t="s">
        <v>9792</v>
      </c>
      <c r="Q2547" s="84" t="s">
        <v>1963</v>
      </c>
      <c r="R2547" s="84" t="s">
        <v>9605</v>
      </c>
      <c r="S2547" s="84">
        <v>0.16800000000000001</v>
      </c>
      <c r="T2547" s="82" t="s">
        <v>9793</v>
      </c>
      <c r="U2547" s="84"/>
      <c r="V2547" s="54"/>
    </row>
    <row r="2548" spans="1:22" s="11" customFormat="1" ht="45" customHeight="1" x14ac:dyDescent="0.2">
      <c r="A2548" s="66" t="s">
        <v>1963</v>
      </c>
      <c r="B2548" s="66" t="s">
        <v>1155</v>
      </c>
      <c r="C2548" s="66" t="s">
        <v>9605</v>
      </c>
      <c r="D2548" s="66">
        <v>6942421136644</v>
      </c>
      <c r="E2548" s="68" t="s">
        <v>9794</v>
      </c>
      <c r="F2548" s="66" t="s">
        <v>9795</v>
      </c>
      <c r="G2548" s="71">
        <v>4722</v>
      </c>
      <c r="H2548" s="73"/>
      <c r="I2548" s="75">
        <v>0.2</v>
      </c>
      <c r="J2548" s="77"/>
      <c r="K2548" s="66"/>
      <c r="L2548" s="66"/>
      <c r="M2548" s="79" t="str">
        <f>HYPERLINK("http://www.pristavka.com/catalog/Genshin Impact/GEN1364/")</f>
        <v>http://www.pristavka.com/catalog/Genshin Impact/GEN1364/</v>
      </c>
      <c r="N2548" s="71">
        <v>7899</v>
      </c>
      <c r="O2548" s="66" t="s">
        <v>27</v>
      </c>
      <c r="P2548" s="82" t="s">
        <v>9796</v>
      </c>
      <c r="Q2548" s="84" t="s">
        <v>1963</v>
      </c>
      <c r="R2548" s="84" t="s">
        <v>9605</v>
      </c>
      <c r="S2548" s="84">
        <v>0.17799999999999999</v>
      </c>
      <c r="T2548" s="82" t="s">
        <v>9797</v>
      </c>
      <c r="U2548" s="84"/>
      <c r="V2548" s="54"/>
    </row>
    <row r="2549" spans="1:22" s="11" customFormat="1" ht="45" customHeight="1" x14ac:dyDescent="0.2">
      <c r="A2549" s="66" t="s">
        <v>1963</v>
      </c>
      <c r="B2549" s="66" t="s">
        <v>1155</v>
      </c>
      <c r="C2549" s="66" t="s">
        <v>9605</v>
      </c>
      <c r="D2549" s="66">
        <v>6942421136637</v>
      </c>
      <c r="E2549" s="68" t="s">
        <v>9798</v>
      </c>
      <c r="F2549" s="66" t="s">
        <v>9799</v>
      </c>
      <c r="G2549" s="71">
        <v>4722</v>
      </c>
      <c r="H2549" s="73"/>
      <c r="I2549" s="75">
        <v>0.2</v>
      </c>
      <c r="J2549" s="77"/>
      <c r="K2549" s="66"/>
      <c r="L2549" s="66"/>
      <c r="M2549" s="79" t="str">
        <f>HYPERLINK("http://www.pristavka.com/catalog/Genshin Impact/GEN1363/")</f>
        <v>http://www.pristavka.com/catalog/Genshin Impact/GEN1363/</v>
      </c>
      <c r="N2549" s="71">
        <v>7899</v>
      </c>
      <c r="O2549" s="66" t="s">
        <v>27</v>
      </c>
      <c r="P2549" s="82" t="s">
        <v>9800</v>
      </c>
      <c r="Q2549" s="84" t="s">
        <v>1963</v>
      </c>
      <c r="R2549" s="84" t="s">
        <v>9605</v>
      </c>
      <c r="S2549" s="84">
        <v>0.19600000000000001</v>
      </c>
      <c r="T2549" s="82" t="s">
        <v>9797</v>
      </c>
      <c r="U2549" s="84"/>
      <c r="V2549" s="54"/>
    </row>
    <row r="2550" spans="1:22" s="11" customFormat="1" ht="45" customHeight="1" x14ac:dyDescent="0.2">
      <c r="A2550" s="66" t="s">
        <v>1963</v>
      </c>
      <c r="B2550" s="66" t="s">
        <v>1155</v>
      </c>
      <c r="C2550" s="66" t="s">
        <v>9605</v>
      </c>
      <c r="D2550" s="66">
        <v>6942421136699</v>
      </c>
      <c r="E2550" s="68" t="s">
        <v>9801</v>
      </c>
      <c r="F2550" s="66" t="s">
        <v>9802</v>
      </c>
      <c r="G2550" s="71">
        <v>4722</v>
      </c>
      <c r="H2550" s="73"/>
      <c r="I2550" s="75">
        <v>0.2</v>
      </c>
      <c r="J2550" s="77"/>
      <c r="K2550" s="66"/>
      <c r="L2550" s="66"/>
      <c r="M2550" s="79" t="str">
        <f>HYPERLINK("http://www.pristavka.com/catalog/Genshin Impact/GEN1366/")</f>
        <v>http://www.pristavka.com/catalog/Genshin Impact/GEN1366/</v>
      </c>
      <c r="N2550" s="71">
        <v>7899</v>
      </c>
      <c r="O2550" s="66" t="s">
        <v>27</v>
      </c>
      <c r="P2550" s="82" t="s">
        <v>9803</v>
      </c>
      <c r="Q2550" s="84" t="s">
        <v>1963</v>
      </c>
      <c r="R2550" s="84" t="s">
        <v>9605</v>
      </c>
      <c r="S2550" s="84">
        <v>0.154</v>
      </c>
      <c r="T2550" s="82" t="s">
        <v>9804</v>
      </c>
      <c r="U2550" s="84"/>
      <c r="V2550" s="54"/>
    </row>
    <row r="2551" spans="1:22" s="11" customFormat="1" ht="45" customHeight="1" x14ac:dyDescent="0.2">
      <c r="A2551" s="66" t="s">
        <v>1963</v>
      </c>
      <c r="B2551" s="66" t="s">
        <v>1155</v>
      </c>
      <c r="C2551" s="66" t="s">
        <v>9605</v>
      </c>
      <c r="D2551" s="66">
        <v>6942421136651</v>
      </c>
      <c r="E2551" s="68" t="s">
        <v>9805</v>
      </c>
      <c r="F2551" s="66" t="s">
        <v>9806</v>
      </c>
      <c r="G2551" s="71">
        <v>4722</v>
      </c>
      <c r="H2551" s="73"/>
      <c r="I2551" s="75">
        <v>0.2</v>
      </c>
      <c r="J2551" s="77"/>
      <c r="K2551" s="66"/>
      <c r="L2551" s="66"/>
      <c r="M2551" s="79" t="str">
        <f>HYPERLINK("http://www.pristavka.com/catalog/Genshin Impact/GEN1365/")</f>
        <v>http://www.pristavka.com/catalog/Genshin Impact/GEN1365/</v>
      </c>
      <c r="N2551" s="71">
        <v>7899</v>
      </c>
      <c r="O2551" s="66" t="s">
        <v>27</v>
      </c>
      <c r="P2551" s="82" t="s">
        <v>9807</v>
      </c>
      <c r="Q2551" s="84" t="s">
        <v>1963</v>
      </c>
      <c r="R2551" s="84" t="s">
        <v>9605</v>
      </c>
      <c r="S2551" s="84">
        <v>0.18</v>
      </c>
      <c r="T2551" s="82" t="s">
        <v>9797</v>
      </c>
      <c r="U2551" s="84"/>
      <c r="V2551" s="54"/>
    </row>
    <row r="2552" spans="1:22" s="11" customFormat="1" ht="45" customHeight="1" x14ac:dyDescent="0.2">
      <c r="A2552" s="66" t="s">
        <v>1963</v>
      </c>
      <c r="B2552" s="66" t="s">
        <v>1155</v>
      </c>
      <c r="C2552" s="66" t="s">
        <v>9605</v>
      </c>
      <c r="D2552" s="66">
        <v>6942421141181</v>
      </c>
      <c r="E2552" s="68" t="s">
        <v>9808</v>
      </c>
      <c r="F2552" s="66" t="s">
        <v>9809</v>
      </c>
      <c r="G2552" s="71">
        <v>5039</v>
      </c>
      <c r="H2552" s="73"/>
      <c r="I2552" s="75">
        <v>0.2</v>
      </c>
      <c r="J2552" s="77"/>
      <c r="K2552" s="66"/>
      <c r="L2552" s="66"/>
      <c r="M2552" s="79" t="str">
        <f>HYPERLINK("http://www.pristavka.com/catalog/Genshin Impact/GEN1325/")</f>
        <v>http://www.pristavka.com/catalog/Genshin Impact/GEN1325/</v>
      </c>
      <c r="N2552" s="71">
        <v>8399</v>
      </c>
      <c r="O2552" s="66" t="s">
        <v>27</v>
      </c>
      <c r="P2552" s="82" t="s">
        <v>9810</v>
      </c>
      <c r="Q2552" s="84" t="s">
        <v>1963</v>
      </c>
      <c r="R2552" s="84" t="s">
        <v>9605</v>
      </c>
      <c r="S2552" s="84">
        <v>0.105</v>
      </c>
      <c r="T2552" s="82" t="s">
        <v>9811</v>
      </c>
      <c r="U2552" s="84"/>
      <c r="V2552" s="54"/>
    </row>
    <row r="2553" spans="1:22" s="11" customFormat="1" ht="45" customHeight="1" x14ac:dyDescent="0.2">
      <c r="A2553" s="66" t="s">
        <v>1963</v>
      </c>
      <c r="B2553" s="66" t="s">
        <v>1155</v>
      </c>
      <c r="C2553" s="66" t="s">
        <v>9605</v>
      </c>
      <c r="D2553" s="66">
        <v>6942421141198</v>
      </c>
      <c r="E2553" s="68" t="s">
        <v>9812</v>
      </c>
      <c r="F2553" s="66" t="s">
        <v>9813</v>
      </c>
      <c r="G2553" s="71">
        <v>5039</v>
      </c>
      <c r="H2553" s="73"/>
      <c r="I2553" s="75">
        <v>0.2</v>
      </c>
      <c r="J2553" s="77"/>
      <c r="K2553" s="66"/>
      <c r="L2553" s="66"/>
      <c r="M2553" s="79" t="str">
        <f>HYPERLINK("http://www.pristavka.com/catalog/Genshin Impact/GEN1326/")</f>
        <v>http://www.pristavka.com/catalog/Genshin Impact/GEN1326/</v>
      </c>
      <c r="N2553" s="71">
        <v>8399</v>
      </c>
      <c r="O2553" s="66" t="s">
        <v>27</v>
      </c>
      <c r="P2553" s="82" t="s">
        <v>9814</v>
      </c>
      <c r="Q2553" s="84" t="s">
        <v>1963</v>
      </c>
      <c r="R2553" s="84" t="s">
        <v>9605</v>
      </c>
      <c r="S2553" s="84">
        <v>8.7999999999999995E-2</v>
      </c>
      <c r="T2553" s="82" t="s">
        <v>9815</v>
      </c>
      <c r="U2553" s="84"/>
      <c r="V2553" s="54"/>
    </row>
    <row r="2554" spans="1:22" s="11" customFormat="1" ht="45" customHeight="1" x14ac:dyDescent="0.2">
      <c r="A2554" s="66" t="s">
        <v>1963</v>
      </c>
      <c r="B2554" s="66" t="s">
        <v>1155</v>
      </c>
      <c r="C2554" s="66" t="s">
        <v>9605</v>
      </c>
      <c r="D2554" s="66">
        <v>6942421141174</v>
      </c>
      <c r="E2554" s="68" t="s">
        <v>9816</v>
      </c>
      <c r="F2554" s="66" t="s">
        <v>9817</v>
      </c>
      <c r="G2554" s="71">
        <v>5039</v>
      </c>
      <c r="H2554" s="73"/>
      <c r="I2554" s="75">
        <v>0.2</v>
      </c>
      <c r="J2554" s="77"/>
      <c r="K2554" s="66"/>
      <c r="L2554" s="66"/>
      <c r="M2554" s="79" t="str">
        <f>HYPERLINK("http://www.pristavka.com/catalog/Genshin Impact/GEN1324/")</f>
        <v>http://www.pristavka.com/catalog/Genshin Impact/GEN1324/</v>
      </c>
      <c r="N2554" s="71">
        <v>8399</v>
      </c>
      <c r="O2554" s="66" t="s">
        <v>27</v>
      </c>
      <c r="P2554" s="82" t="s">
        <v>9818</v>
      </c>
      <c r="Q2554" s="84" t="s">
        <v>1963</v>
      </c>
      <c r="R2554" s="84" t="s">
        <v>9605</v>
      </c>
      <c r="S2554" s="84">
        <v>9.4E-2</v>
      </c>
      <c r="T2554" s="82" t="s">
        <v>9819</v>
      </c>
      <c r="U2554" s="84"/>
      <c r="V2554" s="54"/>
    </row>
    <row r="2555" spans="1:22" s="11" customFormat="1" ht="45" customHeight="1" x14ac:dyDescent="0.2">
      <c r="A2555" s="66" t="s">
        <v>1963</v>
      </c>
      <c r="B2555" s="66" t="s">
        <v>1155</v>
      </c>
      <c r="C2555" s="66" t="s">
        <v>9605</v>
      </c>
      <c r="D2555" s="66">
        <v>6942421111450</v>
      </c>
      <c r="E2555" s="68" t="s">
        <v>9820</v>
      </c>
      <c r="F2555" s="66" t="s">
        <v>9821</v>
      </c>
      <c r="G2555" s="71">
        <v>10110</v>
      </c>
      <c r="H2555" s="73"/>
      <c r="I2555" s="75">
        <v>0.2</v>
      </c>
      <c r="J2555" s="77"/>
      <c r="K2555" s="66"/>
      <c r="L2555" s="66"/>
      <c r="M2555" s="79" t="str">
        <f>HYPERLINK("http://www.pristavka.com/catalog/Genshin Impact/GEN1051/")</f>
        <v>http://www.pristavka.com/catalog/Genshin Impact/GEN1051/</v>
      </c>
      <c r="N2555" s="71">
        <v>16899</v>
      </c>
      <c r="O2555" s="66" t="s">
        <v>27</v>
      </c>
      <c r="P2555" s="82" t="s">
        <v>9822</v>
      </c>
      <c r="Q2555" s="84" t="s">
        <v>1963</v>
      </c>
      <c r="R2555" s="84" t="s">
        <v>9605</v>
      </c>
      <c r="S2555" s="84">
        <v>0.122</v>
      </c>
      <c r="T2555" s="82" t="s">
        <v>9823</v>
      </c>
      <c r="U2555" s="84"/>
      <c r="V2555" s="54"/>
    </row>
    <row r="2556" spans="1:22" s="11" customFormat="1" ht="45" customHeight="1" x14ac:dyDescent="0.2">
      <c r="A2556" s="66" t="s">
        <v>1963</v>
      </c>
      <c r="B2556" s="66" t="s">
        <v>1155</v>
      </c>
      <c r="C2556" s="66" t="s">
        <v>9605</v>
      </c>
      <c r="D2556" s="66">
        <v>6942421111436</v>
      </c>
      <c r="E2556" s="68" t="s">
        <v>9824</v>
      </c>
      <c r="F2556" s="66" t="s">
        <v>9825</v>
      </c>
      <c r="G2556" s="71">
        <v>10110</v>
      </c>
      <c r="H2556" s="73"/>
      <c r="I2556" s="75">
        <v>0.2</v>
      </c>
      <c r="J2556" s="77"/>
      <c r="K2556" s="66"/>
      <c r="L2556" s="66"/>
      <c r="M2556" s="79" t="str">
        <f>HYPERLINK("http://www.pristavka.com/catalog/Genshin Impact/GEN1050/")</f>
        <v>http://www.pristavka.com/catalog/Genshin Impact/GEN1050/</v>
      </c>
      <c r="N2556" s="71">
        <v>16899</v>
      </c>
      <c r="O2556" s="66" t="s">
        <v>27</v>
      </c>
      <c r="P2556" s="82" t="s">
        <v>9826</v>
      </c>
      <c r="Q2556" s="84" t="s">
        <v>1963</v>
      </c>
      <c r="R2556" s="84" t="s">
        <v>9605</v>
      </c>
      <c r="S2556" s="84">
        <v>0.12</v>
      </c>
      <c r="T2556" s="82" t="s">
        <v>9827</v>
      </c>
      <c r="U2556" s="84"/>
      <c r="V2556" s="54"/>
    </row>
    <row r="2557" spans="1:22" s="11" customFormat="1" ht="45" customHeight="1" x14ac:dyDescent="0.2">
      <c r="A2557" s="66" t="s">
        <v>1963</v>
      </c>
      <c r="B2557" s="66" t="s">
        <v>1155</v>
      </c>
      <c r="C2557" s="66" t="s">
        <v>9605</v>
      </c>
      <c r="D2557" s="66">
        <v>6942421111382</v>
      </c>
      <c r="E2557" s="68" t="s">
        <v>9828</v>
      </c>
      <c r="F2557" s="66" t="s">
        <v>9829</v>
      </c>
      <c r="G2557" s="71">
        <v>10110</v>
      </c>
      <c r="H2557" s="73"/>
      <c r="I2557" s="75">
        <v>0.2</v>
      </c>
      <c r="J2557" s="77"/>
      <c r="K2557" s="66"/>
      <c r="L2557" s="66"/>
      <c r="M2557" s="79" t="str">
        <f>HYPERLINK("http://www.pristavka.com/catalog/Genshin Impact/GEN1046/")</f>
        <v>http://www.pristavka.com/catalog/Genshin Impact/GEN1046/</v>
      </c>
      <c r="N2557" s="71">
        <v>16899</v>
      </c>
      <c r="O2557" s="66" t="s">
        <v>28</v>
      </c>
      <c r="P2557" s="82" t="s">
        <v>9830</v>
      </c>
      <c r="Q2557" s="84" t="s">
        <v>1963</v>
      </c>
      <c r="R2557" s="84" t="s">
        <v>9605</v>
      </c>
      <c r="S2557" s="84">
        <v>0.121</v>
      </c>
      <c r="T2557" s="82" t="s">
        <v>9831</v>
      </c>
      <c r="U2557" s="84"/>
      <c r="V2557" s="54"/>
    </row>
    <row r="2558" spans="1:22" s="11" customFormat="1" ht="45" customHeight="1" x14ac:dyDescent="0.2">
      <c r="A2558" s="66" t="s">
        <v>1963</v>
      </c>
      <c r="B2558" s="66" t="s">
        <v>1155</v>
      </c>
      <c r="C2558" s="66" t="s">
        <v>9605</v>
      </c>
      <c r="D2558" s="66">
        <v>6942421111405</v>
      </c>
      <c r="E2558" s="68" t="s">
        <v>9832</v>
      </c>
      <c r="F2558" s="66" t="s">
        <v>9833</v>
      </c>
      <c r="G2558" s="71">
        <v>10110</v>
      </c>
      <c r="H2558" s="73"/>
      <c r="I2558" s="75">
        <v>0.2</v>
      </c>
      <c r="J2558" s="77"/>
      <c r="K2558" s="66"/>
      <c r="L2558" s="66"/>
      <c r="M2558" s="79" t="str">
        <f>HYPERLINK("http://www.pristavka.com/catalog/Genshin Impact/GEN1048/")</f>
        <v>http://www.pristavka.com/catalog/Genshin Impact/GEN1048/</v>
      </c>
      <c r="N2558" s="71">
        <v>16899</v>
      </c>
      <c r="O2558" s="66" t="s">
        <v>28</v>
      </c>
      <c r="P2558" s="82" t="s">
        <v>9834</v>
      </c>
      <c r="Q2558" s="84" t="s">
        <v>1963</v>
      </c>
      <c r="R2558" s="84" t="s">
        <v>9605</v>
      </c>
      <c r="S2558" s="84">
        <v>0.122</v>
      </c>
      <c r="T2558" s="82" t="s">
        <v>9835</v>
      </c>
      <c r="U2558" s="84"/>
      <c r="V2558" s="54"/>
    </row>
    <row r="2559" spans="1:22" s="11" customFormat="1" ht="45" customHeight="1" x14ac:dyDescent="0.2">
      <c r="A2559" s="66" t="s">
        <v>1963</v>
      </c>
      <c r="B2559" s="66" t="s">
        <v>1155</v>
      </c>
      <c r="C2559" s="66" t="s">
        <v>9605</v>
      </c>
      <c r="D2559" s="66">
        <v>6942421111399</v>
      </c>
      <c r="E2559" s="68" t="s">
        <v>9836</v>
      </c>
      <c r="F2559" s="66" t="s">
        <v>9837</v>
      </c>
      <c r="G2559" s="71">
        <v>10110</v>
      </c>
      <c r="H2559" s="73"/>
      <c r="I2559" s="75">
        <v>0.2</v>
      </c>
      <c r="J2559" s="77"/>
      <c r="K2559" s="66"/>
      <c r="L2559" s="66"/>
      <c r="M2559" s="79" t="str">
        <f>HYPERLINK("http://www.pristavka.com/catalog/Genshin Impact/GEN1047/")</f>
        <v>http://www.pristavka.com/catalog/Genshin Impact/GEN1047/</v>
      </c>
      <c r="N2559" s="71">
        <v>16899</v>
      </c>
      <c r="O2559" s="66" t="s">
        <v>27</v>
      </c>
      <c r="P2559" s="82" t="s">
        <v>9838</v>
      </c>
      <c r="Q2559" s="84" t="s">
        <v>1963</v>
      </c>
      <c r="R2559" s="84" t="s">
        <v>9605</v>
      </c>
      <c r="S2559" s="84">
        <v>0.123</v>
      </c>
      <c r="T2559" s="82" t="s">
        <v>9839</v>
      </c>
      <c r="U2559" s="84"/>
      <c r="V2559" s="54"/>
    </row>
    <row r="2560" spans="1:22" s="11" customFormat="1" ht="45" customHeight="1" x14ac:dyDescent="0.2">
      <c r="A2560" s="66" t="s">
        <v>1963</v>
      </c>
      <c r="B2560" s="66" t="s">
        <v>1155</v>
      </c>
      <c r="C2560" s="66" t="s">
        <v>9605</v>
      </c>
      <c r="D2560" s="66">
        <v>6976068141327</v>
      </c>
      <c r="E2560" s="68" t="s">
        <v>9840</v>
      </c>
      <c r="F2560" s="66" t="s">
        <v>9841</v>
      </c>
      <c r="G2560" s="71">
        <v>4722</v>
      </c>
      <c r="H2560" s="73"/>
      <c r="I2560" s="75">
        <v>0.2</v>
      </c>
      <c r="J2560" s="77"/>
      <c r="K2560" s="66"/>
      <c r="L2560" s="66"/>
      <c r="M2560" s="79" t="str">
        <f>HYPERLINK("http://www.pristavka.com/catalog/Genshin Impact/GEN1063/")</f>
        <v>http://www.pristavka.com/catalog/Genshin Impact/GEN1063/</v>
      </c>
      <c r="N2560" s="71">
        <v>7899</v>
      </c>
      <c r="O2560" s="66" t="s">
        <v>27</v>
      </c>
      <c r="P2560" s="82" t="s">
        <v>9842</v>
      </c>
      <c r="Q2560" s="84" t="s">
        <v>1963</v>
      </c>
      <c r="R2560" s="84" t="s">
        <v>9605</v>
      </c>
      <c r="S2560" s="84">
        <v>0.107</v>
      </c>
      <c r="T2560" s="82" t="s">
        <v>9843</v>
      </c>
      <c r="U2560" s="84"/>
      <c r="V2560" s="54"/>
    </row>
    <row r="2561" spans="1:22" s="11" customFormat="1" ht="45" customHeight="1" x14ac:dyDescent="0.2">
      <c r="A2561" s="66" t="s">
        <v>1963</v>
      </c>
      <c r="B2561" s="66" t="s">
        <v>1155</v>
      </c>
      <c r="C2561" s="66" t="s">
        <v>9605</v>
      </c>
      <c r="D2561" s="66">
        <v>6942421110033</v>
      </c>
      <c r="E2561" s="68" t="s">
        <v>9844</v>
      </c>
      <c r="F2561" s="66" t="s">
        <v>9845</v>
      </c>
      <c r="G2561" s="71">
        <v>5039</v>
      </c>
      <c r="H2561" s="73"/>
      <c r="I2561" s="75">
        <v>0.2</v>
      </c>
      <c r="J2561" s="77"/>
      <c r="K2561" s="66"/>
      <c r="L2561" s="66"/>
      <c r="M2561" s="79" t="str">
        <f>HYPERLINK("http://www.pristavka.com/catalog/Genshin Impact/GEN1104/")</f>
        <v>http://www.pristavka.com/catalog/Genshin Impact/GEN1104/</v>
      </c>
      <c r="N2561" s="71">
        <v>8399</v>
      </c>
      <c r="O2561" s="66" t="s">
        <v>27</v>
      </c>
      <c r="P2561" s="82" t="s">
        <v>9846</v>
      </c>
      <c r="Q2561" s="84" t="s">
        <v>1963</v>
      </c>
      <c r="R2561" s="84" t="s">
        <v>9605</v>
      </c>
      <c r="S2561" s="84">
        <v>9.5000000000000001E-2</v>
      </c>
      <c r="T2561" s="82" t="s">
        <v>9847</v>
      </c>
      <c r="U2561" s="84"/>
      <c r="V2561" s="54"/>
    </row>
    <row r="2562" spans="1:22" s="11" customFormat="1" ht="45" customHeight="1" x14ac:dyDescent="0.2">
      <c r="A2562" s="66" t="s">
        <v>1963</v>
      </c>
      <c r="B2562" s="66" t="s">
        <v>1155</v>
      </c>
      <c r="C2562" s="66" t="s">
        <v>9605</v>
      </c>
      <c r="D2562" s="66">
        <v>6942421123460</v>
      </c>
      <c r="E2562" s="68" t="s">
        <v>9848</v>
      </c>
      <c r="F2562" s="66" t="s">
        <v>9849</v>
      </c>
      <c r="G2562" s="71">
        <v>6307</v>
      </c>
      <c r="H2562" s="73"/>
      <c r="I2562" s="75">
        <v>0.2</v>
      </c>
      <c r="J2562" s="77"/>
      <c r="K2562" s="66"/>
      <c r="L2562" s="66"/>
      <c r="M2562" s="79" t="str">
        <f>HYPERLINK("http://www.pristavka.com/catalog/Genshin Impact/GEN1416/")</f>
        <v>http://www.pristavka.com/catalog/Genshin Impact/GEN1416/</v>
      </c>
      <c r="N2562" s="71">
        <v>10599</v>
      </c>
      <c r="O2562" s="66" t="s">
        <v>27</v>
      </c>
      <c r="P2562" s="82" t="s">
        <v>9850</v>
      </c>
      <c r="Q2562" s="84" t="s">
        <v>1963</v>
      </c>
      <c r="R2562" s="84" t="s">
        <v>9605</v>
      </c>
      <c r="S2562" s="84">
        <v>0.106</v>
      </c>
      <c r="T2562" s="82" t="s">
        <v>9851</v>
      </c>
      <c r="U2562" s="84"/>
      <c r="V2562" s="54"/>
    </row>
    <row r="2563" spans="1:22" s="11" customFormat="1" ht="45" customHeight="1" x14ac:dyDescent="0.2">
      <c r="A2563" s="66" t="s">
        <v>1963</v>
      </c>
      <c r="B2563" s="66" t="s">
        <v>1155</v>
      </c>
      <c r="C2563" s="66" t="s">
        <v>9605</v>
      </c>
      <c r="D2563" s="66">
        <v>6942421123453</v>
      </c>
      <c r="E2563" s="68" t="s">
        <v>9852</v>
      </c>
      <c r="F2563" s="66" t="s">
        <v>9853</v>
      </c>
      <c r="G2563" s="71">
        <v>6307</v>
      </c>
      <c r="H2563" s="73"/>
      <c r="I2563" s="75">
        <v>0.2</v>
      </c>
      <c r="J2563" s="77"/>
      <c r="K2563" s="66"/>
      <c r="L2563" s="66"/>
      <c r="M2563" s="79" t="str">
        <f>HYPERLINK("http://www.pristavka.com/catalog/Genshin Impact/GEN1415/")</f>
        <v>http://www.pristavka.com/catalog/Genshin Impact/GEN1415/</v>
      </c>
      <c r="N2563" s="71">
        <v>10599</v>
      </c>
      <c r="O2563" s="66" t="s">
        <v>27</v>
      </c>
      <c r="P2563" s="82" t="s">
        <v>9854</v>
      </c>
      <c r="Q2563" s="84" t="s">
        <v>1963</v>
      </c>
      <c r="R2563" s="84" t="s">
        <v>9605</v>
      </c>
      <c r="S2563" s="84">
        <v>0.106</v>
      </c>
      <c r="T2563" s="82" t="s">
        <v>9855</v>
      </c>
      <c r="U2563" s="84"/>
      <c r="V2563" s="54"/>
    </row>
    <row r="2564" spans="1:22" s="11" customFormat="1" ht="45" customHeight="1" x14ac:dyDescent="0.2">
      <c r="A2564" s="66" t="s">
        <v>1963</v>
      </c>
      <c r="B2564" s="66" t="s">
        <v>1155</v>
      </c>
      <c r="C2564" s="66" t="s">
        <v>9605</v>
      </c>
      <c r="D2564" s="66">
        <v>6942421123491</v>
      </c>
      <c r="E2564" s="68" t="s">
        <v>9856</v>
      </c>
      <c r="F2564" s="66" t="s">
        <v>9857</v>
      </c>
      <c r="G2564" s="71">
        <v>6307</v>
      </c>
      <c r="H2564" s="73"/>
      <c r="I2564" s="75">
        <v>0.2</v>
      </c>
      <c r="J2564" s="77"/>
      <c r="K2564" s="66"/>
      <c r="L2564" s="66"/>
      <c r="M2564" s="79" t="str">
        <f>HYPERLINK("http://www.pristavka.com/catalog/Genshin Impact/GEN1418/")</f>
        <v>http://www.pristavka.com/catalog/Genshin Impact/GEN1418/</v>
      </c>
      <c r="N2564" s="71">
        <v>10599</v>
      </c>
      <c r="O2564" s="66" t="s">
        <v>27</v>
      </c>
      <c r="P2564" s="82" t="s">
        <v>9858</v>
      </c>
      <c r="Q2564" s="84" t="s">
        <v>1963</v>
      </c>
      <c r="R2564" s="84" t="s">
        <v>9605</v>
      </c>
      <c r="S2564" s="84">
        <v>0.106</v>
      </c>
      <c r="T2564" s="82" t="s">
        <v>9855</v>
      </c>
      <c r="U2564" s="84"/>
      <c r="V2564" s="54"/>
    </row>
    <row r="2565" spans="1:22" s="11" customFormat="1" ht="45" customHeight="1" x14ac:dyDescent="0.2">
      <c r="A2565" s="66" t="s">
        <v>1963</v>
      </c>
      <c r="B2565" s="66" t="s">
        <v>1155</v>
      </c>
      <c r="C2565" s="66" t="s">
        <v>9605</v>
      </c>
      <c r="D2565" s="66">
        <v>6974096538096</v>
      </c>
      <c r="E2565" s="68" t="s">
        <v>9859</v>
      </c>
      <c r="F2565" s="66" t="s">
        <v>9860</v>
      </c>
      <c r="G2565" s="71">
        <v>4088</v>
      </c>
      <c r="H2565" s="73"/>
      <c r="I2565" s="75">
        <v>0.2</v>
      </c>
      <c r="J2565" s="77"/>
      <c r="K2565" s="66"/>
      <c r="L2565" s="66"/>
      <c r="M2565" s="79" t="str">
        <f>HYPERLINK("http://www.pristavka.com/catalog/Genshin Impact/GEN68/")</f>
        <v>http://www.pristavka.com/catalog/Genshin Impact/GEN68/</v>
      </c>
      <c r="N2565" s="71">
        <v>6899</v>
      </c>
      <c r="O2565" s="66" t="s">
        <v>27</v>
      </c>
      <c r="P2565" s="82" t="s">
        <v>9861</v>
      </c>
      <c r="Q2565" s="84" t="s">
        <v>1963</v>
      </c>
      <c r="R2565" s="84" t="s">
        <v>9605</v>
      </c>
      <c r="S2565" s="84">
        <v>7.8E-2</v>
      </c>
      <c r="T2565" s="82" t="s">
        <v>9659</v>
      </c>
      <c r="U2565" s="84" t="s">
        <v>2255</v>
      </c>
      <c r="V2565" s="54"/>
    </row>
    <row r="2566" spans="1:22" s="11" customFormat="1" ht="45" customHeight="1" x14ac:dyDescent="0.2">
      <c r="A2566" s="66" t="s">
        <v>1963</v>
      </c>
      <c r="B2566" s="66" t="s">
        <v>1155</v>
      </c>
      <c r="C2566" s="66" t="s">
        <v>9605</v>
      </c>
      <c r="D2566" s="66">
        <v>6942421153771</v>
      </c>
      <c r="E2566" s="68" t="s">
        <v>9862</v>
      </c>
      <c r="F2566" s="66" t="s">
        <v>9863</v>
      </c>
      <c r="G2566" s="71">
        <v>5673</v>
      </c>
      <c r="H2566" s="73"/>
      <c r="I2566" s="75">
        <v>0.2</v>
      </c>
      <c r="J2566" s="77"/>
      <c r="K2566" s="66"/>
      <c r="L2566" s="66"/>
      <c r="M2566" s="79" t="str">
        <f>HYPERLINK("http://www.pristavka.com/catalog/Genshin Impact/GEN1382/")</f>
        <v>http://www.pristavka.com/catalog/Genshin Impact/GEN1382/</v>
      </c>
      <c r="N2566" s="71">
        <v>9499</v>
      </c>
      <c r="O2566" s="66" t="s">
        <v>27</v>
      </c>
      <c r="P2566" s="82" t="s">
        <v>9864</v>
      </c>
      <c r="Q2566" s="84" t="s">
        <v>1963</v>
      </c>
      <c r="R2566" s="84" t="s">
        <v>9605</v>
      </c>
      <c r="S2566" s="84">
        <v>0.14000000000000001</v>
      </c>
      <c r="T2566" s="82" t="s">
        <v>1982</v>
      </c>
      <c r="U2566" s="84"/>
      <c r="V2566" s="54"/>
    </row>
    <row r="2567" spans="1:22" s="11" customFormat="1" ht="45" customHeight="1" x14ac:dyDescent="0.2">
      <c r="A2567" s="66" t="s">
        <v>1963</v>
      </c>
      <c r="B2567" s="66" t="s">
        <v>1155</v>
      </c>
      <c r="C2567" s="66" t="s">
        <v>9605</v>
      </c>
      <c r="D2567" s="66">
        <v>6942421123569</v>
      </c>
      <c r="E2567" s="68" t="s">
        <v>9865</v>
      </c>
      <c r="F2567" s="66" t="s">
        <v>9866</v>
      </c>
      <c r="G2567" s="71">
        <v>6307</v>
      </c>
      <c r="H2567" s="73"/>
      <c r="I2567" s="75">
        <v>0.2</v>
      </c>
      <c r="J2567" s="77"/>
      <c r="K2567" s="66"/>
      <c r="L2567" s="66"/>
      <c r="M2567" s="79" t="str">
        <f>HYPERLINK("http://www.pristavka.com/catalog/Genshin Impact/GEN1420/")</f>
        <v>http://www.pristavka.com/catalog/Genshin Impact/GEN1420/</v>
      </c>
      <c r="N2567" s="71">
        <v>10599</v>
      </c>
      <c r="O2567" s="66" t="s">
        <v>27</v>
      </c>
      <c r="P2567" s="82" t="s">
        <v>9867</v>
      </c>
      <c r="Q2567" s="84" t="s">
        <v>1963</v>
      </c>
      <c r="R2567" s="84" t="s">
        <v>9605</v>
      </c>
      <c r="S2567" s="84">
        <v>0.106</v>
      </c>
      <c r="T2567" s="82" t="s">
        <v>9868</v>
      </c>
      <c r="U2567" s="84"/>
      <c r="V2567" s="54"/>
    </row>
    <row r="2568" spans="1:22" s="11" customFormat="1" ht="45" customHeight="1" x14ac:dyDescent="0.2">
      <c r="A2568" s="66" t="s">
        <v>1963</v>
      </c>
      <c r="B2568" s="66" t="s">
        <v>1155</v>
      </c>
      <c r="C2568" s="66" t="s">
        <v>9605</v>
      </c>
      <c r="D2568" s="66">
        <v>6942421153757</v>
      </c>
      <c r="E2568" s="68" t="s">
        <v>9869</v>
      </c>
      <c r="F2568" s="66" t="s">
        <v>9870</v>
      </c>
      <c r="G2568" s="71">
        <v>5673</v>
      </c>
      <c r="H2568" s="73"/>
      <c r="I2568" s="75">
        <v>0.2</v>
      </c>
      <c r="J2568" s="77"/>
      <c r="K2568" s="66"/>
      <c r="L2568" s="66"/>
      <c r="M2568" s="79" t="str">
        <f>HYPERLINK("http://www.pristavka.com/catalog/Genshin Impact/GEN1381/")</f>
        <v>http://www.pristavka.com/catalog/Genshin Impact/GEN1381/</v>
      </c>
      <c r="N2568" s="71">
        <v>9499</v>
      </c>
      <c r="O2568" s="66" t="s">
        <v>27</v>
      </c>
      <c r="P2568" s="82" t="s">
        <v>9871</v>
      </c>
      <c r="Q2568" s="84" t="s">
        <v>1963</v>
      </c>
      <c r="R2568" s="84" t="s">
        <v>9605</v>
      </c>
      <c r="S2568" s="84">
        <v>0.13700000000000001</v>
      </c>
      <c r="T2568" s="82" t="s">
        <v>9872</v>
      </c>
      <c r="U2568" s="84"/>
      <c r="V2568" s="54"/>
    </row>
    <row r="2569" spans="1:22" s="11" customFormat="1" ht="45" customHeight="1" x14ac:dyDescent="0.2">
      <c r="A2569" s="66" t="s">
        <v>1963</v>
      </c>
      <c r="B2569" s="66" t="s">
        <v>1155</v>
      </c>
      <c r="C2569" s="66" t="s">
        <v>9605</v>
      </c>
      <c r="D2569" s="66">
        <v>6942421123576</v>
      </c>
      <c r="E2569" s="68" t="s">
        <v>9873</v>
      </c>
      <c r="F2569" s="66" t="s">
        <v>9874</v>
      </c>
      <c r="G2569" s="71">
        <v>6307</v>
      </c>
      <c r="H2569" s="73"/>
      <c r="I2569" s="75">
        <v>0.2</v>
      </c>
      <c r="J2569" s="77"/>
      <c r="K2569" s="66"/>
      <c r="L2569" s="66"/>
      <c r="M2569" s="79" t="str">
        <f>HYPERLINK("http://www.pristavka.com/catalog/Genshin Impact/GEN1421/")</f>
        <v>http://www.pristavka.com/catalog/Genshin Impact/GEN1421/</v>
      </c>
      <c r="N2569" s="71">
        <v>10599</v>
      </c>
      <c r="O2569" s="66" t="s">
        <v>27</v>
      </c>
      <c r="P2569" s="82" t="s">
        <v>9875</v>
      </c>
      <c r="Q2569" s="84" t="s">
        <v>1963</v>
      </c>
      <c r="R2569" s="84" t="s">
        <v>9605</v>
      </c>
      <c r="S2569" s="84">
        <v>0.106</v>
      </c>
      <c r="T2569" s="82" t="s">
        <v>9855</v>
      </c>
      <c r="U2569" s="84"/>
      <c r="V2569" s="54"/>
    </row>
    <row r="2570" spans="1:22" s="11" customFormat="1" ht="45" customHeight="1" x14ac:dyDescent="0.2">
      <c r="A2570" s="66" t="s">
        <v>1963</v>
      </c>
      <c r="B2570" s="66" t="s">
        <v>1155</v>
      </c>
      <c r="C2570" s="66" t="s">
        <v>9605</v>
      </c>
      <c r="D2570" s="66">
        <v>6976525005476</v>
      </c>
      <c r="E2570" s="68" t="s">
        <v>9876</v>
      </c>
      <c r="F2570" s="66" t="s">
        <v>9877</v>
      </c>
      <c r="G2570" s="71">
        <v>4405</v>
      </c>
      <c r="H2570" s="73"/>
      <c r="I2570" s="75">
        <v>0.2</v>
      </c>
      <c r="J2570" s="77"/>
      <c r="K2570" s="66"/>
      <c r="L2570" s="66"/>
      <c r="M2570" s="79" t="str">
        <f>HYPERLINK("http://www.pristavka.com/catalog/Genshin Impact/GEN938/")</f>
        <v>http://www.pristavka.com/catalog/Genshin Impact/GEN938/</v>
      </c>
      <c r="N2570" s="71">
        <v>7399</v>
      </c>
      <c r="O2570" s="66" t="s">
        <v>28</v>
      </c>
      <c r="P2570" s="82" t="s">
        <v>9878</v>
      </c>
      <c r="Q2570" s="84" t="s">
        <v>1963</v>
      </c>
      <c r="R2570" s="84" t="s">
        <v>9605</v>
      </c>
      <c r="S2570" s="84">
        <v>0.115</v>
      </c>
      <c r="T2570" s="82" t="s">
        <v>9879</v>
      </c>
      <c r="U2570" s="84" t="s">
        <v>2255</v>
      </c>
      <c r="V2570" s="54"/>
    </row>
    <row r="2571" spans="1:22" s="11" customFormat="1" ht="45" customHeight="1" x14ac:dyDescent="0.2">
      <c r="A2571" s="66" t="s">
        <v>1963</v>
      </c>
      <c r="B2571" s="66" t="s">
        <v>1155</v>
      </c>
      <c r="C2571" s="66" t="s">
        <v>9605</v>
      </c>
      <c r="D2571" s="66">
        <v>6976525006244</v>
      </c>
      <c r="E2571" s="68" t="s">
        <v>9880</v>
      </c>
      <c r="F2571" s="66" t="s">
        <v>9881</v>
      </c>
      <c r="G2571" s="71">
        <v>2689</v>
      </c>
      <c r="H2571" s="73"/>
      <c r="I2571" s="75">
        <v>0.2</v>
      </c>
      <c r="J2571" s="77"/>
      <c r="K2571" s="66"/>
      <c r="L2571" s="66"/>
      <c r="M2571" s="79" t="str">
        <f>HYPERLINK("http://www.pristavka.com/catalog/Genshin Impact/GEN989/")</f>
        <v>http://www.pristavka.com/catalog/Genshin Impact/GEN989/</v>
      </c>
      <c r="N2571" s="71">
        <v>4499</v>
      </c>
      <c r="O2571" s="66" t="s">
        <v>27</v>
      </c>
      <c r="P2571" s="82" t="s">
        <v>9882</v>
      </c>
      <c r="Q2571" s="84" t="s">
        <v>1963</v>
      </c>
      <c r="R2571" s="84" t="s">
        <v>9605</v>
      </c>
      <c r="S2571" s="84">
        <v>0.04</v>
      </c>
      <c r="T2571" s="82" t="s">
        <v>9883</v>
      </c>
      <c r="U2571" s="84" t="s">
        <v>2255</v>
      </c>
      <c r="V2571" s="54"/>
    </row>
    <row r="2572" spans="1:22" s="11" customFormat="1" ht="45" customHeight="1" x14ac:dyDescent="0.2">
      <c r="A2572" s="66" t="s">
        <v>1963</v>
      </c>
      <c r="B2572" s="66" t="s">
        <v>1155</v>
      </c>
      <c r="C2572" s="66" t="s">
        <v>9605</v>
      </c>
      <c r="D2572" s="66">
        <v>6974696611809</v>
      </c>
      <c r="E2572" s="68" t="s">
        <v>9884</v>
      </c>
      <c r="F2572" s="66" t="s">
        <v>9885</v>
      </c>
      <c r="G2572" s="71">
        <v>3771</v>
      </c>
      <c r="H2572" s="73"/>
      <c r="I2572" s="75">
        <v>0.2</v>
      </c>
      <c r="J2572" s="77"/>
      <c r="K2572" s="66"/>
      <c r="L2572" s="66"/>
      <c r="M2572" s="79" t="str">
        <f>HYPERLINK("http://www.pristavka.com/catalog/Genshin Impact/GEN72/")</f>
        <v>http://www.pristavka.com/catalog/Genshin Impact/GEN72/</v>
      </c>
      <c r="N2572" s="71">
        <v>6299</v>
      </c>
      <c r="O2572" s="66" t="s">
        <v>27</v>
      </c>
      <c r="P2572" s="82" t="s">
        <v>9886</v>
      </c>
      <c r="Q2572" s="84" t="s">
        <v>1963</v>
      </c>
      <c r="R2572" s="84" t="s">
        <v>9605</v>
      </c>
      <c r="S2572" s="84">
        <v>9.0999999999999998E-2</v>
      </c>
      <c r="T2572" s="82" t="s">
        <v>9887</v>
      </c>
      <c r="U2572" s="84" t="s">
        <v>2255</v>
      </c>
      <c r="V2572" s="54"/>
    </row>
    <row r="2573" spans="1:22" s="11" customFormat="1" ht="45" customHeight="1" x14ac:dyDescent="0.2">
      <c r="A2573" s="66" t="s">
        <v>1963</v>
      </c>
      <c r="B2573" s="66" t="s">
        <v>1155</v>
      </c>
      <c r="C2573" s="66" t="s">
        <v>9605</v>
      </c>
      <c r="D2573" s="66">
        <v>6942421123521</v>
      </c>
      <c r="E2573" s="68" t="s">
        <v>9888</v>
      </c>
      <c r="F2573" s="66" t="s">
        <v>9889</v>
      </c>
      <c r="G2573" s="71">
        <v>6307</v>
      </c>
      <c r="H2573" s="73"/>
      <c r="I2573" s="75">
        <v>0.2</v>
      </c>
      <c r="J2573" s="77"/>
      <c r="K2573" s="66"/>
      <c r="L2573" s="66"/>
      <c r="M2573" s="79" t="str">
        <f>HYPERLINK("http://www.pristavka.com/catalog/Genshin Impact/GEN1419/")</f>
        <v>http://www.pristavka.com/catalog/Genshin Impact/GEN1419/</v>
      </c>
      <c r="N2573" s="71">
        <v>10599</v>
      </c>
      <c r="O2573" s="66" t="s">
        <v>27</v>
      </c>
      <c r="P2573" s="82" t="s">
        <v>9890</v>
      </c>
      <c r="Q2573" s="84" t="s">
        <v>1963</v>
      </c>
      <c r="R2573" s="84" t="s">
        <v>9605</v>
      </c>
      <c r="S2573" s="84">
        <v>0.106</v>
      </c>
      <c r="T2573" s="82" t="s">
        <v>9855</v>
      </c>
      <c r="U2573" s="84"/>
      <c r="V2573" s="54"/>
    </row>
    <row r="2574" spans="1:22" s="11" customFormat="1" ht="45" customHeight="1" x14ac:dyDescent="0.2">
      <c r="A2574" s="66" t="s">
        <v>1963</v>
      </c>
      <c r="B2574" s="66" t="s">
        <v>1155</v>
      </c>
      <c r="C2574" s="66" t="s">
        <v>9605</v>
      </c>
      <c r="D2574" s="66">
        <v>6942421123583</v>
      </c>
      <c r="E2574" s="68" t="s">
        <v>9891</v>
      </c>
      <c r="F2574" s="66" t="s">
        <v>9892</v>
      </c>
      <c r="G2574" s="71">
        <v>6307</v>
      </c>
      <c r="H2574" s="73"/>
      <c r="I2574" s="75">
        <v>0.2</v>
      </c>
      <c r="J2574" s="77"/>
      <c r="K2574" s="66"/>
      <c r="L2574" s="66"/>
      <c r="M2574" s="79" t="str">
        <f>HYPERLINK("http://www.pristavka.com/catalog/Genshin Impact/GEN1422/")</f>
        <v>http://www.pristavka.com/catalog/Genshin Impact/GEN1422/</v>
      </c>
      <c r="N2574" s="71">
        <v>10599</v>
      </c>
      <c r="O2574" s="66" t="s">
        <v>27</v>
      </c>
      <c r="P2574" s="82" t="s">
        <v>9893</v>
      </c>
      <c r="Q2574" s="84" t="s">
        <v>1963</v>
      </c>
      <c r="R2574" s="84" t="s">
        <v>9605</v>
      </c>
      <c r="S2574" s="84">
        <v>0.106</v>
      </c>
      <c r="T2574" s="82" t="s">
        <v>9855</v>
      </c>
      <c r="U2574" s="84"/>
      <c r="V2574" s="54"/>
    </row>
    <row r="2575" spans="1:22" s="11" customFormat="1" ht="45" customHeight="1" x14ac:dyDescent="0.2">
      <c r="A2575" s="66" t="s">
        <v>1963</v>
      </c>
      <c r="B2575" s="66" t="s">
        <v>1155</v>
      </c>
      <c r="C2575" s="66" t="s">
        <v>9605</v>
      </c>
      <c r="D2575" s="66">
        <v>6976525005483</v>
      </c>
      <c r="E2575" s="68" t="s">
        <v>9894</v>
      </c>
      <c r="F2575" s="66" t="s">
        <v>9895</v>
      </c>
      <c r="G2575" s="71">
        <v>4405</v>
      </c>
      <c r="H2575" s="73"/>
      <c r="I2575" s="75">
        <v>0.2</v>
      </c>
      <c r="J2575" s="77"/>
      <c r="K2575" s="66"/>
      <c r="L2575" s="66"/>
      <c r="M2575" s="79" t="str">
        <f>HYPERLINK("http://www.pristavka.com/catalog/Genshin Impact/GEN939/")</f>
        <v>http://www.pristavka.com/catalog/Genshin Impact/GEN939/</v>
      </c>
      <c r="N2575" s="71">
        <v>7399</v>
      </c>
      <c r="O2575" s="66" t="s">
        <v>28</v>
      </c>
      <c r="P2575" s="82" t="s">
        <v>9896</v>
      </c>
      <c r="Q2575" s="84" t="s">
        <v>1963</v>
      </c>
      <c r="R2575" s="84" t="s">
        <v>9605</v>
      </c>
      <c r="S2575" s="84">
        <v>0.115</v>
      </c>
      <c r="T2575" s="82" t="s">
        <v>9879</v>
      </c>
      <c r="U2575" s="84" t="s">
        <v>2255</v>
      </c>
      <c r="V2575" s="54"/>
    </row>
    <row r="2576" spans="1:22" s="11" customFormat="1" ht="45" customHeight="1" x14ac:dyDescent="0.2">
      <c r="A2576" s="66" t="s">
        <v>1963</v>
      </c>
      <c r="B2576" s="66" t="s">
        <v>1155</v>
      </c>
      <c r="C2576" s="66" t="s">
        <v>9605</v>
      </c>
      <c r="D2576" s="66">
        <v>6942421106487</v>
      </c>
      <c r="E2576" s="68" t="s">
        <v>9897</v>
      </c>
      <c r="F2576" s="66" t="s">
        <v>9898</v>
      </c>
      <c r="G2576" s="71">
        <v>3164</v>
      </c>
      <c r="H2576" s="73"/>
      <c r="I2576" s="75">
        <v>0.2</v>
      </c>
      <c r="J2576" s="77"/>
      <c r="K2576" s="66"/>
      <c r="L2576" s="66"/>
      <c r="M2576" s="79" t="str">
        <f>HYPERLINK("http://www.pristavka.com/catalog/Genshin Impact/GEN1205/")</f>
        <v>http://www.pristavka.com/catalog/Genshin Impact/GEN1205/</v>
      </c>
      <c r="N2576" s="71">
        <v>5299</v>
      </c>
      <c r="O2576" s="66" t="s">
        <v>27</v>
      </c>
      <c r="P2576" s="82" t="s">
        <v>9899</v>
      </c>
      <c r="Q2576" s="84" t="s">
        <v>1963</v>
      </c>
      <c r="R2576" s="84" t="s">
        <v>9605</v>
      </c>
      <c r="S2576" s="84">
        <v>4.4999999999999998E-2</v>
      </c>
      <c r="T2576" s="82" t="s">
        <v>9900</v>
      </c>
      <c r="U2576" s="84"/>
      <c r="V2576" s="54"/>
    </row>
    <row r="2577" spans="1:22" s="11" customFormat="1" ht="45" customHeight="1" x14ac:dyDescent="0.2">
      <c r="A2577" s="66" t="s">
        <v>1963</v>
      </c>
      <c r="B2577" s="66" t="s">
        <v>1155</v>
      </c>
      <c r="C2577" s="66" t="s">
        <v>9605</v>
      </c>
      <c r="D2577" s="66">
        <v>6942421102540</v>
      </c>
      <c r="E2577" s="68" t="s">
        <v>9901</v>
      </c>
      <c r="F2577" s="66" t="s">
        <v>9902</v>
      </c>
      <c r="G2577" s="71">
        <v>2467</v>
      </c>
      <c r="H2577" s="73"/>
      <c r="I2577" s="75">
        <v>0.2</v>
      </c>
      <c r="J2577" s="77"/>
      <c r="K2577" s="66"/>
      <c r="L2577" s="66"/>
      <c r="M2577" s="79" t="str">
        <f>HYPERLINK("http://www.pristavka.com/catalog/Genshin Impact/GEN1204/")</f>
        <v>http://www.pristavka.com/catalog/Genshin Impact/GEN1204/</v>
      </c>
      <c r="N2577" s="71">
        <v>4199</v>
      </c>
      <c r="O2577" s="66" t="s">
        <v>28</v>
      </c>
      <c r="P2577" s="82" t="s">
        <v>9903</v>
      </c>
      <c r="Q2577" s="84" t="s">
        <v>1963</v>
      </c>
      <c r="R2577" s="84" t="s">
        <v>9605</v>
      </c>
      <c r="S2577" s="84">
        <v>3.5000000000000003E-2</v>
      </c>
      <c r="T2577" s="82" t="s">
        <v>9883</v>
      </c>
      <c r="U2577" s="84"/>
      <c r="V2577" s="54"/>
    </row>
    <row r="2578" spans="1:22" s="11" customFormat="1" ht="45" customHeight="1" x14ac:dyDescent="0.2">
      <c r="A2578" s="66" t="s">
        <v>1963</v>
      </c>
      <c r="B2578" s="66" t="s">
        <v>1155</v>
      </c>
      <c r="C2578" s="66" t="s">
        <v>9605</v>
      </c>
      <c r="D2578" s="66">
        <v>6942421123590</v>
      </c>
      <c r="E2578" s="68" t="s">
        <v>9904</v>
      </c>
      <c r="F2578" s="66" t="s">
        <v>9905</v>
      </c>
      <c r="G2578" s="71">
        <v>6307</v>
      </c>
      <c r="H2578" s="73"/>
      <c r="I2578" s="75">
        <v>0.2</v>
      </c>
      <c r="J2578" s="77"/>
      <c r="K2578" s="66"/>
      <c r="L2578" s="66"/>
      <c r="M2578" s="79" t="str">
        <f>HYPERLINK("http://www.pristavka.com/catalog/Genshin Impact/GEN1423/")</f>
        <v>http://www.pristavka.com/catalog/Genshin Impact/GEN1423/</v>
      </c>
      <c r="N2578" s="71">
        <v>10599</v>
      </c>
      <c r="O2578" s="66" t="s">
        <v>27</v>
      </c>
      <c r="P2578" s="82" t="s">
        <v>9906</v>
      </c>
      <c r="Q2578" s="84" t="s">
        <v>1963</v>
      </c>
      <c r="R2578" s="84" t="s">
        <v>9605</v>
      </c>
      <c r="S2578" s="84">
        <v>0.108</v>
      </c>
      <c r="T2578" s="82" t="s">
        <v>9868</v>
      </c>
      <c r="U2578" s="84"/>
      <c r="V2578" s="54"/>
    </row>
    <row r="2579" spans="1:22" s="11" customFormat="1" ht="45" customHeight="1" x14ac:dyDescent="0.2">
      <c r="A2579" s="66" t="s">
        <v>1963</v>
      </c>
      <c r="B2579" s="66" t="s">
        <v>1155</v>
      </c>
      <c r="C2579" s="66" t="s">
        <v>9605</v>
      </c>
      <c r="D2579" s="66">
        <v>6942421111375</v>
      </c>
      <c r="E2579" s="68" t="s">
        <v>9907</v>
      </c>
      <c r="F2579" s="66" t="s">
        <v>9908</v>
      </c>
      <c r="G2579" s="71">
        <v>8842</v>
      </c>
      <c r="H2579" s="73"/>
      <c r="I2579" s="75">
        <v>0.2</v>
      </c>
      <c r="J2579" s="77"/>
      <c r="K2579" s="66"/>
      <c r="L2579" s="66"/>
      <c r="M2579" s="79" t="str">
        <f>HYPERLINK("http://www.pristavka.com/catalog/Genshin Impact/GEN1200/")</f>
        <v>http://www.pristavka.com/catalog/Genshin Impact/GEN1200/</v>
      </c>
      <c r="N2579" s="71">
        <v>14799</v>
      </c>
      <c r="O2579" s="66" t="s">
        <v>27</v>
      </c>
      <c r="P2579" s="82" t="s">
        <v>9909</v>
      </c>
      <c r="Q2579" s="84" t="s">
        <v>1963</v>
      </c>
      <c r="R2579" s="84" t="s">
        <v>9605</v>
      </c>
      <c r="S2579" s="84">
        <v>0.125</v>
      </c>
      <c r="T2579" s="82" t="s">
        <v>9789</v>
      </c>
      <c r="U2579" s="84"/>
      <c r="V2579" s="54"/>
    </row>
    <row r="2580" spans="1:22" s="11" customFormat="1" ht="45" customHeight="1" x14ac:dyDescent="0.2">
      <c r="A2580" s="66" t="s">
        <v>1963</v>
      </c>
      <c r="B2580" s="66" t="s">
        <v>1155</v>
      </c>
      <c r="C2580" s="66" t="s">
        <v>9605</v>
      </c>
      <c r="D2580" s="66">
        <v>6942421123477</v>
      </c>
      <c r="E2580" s="68" t="s">
        <v>9910</v>
      </c>
      <c r="F2580" s="66" t="s">
        <v>9911</v>
      </c>
      <c r="G2580" s="71">
        <v>6307</v>
      </c>
      <c r="H2580" s="73"/>
      <c r="I2580" s="75">
        <v>0.2</v>
      </c>
      <c r="J2580" s="77"/>
      <c r="K2580" s="66"/>
      <c r="L2580" s="66"/>
      <c r="M2580" s="79" t="str">
        <f>HYPERLINK("http://www.pristavka.com/catalog/Genshin Impact/GEN1417/")</f>
        <v>http://www.pristavka.com/catalog/Genshin Impact/GEN1417/</v>
      </c>
      <c r="N2580" s="71">
        <v>10599</v>
      </c>
      <c r="O2580" s="66" t="s">
        <v>27</v>
      </c>
      <c r="P2580" s="82" t="s">
        <v>9912</v>
      </c>
      <c r="Q2580" s="84" t="s">
        <v>1963</v>
      </c>
      <c r="R2580" s="84" t="s">
        <v>9605</v>
      </c>
      <c r="S2580" s="84">
        <v>0.107</v>
      </c>
      <c r="T2580" s="82" t="s">
        <v>9913</v>
      </c>
      <c r="U2580" s="84"/>
      <c r="V2580" s="54"/>
    </row>
    <row r="2581" spans="1:22" s="11" customFormat="1" ht="45" customHeight="1" x14ac:dyDescent="0.2">
      <c r="A2581" s="66" t="s">
        <v>1963</v>
      </c>
      <c r="B2581" s="66" t="s">
        <v>1155</v>
      </c>
      <c r="C2581" s="66" t="s">
        <v>9605</v>
      </c>
      <c r="D2581" s="66">
        <v>6942421154990</v>
      </c>
      <c r="E2581" s="68" t="s">
        <v>9914</v>
      </c>
      <c r="F2581" s="66" t="s">
        <v>9915</v>
      </c>
      <c r="G2581" s="71">
        <v>5990</v>
      </c>
      <c r="H2581" s="73"/>
      <c r="I2581" s="75">
        <v>0.2</v>
      </c>
      <c r="J2581" s="77"/>
      <c r="K2581" s="66"/>
      <c r="L2581" s="66"/>
      <c r="M2581" s="79" t="str">
        <f>HYPERLINK("http://www.pristavka.com/catalog/Genshin Impact/GEN1384/")</f>
        <v>http://www.pristavka.com/catalog/Genshin Impact/GEN1384/</v>
      </c>
      <c r="N2581" s="71">
        <v>9999</v>
      </c>
      <c r="O2581" s="66" t="s">
        <v>27</v>
      </c>
      <c r="P2581" s="82" t="s">
        <v>9916</v>
      </c>
      <c r="Q2581" s="84" t="s">
        <v>1963</v>
      </c>
      <c r="R2581" s="84" t="s">
        <v>9605</v>
      </c>
      <c r="S2581" s="84">
        <v>0.13400000000000001</v>
      </c>
      <c r="T2581" s="82" t="s">
        <v>1982</v>
      </c>
      <c r="U2581" s="84"/>
      <c r="V2581" s="54"/>
    </row>
    <row r="2582" spans="1:22" s="11" customFormat="1" ht="45" customHeight="1" x14ac:dyDescent="0.2">
      <c r="A2582" s="66" t="s">
        <v>1963</v>
      </c>
      <c r="B2582" s="66" t="s">
        <v>1155</v>
      </c>
      <c r="C2582" s="66" t="s">
        <v>9605</v>
      </c>
      <c r="D2582" s="66">
        <v>6974696616019</v>
      </c>
      <c r="E2582" s="68" t="s">
        <v>9917</v>
      </c>
      <c r="F2582" s="66" t="s">
        <v>9918</v>
      </c>
      <c r="G2582" s="71">
        <v>3006</v>
      </c>
      <c r="H2582" s="73"/>
      <c r="I2582" s="75">
        <v>0.2</v>
      </c>
      <c r="J2582" s="77"/>
      <c r="K2582" s="66"/>
      <c r="L2582" s="66"/>
      <c r="M2582" s="79" t="str">
        <f>HYPERLINK("http://www.pristavka.com/catalog/Genshin Impact/GEN76/")</f>
        <v>http://www.pristavka.com/catalog/Genshin Impact/GEN76/</v>
      </c>
      <c r="N2582" s="71">
        <v>5099</v>
      </c>
      <c r="O2582" s="66" t="s">
        <v>27</v>
      </c>
      <c r="P2582" s="82" t="s">
        <v>9919</v>
      </c>
      <c r="Q2582" s="84" t="s">
        <v>1963</v>
      </c>
      <c r="R2582" s="84" t="s">
        <v>9605</v>
      </c>
      <c r="S2582" s="84">
        <v>8.5000000000000006E-2</v>
      </c>
      <c r="T2582" s="82" t="s">
        <v>9609</v>
      </c>
      <c r="U2582" s="84" t="s">
        <v>2255</v>
      </c>
      <c r="V2582" s="54"/>
    </row>
    <row r="2583" spans="1:22" s="11" customFormat="1" ht="45" customHeight="1" x14ac:dyDescent="0.2">
      <c r="A2583" s="66" t="s">
        <v>1963</v>
      </c>
      <c r="B2583" s="66" t="s">
        <v>1155</v>
      </c>
      <c r="C2583" s="66" t="s">
        <v>9605</v>
      </c>
      <c r="D2583" s="66">
        <v>6974696610840</v>
      </c>
      <c r="E2583" s="68" t="s">
        <v>9920</v>
      </c>
      <c r="F2583" s="66" t="s">
        <v>9921</v>
      </c>
      <c r="G2583" s="71">
        <v>3006</v>
      </c>
      <c r="H2583" s="73"/>
      <c r="I2583" s="75">
        <v>0.2</v>
      </c>
      <c r="J2583" s="77"/>
      <c r="K2583" s="66"/>
      <c r="L2583" s="66"/>
      <c r="M2583" s="79" t="str">
        <f>HYPERLINK("http://www.pristavka.com/catalog/Genshin Impact/GEN69/")</f>
        <v>http://www.pristavka.com/catalog/Genshin Impact/GEN69/</v>
      </c>
      <c r="N2583" s="71">
        <v>5099</v>
      </c>
      <c r="O2583" s="66" t="s">
        <v>27</v>
      </c>
      <c r="P2583" s="82" t="s">
        <v>9922</v>
      </c>
      <c r="Q2583" s="84" t="s">
        <v>1963</v>
      </c>
      <c r="R2583" s="84" t="s">
        <v>9605</v>
      </c>
      <c r="S2583" s="84">
        <v>7.5999999999999998E-2</v>
      </c>
      <c r="T2583" s="82" t="s">
        <v>9609</v>
      </c>
      <c r="U2583" s="84" t="s">
        <v>2255</v>
      </c>
      <c r="V2583" s="54"/>
    </row>
    <row r="2584" spans="1:22" s="11" customFormat="1" ht="45" customHeight="1" x14ac:dyDescent="0.2">
      <c r="A2584" s="66" t="s">
        <v>1963</v>
      </c>
      <c r="B2584" s="66" t="s">
        <v>1155</v>
      </c>
      <c r="C2584" s="66" t="s">
        <v>9605</v>
      </c>
      <c r="D2584" s="66">
        <v>6974696611823</v>
      </c>
      <c r="E2584" s="68" t="s">
        <v>9923</v>
      </c>
      <c r="F2584" s="66" t="s">
        <v>9924</v>
      </c>
      <c r="G2584" s="71">
        <v>3006</v>
      </c>
      <c r="H2584" s="73"/>
      <c r="I2584" s="75">
        <v>0.2</v>
      </c>
      <c r="J2584" s="77"/>
      <c r="K2584" s="66"/>
      <c r="L2584" s="66"/>
      <c r="M2584" s="79" t="str">
        <f>HYPERLINK("http://www.pristavka.com/catalog/Genshin Impact/GEN73/")</f>
        <v>http://www.pristavka.com/catalog/Genshin Impact/GEN73/</v>
      </c>
      <c r="N2584" s="71">
        <v>5099</v>
      </c>
      <c r="O2584" s="66" t="s">
        <v>27</v>
      </c>
      <c r="P2584" s="82" t="s">
        <v>9925</v>
      </c>
      <c r="Q2584" s="84" t="s">
        <v>1963</v>
      </c>
      <c r="R2584" s="84" t="s">
        <v>9605</v>
      </c>
      <c r="S2584" s="84">
        <v>7.4999999999999997E-2</v>
      </c>
      <c r="T2584" s="82" t="s">
        <v>9609</v>
      </c>
      <c r="U2584" s="84" t="s">
        <v>2255</v>
      </c>
      <c r="V2584" s="54"/>
    </row>
    <row r="2585" spans="1:22" s="11" customFormat="1" ht="45" customHeight="1" x14ac:dyDescent="0.2">
      <c r="A2585" s="66" t="s">
        <v>1963</v>
      </c>
      <c r="B2585" s="66" t="s">
        <v>1155</v>
      </c>
      <c r="C2585" s="66" t="s">
        <v>9605</v>
      </c>
      <c r="D2585" s="66">
        <v>6974696610857</v>
      </c>
      <c r="E2585" s="68" t="s">
        <v>9926</v>
      </c>
      <c r="F2585" s="66" t="s">
        <v>9927</v>
      </c>
      <c r="G2585" s="71">
        <v>3006</v>
      </c>
      <c r="H2585" s="73"/>
      <c r="I2585" s="75">
        <v>0.2</v>
      </c>
      <c r="J2585" s="77"/>
      <c r="K2585" s="66"/>
      <c r="L2585" s="66"/>
      <c r="M2585" s="79" t="str">
        <f>HYPERLINK("http://www.pristavka.com/catalog/Genshin Impact/GEN71/")</f>
        <v>http://www.pristavka.com/catalog/Genshin Impact/GEN71/</v>
      </c>
      <c r="N2585" s="71">
        <v>5099</v>
      </c>
      <c r="O2585" s="66" t="s">
        <v>27</v>
      </c>
      <c r="P2585" s="82" t="s">
        <v>9928</v>
      </c>
      <c r="Q2585" s="84" t="s">
        <v>1963</v>
      </c>
      <c r="R2585" s="84" t="s">
        <v>9605</v>
      </c>
      <c r="S2585" s="84">
        <v>6.0999999999999999E-2</v>
      </c>
      <c r="T2585" s="82" t="s">
        <v>9929</v>
      </c>
      <c r="U2585" s="84" t="s">
        <v>2255</v>
      </c>
      <c r="V2585" s="54"/>
    </row>
    <row r="2586" spans="1:22" s="11" customFormat="1" ht="45" customHeight="1" x14ac:dyDescent="0.2">
      <c r="A2586" s="66" t="s">
        <v>1963</v>
      </c>
      <c r="B2586" s="66" t="s">
        <v>1155</v>
      </c>
      <c r="C2586" s="66" t="s">
        <v>9605</v>
      </c>
      <c r="D2586" s="66">
        <v>6975213689622</v>
      </c>
      <c r="E2586" s="68" t="s">
        <v>9930</v>
      </c>
      <c r="F2586" s="66" t="s">
        <v>9931</v>
      </c>
      <c r="G2586" s="71">
        <v>3006</v>
      </c>
      <c r="H2586" s="73"/>
      <c r="I2586" s="75">
        <v>0.2</v>
      </c>
      <c r="J2586" s="77"/>
      <c r="K2586" s="66"/>
      <c r="L2586" s="66"/>
      <c r="M2586" s="79" t="str">
        <f>HYPERLINK("http://www.pristavka.com/catalog/Genshin Impact/GEN79/")</f>
        <v>http://www.pristavka.com/catalog/Genshin Impact/GEN79/</v>
      </c>
      <c r="N2586" s="71">
        <v>5099</v>
      </c>
      <c r="O2586" s="66" t="s">
        <v>27</v>
      </c>
      <c r="P2586" s="82" t="s">
        <v>9932</v>
      </c>
      <c r="Q2586" s="84" t="s">
        <v>1963</v>
      </c>
      <c r="R2586" s="84" t="s">
        <v>9605</v>
      </c>
      <c r="S2586" s="84">
        <v>6.5000000000000002E-2</v>
      </c>
      <c r="T2586" s="82" t="s">
        <v>9609</v>
      </c>
      <c r="U2586" s="84" t="s">
        <v>2255</v>
      </c>
      <c r="V2586" s="54"/>
    </row>
    <row r="2587" spans="1:22" s="11" customFormat="1" ht="45" customHeight="1" x14ac:dyDescent="0.2">
      <c r="A2587" s="66" t="s">
        <v>1963</v>
      </c>
      <c r="B2587" s="66" t="s">
        <v>1155</v>
      </c>
      <c r="C2587" s="66" t="s">
        <v>9605</v>
      </c>
      <c r="D2587" s="66">
        <v>6974696616026</v>
      </c>
      <c r="E2587" s="68" t="s">
        <v>9933</v>
      </c>
      <c r="F2587" s="66" t="s">
        <v>9934</v>
      </c>
      <c r="G2587" s="71">
        <v>3006</v>
      </c>
      <c r="H2587" s="73"/>
      <c r="I2587" s="75">
        <v>0.2</v>
      </c>
      <c r="J2587" s="77"/>
      <c r="K2587" s="66"/>
      <c r="L2587" s="66"/>
      <c r="M2587" s="79" t="str">
        <f>HYPERLINK("http://www.pristavka.com/catalog/Genshin Impact/GEN75/")</f>
        <v>http://www.pristavka.com/catalog/Genshin Impact/GEN75/</v>
      </c>
      <c r="N2587" s="71">
        <v>5099</v>
      </c>
      <c r="O2587" s="66" t="s">
        <v>27</v>
      </c>
      <c r="P2587" s="82" t="s">
        <v>9935</v>
      </c>
      <c r="Q2587" s="84" t="s">
        <v>1963</v>
      </c>
      <c r="R2587" s="84" t="s">
        <v>9605</v>
      </c>
      <c r="S2587" s="84">
        <v>8.6999999999999994E-2</v>
      </c>
      <c r="T2587" s="82" t="s">
        <v>9609</v>
      </c>
      <c r="U2587" s="84" t="s">
        <v>2255</v>
      </c>
      <c r="V2587" s="54"/>
    </row>
    <row r="2588" spans="1:22" s="11" customFormat="1" ht="45" customHeight="1" x14ac:dyDescent="0.2">
      <c r="A2588" s="66" t="s">
        <v>1963</v>
      </c>
      <c r="B2588" s="66" t="s">
        <v>1155</v>
      </c>
      <c r="C2588" s="66" t="s">
        <v>9605</v>
      </c>
      <c r="D2588" s="66">
        <v>6974696618495</v>
      </c>
      <c r="E2588" s="68" t="s">
        <v>9936</v>
      </c>
      <c r="F2588" s="66" t="s">
        <v>9937</v>
      </c>
      <c r="G2588" s="71">
        <v>4722</v>
      </c>
      <c r="H2588" s="73"/>
      <c r="I2588" s="75">
        <v>0.2</v>
      </c>
      <c r="J2588" s="77"/>
      <c r="K2588" s="66"/>
      <c r="L2588" s="66"/>
      <c r="M2588" s="79" t="str">
        <f>HYPERLINK("http://www.pristavka.com/catalog/Genshin Impact/GEN78/")</f>
        <v>http://www.pristavka.com/catalog/Genshin Impact/GEN78/</v>
      </c>
      <c r="N2588" s="71">
        <v>7899</v>
      </c>
      <c r="O2588" s="66" t="s">
        <v>28</v>
      </c>
      <c r="P2588" s="82" t="s">
        <v>9938</v>
      </c>
      <c r="Q2588" s="84" t="s">
        <v>1963</v>
      </c>
      <c r="R2588" s="84" t="s">
        <v>9605</v>
      </c>
      <c r="S2588" s="84">
        <v>0.08</v>
      </c>
      <c r="T2588" s="82" t="s">
        <v>9659</v>
      </c>
      <c r="U2588" s="84" t="s">
        <v>2255</v>
      </c>
      <c r="V2588" s="54"/>
    </row>
    <row r="2589" spans="1:22" s="11" customFormat="1" ht="45" customHeight="1" x14ac:dyDescent="0.2">
      <c r="A2589" s="66" t="s">
        <v>1963</v>
      </c>
      <c r="B2589" s="66" t="s">
        <v>1155</v>
      </c>
      <c r="C2589" s="66" t="s">
        <v>9605</v>
      </c>
      <c r="D2589" s="66">
        <v>6974696610864</v>
      </c>
      <c r="E2589" s="68" t="s">
        <v>9939</v>
      </c>
      <c r="F2589" s="66" t="s">
        <v>9940</v>
      </c>
      <c r="G2589" s="71">
        <v>3006</v>
      </c>
      <c r="H2589" s="73"/>
      <c r="I2589" s="75">
        <v>0.2</v>
      </c>
      <c r="J2589" s="77"/>
      <c r="K2589" s="66"/>
      <c r="L2589" s="66"/>
      <c r="M2589" s="79" t="str">
        <f>HYPERLINK("http://www.pristavka.com/catalog/Genshin Impact/GEN70/")</f>
        <v>http://www.pristavka.com/catalog/Genshin Impact/GEN70/</v>
      </c>
      <c r="N2589" s="71">
        <v>5099</v>
      </c>
      <c r="O2589" s="66" t="s">
        <v>27</v>
      </c>
      <c r="P2589" s="82" t="s">
        <v>9941</v>
      </c>
      <c r="Q2589" s="84" t="s">
        <v>1963</v>
      </c>
      <c r="R2589" s="84" t="s">
        <v>9605</v>
      </c>
      <c r="S2589" s="84">
        <v>7.1999999999999995E-2</v>
      </c>
      <c r="T2589" s="82" t="s">
        <v>9609</v>
      </c>
      <c r="U2589" s="84" t="s">
        <v>2255</v>
      </c>
      <c r="V2589" s="54"/>
    </row>
    <row r="2590" spans="1:22" s="11" customFormat="1" ht="45" customHeight="1" x14ac:dyDescent="0.2">
      <c r="A2590" s="66" t="s">
        <v>1963</v>
      </c>
      <c r="B2590" s="66" t="s">
        <v>1155</v>
      </c>
      <c r="C2590" s="66" t="s">
        <v>9605</v>
      </c>
      <c r="D2590" s="66">
        <v>6942421148630</v>
      </c>
      <c r="E2590" s="68" t="s">
        <v>9942</v>
      </c>
      <c r="F2590" s="66" t="s">
        <v>9943</v>
      </c>
      <c r="G2590" s="71">
        <v>4405</v>
      </c>
      <c r="H2590" s="73"/>
      <c r="I2590" s="75">
        <v>0.2</v>
      </c>
      <c r="J2590" s="77"/>
      <c r="K2590" s="66"/>
      <c r="L2590" s="66"/>
      <c r="M2590" s="79" t="str">
        <f>HYPERLINK("http://www.pristavka.com/catalog/Genshin Impact/GEN1428/")</f>
        <v>http://www.pristavka.com/catalog/Genshin Impact/GEN1428/</v>
      </c>
      <c r="N2590" s="71">
        <v>7399</v>
      </c>
      <c r="O2590" s="66" t="s">
        <v>27</v>
      </c>
      <c r="P2590" s="82" t="s">
        <v>9944</v>
      </c>
      <c r="Q2590" s="84" t="s">
        <v>1963</v>
      </c>
      <c r="R2590" s="84" t="s">
        <v>9605</v>
      </c>
      <c r="S2590" s="84">
        <v>7.4999999999999997E-2</v>
      </c>
      <c r="T2590" s="82" t="s">
        <v>9945</v>
      </c>
      <c r="U2590" s="84"/>
      <c r="V2590" s="54"/>
    </row>
    <row r="2591" spans="1:22" s="11" customFormat="1" ht="45" customHeight="1" x14ac:dyDescent="0.2">
      <c r="A2591" s="66" t="s">
        <v>1963</v>
      </c>
      <c r="B2591" s="66" t="s">
        <v>1155</v>
      </c>
      <c r="C2591" s="66" t="s">
        <v>9605</v>
      </c>
      <c r="D2591" s="66">
        <v>6972957483011</v>
      </c>
      <c r="E2591" s="68" t="s">
        <v>9946</v>
      </c>
      <c r="F2591" s="66" t="s">
        <v>9947</v>
      </c>
      <c r="G2591" s="71">
        <v>3006</v>
      </c>
      <c r="H2591" s="73"/>
      <c r="I2591" s="75">
        <v>0.2</v>
      </c>
      <c r="J2591" s="77"/>
      <c r="K2591" s="66"/>
      <c r="L2591" s="66"/>
      <c r="M2591" s="79" t="str">
        <f>HYPERLINK("http://www.pristavka.com/catalog/Genshin Impact/GEN53/")</f>
        <v>http://www.pristavka.com/catalog/Genshin Impact/GEN53/</v>
      </c>
      <c r="N2591" s="71">
        <v>5099</v>
      </c>
      <c r="O2591" s="66" t="s">
        <v>27</v>
      </c>
      <c r="P2591" s="82" t="s">
        <v>9948</v>
      </c>
      <c r="Q2591" s="84" t="s">
        <v>1963</v>
      </c>
      <c r="R2591" s="84" t="s">
        <v>9605</v>
      </c>
      <c r="S2591" s="84">
        <v>8.5999999999999993E-2</v>
      </c>
      <c r="T2591" s="82" t="s">
        <v>9929</v>
      </c>
      <c r="U2591" s="84" t="s">
        <v>2255</v>
      </c>
      <c r="V2591" s="54"/>
    </row>
    <row r="2592" spans="1:22" s="11" customFormat="1" ht="45" customHeight="1" x14ac:dyDescent="0.2">
      <c r="A2592" s="66" t="s">
        <v>1963</v>
      </c>
      <c r="B2592" s="66" t="s">
        <v>1155</v>
      </c>
      <c r="C2592" s="66" t="s">
        <v>9605</v>
      </c>
      <c r="D2592" s="66">
        <v>6972957483059</v>
      </c>
      <c r="E2592" s="68" t="s">
        <v>9949</v>
      </c>
      <c r="F2592" s="66" t="s">
        <v>9950</v>
      </c>
      <c r="G2592" s="71">
        <v>3006</v>
      </c>
      <c r="H2592" s="73"/>
      <c r="I2592" s="75">
        <v>0.2</v>
      </c>
      <c r="J2592" s="77"/>
      <c r="K2592" s="66"/>
      <c r="L2592" s="66"/>
      <c r="M2592" s="79" t="str">
        <f>HYPERLINK("http://www.pristavka.com/catalog/Genshin Impact/GEN57/")</f>
        <v>http://www.pristavka.com/catalog/Genshin Impact/GEN57/</v>
      </c>
      <c r="N2592" s="71">
        <v>5099</v>
      </c>
      <c r="O2592" s="66" t="s">
        <v>27</v>
      </c>
      <c r="P2592" s="82" t="s">
        <v>9951</v>
      </c>
      <c r="Q2592" s="84" t="s">
        <v>1963</v>
      </c>
      <c r="R2592" s="84" t="s">
        <v>9605</v>
      </c>
      <c r="S2592" s="84">
        <v>7.6999999999999999E-2</v>
      </c>
      <c r="T2592" s="82" t="s">
        <v>9609</v>
      </c>
      <c r="U2592" s="84" t="s">
        <v>2255</v>
      </c>
      <c r="V2592" s="54"/>
    </row>
    <row r="2593" spans="1:22" s="11" customFormat="1" ht="45" customHeight="1" x14ac:dyDescent="0.2">
      <c r="A2593" s="66" t="s">
        <v>1963</v>
      </c>
      <c r="B2593" s="66" t="s">
        <v>1155</v>
      </c>
      <c r="C2593" s="66" t="s">
        <v>9605</v>
      </c>
      <c r="D2593" s="66">
        <v>6974096531011</v>
      </c>
      <c r="E2593" s="68" t="s">
        <v>9952</v>
      </c>
      <c r="F2593" s="66" t="s">
        <v>9953</v>
      </c>
      <c r="G2593" s="71">
        <v>4722</v>
      </c>
      <c r="H2593" s="73"/>
      <c r="I2593" s="75">
        <v>0.2</v>
      </c>
      <c r="J2593" s="77"/>
      <c r="K2593" s="66"/>
      <c r="L2593" s="66"/>
      <c r="M2593" s="79" t="str">
        <f>HYPERLINK("http://www.pristavka.com/catalog/Genshin Impact/GEN62/")</f>
        <v>http://www.pristavka.com/catalog/Genshin Impact/GEN62/</v>
      </c>
      <c r="N2593" s="71">
        <v>7899</v>
      </c>
      <c r="O2593" s="66" t="s">
        <v>27</v>
      </c>
      <c r="P2593" s="82" t="s">
        <v>9954</v>
      </c>
      <c r="Q2593" s="84" t="s">
        <v>1963</v>
      </c>
      <c r="R2593" s="84" t="s">
        <v>9605</v>
      </c>
      <c r="S2593" s="84">
        <v>8.5000000000000006E-2</v>
      </c>
      <c r="T2593" s="82" t="s">
        <v>9659</v>
      </c>
      <c r="U2593" s="84" t="s">
        <v>2255</v>
      </c>
      <c r="V2593" s="54"/>
    </row>
    <row r="2594" spans="1:22" s="11" customFormat="1" ht="45" customHeight="1" x14ac:dyDescent="0.2">
      <c r="A2594" s="66" t="s">
        <v>1963</v>
      </c>
      <c r="B2594" s="66" t="s">
        <v>1155</v>
      </c>
      <c r="C2594" s="66" t="s">
        <v>9605</v>
      </c>
      <c r="D2594" s="66">
        <v>6972957487088</v>
      </c>
      <c r="E2594" s="68" t="s">
        <v>9955</v>
      </c>
      <c r="F2594" s="66" t="s">
        <v>9956</v>
      </c>
      <c r="G2594" s="71">
        <v>3006</v>
      </c>
      <c r="H2594" s="73"/>
      <c r="I2594" s="75">
        <v>0.2</v>
      </c>
      <c r="J2594" s="77"/>
      <c r="K2594" s="66"/>
      <c r="L2594" s="66"/>
      <c r="M2594" s="79" t="str">
        <f>HYPERLINK("http://www.pristavka.com/catalog/Genshin Impact/GEN58/")</f>
        <v>http://www.pristavka.com/catalog/Genshin Impact/GEN58/</v>
      </c>
      <c r="N2594" s="71">
        <v>5099</v>
      </c>
      <c r="O2594" s="66" t="s">
        <v>27</v>
      </c>
      <c r="P2594" s="82" t="s">
        <v>9957</v>
      </c>
      <c r="Q2594" s="84" t="s">
        <v>1963</v>
      </c>
      <c r="R2594" s="84" t="s">
        <v>9605</v>
      </c>
      <c r="S2594" s="84">
        <v>8.1000000000000003E-2</v>
      </c>
      <c r="T2594" s="82" t="s">
        <v>9929</v>
      </c>
      <c r="U2594" s="84" t="s">
        <v>2255</v>
      </c>
      <c r="V2594" s="54"/>
    </row>
    <row r="2595" spans="1:22" s="11" customFormat="1" ht="45" customHeight="1" x14ac:dyDescent="0.2">
      <c r="A2595" s="66" t="s">
        <v>1963</v>
      </c>
      <c r="B2595" s="66" t="s">
        <v>1155</v>
      </c>
      <c r="C2595" s="66" t="s">
        <v>9605</v>
      </c>
      <c r="D2595" s="66">
        <v>6972957483028</v>
      </c>
      <c r="E2595" s="68" t="s">
        <v>9958</v>
      </c>
      <c r="F2595" s="66" t="s">
        <v>9959</v>
      </c>
      <c r="G2595" s="71">
        <v>3006</v>
      </c>
      <c r="H2595" s="73"/>
      <c r="I2595" s="75">
        <v>0.2</v>
      </c>
      <c r="J2595" s="77"/>
      <c r="K2595" s="66"/>
      <c r="L2595" s="66"/>
      <c r="M2595" s="79" t="str">
        <f>HYPERLINK("http://www.pristavka.com/catalog/Genshin Impact/GEN54/")</f>
        <v>http://www.pristavka.com/catalog/Genshin Impact/GEN54/</v>
      </c>
      <c r="N2595" s="71">
        <v>5099</v>
      </c>
      <c r="O2595" s="66" t="s">
        <v>27</v>
      </c>
      <c r="P2595" s="82" t="s">
        <v>9960</v>
      </c>
      <c r="Q2595" s="84" t="s">
        <v>1963</v>
      </c>
      <c r="R2595" s="84" t="s">
        <v>9605</v>
      </c>
      <c r="S2595" s="84">
        <v>9.0999999999999998E-2</v>
      </c>
      <c r="T2595" s="82" t="s">
        <v>9929</v>
      </c>
      <c r="U2595" s="84" t="s">
        <v>2255</v>
      </c>
      <c r="V2595" s="54"/>
    </row>
    <row r="2596" spans="1:22" s="11" customFormat="1" ht="45" customHeight="1" x14ac:dyDescent="0.2">
      <c r="A2596" s="66" t="s">
        <v>1963</v>
      </c>
      <c r="B2596" s="66" t="s">
        <v>1155</v>
      </c>
      <c r="C2596" s="66" t="s">
        <v>9605</v>
      </c>
      <c r="D2596" s="66">
        <v>6972957487095</v>
      </c>
      <c r="E2596" s="68" t="s">
        <v>9961</v>
      </c>
      <c r="F2596" s="66" t="s">
        <v>9962</v>
      </c>
      <c r="G2596" s="71">
        <v>3006</v>
      </c>
      <c r="H2596" s="73"/>
      <c r="I2596" s="75">
        <v>0.2</v>
      </c>
      <c r="J2596" s="77"/>
      <c r="K2596" s="66"/>
      <c r="L2596" s="66"/>
      <c r="M2596" s="79" t="str">
        <f>HYPERLINK("http://www.pristavka.com/catalog/Genshin Impact/GEN59/")</f>
        <v>http://www.pristavka.com/catalog/Genshin Impact/GEN59/</v>
      </c>
      <c r="N2596" s="71">
        <v>5099</v>
      </c>
      <c r="O2596" s="66" t="s">
        <v>27</v>
      </c>
      <c r="P2596" s="82" t="s">
        <v>9963</v>
      </c>
      <c r="Q2596" s="84" t="s">
        <v>1963</v>
      </c>
      <c r="R2596" s="84" t="s">
        <v>9605</v>
      </c>
      <c r="S2596" s="84">
        <v>7.4999999999999997E-2</v>
      </c>
      <c r="T2596" s="82" t="s">
        <v>9609</v>
      </c>
      <c r="U2596" s="84" t="s">
        <v>2255</v>
      </c>
      <c r="V2596" s="54"/>
    </row>
    <row r="2597" spans="1:22" s="11" customFormat="1" ht="45" customHeight="1" x14ac:dyDescent="0.2">
      <c r="A2597" s="66" t="s">
        <v>1963</v>
      </c>
      <c r="B2597" s="66" t="s">
        <v>1155</v>
      </c>
      <c r="C2597" s="66" t="s">
        <v>9605</v>
      </c>
      <c r="D2597" s="66">
        <v>6974696617337</v>
      </c>
      <c r="E2597" s="68" t="s">
        <v>9964</v>
      </c>
      <c r="F2597" s="66" t="s">
        <v>9965</v>
      </c>
      <c r="G2597" s="71">
        <v>3006</v>
      </c>
      <c r="H2597" s="73"/>
      <c r="I2597" s="75">
        <v>0.2</v>
      </c>
      <c r="J2597" s="77"/>
      <c r="K2597" s="66"/>
      <c r="L2597" s="66"/>
      <c r="M2597" s="79" t="str">
        <f>HYPERLINK("http://www.pristavka.com/catalog/Genshin Impact/GEN64/")</f>
        <v>http://www.pristavka.com/catalog/Genshin Impact/GEN64/</v>
      </c>
      <c r="N2597" s="71">
        <v>5099</v>
      </c>
      <c r="O2597" s="66" t="s">
        <v>27</v>
      </c>
      <c r="P2597" s="82" t="s">
        <v>9966</v>
      </c>
      <c r="Q2597" s="84" t="s">
        <v>1963</v>
      </c>
      <c r="R2597" s="84" t="s">
        <v>9605</v>
      </c>
      <c r="S2597" s="84">
        <v>8.7999999999999995E-2</v>
      </c>
      <c r="T2597" s="82" t="s">
        <v>9609</v>
      </c>
      <c r="U2597" s="84" t="s">
        <v>2255</v>
      </c>
      <c r="V2597" s="54"/>
    </row>
    <row r="2598" spans="1:22" s="11" customFormat="1" ht="45" customHeight="1" x14ac:dyDescent="0.2">
      <c r="A2598" s="66" t="s">
        <v>1963</v>
      </c>
      <c r="B2598" s="66" t="s">
        <v>1155</v>
      </c>
      <c r="C2598" s="66" t="s">
        <v>9605</v>
      </c>
      <c r="D2598" s="66">
        <v>6972957483035</v>
      </c>
      <c r="E2598" s="68" t="s">
        <v>9967</v>
      </c>
      <c r="F2598" s="66" t="s">
        <v>9968</v>
      </c>
      <c r="G2598" s="71">
        <v>3006</v>
      </c>
      <c r="H2598" s="73"/>
      <c r="I2598" s="75">
        <v>0.2</v>
      </c>
      <c r="J2598" s="77"/>
      <c r="K2598" s="66"/>
      <c r="L2598" s="66"/>
      <c r="M2598" s="79" t="str">
        <f>HYPERLINK("http://www.pristavka.com/catalog/Genshin Impact/GEN55/")</f>
        <v>http://www.pristavka.com/catalog/Genshin Impact/GEN55/</v>
      </c>
      <c r="N2598" s="71">
        <v>5099</v>
      </c>
      <c r="O2598" s="66" t="s">
        <v>27</v>
      </c>
      <c r="P2598" s="82" t="s">
        <v>9969</v>
      </c>
      <c r="Q2598" s="84" t="s">
        <v>1963</v>
      </c>
      <c r="R2598" s="84" t="s">
        <v>9605</v>
      </c>
      <c r="S2598" s="84">
        <v>7.9000000000000001E-2</v>
      </c>
      <c r="T2598" s="82" t="s">
        <v>9929</v>
      </c>
      <c r="U2598" s="84" t="s">
        <v>2255</v>
      </c>
      <c r="V2598" s="54"/>
    </row>
    <row r="2599" spans="1:22" s="11" customFormat="1" ht="45" customHeight="1" x14ac:dyDescent="0.2">
      <c r="A2599" s="66" t="s">
        <v>1963</v>
      </c>
      <c r="B2599" s="66" t="s">
        <v>1155</v>
      </c>
      <c r="C2599" s="66" t="s">
        <v>9605</v>
      </c>
      <c r="D2599" s="66">
        <v>6972957483004</v>
      </c>
      <c r="E2599" s="68" t="s">
        <v>9970</v>
      </c>
      <c r="F2599" s="66" t="s">
        <v>9971</v>
      </c>
      <c r="G2599" s="71">
        <v>4088</v>
      </c>
      <c r="H2599" s="73"/>
      <c r="I2599" s="75">
        <v>0.2</v>
      </c>
      <c r="J2599" s="77"/>
      <c r="K2599" s="66"/>
      <c r="L2599" s="66"/>
      <c r="M2599" s="79" t="str">
        <f>HYPERLINK("http://www.pristavka.com/catalog/Genshin Impact/GEN52/")</f>
        <v>http://www.pristavka.com/catalog/Genshin Impact/GEN52/</v>
      </c>
      <c r="N2599" s="71">
        <v>6899</v>
      </c>
      <c r="O2599" s="66" t="s">
        <v>27</v>
      </c>
      <c r="P2599" s="82" t="s">
        <v>9972</v>
      </c>
      <c r="Q2599" s="84" t="s">
        <v>1963</v>
      </c>
      <c r="R2599" s="84" t="s">
        <v>9605</v>
      </c>
      <c r="S2599" s="84">
        <v>8.2000000000000003E-2</v>
      </c>
      <c r="T2599" s="82" t="s">
        <v>9659</v>
      </c>
      <c r="U2599" s="84" t="s">
        <v>2255</v>
      </c>
      <c r="V2599" s="54"/>
    </row>
    <row r="2600" spans="1:22" s="11" customFormat="1" ht="45" customHeight="1" x14ac:dyDescent="0.2">
      <c r="A2600" s="66" t="s">
        <v>1963</v>
      </c>
      <c r="B2600" s="66" t="s">
        <v>1155</v>
      </c>
      <c r="C2600" s="66" t="s">
        <v>9605</v>
      </c>
      <c r="D2600" s="66">
        <v>6972957483042</v>
      </c>
      <c r="E2600" s="68" t="s">
        <v>9973</v>
      </c>
      <c r="F2600" s="66" t="s">
        <v>9974</v>
      </c>
      <c r="G2600" s="71">
        <v>3006</v>
      </c>
      <c r="H2600" s="73"/>
      <c r="I2600" s="75">
        <v>0.2</v>
      </c>
      <c r="J2600" s="77"/>
      <c r="K2600" s="66"/>
      <c r="L2600" s="66"/>
      <c r="M2600" s="79" t="str">
        <f>HYPERLINK("http://www.pristavka.com/catalog/Genshin Impact/GEN56/")</f>
        <v>http://www.pristavka.com/catalog/Genshin Impact/GEN56/</v>
      </c>
      <c r="N2600" s="71">
        <v>5099</v>
      </c>
      <c r="O2600" s="66" t="s">
        <v>27</v>
      </c>
      <c r="P2600" s="82" t="s">
        <v>9975</v>
      </c>
      <c r="Q2600" s="84" t="s">
        <v>1963</v>
      </c>
      <c r="R2600" s="84" t="s">
        <v>9605</v>
      </c>
      <c r="S2600" s="84">
        <v>7.8E-2</v>
      </c>
      <c r="T2600" s="82" t="s">
        <v>9659</v>
      </c>
      <c r="U2600" s="84" t="s">
        <v>2255</v>
      </c>
      <c r="V2600" s="54"/>
    </row>
    <row r="2601" spans="1:22" s="11" customFormat="1" ht="45" customHeight="1" x14ac:dyDescent="0.2">
      <c r="A2601" s="66" t="s">
        <v>1963</v>
      </c>
      <c r="B2601" s="66" t="s">
        <v>1155</v>
      </c>
      <c r="C2601" s="66" t="s">
        <v>9605</v>
      </c>
      <c r="D2601" s="66">
        <v>6972957488108</v>
      </c>
      <c r="E2601" s="68" t="s">
        <v>9976</v>
      </c>
      <c r="F2601" s="66" t="s">
        <v>9977</v>
      </c>
      <c r="G2601" s="71">
        <v>3006</v>
      </c>
      <c r="H2601" s="73"/>
      <c r="I2601" s="75">
        <v>0.2</v>
      </c>
      <c r="J2601" s="77"/>
      <c r="K2601" s="66"/>
      <c r="L2601" s="66"/>
      <c r="M2601" s="79" t="str">
        <f>HYPERLINK("http://www.pristavka.com/catalog/Genshin Impact/GEN61/")</f>
        <v>http://www.pristavka.com/catalog/Genshin Impact/GEN61/</v>
      </c>
      <c r="N2601" s="71">
        <v>5099</v>
      </c>
      <c r="O2601" s="66" t="s">
        <v>27</v>
      </c>
      <c r="P2601" s="82" t="s">
        <v>9978</v>
      </c>
      <c r="Q2601" s="84" t="s">
        <v>1963</v>
      </c>
      <c r="R2601" s="84" t="s">
        <v>9605</v>
      </c>
      <c r="S2601" s="84">
        <v>7.8E-2</v>
      </c>
      <c r="T2601" s="82" t="s">
        <v>9609</v>
      </c>
      <c r="U2601" s="84" t="s">
        <v>2255</v>
      </c>
      <c r="V2601" s="54"/>
    </row>
    <row r="2602" spans="1:22" s="11" customFormat="1" ht="45" customHeight="1" x14ac:dyDescent="0.2">
      <c r="A2602" s="66" t="s">
        <v>1963</v>
      </c>
      <c r="B2602" s="66" t="s">
        <v>1155</v>
      </c>
      <c r="C2602" s="66" t="s">
        <v>9605</v>
      </c>
      <c r="D2602" s="66">
        <v>6974096534227</v>
      </c>
      <c r="E2602" s="68" t="s">
        <v>9979</v>
      </c>
      <c r="F2602" s="66" t="s">
        <v>9980</v>
      </c>
      <c r="G2602" s="71">
        <v>3006</v>
      </c>
      <c r="H2602" s="73"/>
      <c r="I2602" s="75">
        <v>0.2</v>
      </c>
      <c r="J2602" s="77"/>
      <c r="K2602" s="66"/>
      <c r="L2602" s="66"/>
      <c r="M2602" s="79" t="str">
        <f>HYPERLINK("http://www.pristavka.com/catalog/Genshin Impact/GEN63/")</f>
        <v>http://www.pristavka.com/catalog/Genshin Impact/GEN63/</v>
      </c>
      <c r="N2602" s="71">
        <v>5099</v>
      </c>
      <c r="O2602" s="66" t="s">
        <v>27</v>
      </c>
      <c r="P2602" s="82" t="s">
        <v>9981</v>
      </c>
      <c r="Q2602" s="84" t="s">
        <v>1963</v>
      </c>
      <c r="R2602" s="84" t="s">
        <v>9605</v>
      </c>
      <c r="S2602" s="84">
        <v>8.3000000000000004E-2</v>
      </c>
      <c r="T2602" s="82" t="s">
        <v>9609</v>
      </c>
      <c r="U2602" s="84" t="s">
        <v>2255</v>
      </c>
      <c r="V2602" s="54"/>
    </row>
    <row r="2603" spans="1:22" s="11" customFormat="1" ht="45" customHeight="1" x14ac:dyDescent="0.2">
      <c r="A2603" s="66" t="s">
        <v>1963</v>
      </c>
      <c r="B2603" s="66" t="s">
        <v>1155</v>
      </c>
      <c r="C2603" s="66" t="s">
        <v>9605</v>
      </c>
      <c r="D2603" s="66">
        <v>6975213689646</v>
      </c>
      <c r="E2603" s="68" t="s">
        <v>9982</v>
      </c>
      <c r="F2603" s="66" t="s">
        <v>9983</v>
      </c>
      <c r="G2603" s="71">
        <v>3006</v>
      </c>
      <c r="H2603" s="73"/>
      <c r="I2603" s="75">
        <v>0.2</v>
      </c>
      <c r="J2603" s="77"/>
      <c r="K2603" s="66"/>
      <c r="L2603" s="66"/>
      <c r="M2603" s="79" t="str">
        <f>HYPERLINK("http://www.pristavka.com/catalog/Genshin Impact/GEN66/")</f>
        <v>http://www.pristavka.com/catalog/Genshin Impact/GEN66/</v>
      </c>
      <c r="N2603" s="71">
        <v>5099</v>
      </c>
      <c r="O2603" s="66" t="s">
        <v>27</v>
      </c>
      <c r="P2603" s="82" t="s">
        <v>9984</v>
      </c>
      <c r="Q2603" s="84" t="s">
        <v>1963</v>
      </c>
      <c r="R2603" s="84" t="s">
        <v>9605</v>
      </c>
      <c r="S2603" s="84">
        <v>8.2000000000000003E-2</v>
      </c>
      <c r="T2603" s="82" t="s">
        <v>9659</v>
      </c>
      <c r="U2603" s="84" t="s">
        <v>2255</v>
      </c>
      <c r="V2603" s="54"/>
    </row>
    <row r="2604" spans="1:22" s="11" customFormat="1" ht="45" customHeight="1" x14ac:dyDescent="0.2">
      <c r="A2604" s="66" t="s">
        <v>1963</v>
      </c>
      <c r="B2604" s="66" t="s">
        <v>1155</v>
      </c>
      <c r="C2604" s="66" t="s">
        <v>9605</v>
      </c>
      <c r="D2604" s="66">
        <v>6974696617344</v>
      </c>
      <c r="E2604" s="68" t="s">
        <v>9985</v>
      </c>
      <c r="F2604" s="66" t="s">
        <v>9986</v>
      </c>
      <c r="G2604" s="71">
        <v>3006</v>
      </c>
      <c r="H2604" s="73"/>
      <c r="I2604" s="75">
        <v>0.2</v>
      </c>
      <c r="J2604" s="77"/>
      <c r="K2604" s="66"/>
      <c r="L2604" s="66"/>
      <c r="M2604" s="79" t="str">
        <f>HYPERLINK("http://www.pristavka.com/catalog/Genshin Impact/GEN65/")</f>
        <v>http://www.pristavka.com/catalog/Genshin Impact/GEN65/</v>
      </c>
      <c r="N2604" s="71">
        <v>5099</v>
      </c>
      <c r="O2604" s="66" t="s">
        <v>27</v>
      </c>
      <c r="P2604" s="82" t="s">
        <v>9987</v>
      </c>
      <c r="Q2604" s="84" t="s">
        <v>1963</v>
      </c>
      <c r="R2604" s="84" t="s">
        <v>9605</v>
      </c>
      <c r="S2604" s="84">
        <v>0.08</v>
      </c>
      <c r="T2604" s="82" t="s">
        <v>9609</v>
      </c>
      <c r="U2604" s="84" t="s">
        <v>2255</v>
      </c>
      <c r="V2604" s="54"/>
    </row>
    <row r="2605" spans="1:22" s="11" customFormat="1" ht="45" customHeight="1" x14ac:dyDescent="0.2">
      <c r="A2605" s="66" t="s">
        <v>1963</v>
      </c>
      <c r="B2605" s="66" t="s">
        <v>1155</v>
      </c>
      <c r="C2605" s="66" t="s">
        <v>9605</v>
      </c>
      <c r="D2605" s="66">
        <v>6972957488092</v>
      </c>
      <c r="E2605" s="68" t="s">
        <v>9988</v>
      </c>
      <c r="F2605" s="66" t="s">
        <v>9989</v>
      </c>
      <c r="G2605" s="71">
        <v>3771</v>
      </c>
      <c r="H2605" s="73"/>
      <c r="I2605" s="75">
        <v>0.2</v>
      </c>
      <c r="J2605" s="77"/>
      <c r="K2605" s="66"/>
      <c r="L2605" s="66"/>
      <c r="M2605" s="79" t="str">
        <f>HYPERLINK("http://www.pristavka.com/catalog/Genshin Impact/GEN60/")</f>
        <v>http://www.pristavka.com/catalog/Genshin Impact/GEN60/</v>
      </c>
      <c r="N2605" s="71">
        <v>6299</v>
      </c>
      <c r="O2605" s="66" t="s">
        <v>27</v>
      </c>
      <c r="P2605" s="82" t="s">
        <v>9990</v>
      </c>
      <c r="Q2605" s="84" t="s">
        <v>1963</v>
      </c>
      <c r="R2605" s="84" t="s">
        <v>9605</v>
      </c>
      <c r="S2605" s="84">
        <v>0.10100000000000001</v>
      </c>
      <c r="T2605" s="82" t="s">
        <v>9887</v>
      </c>
      <c r="U2605" s="84" t="s">
        <v>2255</v>
      </c>
      <c r="V2605" s="54"/>
    </row>
    <row r="2606" spans="1:22" s="11" customFormat="1" ht="45" customHeight="1" x14ac:dyDescent="0.2">
      <c r="A2606" s="66" t="s">
        <v>1963</v>
      </c>
      <c r="B2606" s="66" t="s">
        <v>1155</v>
      </c>
      <c r="C2606" s="66" t="s">
        <v>9605</v>
      </c>
      <c r="D2606" s="66">
        <v>6975628240555</v>
      </c>
      <c r="E2606" s="68" t="s">
        <v>9991</v>
      </c>
      <c r="F2606" s="66" t="s">
        <v>9992</v>
      </c>
      <c r="G2606" s="71">
        <v>3006</v>
      </c>
      <c r="H2606" s="73"/>
      <c r="I2606" s="75">
        <v>0.2</v>
      </c>
      <c r="J2606" s="77"/>
      <c r="K2606" s="66"/>
      <c r="L2606" s="66"/>
      <c r="M2606" s="79" t="str">
        <f>HYPERLINK("http://www.pristavka.com/catalog/Genshin Impact/GEN36/")</f>
        <v>http://www.pristavka.com/catalog/Genshin Impact/GEN36/</v>
      </c>
      <c r="N2606" s="71">
        <v>5099</v>
      </c>
      <c r="O2606" s="66" t="s">
        <v>27</v>
      </c>
      <c r="P2606" s="82" t="s">
        <v>9993</v>
      </c>
      <c r="Q2606" s="84" t="s">
        <v>1963</v>
      </c>
      <c r="R2606" s="84" t="s">
        <v>9605</v>
      </c>
      <c r="S2606" s="84">
        <v>8.2000000000000003E-2</v>
      </c>
      <c r="T2606" s="82" t="s">
        <v>9659</v>
      </c>
      <c r="U2606" s="84" t="s">
        <v>2255</v>
      </c>
      <c r="V2606" s="54"/>
    </row>
    <row r="2607" spans="1:22" s="11" customFormat="1" ht="45" customHeight="1" x14ac:dyDescent="0.2">
      <c r="A2607" s="66" t="s">
        <v>1963</v>
      </c>
      <c r="B2607" s="66" t="s">
        <v>1155</v>
      </c>
      <c r="C2607" s="66" t="s">
        <v>9605</v>
      </c>
      <c r="D2607" s="66">
        <v>6972957482922</v>
      </c>
      <c r="E2607" s="68" t="s">
        <v>9994</v>
      </c>
      <c r="F2607" s="66" t="s">
        <v>9995</v>
      </c>
      <c r="G2607" s="71">
        <v>3006</v>
      </c>
      <c r="H2607" s="73"/>
      <c r="I2607" s="75">
        <v>0.2</v>
      </c>
      <c r="J2607" s="77"/>
      <c r="K2607" s="66"/>
      <c r="L2607" s="66"/>
      <c r="M2607" s="79" t="str">
        <f>HYPERLINK("http://www.pristavka.com/catalog/Genshin Impact/GEN39/")</f>
        <v>http://www.pristavka.com/catalog/Genshin Impact/GEN39/</v>
      </c>
      <c r="N2607" s="71">
        <v>5099</v>
      </c>
      <c r="O2607" s="66" t="s">
        <v>27</v>
      </c>
      <c r="P2607" s="82" t="s">
        <v>9996</v>
      </c>
      <c r="Q2607" s="84" t="s">
        <v>1963</v>
      </c>
      <c r="R2607" s="84" t="s">
        <v>9605</v>
      </c>
      <c r="S2607" s="84">
        <v>7.9000000000000001E-2</v>
      </c>
      <c r="T2607" s="82" t="s">
        <v>9609</v>
      </c>
      <c r="U2607" s="84" t="s">
        <v>2255</v>
      </c>
      <c r="V2607" s="54"/>
    </row>
    <row r="2608" spans="1:22" s="11" customFormat="1" ht="45" customHeight="1" x14ac:dyDescent="0.2">
      <c r="A2608" s="66" t="s">
        <v>1963</v>
      </c>
      <c r="B2608" s="66" t="s">
        <v>1155</v>
      </c>
      <c r="C2608" s="66" t="s">
        <v>9605</v>
      </c>
      <c r="D2608" s="66">
        <v>6972957482977</v>
      </c>
      <c r="E2608" s="68" t="s">
        <v>9997</v>
      </c>
      <c r="F2608" s="66" t="s">
        <v>9998</v>
      </c>
      <c r="G2608" s="71">
        <v>3006</v>
      </c>
      <c r="H2608" s="73"/>
      <c r="I2608" s="75">
        <v>0.2</v>
      </c>
      <c r="J2608" s="77"/>
      <c r="K2608" s="66"/>
      <c r="L2608" s="66"/>
      <c r="M2608" s="79" t="str">
        <f>HYPERLINK("http://www.pristavka.com/catalog/Genshin Impact/GEN44/")</f>
        <v>http://www.pristavka.com/catalog/Genshin Impact/GEN44/</v>
      </c>
      <c r="N2608" s="71">
        <v>5099</v>
      </c>
      <c r="O2608" s="66" t="s">
        <v>27</v>
      </c>
      <c r="P2608" s="82" t="s">
        <v>9999</v>
      </c>
      <c r="Q2608" s="84" t="s">
        <v>1963</v>
      </c>
      <c r="R2608" s="84" t="s">
        <v>9605</v>
      </c>
      <c r="S2608" s="84">
        <v>0.08</v>
      </c>
      <c r="T2608" s="82" t="s">
        <v>9609</v>
      </c>
      <c r="U2608" s="84" t="s">
        <v>2255</v>
      </c>
      <c r="V2608" s="54"/>
    </row>
    <row r="2609" spans="1:22" s="11" customFormat="1" ht="45" customHeight="1" x14ac:dyDescent="0.2">
      <c r="A2609" s="66" t="s">
        <v>1963</v>
      </c>
      <c r="B2609" s="66" t="s">
        <v>1155</v>
      </c>
      <c r="C2609" s="66" t="s">
        <v>9605</v>
      </c>
      <c r="D2609" s="66">
        <v>6972957482939</v>
      </c>
      <c r="E2609" s="68" t="s">
        <v>10000</v>
      </c>
      <c r="F2609" s="66" t="s">
        <v>10001</v>
      </c>
      <c r="G2609" s="71">
        <v>3006</v>
      </c>
      <c r="H2609" s="73"/>
      <c r="I2609" s="75">
        <v>0.2</v>
      </c>
      <c r="J2609" s="77"/>
      <c r="K2609" s="66"/>
      <c r="L2609" s="66"/>
      <c r="M2609" s="79" t="str">
        <f>HYPERLINK("http://www.pristavka.com/catalog/Genshin Impact/GEN40/")</f>
        <v>http://www.pristavka.com/catalog/Genshin Impact/GEN40/</v>
      </c>
      <c r="N2609" s="71">
        <v>5099</v>
      </c>
      <c r="O2609" s="66" t="s">
        <v>27</v>
      </c>
      <c r="P2609" s="82" t="s">
        <v>10002</v>
      </c>
      <c r="Q2609" s="84" t="s">
        <v>1963</v>
      </c>
      <c r="R2609" s="84" t="s">
        <v>9605</v>
      </c>
      <c r="S2609" s="84">
        <v>7.9000000000000001E-2</v>
      </c>
      <c r="T2609" s="82" t="s">
        <v>9617</v>
      </c>
      <c r="U2609" s="84" t="s">
        <v>2255</v>
      </c>
      <c r="V2609" s="54"/>
    </row>
    <row r="2610" spans="1:22" s="11" customFormat="1" ht="45" customHeight="1" x14ac:dyDescent="0.2">
      <c r="A2610" s="66" t="s">
        <v>1963</v>
      </c>
      <c r="B2610" s="66" t="s">
        <v>1155</v>
      </c>
      <c r="C2610" s="66" t="s">
        <v>9605</v>
      </c>
      <c r="D2610" s="66">
        <v>6972957488085</v>
      </c>
      <c r="E2610" s="68" t="s">
        <v>10003</v>
      </c>
      <c r="F2610" s="66" t="s">
        <v>10004</v>
      </c>
      <c r="G2610" s="71">
        <v>3006</v>
      </c>
      <c r="H2610" s="73"/>
      <c r="I2610" s="75">
        <v>0.2</v>
      </c>
      <c r="J2610" s="77"/>
      <c r="K2610" s="66"/>
      <c r="L2610" s="66"/>
      <c r="M2610" s="79" t="str">
        <f>HYPERLINK("http://www.pristavka.com/catalog/Genshin Impact/GEN49/")</f>
        <v>http://www.pristavka.com/catalog/Genshin Impact/GEN49/</v>
      </c>
      <c r="N2610" s="71">
        <v>5099</v>
      </c>
      <c r="O2610" s="66" t="s">
        <v>27</v>
      </c>
      <c r="P2610" s="82" t="s">
        <v>10005</v>
      </c>
      <c r="Q2610" s="84" t="s">
        <v>1963</v>
      </c>
      <c r="R2610" s="84" t="s">
        <v>9605</v>
      </c>
      <c r="S2610" s="84">
        <v>7.8E-2</v>
      </c>
      <c r="T2610" s="82" t="s">
        <v>9659</v>
      </c>
      <c r="U2610" s="84" t="s">
        <v>2255</v>
      </c>
      <c r="V2610" s="54"/>
    </row>
    <row r="2611" spans="1:22" s="11" customFormat="1" ht="45" customHeight="1" x14ac:dyDescent="0.2">
      <c r="A2611" s="66" t="s">
        <v>1963</v>
      </c>
      <c r="B2611" s="66" t="s">
        <v>1155</v>
      </c>
      <c r="C2611" s="66" t="s">
        <v>9605</v>
      </c>
      <c r="D2611" s="66">
        <v>6974096534210</v>
      </c>
      <c r="E2611" s="68" t="s">
        <v>10006</v>
      </c>
      <c r="F2611" s="66" t="s">
        <v>10007</v>
      </c>
      <c r="G2611" s="71">
        <v>3006</v>
      </c>
      <c r="H2611" s="73"/>
      <c r="I2611" s="75">
        <v>0.2</v>
      </c>
      <c r="J2611" s="77"/>
      <c r="K2611" s="66"/>
      <c r="L2611" s="66"/>
      <c r="M2611" s="79" t="str">
        <f>HYPERLINK("http://www.pristavka.com/catalog/Genshin Impact/GEN51/")</f>
        <v>http://www.pristavka.com/catalog/Genshin Impact/GEN51/</v>
      </c>
      <c r="N2611" s="71">
        <v>5099</v>
      </c>
      <c r="O2611" s="66" t="s">
        <v>27</v>
      </c>
      <c r="P2611" s="82" t="s">
        <v>10008</v>
      </c>
      <c r="Q2611" s="84" t="s">
        <v>1963</v>
      </c>
      <c r="R2611" s="84" t="s">
        <v>9605</v>
      </c>
      <c r="S2611" s="84">
        <v>0.09</v>
      </c>
      <c r="T2611" s="82" t="s">
        <v>10009</v>
      </c>
      <c r="U2611" s="84" t="s">
        <v>2255</v>
      </c>
      <c r="V2611" s="54"/>
    </row>
    <row r="2612" spans="1:22" s="11" customFormat="1" ht="45" customHeight="1" x14ac:dyDescent="0.2">
      <c r="A2612" s="66" t="s">
        <v>1963</v>
      </c>
      <c r="B2612" s="66" t="s">
        <v>1155</v>
      </c>
      <c r="C2612" s="66" t="s">
        <v>9605</v>
      </c>
      <c r="D2612" s="66">
        <v>6972957482991</v>
      </c>
      <c r="E2612" s="68" t="s">
        <v>10010</v>
      </c>
      <c r="F2612" s="66" t="s">
        <v>10011</v>
      </c>
      <c r="G2612" s="71">
        <v>3006</v>
      </c>
      <c r="H2612" s="73"/>
      <c r="I2612" s="75">
        <v>0.2</v>
      </c>
      <c r="J2612" s="77"/>
      <c r="K2612" s="66"/>
      <c r="L2612" s="66"/>
      <c r="M2612" s="79" t="str">
        <f>HYPERLINK("http://www.pristavka.com/catalog/Genshin Impact/GEN46/")</f>
        <v>http://www.pristavka.com/catalog/Genshin Impact/GEN46/</v>
      </c>
      <c r="N2612" s="71">
        <v>5099</v>
      </c>
      <c r="O2612" s="66" t="s">
        <v>27</v>
      </c>
      <c r="P2612" s="82" t="s">
        <v>10012</v>
      </c>
      <c r="Q2612" s="84" t="s">
        <v>1963</v>
      </c>
      <c r="R2612" s="84" t="s">
        <v>9605</v>
      </c>
      <c r="S2612" s="84">
        <v>8.4000000000000005E-2</v>
      </c>
      <c r="T2612" s="82" t="s">
        <v>9609</v>
      </c>
      <c r="U2612" s="84" t="s">
        <v>2255</v>
      </c>
      <c r="V2612" s="54"/>
    </row>
    <row r="2613" spans="1:22" s="11" customFormat="1" ht="45" customHeight="1" x14ac:dyDescent="0.2">
      <c r="A2613" s="66" t="s">
        <v>1963</v>
      </c>
      <c r="B2613" s="66" t="s">
        <v>1155</v>
      </c>
      <c r="C2613" s="66" t="s">
        <v>9605</v>
      </c>
      <c r="D2613" s="66">
        <v>6975628240548</v>
      </c>
      <c r="E2613" s="68" t="s">
        <v>10013</v>
      </c>
      <c r="F2613" s="66" t="s">
        <v>10014</v>
      </c>
      <c r="G2613" s="71">
        <v>3006</v>
      </c>
      <c r="H2613" s="73"/>
      <c r="I2613" s="75">
        <v>0.2</v>
      </c>
      <c r="J2613" s="77"/>
      <c r="K2613" s="66"/>
      <c r="L2613" s="66"/>
      <c r="M2613" s="79" t="str">
        <f>HYPERLINK("http://www.pristavka.com/catalog/Genshin Impact/GEN35/")</f>
        <v>http://www.pristavka.com/catalog/Genshin Impact/GEN35/</v>
      </c>
      <c r="N2613" s="71">
        <v>5099</v>
      </c>
      <c r="O2613" s="66" t="s">
        <v>27</v>
      </c>
      <c r="P2613" s="82" t="s">
        <v>10015</v>
      </c>
      <c r="Q2613" s="84" t="s">
        <v>1963</v>
      </c>
      <c r="R2613" s="84" t="s">
        <v>9605</v>
      </c>
      <c r="S2613" s="84">
        <v>8.1000000000000003E-2</v>
      </c>
      <c r="T2613" s="82" t="s">
        <v>9659</v>
      </c>
      <c r="U2613" s="84" t="s">
        <v>2255</v>
      </c>
      <c r="V2613" s="54"/>
    </row>
    <row r="2614" spans="1:22" s="11" customFormat="1" ht="45" customHeight="1" x14ac:dyDescent="0.2">
      <c r="A2614" s="66" t="s">
        <v>1963</v>
      </c>
      <c r="B2614" s="66" t="s">
        <v>1155</v>
      </c>
      <c r="C2614" s="66" t="s">
        <v>9605</v>
      </c>
      <c r="D2614" s="66">
        <v>6972957482915</v>
      </c>
      <c r="E2614" s="68" t="s">
        <v>10016</v>
      </c>
      <c r="F2614" s="66" t="s">
        <v>10017</v>
      </c>
      <c r="G2614" s="71">
        <v>3006</v>
      </c>
      <c r="H2614" s="73"/>
      <c r="I2614" s="75">
        <v>0.2</v>
      </c>
      <c r="J2614" s="77"/>
      <c r="K2614" s="66"/>
      <c r="L2614" s="66"/>
      <c r="M2614" s="79" t="str">
        <f>HYPERLINK("http://www.pristavka.com/catalog/Genshin Impact/GEN38/")</f>
        <v>http://www.pristavka.com/catalog/Genshin Impact/GEN38/</v>
      </c>
      <c r="N2614" s="71">
        <v>5099</v>
      </c>
      <c r="O2614" s="66" t="s">
        <v>28</v>
      </c>
      <c r="P2614" s="82" t="s">
        <v>10018</v>
      </c>
      <c r="Q2614" s="84" t="s">
        <v>1963</v>
      </c>
      <c r="R2614" s="84" t="s">
        <v>9605</v>
      </c>
      <c r="S2614" s="84">
        <v>7.6999999999999999E-2</v>
      </c>
      <c r="T2614" s="82" t="s">
        <v>9659</v>
      </c>
      <c r="U2614" s="84" t="s">
        <v>2255</v>
      </c>
      <c r="V2614" s="54"/>
    </row>
    <row r="2615" spans="1:22" s="11" customFormat="1" ht="45" customHeight="1" x14ac:dyDescent="0.2">
      <c r="A2615" s="66" t="s">
        <v>1963</v>
      </c>
      <c r="B2615" s="66" t="s">
        <v>1155</v>
      </c>
      <c r="C2615" s="66" t="s">
        <v>9605</v>
      </c>
      <c r="D2615" s="66">
        <v>6972957482960</v>
      </c>
      <c r="E2615" s="68" t="s">
        <v>10019</v>
      </c>
      <c r="F2615" s="66" t="s">
        <v>10020</v>
      </c>
      <c r="G2615" s="71">
        <v>3006</v>
      </c>
      <c r="H2615" s="73"/>
      <c r="I2615" s="75">
        <v>0.2</v>
      </c>
      <c r="J2615" s="77"/>
      <c r="K2615" s="66"/>
      <c r="L2615" s="66"/>
      <c r="M2615" s="79" t="str">
        <f>HYPERLINK("http://www.pristavka.com/catalog/Genshin Impact/GEN43/")</f>
        <v>http://www.pristavka.com/catalog/Genshin Impact/GEN43/</v>
      </c>
      <c r="N2615" s="71">
        <v>5099</v>
      </c>
      <c r="O2615" s="66" t="s">
        <v>27</v>
      </c>
      <c r="P2615" s="82" t="s">
        <v>10021</v>
      </c>
      <c r="Q2615" s="84" t="s">
        <v>1963</v>
      </c>
      <c r="R2615" s="84" t="s">
        <v>9605</v>
      </c>
      <c r="S2615" s="84">
        <v>7.3999999999999996E-2</v>
      </c>
      <c r="T2615" s="82" t="s">
        <v>9609</v>
      </c>
      <c r="U2615" s="84" t="s">
        <v>2255</v>
      </c>
      <c r="V2615" s="54"/>
    </row>
    <row r="2616" spans="1:22" s="11" customFormat="1" ht="45" customHeight="1" x14ac:dyDescent="0.2">
      <c r="A2616" s="66" t="s">
        <v>1963</v>
      </c>
      <c r="B2616" s="66" t="s">
        <v>1155</v>
      </c>
      <c r="C2616" s="66" t="s">
        <v>9605</v>
      </c>
      <c r="D2616" s="66">
        <v>6972957482908</v>
      </c>
      <c r="E2616" s="68" t="s">
        <v>10022</v>
      </c>
      <c r="F2616" s="66" t="s">
        <v>10023</v>
      </c>
      <c r="G2616" s="71">
        <v>3006</v>
      </c>
      <c r="H2616" s="73"/>
      <c r="I2616" s="75">
        <v>0.2</v>
      </c>
      <c r="J2616" s="77"/>
      <c r="K2616" s="66"/>
      <c r="L2616" s="66"/>
      <c r="M2616" s="79" t="str">
        <f>HYPERLINK("http://www.pristavka.com/catalog/Genshin Impact/GEN37/")</f>
        <v>http://www.pristavka.com/catalog/Genshin Impact/GEN37/</v>
      </c>
      <c r="N2616" s="71">
        <v>5099</v>
      </c>
      <c r="O2616" s="66" t="s">
        <v>27</v>
      </c>
      <c r="P2616" s="82" t="s">
        <v>10024</v>
      </c>
      <c r="Q2616" s="84" t="s">
        <v>1963</v>
      </c>
      <c r="R2616" s="84" t="s">
        <v>9605</v>
      </c>
      <c r="S2616" s="84">
        <v>8.1000000000000003E-2</v>
      </c>
      <c r="T2616" s="82" t="s">
        <v>9609</v>
      </c>
      <c r="U2616" s="84" t="s">
        <v>2255</v>
      </c>
      <c r="V2616" s="54"/>
    </row>
    <row r="2617" spans="1:22" s="11" customFormat="1" ht="45" customHeight="1" x14ac:dyDescent="0.2">
      <c r="A2617" s="66" t="s">
        <v>1963</v>
      </c>
      <c r="B2617" s="66" t="s">
        <v>1155</v>
      </c>
      <c r="C2617" s="66" t="s">
        <v>9605</v>
      </c>
      <c r="D2617" s="66">
        <v>6972957482984</v>
      </c>
      <c r="E2617" s="68" t="s">
        <v>10025</v>
      </c>
      <c r="F2617" s="66" t="s">
        <v>10026</v>
      </c>
      <c r="G2617" s="71">
        <v>3006</v>
      </c>
      <c r="H2617" s="73"/>
      <c r="I2617" s="75">
        <v>0.2</v>
      </c>
      <c r="J2617" s="77"/>
      <c r="K2617" s="66"/>
      <c r="L2617" s="66"/>
      <c r="M2617" s="79" t="str">
        <f>HYPERLINK("http://www.pristavka.com/catalog/Genshin Impact/GEN45/")</f>
        <v>http://www.pristavka.com/catalog/Genshin Impact/GEN45/</v>
      </c>
      <c r="N2617" s="71">
        <v>5099</v>
      </c>
      <c r="O2617" s="66" t="s">
        <v>27</v>
      </c>
      <c r="P2617" s="82" t="s">
        <v>10027</v>
      </c>
      <c r="Q2617" s="84" t="s">
        <v>1963</v>
      </c>
      <c r="R2617" s="84" t="s">
        <v>9605</v>
      </c>
      <c r="S2617" s="84">
        <v>7.5999999999999998E-2</v>
      </c>
      <c r="T2617" s="82" t="s">
        <v>9929</v>
      </c>
      <c r="U2617" s="84" t="s">
        <v>2255</v>
      </c>
      <c r="V2617" s="54"/>
    </row>
    <row r="2618" spans="1:22" s="11" customFormat="1" ht="45" customHeight="1" x14ac:dyDescent="0.2">
      <c r="A2618" s="66" t="s">
        <v>1963</v>
      </c>
      <c r="B2618" s="66" t="s">
        <v>1155</v>
      </c>
      <c r="C2618" s="66" t="s">
        <v>9605</v>
      </c>
      <c r="D2618" s="66">
        <v>6972957482946</v>
      </c>
      <c r="E2618" s="68" t="s">
        <v>10028</v>
      </c>
      <c r="F2618" s="66" t="s">
        <v>10029</v>
      </c>
      <c r="G2618" s="71">
        <v>3006</v>
      </c>
      <c r="H2618" s="73"/>
      <c r="I2618" s="75">
        <v>0.2</v>
      </c>
      <c r="J2618" s="77"/>
      <c r="K2618" s="66"/>
      <c r="L2618" s="66"/>
      <c r="M2618" s="79" t="str">
        <f>HYPERLINK("http://www.pristavka.com/catalog/Genshin Impact/GEN41/")</f>
        <v>http://www.pristavka.com/catalog/Genshin Impact/GEN41/</v>
      </c>
      <c r="N2618" s="71">
        <v>5099</v>
      </c>
      <c r="O2618" s="66" t="s">
        <v>27</v>
      </c>
      <c r="P2618" s="82" t="s">
        <v>10030</v>
      </c>
      <c r="Q2618" s="84" t="s">
        <v>1963</v>
      </c>
      <c r="R2618" s="84" t="s">
        <v>9605</v>
      </c>
      <c r="S2618" s="84">
        <v>8.5000000000000006E-2</v>
      </c>
      <c r="T2618" s="82" t="s">
        <v>9609</v>
      </c>
      <c r="U2618" s="84" t="s">
        <v>2255</v>
      </c>
      <c r="V2618" s="54"/>
    </row>
    <row r="2619" spans="1:22" s="11" customFormat="1" ht="45" customHeight="1" x14ac:dyDescent="0.2">
      <c r="A2619" s="66" t="s">
        <v>1963</v>
      </c>
      <c r="B2619" s="66" t="s">
        <v>1155</v>
      </c>
      <c r="C2619" s="66" t="s">
        <v>9605</v>
      </c>
      <c r="D2619" s="66">
        <v>6975628240562</v>
      </c>
      <c r="E2619" s="68" t="s">
        <v>10031</v>
      </c>
      <c r="F2619" s="66" t="s">
        <v>10032</v>
      </c>
      <c r="G2619" s="71">
        <v>3006</v>
      </c>
      <c r="H2619" s="73"/>
      <c r="I2619" s="75">
        <v>0.2</v>
      </c>
      <c r="J2619" s="77"/>
      <c r="K2619" s="66"/>
      <c r="L2619" s="66"/>
      <c r="M2619" s="79" t="str">
        <f>HYPERLINK("http://www.pristavka.com/catalog/Genshin Impact/GEN50/")</f>
        <v>http://www.pristavka.com/catalog/Genshin Impact/GEN50/</v>
      </c>
      <c r="N2619" s="71">
        <v>5099</v>
      </c>
      <c r="O2619" s="66" t="s">
        <v>27</v>
      </c>
      <c r="P2619" s="82" t="s">
        <v>10033</v>
      </c>
      <c r="Q2619" s="84" t="s">
        <v>1963</v>
      </c>
      <c r="R2619" s="84" t="s">
        <v>9605</v>
      </c>
      <c r="S2619" s="84">
        <v>8.5000000000000006E-2</v>
      </c>
      <c r="T2619" s="82" t="s">
        <v>9609</v>
      </c>
      <c r="U2619" s="84" t="s">
        <v>2255</v>
      </c>
      <c r="V2619" s="54"/>
    </row>
    <row r="2620" spans="1:22" s="11" customFormat="1" ht="45" customHeight="1" x14ac:dyDescent="0.2">
      <c r="A2620" s="66" t="s">
        <v>1963</v>
      </c>
      <c r="B2620" s="66" t="s">
        <v>1155</v>
      </c>
      <c r="C2620" s="66" t="s">
        <v>9605</v>
      </c>
      <c r="D2620" s="66">
        <v>6972957487071</v>
      </c>
      <c r="E2620" s="68" t="s">
        <v>10034</v>
      </c>
      <c r="F2620" s="66" t="s">
        <v>10035</v>
      </c>
      <c r="G2620" s="71">
        <v>3006</v>
      </c>
      <c r="H2620" s="73"/>
      <c r="I2620" s="75">
        <v>0.2</v>
      </c>
      <c r="J2620" s="77"/>
      <c r="K2620" s="66"/>
      <c r="L2620" s="66"/>
      <c r="M2620" s="79" t="str">
        <f>HYPERLINK("http://www.pristavka.com/catalog/Genshin Impact/GEN48/")</f>
        <v>http://www.pristavka.com/catalog/Genshin Impact/GEN48/</v>
      </c>
      <c r="N2620" s="71">
        <v>5099</v>
      </c>
      <c r="O2620" s="66" t="s">
        <v>27</v>
      </c>
      <c r="P2620" s="82" t="s">
        <v>10036</v>
      </c>
      <c r="Q2620" s="84" t="s">
        <v>1963</v>
      </c>
      <c r="R2620" s="84" t="s">
        <v>9605</v>
      </c>
      <c r="S2620" s="84">
        <v>7.5999999999999998E-2</v>
      </c>
      <c r="T2620" s="82" t="s">
        <v>9609</v>
      </c>
      <c r="U2620" s="84" t="s">
        <v>2255</v>
      </c>
      <c r="V2620" s="54"/>
    </row>
    <row r="2621" spans="1:22" s="11" customFormat="1" ht="45" customHeight="1" x14ac:dyDescent="0.2">
      <c r="A2621" s="66" t="s">
        <v>1963</v>
      </c>
      <c r="B2621" s="66" t="s">
        <v>1155</v>
      </c>
      <c r="C2621" s="66" t="s">
        <v>9605</v>
      </c>
      <c r="D2621" s="66">
        <v>6975628249169</v>
      </c>
      <c r="E2621" s="68" t="s">
        <v>10037</v>
      </c>
      <c r="F2621" s="66" t="s">
        <v>10038</v>
      </c>
      <c r="G2621" s="71">
        <v>3455</v>
      </c>
      <c r="H2621" s="73"/>
      <c r="I2621" s="75">
        <v>0.2</v>
      </c>
      <c r="J2621" s="77"/>
      <c r="K2621" s="66"/>
      <c r="L2621" s="66"/>
      <c r="M2621" s="79" t="str">
        <f>HYPERLINK("http://www.pristavka.com/catalog/Genshin Impact/GEN466/")</f>
        <v>http://www.pristavka.com/catalog/Genshin Impact/GEN466/</v>
      </c>
      <c r="N2621" s="71">
        <v>5799</v>
      </c>
      <c r="O2621" s="66" t="s">
        <v>27</v>
      </c>
      <c r="P2621" s="82" t="s">
        <v>10039</v>
      </c>
      <c r="Q2621" s="84" t="s">
        <v>1963</v>
      </c>
      <c r="R2621" s="84" t="s">
        <v>9605</v>
      </c>
      <c r="S2621" s="84">
        <v>9.7000000000000003E-2</v>
      </c>
      <c r="T2621" s="82" t="s">
        <v>9617</v>
      </c>
      <c r="U2621" s="84" t="s">
        <v>2255</v>
      </c>
      <c r="V2621" s="54"/>
    </row>
    <row r="2622" spans="1:22" s="11" customFormat="1" ht="45" customHeight="1" x14ac:dyDescent="0.2">
      <c r="A2622" s="66" t="s">
        <v>1963</v>
      </c>
      <c r="B2622" s="66" t="s">
        <v>1155</v>
      </c>
      <c r="C2622" s="66" t="s">
        <v>9605</v>
      </c>
      <c r="D2622" s="66">
        <v>6975628241965</v>
      </c>
      <c r="E2622" s="68" t="s">
        <v>10040</v>
      </c>
      <c r="F2622" s="66" t="s">
        <v>10041</v>
      </c>
      <c r="G2622" s="71">
        <v>3164</v>
      </c>
      <c r="H2622" s="73"/>
      <c r="I2622" s="75">
        <v>0.2</v>
      </c>
      <c r="J2622" s="77"/>
      <c r="K2622" s="66"/>
      <c r="L2622" s="66"/>
      <c r="M2622" s="79" t="str">
        <f>HYPERLINK("http://www.pristavka.com/catalog/Genshin Impact/GEN396/")</f>
        <v>http://www.pristavka.com/catalog/Genshin Impact/GEN396/</v>
      </c>
      <c r="N2622" s="71">
        <v>5299</v>
      </c>
      <c r="O2622" s="66" t="s">
        <v>27</v>
      </c>
      <c r="P2622" s="82" t="s">
        <v>10042</v>
      </c>
      <c r="Q2622" s="84" t="s">
        <v>1963</v>
      </c>
      <c r="R2622" s="84" t="s">
        <v>9605</v>
      </c>
      <c r="S2622" s="84">
        <v>7.4999999999999997E-2</v>
      </c>
      <c r="T2622" s="82" t="s">
        <v>10043</v>
      </c>
      <c r="U2622" s="84" t="s">
        <v>2255</v>
      </c>
      <c r="V2622" s="54"/>
    </row>
    <row r="2623" spans="1:22" s="11" customFormat="1" ht="45" customHeight="1" x14ac:dyDescent="0.2">
      <c r="A2623" s="66" t="s">
        <v>1963</v>
      </c>
      <c r="B2623" s="66" t="s">
        <v>1155</v>
      </c>
      <c r="C2623" s="66" t="s">
        <v>9605</v>
      </c>
      <c r="D2623" s="66">
        <v>6974696614145</v>
      </c>
      <c r="E2623" s="68" t="s">
        <v>10044</v>
      </c>
      <c r="F2623" s="66" t="s">
        <v>10045</v>
      </c>
      <c r="G2623" s="71">
        <v>4088</v>
      </c>
      <c r="H2623" s="73"/>
      <c r="I2623" s="75">
        <v>0.2</v>
      </c>
      <c r="J2623" s="77"/>
      <c r="K2623" s="66"/>
      <c r="L2623" s="66"/>
      <c r="M2623" s="79" t="str">
        <f>HYPERLINK("http://www.pristavka.com/catalog/Genshin Impact/GEN1122/")</f>
        <v>http://www.pristavka.com/catalog/Genshin Impact/GEN1122/</v>
      </c>
      <c r="N2623" s="71">
        <v>6899</v>
      </c>
      <c r="O2623" s="66" t="s">
        <v>27</v>
      </c>
      <c r="P2623" s="82" t="s">
        <v>10046</v>
      </c>
      <c r="Q2623" s="84" t="s">
        <v>1963</v>
      </c>
      <c r="R2623" s="84" t="s">
        <v>9605</v>
      </c>
      <c r="S2623" s="84">
        <v>5.6000000000000001E-2</v>
      </c>
      <c r="T2623" s="82" t="s">
        <v>10047</v>
      </c>
      <c r="U2623" s="84"/>
      <c r="V2623" s="54"/>
    </row>
    <row r="2624" spans="1:22" s="11" customFormat="1" ht="45" customHeight="1" x14ac:dyDescent="0.2">
      <c r="A2624" s="66" t="s">
        <v>1963</v>
      </c>
      <c r="B2624" s="66" t="s">
        <v>1155</v>
      </c>
      <c r="C2624" s="66" t="s">
        <v>9605</v>
      </c>
      <c r="D2624" s="66">
        <v>6974696614169</v>
      </c>
      <c r="E2624" s="68" t="s">
        <v>10048</v>
      </c>
      <c r="F2624" s="66" t="s">
        <v>10049</v>
      </c>
      <c r="G2624" s="71">
        <v>4088</v>
      </c>
      <c r="H2624" s="73"/>
      <c r="I2624" s="75">
        <v>0.2</v>
      </c>
      <c r="J2624" s="77"/>
      <c r="K2624" s="66"/>
      <c r="L2624" s="66"/>
      <c r="M2624" s="79" t="str">
        <f>HYPERLINK("http://www.pristavka.com/catalog/Genshin Impact/GEN1124/")</f>
        <v>http://www.pristavka.com/catalog/Genshin Impact/GEN1124/</v>
      </c>
      <c r="N2624" s="71">
        <v>6899</v>
      </c>
      <c r="O2624" s="66" t="s">
        <v>27</v>
      </c>
      <c r="P2624" s="82" t="s">
        <v>10050</v>
      </c>
      <c r="Q2624" s="84" t="s">
        <v>1963</v>
      </c>
      <c r="R2624" s="84" t="s">
        <v>9605</v>
      </c>
      <c r="S2624" s="84">
        <v>5.7000000000000002E-2</v>
      </c>
      <c r="T2624" s="82" t="s">
        <v>10051</v>
      </c>
      <c r="U2624" s="84"/>
      <c r="V2624" s="54"/>
    </row>
    <row r="2625" spans="1:22" s="11" customFormat="1" ht="45" customHeight="1" x14ac:dyDescent="0.2">
      <c r="A2625" s="66" t="s">
        <v>1963</v>
      </c>
      <c r="B2625" s="66" t="s">
        <v>1155</v>
      </c>
      <c r="C2625" s="66" t="s">
        <v>9605</v>
      </c>
      <c r="D2625" s="66">
        <v>6974696614152</v>
      </c>
      <c r="E2625" s="68" t="s">
        <v>10052</v>
      </c>
      <c r="F2625" s="66" t="s">
        <v>10053</v>
      </c>
      <c r="G2625" s="71">
        <v>4088</v>
      </c>
      <c r="H2625" s="73"/>
      <c r="I2625" s="75">
        <v>0.2</v>
      </c>
      <c r="J2625" s="77"/>
      <c r="K2625" s="66"/>
      <c r="L2625" s="66"/>
      <c r="M2625" s="79" t="str">
        <f>HYPERLINK("http://www.pristavka.com/catalog/Genshin Impact/GEN1123/")</f>
        <v>http://www.pristavka.com/catalog/Genshin Impact/GEN1123/</v>
      </c>
      <c r="N2625" s="71">
        <v>6899</v>
      </c>
      <c r="O2625" s="66" t="s">
        <v>27</v>
      </c>
      <c r="P2625" s="82" t="s">
        <v>10054</v>
      </c>
      <c r="Q2625" s="84" t="s">
        <v>1963</v>
      </c>
      <c r="R2625" s="84" t="s">
        <v>9605</v>
      </c>
      <c r="S2625" s="84">
        <v>5.8000000000000003E-2</v>
      </c>
      <c r="T2625" s="82" t="s">
        <v>10051</v>
      </c>
      <c r="U2625" s="84"/>
      <c r="V2625" s="54"/>
    </row>
    <row r="2626" spans="1:22" s="11" customFormat="1" ht="45" customHeight="1" x14ac:dyDescent="0.2">
      <c r="A2626" s="66" t="s">
        <v>1963</v>
      </c>
      <c r="B2626" s="66" t="s">
        <v>1155</v>
      </c>
      <c r="C2626" s="66" t="s">
        <v>9605</v>
      </c>
      <c r="D2626" s="66">
        <v>6942421110156</v>
      </c>
      <c r="E2626" s="68" t="s">
        <v>10055</v>
      </c>
      <c r="F2626" s="66" t="s">
        <v>10056</v>
      </c>
      <c r="G2626" s="71">
        <v>4722</v>
      </c>
      <c r="H2626" s="73"/>
      <c r="I2626" s="75">
        <v>0.2</v>
      </c>
      <c r="J2626" s="77"/>
      <c r="K2626" s="66"/>
      <c r="L2626" s="66"/>
      <c r="M2626" s="79" t="str">
        <f>HYPERLINK("http://www.pristavka.com/catalog/Genshin Impact/GEN1230/")</f>
        <v>http://www.pristavka.com/catalog/Genshin Impact/GEN1230/</v>
      </c>
      <c r="N2626" s="71">
        <v>7899</v>
      </c>
      <c r="O2626" s="66" t="s">
        <v>27</v>
      </c>
      <c r="P2626" s="82" t="s">
        <v>10057</v>
      </c>
      <c r="Q2626" s="84" t="s">
        <v>1963</v>
      </c>
      <c r="R2626" s="84" t="s">
        <v>9605</v>
      </c>
      <c r="S2626" s="84">
        <v>5.0999999999999997E-2</v>
      </c>
      <c r="T2626" s="82" t="s">
        <v>10058</v>
      </c>
      <c r="U2626" s="84"/>
      <c r="V2626" s="54"/>
    </row>
    <row r="2627" spans="1:22" s="11" customFormat="1" ht="45" customHeight="1" x14ac:dyDescent="0.2">
      <c r="A2627" s="66" t="s">
        <v>1963</v>
      </c>
      <c r="B2627" s="66" t="s">
        <v>1155</v>
      </c>
      <c r="C2627" s="66" t="s">
        <v>9605</v>
      </c>
      <c r="D2627" s="66">
        <v>6942421103486</v>
      </c>
      <c r="E2627" s="68" t="s">
        <v>10059</v>
      </c>
      <c r="F2627" s="66" t="s">
        <v>10060</v>
      </c>
      <c r="G2627" s="71">
        <v>9476</v>
      </c>
      <c r="H2627" s="73"/>
      <c r="I2627" s="75">
        <v>0.2</v>
      </c>
      <c r="J2627" s="77"/>
      <c r="K2627" s="66"/>
      <c r="L2627" s="66"/>
      <c r="M2627" s="79" t="str">
        <f>HYPERLINK("http://www.pristavka.com/catalog/Genshin Impact/GEN1045/")</f>
        <v>http://www.pristavka.com/catalog/Genshin Impact/GEN1045/</v>
      </c>
      <c r="N2627" s="71">
        <v>15799</v>
      </c>
      <c r="O2627" s="66" t="s">
        <v>27</v>
      </c>
      <c r="P2627" s="82" t="s">
        <v>10061</v>
      </c>
      <c r="Q2627" s="84" t="s">
        <v>1963</v>
      </c>
      <c r="R2627" s="84" t="s">
        <v>9605</v>
      </c>
      <c r="S2627" s="84">
        <v>0.16600000000000001</v>
      </c>
      <c r="T2627" s="82" t="s">
        <v>10062</v>
      </c>
      <c r="U2627" s="84"/>
      <c r="V2627" s="54"/>
    </row>
    <row r="2628" spans="1:22" s="11" customFormat="1" ht="45" customHeight="1" x14ac:dyDescent="0.2">
      <c r="A2628" s="66" t="s">
        <v>1963</v>
      </c>
      <c r="B2628" s="66" t="s">
        <v>1155</v>
      </c>
      <c r="C2628" s="66" t="s">
        <v>9605</v>
      </c>
      <c r="D2628" s="66">
        <v>6942421101475</v>
      </c>
      <c r="E2628" s="68" t="s">
        <v>10063</v>
      </c>
      <c r="F2628" s="66" t="s">
        <v>10064</v>
      </c>
      <c r="G2628" s="71">
        <v>8209</v>
      </c>
      <c r="H2628" s="73"/>
      <c r="I2628" s="75">
        <v>0.2</v>
      </c>
      <c r="J2628" s="77"/>
      <c r="K2628" s="66"/>
      <c r="L2628" s="66"/>
      <c r="M2628" s="79" t="str">
        <f>HYPERLINK("http://www.pristavka.com/catalog/Genshin Impact/GEN1043/")</f>
        <v>http://www.pristavka.com/catalog/Genshin Impact/GEN1043/</v>
      </c>
      <c r="N2628" s="71">
        <v>13699</v>
      </c>
      <c r="O2628" s="66" t="s">
        <v>27</v>
      </c>
      <c r="P2628" s="82" t="s">
        <v>10065</v>
      </c>
      <c r="Q2628" s="84" t="s">
        <v>1963</v>
      </c>
      <c r="R2628" s="84" t="s">
        <v>9605</v>
      </c>
      <c r="S2628" s="84">
        <v>0.1</v>
      </c>
      <c r="T2628" s="82" t="s">
        <v>10066</v>
      </c>
      <c r="U2628" s="84"/>
      <c r="V2628" s="54"/>
    </row>
    <row r="2629" spans="1:22" s="11" customFormat="1" ht="45" customHeight="1" x14ac:dyDescent="0.2">
      <c r="A2629" s="66" t="s">
        <v>1963</v>
      </c>
      <c r="B2629" s="66" t="s">
        <v>1155</v>
      </c>
      <c r="C2629" s="66" t="s">
        <v>9605</v>
      </c>
      <c r="D2629" s="66">
        <v>6976068143338</v>
      </c>
      <c r="E2629" s="68" t="s">
        <v>10067</v>
      </c>
      <c r="F2629" s="66" t="s">
        <v>10068</v>
      </c>
      <c r="G2629" s="71">
        <v>5990</v>
      </c>
      <c r="H2629" s="73"/>
      <c r="I2629" s="75">
        <v>0.2</v>
      </c>
      <c r="J2629" s="77"/>
      <c r="K2629" s="66"/>
      <c r="L2629" s="66"/>
      <c r="M2629" s="79" t="str">
        <f>HYPERLINK("http://www.pristavka.com/catalog/Genshin Impact/GEN1042/")</f>
        <v>http://www.pristavka.com/catalog/Genshin Impact/GEN1042/</v>
      </c>
      <c r="N2629" s="71">
        <v>9999</v>
      </c>
      <c r="O2629" s="66" t="s">
        <v>27</v>
      </c>
      <c r="P2629" s="82" t="s">
        <v>10069</v>
      </c>
      <c r="Q2629" s="84" t="s">
        <v>1963</v>
      </c>
      <c r="R2629" s="84" t="s">
        <v>9605</v>
      </c>
      <c r="S2629" s="84">
        <v>5.5E-2</v>
      </c>
      <c r="T2629" s="82" t="s">
        <v>10058</v>
      </c>
      <c r="U2629" s="84"/>
      <c r="V2629" s="54"/>
    </row>
    <row r="2630" spans="1:22" s="11" customFormat="1" ht="45" customHeight="1" x14ac:dyDescent="0.2">
      <c r="A2630" s="66" t="s">
        <v>1963</v>
      </c>
      <c r="B2630" s="66" t="s">
        <v>1155</v>
      </c>
      <c r="C2630" s="66" t="s">
        <v>9605</v>
      </c>
      <c r="D2630" s="66">
        <v>6976068143727</v>
      </c>
      <c r="E2630" s="68" t="s">
        <v>10070</v>
      </c>
      <c r="F2630" s="66" t="s">
        <v>10071</v>
      </c>
      <c r="G2630" s="71">
        <v>6941</v>
      </c>
      <c r="H2630" s="73"/>
      <c r="I2630" s="75">
        <v>0.2</v>
      </c>
      <c r="J2630" s="77"/>
      <c r="K2630" s="66"/>
      <c r="L2630" s="66"/>
      <c r="M2630" s="79" t="str">
        <f>HYPERLINK("http://www.pristavka.com/catalog/Genshin Impact/GEN1044/")</f>
        <v>http://www.pristavka.com/catalog/Genshin Impact/GEN1044/</v>
      </c>
      <c r="N2630" s="71">
        <v>11599</v>
      </c>
      <c r="O2630" s="66" t="s">
        <v>27</v>
      </c>
      <c r="P2630" s="82" t="s">
        <v>10072</v>
      </c>
      <c r="Q2630" s="84" t="s">
        <v>1963</v>
      </c>
      <c r="R2630" s="84" t="s">
        <v>9605</v>
      </c>
      <c r="S2630" s="84">
        <v>8.5000000000000006E-2</v>
      </c>
      <c r="T2630" s="82" t="s">
        <v>10073</v>
      </c>
      <c r="U2630" s="84"/>
      <c r="V2630" s="54"/>
    </row>
    <row r="2631" spans="1:22" s="11" customFormat="1" ht="45" customHeight="1" x14ac:dyDescent="0.2">
      <c r="A2631" s="66" t="s">
        <v>1963</v>
      </c>
      <c r="B2631" s="66" t="s">
        <v>1155</v>
      </c>
      <c r="C2631" s="66" t="s">
        <v>9605</v>
      </c>
      <c r="D2631" s="66">
        <v>6942421107446</v>
      </c>
      <c r="E2631" s="68" t="s">
        <v>10074</v>
      </c>
      <c r="F2631" s="66" t="s">
        <v>10075</v>
      </c>
      <c r="G2631" s="71">
        <v>6941</v>
      </c>
      <c r="H2631" s="73"/>
      <c r="I2631" s="75">
        <v>0.2</v>
      </c>
      <c r="J2631" s="77"/>
      <c r="K2631" s="66"/>
      <c r="L2631" s="66"/>
      <c r="M2631" s="79" t="str">
        <f>HYPERLINK("http://www.pristavka.com/catalog/Genshin Impact/GEN1116/")</f>
        <v>http://www.pristavka.com/catalog/Genshin Impact/GEN1116/</v>
      </c>
      <c r="N2631" s="71">
        <v>11599</v>
      </c>
      <c r="O2631" s="66" t="s">
        <v>27</v>
      </c>
      <c r="P2631" s="82" t="s">
        <v>10076</v>
      </c>
      <c r="Q2631" s="84" t="s">
        <v>1963</v>
      </c>
      <c r="R2631" s="84" t="s">
        <v>9605</v>
      </c>
      <c r="S2631" s="84">
        <v>0.10100000000000001</v>
      </c>
      <c r="T2631" s="82" t="s">
        <v>10077</v>
      </c>
      <c r="U2631" s="84"/>
      <c r="V2631" s="54"/>
    </row>
    <row r="2632" spans="1:22" s="11" customFormat="1" ht="45" customHeight="1" x14ac:dyDescent="0.2">
      <c r="A2632" s="66" t="s">
        <v>1963</v>
      </c>
      <c r="B2632" s="66" t="s">
        <v>1155</v>
      </c>
      <c r="C2632" s="66" t="s">
        <v>9605</v>
      </c>
      <c r="D2632" s="66">
        <v>6976068146292</v>
      </c>
      <c r="E2632" s="68" t="s">
        <v>10078</v>
      </c>
      <c r="F2632" s="66" t="s">
        <v>10079</v>
      </c>
      <c r="G2632" s="71">
        <v>5673</v>
      </c>
      <c r="H2632" s="73"/>
      <c r="I2632" s="75">
        <v>0.2</v>
      </c>
      <c r="J2632" s="77"/>
      <c r="K2632" s="66"/>
      <c r="L2632" s="66"/>
      <c r="M2632" s="79" t="str">
        <f>HYPERLINK("http://www.pristavka.com/catalog/Genshin Impact/GEN881/")</f>
        <v>http://www.pristavka.com/catalog/Genshin Impact/GEN881/</v>
      </c>
      <c r="N2632" s="71">
        <v>9499</v>
      </c>
      <c r="O2632" s="66" t="s">
        <v>27</v>
      </c>
      <c r="P2632" s="82" t="s">
        <v>10080</v>
      </c>
      <c r="Q2632" s="84" t="s">
        <v>1963</v>
      </c>
      <c r="R2632" s="84" t="s">
        <v>9605</v>
      </c>
      <c r="S2632" s="84">
        <v>0.11</v>
      </c>
      <c r="T2632" s="82" t="s">
        <v>10081</v>
      </c>
      <c r="U2632" s="84"/>
      <c r="V2632" s="54"/>
    </row>
    <row r="2633" spans="1:22" s="11" customFormat="1" ht="45" customHeight="1" x14ac:dyDescent="0.2">
      <c r="A2633" s="66" t="s">
        <v>1963</v>
      </c>
      <c r="B2633" s="66" t="s">
        <v>1155</v>
      </c>
      <c r="C2633" s="66" t="s">
        <v>9605</v>
      </c>
      <c r="D2633" s="66">
        <v>6975213681800</v>
      </c>
      <c r="E2633" s="68" t="s">
        <v>10082</v>
      </c>
      <c r="F2633" s="66" t="s">
        <v>10083</v>
      </c>
      <c r="G2633" s="71">
        <v>3164</v>
      </c>
      <c r="H2633" s="73"/>
      <c r="I2633" s="75">
        <v>0.2</v>
      </c>
      <c r="J2633" s="77"/>
      <c r="K2633" s="66"/>
      <c r="L2633" s="66"/>
      <c r="M2633" s="79" t="str">
        <f>HYPERLINK("http://www.pristavka.com/catalog/Genshin Impact/GEN719/")</f>
        <v>http://www.pristavka.com/catalog/Genshin Impact/GEN719/</v>
      </c>
      <c r="N2633" s="71">
        <v>5299</v>
      </c>
      <c r="O2633" s="66" t="s">
        <v>27</v>
      </c>
      <c r="P2633" s="82" t="s">
        <v>10084</v>
      </c>
      <c r="Q2633" s="84" t="s">
        <v>1963</v>
      </c>
      <c r="R2633" s="84" t="s">
        <v>9605</v>
      </c>
      <c r="S2633" s="84">
        <v>7.8E-2</v>
      </c>
      <c r="T2633" s="82" t="s">
        <v>10085</v>
      </c>
      <c r="U2633" s="84"/>
      <c r="V2633" s="54"/>
    </row>
    <row r="2634" spans="1:22" s="11" customFormat="1" ht="45" customHeight="1" x14ac:dyDescent="0.2">
      <c r="A2634" s="66" t="s">
        <v>1963</v>
      </c>
      <c r="B2634" s="66" t="s">
        <v>1155</v>
      </c>
      <c r="C2634" s="66" t="s">
        <v>9605</v>
      </c>
      <c r="D2634" s="66">
        <v>6974696617962</v>
      </c>
      <c r="E2634" s="68" t="s">
        <v>10086</v>
      </c>
      <c r="F2634" s="66" t="s">
        <v>10087</v>
      </c>
      <c r="G2634" s="71">
        <v>3771</v>
      </c>
      <c r="H2634" s="73"/>
      <c r="I2634" s="75">
        <v>0.2</v>
      </c>
      <c r="J2634" s="77"/>
      <c r="K2634" s="66"/>
      <c r="L2634" s="66"/>
      <c r="M2634" s="79" t="str">
        <f>HYPERLINK("http://www.pristavka.com/catalog/Genshin Impact/GEN712/")</f>
        <v>http://www.pristavka.com/catalog/Genshin Impact/GEN712/</v>
      </c>
      <c r="N2634" s="71">
        <v>6299</v>
      </c>
      <c r="O2634" s="66" t="s">
        <v>27</v>
      </c>
      <c r="P2634" s="82" t="s">
        <v>10088</v>
      </c>
      <c r="Q2634" s="84" t="s">
        <v>1963</v>
      </c>
      <c r="R2634" s="84" t="s">
        <v>9605</v>
      </c>
      <c r="S2634" s="84">
        <v>8.4000000000000005E-2</v>
      </c>
      <c r="T2634" s="82" t="s">
        <v>10089</v>
      </c>
      <c r="U2634" s="84"/>
      <c r="V2634" s="54"/>
    </row>
    <row r="2635" spans="1:22" s="11" customFormat="1" ht="45" customHeight="1" x14ac:dyDescent="0.2">
      <c r="A2635" s="66" t="s">
        <v>1963</v>
      </c>
      <c r="B2635" s="66" t="s">
        <v>1155</v>
      </c>
      <c r="C2635" s="66" t="s">
        <v>9605</v>
      </c>
      <c r="D2635" s="66">
        <v>6976068149392</v>
      </c>
      <c r="E2635" s="68" t="s">
        <v>10090</v>
      </c>
      <c r="F2635" s="66" t="s">
        <v>10091</v>
      </c>
      <c r="G2635" s="71">
        <v>7892</v>
      </c>
      <c r="H2635" s="73"/>
      <c r="I2635" s="75">
        <v>0.2</v>
      </c>
      <c r="J2635" s="77"/>
      <c r="K2635" s="66"/>
      <c r="L2635" s="66"/>
      <c r="M2635" s="79" t="str">
        <f>HYPERLINK("http://www.pristavka.com/catalog/Genshin Impact/GEN882/")</f>
        <v>http://www.pristavka.com/catalog/Genshin Impact/GEN882/</v>
      </c>
      <c r="N2635" s="71">
        <v>13199</v>
      </c>
      <c r="O2635" s="66" t="s">
        <v>27</v>
      </c>
      <c r="P2635" s="82" t="s">
        <v>10092</v>
      </c>
      <c r="Q2635" s="84" t="s">
        <v>1963</v>
      </c>
      <c r="R2635" s="84" t="s">
        <v>9605</v>
      </c>
      <c r="S2635" s="84">
        <v>0.23</v>
      </c>
      <c r="T2635" s="82" t="s">
        <v>10093</v>
      </c>
      <c r="U2635" s="84"/>
      <c r="V2635" s="54"/>
    </row>
    <row r="2636" spans="1:22" s="11" customFormat="1" ht="45" customHeight="1" x14ac:dyDescent="0.2">
      <c r="A2636" s="66" t="s">
        <v>1963</v>
      </c>
      <c r="B2636" s="66" t="s">
        <v>1155</v>
      </c>
      <c r="C2636" s="66" t="s">
        <v>9605</v>
      </c>
      <c r="D2636" s="66">
        <v>6975628246106</v>
      </c>
      <c r="E2636" s="68" t="s">
        <v>10094</v>
      </c>
      <c r="F2636" s="66" t="s">
        <v>10095</v>
      </c>
      <c r="G2636" s="71">
        <v>5990</v>
      </c>
      <c r="H2636" s="73"/>
      <c r="I2636" s="75">
        <v>0.2</v>
      </c>
      <c r="J2636" s="77"/>
      <c r="K2636" s="66"/>
      <c r="L2636" s="66"/>
      <c r="M2636" s="79" t="str">
        <f>HYPERLINK("http://www.pristavka.com/catalog/Genshin Impact/GEN757/")</f>
        <v>http://www.pristavka.com/catalog/Genshin Impact/GEN757/</v>
      </c>
      <c r="N2636" s="71">
        <v>9999</v>
      </c>
      <c r="O2636" s="66" t="s">
        <v>27</v>
      </c>
      <c r="P2636" s="82" t="s">
        <v>10096</v>
      </c>
      <c r="Q2636" s="84" t="s">
        <v>1963</v>
      </c>
      <c r="R2636" s="84" t="s">
        <v>9605</v>
      </c>
      <c r="S2636" s="84">
        <v>5.1999999999999998E-2</v>
      </c>
      <c r="T2636" s="82" t="s">
        <v>10097</v>
      </c>
      <c r="U2636" s="84"/>
      <c r="V2636" s="54"/>
    </row>
    <row r="2637" spans="1:22" s="11" customFormat="1" ht="45" customHeight="1" x14ac:dyDescent="0.2">
      <c r="A2637" s="66" t="s">
        <v>1963</v>
      </c>
      <c r="B2637" s="66" t="s">
        <v>1155</v>
      </c>
      <c r="C2637" s="66" t="s">
        <v>9605</v>
      </c>
      <c r="D2637" s="66">
        <v>6975628245857</v>
      </c>
      <c r="E2637" s="68" t="s">
        <v>10098</v>
      </c>
      <c r="F2637" s="66" t="s">
        <v>10099</v>
      </c>
      <c r="G2637" s="71">
        <v>4088</v>
      </c>
      <c r="H2637" s="73"/>
      <c r="I2637" s="75">
        <v>0.2</v>
      </c>
      <c r="J2637" s="77"/>
      <c r="K2637" s="66"/>
      <c r="L2637" s="66"/>
      <c r="M2637" s="79" t="str">
        <f>HYPERLINK("http://www.pristavka.com/catalog/Genshin Impact/GEN900/")</f>
        <v>http://www.pristavka.com/catalog/Genshin Impact/GEN900/</v>
      </c>
      <c r="N2637" s="71">
        <v>6899</v>
      </c>
      <c r="O2637" s="66" t="s">
        <v>27</v>
      </c>
      <c r="P2637" s="82" t="s">
        <v>10100</v>
      </c>
      <c r="Q2637" s="84" t="s">
        <v>1963</v>
      </c>
      <c r="R2637" s="84" t="s">
        <v>9605</v>
      </c>
      <c r="S2637" s="84">
        <v>0.155</v>
      </c>
      <c r="T2637" s="82" t="s">
        <v>10101</v>
      </c>
      <c r="U2637" s="84"/>
      <c r="V2637" s="54"/>
    </row>
    <row r="2638" spans="1:22" s="11" customFormat="1" ht="45" customHeight="1" x14ac:dyDescent="0.2">
      <c r="A2638" s="66" t="s">
        <v>1963</v>
      </c>
      <c r="B2638" s="66" t="s">
        <v>1155</v>
      </c>
      <c r="C2638" s="66" t="s">
        <v>9605</v>
      </c>
      <c r="D2638" s="66">
        <v>6942421102458</v>
      </c>
      <c r="E2638" s="68" t="s">
        <v>10102</v>
      </c>
      <c r="F2638" s="66" t="s">
        <v>10103</v>
      </c>
      <c r="G2638" s="71">
        <v>3132</v>
      </c>
      <c r="H2638" s="73"/>
      <c r="I2638" s="75">
        <v>0.2</v>
      </c>
      <c r="J2638" s="77"/>
      <c r="K2638" s="66"/>
      <c r="L2638" s="66"/>
      <c r="M2638" s="79" t="str">
        <f>HYPERLINK("http://www.pristavka.com/catalog/Genshin Impact/GEN1117/")</f>
        <v>http://www.pristavka.com/catalog/Genshin Impact/GEN1117/</v>
      </c>
      <c r="N2638" s="71">
        <v>5299</v>
      </c>
      <c r="O2638" s="66" t="s">
        <v>27</v>
      </c>
      <c r="P2638" s="82" t="s">
        <v>10104</v>
      </c>
      <c r="Q2638" s="84" t="s">
        <v>1963</v>
      </c>
      <c r="R2638" s="84" t="s">
        <v>9605</v>
      </c>
      <c r="S2638" s="84">
        <v>0.01</v>
      </c>
      <c r="T2638" s="82" t="s">
        <v>10105</v>
      </c>
      <c r="U2638" s="84"/>
      <c r="V2638" s="54"/>
    </row>
    <row r="2639" spans="1:22" s="11" customFormat="1" ht="45" customHeight="1" x14ac:dyDescent="0.2">
      <c r="A2639" s="66" t="s">
        <v>1963</v>
      </c>
      <c r="B2639" s="66" t="s">
        <v>1155</v>
      </c>
      <c r="C2639" s="66" t="s">
        <v>9605</v>
      </c>
      <c r="D2639" s="66">
        <v>6942421102472</v>
      </c>
      <c r="E2639" s="68" t="s">
        <v>10106</v>
      </c>
      <c r="F2639" s="66" t="s">
        <v>10107</v>
      </c>
      <c r="G2639" s="71">
        <v>3132</v>
      </c>
      <c r="H2639" s="73"/>
      <c r="I2639" s="75">
        <v>0.2</v>
      </c>
      <c r="J2639" s="77"/>
      <c r="K2639" s="66"/>
      <c r="L2639" s="66"/>
      <c r="M2639" s="79" t="str">
        <f>HYPERLINK("http://www.pristavka.com/catalog/Genshin Impact/GEN1118/")</f>
        <v>http://www.pristavka.com/catalog/Genshin Impact/GEN1118/</v>
      </c>
      <c r="N2639" s="71">
        <v>5299</v>
      </c>
      <c r="O2639" s="66" t="s">
        <v>27</v>
      </c>
      <c r="P2639" s="82" t="s">
        <v>10108</v>
      </c>
      <c r="Q2639" s="84" t="s">
        <v>1963</v>
      </c>
      <c r="R2639" s="84" t="s">
        <v>9605</v>
      </c>
      <c r="S2639" s="84">
        <v>0.01</v>
      </c>
      <c r="T2639" s="82" t="s">
        <v>10105</v>
      </c>
      <c r="U2639" s="84"/>
      <c r="V2639" s="54"/>
    </row>
    <row r="2640" spans="1:22" s="11" customFormat="1" ht="45" customHeight="1" x14ac:dyDescent="0.2">
      <c r="A2640" s="66" t="s">
        <v>1963</v>
      </c>
      <c r="B2640" s="66" t="s">
        <v>1155</v>
      </c>
      <c r="C2640" s="66" t="s">
        <v>9605</v>
      </c>
      <c r="D2640" s="66">
        <v>6942421102441</v>
      </c>
      <c r="E2640" s="68" t="s">
        <v>10109</v>
      </c>
      <c r="F2640" s="66" t="s">
        <v>10110</v>
      </c>
      <c r="G2640" s="71">
        <v>3132</v>
      </c>
      <c r="H2640" s="73"/>
      <c r="I2640" s="75">
        <v>0.2</v>
      </c>
      <c r="J2640" s="77"/>
      <c r="K2640" s="66"/>
      <c r="L2640" s="66"/>
      <c r="M2640" s="79" t="str">
        <f>HYPERLINK("http://www.pristavka.com/catalog/Genshin Impact/GEN1119/")</f>
        <v>http://www.pristavka.com/catalog/Genshin Impact/GEN1119/</v>
      </c>
      <c r="N2640" s="71">
        <v>5299</v>
      </c>
      <c r="O2640" s="66" t="s">
        <v>27</v>
      </c>
      <c r="P2640" s="82" t="s">
        <v>10111</v>
      </c>
      <c r="Q2640" s="84" t="s">
        <v>1963</v>
      </c>
      <c r="R2640" s="84" t="s">
        <v>9605</v>
      </c>
      <c r="S2640" s="84">
        <v>0.01</v>
      </c>
      <c r="T2640" s="82" t="s">
        <v>10105</v>
      </c>
      <c r="U2640" s="84"/>
      <c r="V2640" s="54"/>
    </row>
    <row r="2641" spans="1:22" s="11" customFormat="1" ht="45" customHeight="1" x14ac:dyDescent="0.2">
      <c r="A2641" s="66" t="s">
        <v>1963</v>
      </c>
      <c r="B2641" s="66" t="s">
        <v>1155</v>
      </c>
      <c r="C2641" s="66" t="s">
        <v>9605</v>
      </c>
      <c r="D2641" s="66">
        <v>6974696614398</v>
      </c>
      <c r="E2641" s="68" t="s">
        <v>10112</v>
      </c>
      <c r="F2641" s="66" t="s">
        <v>10113</v>
      </c>
      <c r="G2641" s="71">
        <v>2277</v>
      </c>
      <c r="H2641" s="73"/>
      <c r="I2641" s="75">
        <v>0.2</v>
      </c>
      <c r="J2641" s="77"/>
      <c r="K2641" s="66"/>
      <c r="L2641" s="66"/>
      <c r="M2641" s="79" t="str">
        <f>HYPERLINK("http://www.pristavka.com/catalog/Genshin Impact/GEN706/")</f>
        <v>http://www.pristavka.com/catalog/Genshin Impact/GEN706/</v>
      </c>
      <c r="N2641" s="71">
        <v>3799</v>
      </c>
      <c r="O2641" s="66" t="s">
        <v>28</v>
      </c>
      <c r="P2641" s="82" t="s">
        <v>10114</v>
      </c>
      <c r="Q2641" s="84" t="s">
        <v>1963</v>
      </c>
      <c r="R2641" s="84" t="s">
        <v>9605</v>
      </c>
      <c r="S2641" s="84">
        <v>1.6E-2</v>
      </c>
      <c r="T2641" s="82" t="s">
        <v>10115</v>
      </c>
      <c r="U2641" s="84"/>
      <c r="V2641" s="54"/>
    </row>
    <row r="2642" spans="1:22" s="11" customFormat="1" ht="45" customHeight="1" x14ac:dyDescent="0.2">
      <c r="A2642" s="66" t="s">
        <v>1963</v>
      </c>
      <c r="B2642" s="66" t="s">
        <v>1155</v>
      </c>
      <c r="C2642" s="66" t="s">
        <v>9605</v>
      </c>
      <c r="D2642" s="66">
        <v>6942421141228</v>
      </c>
      <c r="E2642" s="68" t="s">
        <v>10116</v>
      </c>
      <c r="F2642" s="66" t="s">
        <v>10117</v>
      </c>
      <c r="G2642" s="71">
        <v>2308</v>
      </c>
      <c r="H2642" s="73"/>
      <c r="I2642" s="75">
        <v>0.2</v>
      </c>
      <c r="J2642" s="77"/>
      <c r="K2642" s="66"/>
      <c r="L2642" s="66"/>
      <c r="M2642" s="79" t="str">
        <f>HYPERLINK("http://www.pristavka.com/catalog/Genshin Impact/GEN1328/")</f>
        <v>http://www.pristavka.com/catalog/Genshin Impact/GEN1328/</v>
      </c>
      <c r="N2642" s="71">
        <v>3899</v>
      </c>
      <c r="O2642" s="66" t="s">
        <v>27</v>
      </c>
      <c r="P2642" s="82" t="s">
        <v>10118</v>
      </c>
      <c r="Q2642" s="84" t="s">
        <v>1963</v>
      </c>
      <c r="R2642" s="84" t="s">
        <v>9605</v>
      </c>
      <c r="S2642" s="84">
        <v>2.5000000000000001E-2</v>
      </c>
      <c r="T2642" s="82" t="s">
        <v>10119</v>
      </c>
      <c r="U2642" s="84"/>
      <c r="V2642" s="54"/>
    </row>
    <row r="2643" spans="1:22" s="11" customFormat="1" ht="45" customHeight="1" x14ac:dyDescent="0.2">
      <c r="A2643" s="66" t="s">
        <v>1963</v>
      </c>
      <c r="B2643" s="66" t="s">
        <v>1155</v>
      </c>
      <c r="C2643" s="66" t="s">
        <v>9605</v>
      </c>
      <c r="D2643" s="66">
        <v>6942421141211</v>
      </c>
      <c r="E2643" s="68" t="s">
        <v>10120</v>
      </c>
      <c r="F2643" s="66" t="s">
        <v>10121</v>
      </c>
      <c r="G2643" s="71">
        <v>2308</v>
      </c>
      <c r="H2643" s="73"/>
      <c r="I2643" s="75">
        <v>0.2</v>
      </c>
      <c r="J2643" s="77"/>
      <c r="K2643" s="66"/>
      <c r="L2643" s="66"/>
      <c r="M2643" s="79" t="str">
        <f>HYPERLINK("http://www.pristavka.com/catalog/Genshin Impact/GEN1327/")</f>
        <v>http://www.pristavka.com/catalog/Genshin Impact/GEN1327/</v>
      </c>
      <c r="N2643" s="71">
        <v>3899</v>
      </c>
      <c r="O2643" s="66" t="s">
        <v>27</v>
      </c>
      <c r="P2643" s="82" t="s">
        <v>10122</v>
      </c>
      <c r="Q2643" s="84" t="s">
        <v>1963</v>
      </c>
      <c r="R2643" s="84" t="s">
        <v>9605</v>
      </c>
      <c r="S2643" s="84">
        <v>2.5000000000000001E-2</v>
      </c>
      <c r="T2643" s="82" t="s">
        <v>10119</v>
      </c>
      <c r="U2643" s="84"/>
      <c r="V2643" s="54"/>
    </row>
    <row r="2644" spans="1:22" s="11" customFormat="1" ht="45" customHeight="1" x14ac:dyDescent="0.2">
      <c r="A2644" s="66" t="s">
        <v>1963</v>
      </c>
      <c r="B2644" s="66" t="s">
        <v>1155</v>
      </c>
      <c r="C2644" s="66" t="s">
        <v>9605</v>
      </c>
      <c r="D2644" s="66">
        <v>6975213681053</v>
      </c>
      <c r="E2644" s="68" t="s">
        <v>10123</v>
      </c>
      <c r="F2644" s="66" t="s">
        <v>10124</v>
      </c>
      <c r="G2644" s="71">
        <v>1453</v>
      </c>
      <c r="H2644" s="73"/>
      <c r="I2644" s="75">
        <v>0.2</v>
      </c>
      <c r="J2644" s="77"/>
      <c r="K2644" s="66"/>
      <c r="L2644" s="66"/>
      <c r="M2644" s="79" t="str">
        <f>HYPERLINK("http://www.pristavka.com/catalog/Genshin Impact/GEN833/")</f>
        <v>http://www.pristavka.com/catalog/Genshin Impact/GEN833/</v>
      </c>
      <c r="N2644" s="71">
        <v>2499</v>
      </c>
      <c r="O2644" s="66" t="s">
        <v>27</v>
      </c>
      <c r="P2644" s="82" t="s">
        <v>10125</v>
      </c>
      <c r="Q2644" s="84" t="s">
        <v>1963</v>
      </c>
      <c r="R2644" s="84" t="s">
        <v>9605</v>
      </c>
      <c r="S2644" s="84">
        <v>8.5000000000000006E-2</v>
      </c>
      <c r="T2644" s="82" t="s">
        <v>10126</v>
      </c>
      <c r="U2644" s="84"/>
      <c r="V2644" s="54"/>
    </row>
    <row r="2645" spans="1:22" s="11" customFormat="1" ht="45" customHeight="1" x14ac:dyDescent="0.2">
      <c r="A2645" s="66" t="s">
        <v>1963</v>
      </c>
      <c r="B2645" s="66" t="s">
        <v>1155</v>
      </c>
      <c r="C2645" s="66" t="s">
        <v>9605</v>
      </c>
      <c r="D2645" s="66">
        <v>6975213681008</v>
      </c>
      <c r="E2645" s="68" t="s">
        <v>10127</v>
      </c>
      <c r="F2645" s="66" t="s">
        <v>10128</v>
      </c>
      <c r="G2645" s="71">
        <v>1453</v>
      </c>
      <c r="H2645" s="73"/>
      <c r="I2645" s="75">
        <v>0.2</v>
      </c>
      <c r="J2645" s="77"/>
      <c r="K2645" s="66"/>
      <c r="L2645" s="66"/>
      <c r="M2645" s="79" t="str">
        <f>HYPERLINK("http://www.pristavka.com/catalog/Genshin Impact/GEN828/")</f>
        <v>http://www.pristavka.com/catalog/Genshin Impact/GEN828/</v>
      </c>
      <c r="N2645" s="71">
        <v>2499</v>
      </c>
      <c r="O2645" s="66" t="s">
        <v>27</v>
      </c>
      <c r="P2645" s="82" t="s">
        <v>10129</v>
      </c>
      <c r="Q2645" s="84" t="s">
        <v>1963</v>
      </c>
      <c r="R2645" s="84" t="s">
        <v>9605</v>
      </c>
      <c r="S2645" s="84">
        <v>7.9000000000000001E-2</v>
      </c>
      <c r="T2645" s="82" t="s">
        <v>10130</v>
      </c>
      <c r="U2645" s="84"/>
      <c r="V2645" s="54"/>
    </row>
    <row r="2646" spans="1:22" s="11" customFormat="1" ht="45" customHeight="1" x14ac:dyDescent="0.2">
      <c r="A2646" s="66" t="s">
        <v>1963</v>
      </c>
      <c r="B2646" s="66" t="s">
        <v>1155</v>
      </c>
      <c r="C2646" s="66" t="s">
        <v>9605</v>
      </c>
      <c r="D2646" s="66">
        <v>6975213681039</v>
      </c>
      <c r="E2646" s="68" t="s">
        <v>10131</v>
      </c>
      <c r="F2646" s="66" t="s">
        <v>10132</v>
      </c>
      <c r="G2646" s="71">
        <v>1453</v>
      </c>
      <c r="H2646" s="73"/>
      <c r="I2646" s="75">
        <v>0.2</v>
      </c>
      <c r="J2646" s="77"/>
      <c r="K2646" s="66"/>
      <c r="L2646" s="66"/>
      <c r="M2646" s="79" t="str">
        <f>HYPERLINK("http://www.pristavka.com/catalog/Genshin Impact/GEN831/")</f>
        <v>http://www.pristavka.com/catalog/Genshin Impact/GEN831/</v>
      </c>
      <c r="N2646" s="71">
        <v>2499</v>
      </c>
      <c r="O2646" s="66" t="s">
        <v>27</v>
      </c>
      <c r="P2646" s="82" t="s">
        <v>10133</v>
      </c>
      <c r="Q2646" s="84" t="s">
        <v>1963</v>
      </c>
      <c r="R2646" s="84" t="s">
        <v>9605</v>
      </c>
      <c r="S2646" s="84">
        <v>7.9000000000000001E-2</v>
      </c>
      <c r="T2646" s="82" t="s">
        <v>10130</v>
      </c>
      <c r="U2646" s="84"/>
      <c r="V2646" s="54"/>
    </row>
    <row r="2647" spans="1:22" s="11" customFormat="1" ht="45" customHeight="1" x14ac:dyDescent="0.2">
      <c r="A2647" s="66" t="s">
        <v>1963</v>
      </c>
      <c r="B2647" s="66" t="s">
        <v>1155</v>
      </c>
      <c r="C2647" s="66" t="s">
        <v>9605</v>
      </c>
      <c r="D2647" s="66">
        <v>6975213681015</v>
      </c>
      <c r="E2647" s="68" t="s">
        <v>10134</v>
      </c>
      <c r="F2647" s="66" t="s">
        <v>10135</v>
      </c>
      <c r="G2647" s="71">
        <v>1453</v>
      </c>
      <c r="H2647" s="73"/>
      <c r="I2647" s="75">
        <v>0.2</v>
      </c>
      <c r="J2647" s="77"/>
      <c r="K2647" s="66"/>
      <c r="L2647" s="66"/>
      <c r="M2647" s="79" t="str">
        <f>HYPERLINK("http://www.pristavka.com/catalog/Genshin Impact/GEN829/")</f>
        <v>http://www.pristavka.com/catalog/Genshin Impact/GEN829/</v>
      </c>
      <c r="N2647" s="71">
        <v>2499</v>
      </c>
      <c r="O2647" s="66" t="s">
        <v>27</v>
      </c>
      <c r="P2647" s="82" t="s">
        <v>10136</v>
      </c>
      <c r="Q2647" s="84" t="s">
        <v>1963</v>
      </c>
      <c r="R2647" s="84" t="s">
        <v>9605</v>
      </c>
      <c r="S2647" s="84">
        <v>8.5000000000000006E-2</v>
      </c>
      <c r="T2647" s="82" t="s">
        <v>10126</v>
      </c>
      <c r="U2647" s="84"/>
      <c r="V2647" s="54"/>
    </row>
    <row r="2648" spans="1:22" s="11" customFormat="1" ht="45" customHeight="1" x14ac:dyDescent="0.2">
      <c r="A2648" s="66" t="s">
        <v>1963</v>
      </c>
      <c r="B2648" s="66" t="s">
        <v>1155</v>
      </c>
      <c r="C2648" s="66" t="s">
        <v>9605</v>
      </c>
      <c r="D2648" s="66">
        <v>6975213681022</v>
      </c>
      <c r="E2648" s="68" t="s">
        <v>10137</v>
      </c>
      <c r="F2648" s="66" t="s">
        <v>10138</v>
      </c>
      <c r="G2648" s="71">
        <v>1453</v>
      </c>
      <c r="H2648" s="73"/>
      <c r="I2648" s="75">
        <v>0.2</v>
      </c>
      <c r="J2648" s="77"/>
      <c r="K2648" s="66"/>
      <c r="L2648" s="66"/>
      <c r="M2648" s="79" t="str">
        <f>HYPERLINK("http://www.pristavka.com/catalog/Genshin Impact/GEN830/")</f>
        <v>http://www.pristavka.com/catalog/Genshin Impact/GEN830/</v>
      </c>
      <c r="N2648" s="71">
        <v>2499</v>
      </c>
      <c r="O2648" s="66" t="s">
        <v>27</v>
      </c>
      <c r="P2648" s="82" t="s">
        <v>10139</v>
      </c>
      <c r="Q2648" s="84" t="s">
        <v>1963</v>
      </c>
      <c r="R2648" s="84" t="s">
        <v>9605</v>
      </c>
      <c r="S2648" s="84">
        <v>7.9000000000000001E-2</v>
      </c>
      <c r="T2648" s="82" t="s">
        <v>10130</v>
      </c>
      <c r="U2648" s="84"/>
      <c r="V2648" s="54"/>
    </row>
    <row r="2649" spans="1:22" s="11" customFormat="1" ht="45" customHeight="1" x14ac:dyDescent="0.2">
      <c r="A2649" s="66" t="s">
        <v>1963</v>
      </c>
      <c r="B2649" s="66" t="s">
        <v>1155</v>
      </c>
      <c r="C2649" s="66" t="s">
        <v>9605</v>
      </c>
      <c r="D2649" s="66">
        <v>6975213680995</v>
      </c>
      <c r="E2649" s="68" t="s">
        <v>10140</v>
      </c>
      <c r="F2649" s="66" t="s">
        <v>10141</v>
      </c>
      <c r="G2649" s="71">
        <v>1453</v>
      </c>
      <c r="H2649" s="73"/>
      <c r="I2649" s="75">
        <v>0.2</v>
      </c>
      <c r="J2649" s="77"/>
      <c r="K2649" s="66"/>
      <c r="L2649" s="66"/>
      <c r="M2649" s="79" t="str">
        <f>HYPERLINK("http://www.pristavka.com/catalog/Genshin Impact/GEN827/")</f>
        <v>http://www.pristavka.com/catalog/Genshin Impact/GEN827/</v>
      </c>
      <c r="N2649" s="71">
        <v>2499</v>
      </c>
      <c r="O2649" s="66" t="s">
        <v>27</v>
      </c>
      <c r="P2649" s="82" t="s">
        <v>10142</v>
      </c>
      <c r="Q2649" s="84" t="s">
        <v>1963</v>
      </c>
      <c r="R2649" s="84" t="s">
        <v>9605</v>
      </c>
      <c r="S2649" s="84">
        <v>8.5000000000000006E-2</v>
      </c>
      <c r="T2649" s="82" t="s">
        <v>10126</v>
      </c>
      <c r="U2649" s="84"/>
      <c r="V2649" s="54"/>
    </row>
    <row r="2650" spans="1:22" s="11" customFormat="1" ht="45" customHeight="1" x14ac:dyDescent="0.2">
      <c r="A2650" s="66" t="s">
        <v>1963</v>
      </c>
      <c r="B2650" s="66" t="s">
        <v>1155</v>
      </c>
      <c r="C2650" s="66" t="s">
        <v>9605</v>
      </c>
      <c r="D2650" s="66">
        <v>6975213681046</v>
      </c>
      <c r="E2650" s="68" t="s">
        <v>10143</v>
      </c>
      <c r="F2650" s="66" t="s">
        <v>10144</v>
      </c>
      <c r="G2650" s="71">
        <v>1453</v>
      </c>
      <c r="H2650" s="73"/>
      <c r="I2650" s="75">
        <v>0.2</v>
      </c>
      <c r="J2650" s="77"/>
      <c r="K2650" s="66"/>
      <c r="L2650" s="66"/>
      <c r="M2650" s="79" t="str">
        <f>HYPERLINK("http://www.pristavka.com/catalog/Genshin Impact/GEN832/")</f>
        <v>http://www.pristavka.com/catalog/Genshin Impact/GEN832/</v>
      </c>
      <c r="N2650" s="71">
        <v>2499</v>
      </c>
      <c r="O2650" s="66" t="s">
        <v>27</v>
      </c>
      <c r="P2650" s="82" t="s">
        <v>10145</v>
      </c>
      <c r="Q2650" s="84" t="s">
        <v>1963</v>
      </c>
      <c r="R2650" s="84" t="s">
        <v>9605</v>
      </c>
      <c r="S2650" s="84">
        <v>8.5000000000000006E-2</v>
      </c>
      <c r="T2650" s="82" t="s">
        <v>10126</v>
      </c>
      <c r="U2650" s="84"/>
      <c r="V2650" s="54"/>
    </row>
    <row r="2651" spans="1:22" s="11" customFormat="1" ht="45" customHeight="1" x14ac:dyDescent="0.2">
      <c r="A2651" s="66" t="s">
        <v>1963</v>
      </c>
      <c r="B2651" s="66" t="s">
        <v>1155</v>
      </c>
      <c r="C2651" s="66" t="s">
        <v>9605</v>
      </c>
      <c r="D2651" s="66">
        <v>6974096531134</v>
      </c>
      <c r="E2651" s="68" t="s">
        <v>10146</v>
      </c>
      <c r="F2651" s="66" t="s">
        <v>10147</v>
      </c>
      <c r="G2651" s="71">
        <v>3771</v>
      </c>
      <c r="H2651" s="73"/>
      <c r="I2651" s="75">
        <v>0.2</v>
      </c>
      <c r="J2651" s="77"/>
      <c r="K2651" s="66"/>
      <c r="L2651" s="66"/>
      <c r="M2651" s="79" t="str">
        <f>HYPERLINK("http://www.pristavka.com/catalog/Genshin Impact/GEN430/")</f>
        <v>http://www.pristavka.com/catalog/Genshin Impact/GEN430/</v>
      </c>
      <c r="N2651" s="71">
        <v>6299</v>
      </c>
      <c r="O2651" s="66" t="s">
        <v>27</v>
      </c>
      <c r="P2651" s="82" t="s">
        <v>10148</v>
      </c>
      <c r="Q2651" s="84" t="s">
        <v>1963</v>
      </c>
      <c r="R2651" s="84" t="s">
        <v>9605</v>
      </c>
      <c r="S2651" s="84">
        <v>0.08</v>
      </c>
      <c r="T2651" s="82" t="s">
        <v>10149</v>
      </c>
      <c r="U2651" s="84" t="s">
        <v>2255</v>
      </c>
      <c r="V2651" s="54"/>
    </row>
    <row r="2652" spans="1:22" s="11" customFormat="1" ht="45" customHeight="1" x14ac:dyDescent="0.2">
      <c r="A2652" s="66" t="s">
        <v>1963</v>
      </c>
      <c r="B2652" s="66" t="s">
        <v>1155</v>
      </c>
      <c r="C2652" s="66" t="s">
        <v>9605</v>
      </c>
      <c r="D2652" s="66">
        <v>6974096531127</v>
      </c>
      <c r="E2652" s="68" t="s">
        <v>10150</v>
      </c>
      <c r="F2652" s="66" t="s">
        <v>10151</v>
      </c>
      <c r="G2652" s="71">
        <v>4088</v>
      </c>
      <c r="H2652" s="73"/>
      <c r="I2652" s="75">
        <v>0.2</v>
      </c>
      <c r="J2652" s="77"/>
      <c r="K2652" s="66"/>
      <c r="L2652" s="66"/>
      <c r="M2652" s="79" t="str">
        <f>HYPERLINK("http://www.pristavka.com/catalog/Genshin Impact/GEN24/")</f>
        <v>http://www.pristavka.com/catalog/Genshin Impact/GEN24/</v>
      </c>
      <c r="N2652" s="71">
        <v>6899</v>
      </c>
      <c r="O2652" s="66" t="s">
        <v>28</v>
      </c>
      <c r="P2652" s="82" t="s">
        <v>10152</v>
      </c>
      <c r="Q2652" s="84" t="s">
        <v>1963</v>
      </c>
      <c r="R2652" s="84" t="s">
        <v>9605</v>
      </c>
      <c r="S2652" s="84">
        <v>7.9000000000000001E-2</v>
      </c>
      <c r="T2652" s="82" t="s">
        <v>10149</v>
      </c>
      <c r="U2652" s="84" t="s">
        <v>2255</v>
      </c>
      <c r="V2652" s="54"/>
    </row>
    <row r="2653" spans="1:22" s="11" customFormat="1" ht="45" customHeight="1" x14ac:dyDescent="0.2">
      <c r="A2653" s="66" t="s">
        <v>1963</v>
      </c>
      <c r="B2653" s="66" t="s">
        <v>1155</v>
      </c>
      <c r="C2653" s="66" t="s">
        <v>9605</v>
      </c>
      <c r="D2653" s="66">
        <v>6942421155003</v>
      </c>
      <c r="E2653" s="68" t="s">
        <v>10153</v>
      </c>
      <c r="F2653" s="66" t="s">
        <v>10154</v>
      </c>
      <c r="G2653" s="71">
        <v>5039</v>
      </c>
      <c r="H2653" s="73"/>
      <c r="I2653" s="75">
        <v>0.2</v>
      </c>
      <c r="J2653" s="77"/>
      <c r="K2653" s="66"/>
      <c r="L2653" s="66"/>
      <c r="M2653" s="79" t="str">
        <f>HYPERLINK("http://www.pristavka.com/catalog/Genshin Impact/GEN1454/")</f>
        <v>http://www.pristavka.com/catalog/Genshin Impact/GEN1454/</v>
      </c>
      <c r="N2653" s="71">
        <v>8399</v>
      </c>
      <c r="O2653" s="66" t="s">
        <v>27</v>
      </c>
      <c r="P2653" s="82" t="s">
        <v>10155</v>
      </c>
      <c r="Q2653" s="84" t="s">
        <v>1963</v>
      </c>
      <c r="R2653" s="84" t="s">
        <v>9605</v>
      </c>
      <c r="S2653" s="84">
        <v>6.0999999999999999E-2</v>
      </c>
      <c r="T2653" s="82" t="s">
        <v>10149</v>
      </c>
      <c r="U2653" s="84"/>
      <c r="V2653" s="54"/>
    </row>
    <row r="2654" spans="1:22" s="11" customFormat="1" ht="45" customHeight="1" x14ac:dyDescent="0.2">
      <c r="A2654" s="66" t="s">
        <v>1963</v>
      </c>
      <c r="B2654" s="66" t="s">
        <v>1155</v>
      </c>
      <c r="C2654" s="66" t="s">
        <v>9605</v>
      </c>
      <c r="D2654" s="66">
        <v>6942421155096</v>
      </c>
      <c r="E2654" s="68" t="s">
        <v>10156</v>
      </c>
      <c r="F2654" s="66" t="s">
        <v>10157</v>
      </c>
      <c r="G2654" s="71">
        <v>5039</v>
      </c>
      <c r="H2654" s="73"/>
      <c r="I2654" s="75">
        <v>0.2</v>
      </c>
      <c r="J2654" s="77"/>
      <c r="K2654" s="66"/>
      <c r="L2654" s="66"/>
      <c r="M2654" s="79" t="str">
        <f>HYPERLINK("http://www.pristavka.com/catalog/Genshin Impact/GEN1459/")</f>
        <v>http://www.pristavka.com/catalog/Genshin Impact/GEN1459/</v>
      </c>
      <c r="N2654" s="71">
        <v>8399</v>
      </c>
      <c r="O2654" s="66" t="s">
        <v>27</v>
      </c>
      <c r="P2654" s="82" t="s">
        <v>10158</v>
      </c>
      <c r="Q2654" s="84" t="s">
        <v>1963</v>
      </c>
      <c r="R2654" s="84" t="s">
        <v>9605</v>
      </c>
      <c r="S2654" s="84">
        <v>0.06</v>
      </c>
      <c r="T2654" s="82" t="s">
        <v>10159</v>
      </c>
      <c r="U2654" s="84"/>
      <c r="V2654" s="54"/>
    </row>
    <row r="2655" spans="1:22" s="11" customFormat="1" ht="45" customHeight="1" x14ac:dyDescent="0.2">
      <c r="A2655" s="66" t="s">
        <v>1963</v>
      </c>
      <c r="B2655" s="66" t="s">
        <v>1155</v>
      </c>
      <c r="C2655" s="66" t="s">
        <v>9605</v>
      </c>
      <c r="D2655" s="66">
        <v>6942421155072</v>
      </c>
      <c r="E2655" s="68" t="s">
        <v>10160</v>
      </c>
      <c r="F2655" s="66" t="s">
        <v>10161</v>
      </c>
      <c r="G2655" s="71">
        <v>5039</v>
      </c>
      <c r="H2655" s="73"/>
      <c r="I2655" s="75">
        <v>0.2</v>
      </c>
      <c r="J2655" s="77"/>
      <c r="K2655" s="66"/>
      <c r="L2655" s="66"/>
      <c r="M2655" s="79" t="str">
        <f>HYPERLINK("http://www.pristavka.com/catalog/Genshin Impact/GEN1457/")</f>
        <v>http://www.pristavka.com/catalog/Genshin Impact/GEN1457/</v>
      </c>
      <c r="N2655" s="71">
        <v>8399</v>
      </c>
      <c r="O2655" s="66" t="s">
        <v>27</v>
      </c>
      <c r="P2655" s="82" t="s">
        <v>10162</v>
      </c>
      <c r="Q2655" s="84" t="s">
        <v>1963</v>
      </c>
      <c r="R2655" s="84" t="s">
        <v>9605</v>
      </c>
      <c r="S2655" s="84">
        <v>6.2E-2</v>
      </c>
      <c r="T2655" s="82" t="s">
        <v>10159</v>
      </c>
      <c r="U2655" s="84"/>
      <c r="V2655" s="54"/>
    </row>
    <row r="2656" spans="1:22" s="11" customFormat="1" ht="45" customHeight="1" x14ac:dyDescent="0.2">
      <c r="A2656" s="66" t="s">
        <v>1963</v>
      </c>
      <c r="B2656" s="66" t="s">
        <v>1155</v>
      </c>
      <c r="C2656" s="66" t="s">
        <v>9605</v>
      </c>
      <c r="D2656" s="66">
        <v>6942421155102</v>
      </c>
      <c r="E2656" s="68" t="s">
        <v>10163</v>
      </c>
      <c r="F2656" s="66" t="s">
        <v>10164</v>
      </c>
      <c r="G2656" s="71">
        <v>5039</v>
      </c>
      <c r="H2656" s="73"/>
      <c r="I2656" s="75">
        <v>0.2</v>
      </c>
      <c r="J2656" s="77"/>
      <c r="K2656" s="66"/>
      <c r="L2656" s="66"/>
      <c r="M2656" s="79" t="str">
        <f>HYPERLINK("http://www.pristavka.com/catalog/Genshin Impact/GEN1460/")</f>
        <v>http://www.pristavka.com/catalog/Genshin Impact/GEN1460/</v>
      </c>
      <c r="N2656" s="71">
        <v>8399</v>
      </c>
      <c r="O2656" s="66" t="s">
        <v>27</v>
      </c>
      <c r="P2656" s="82" t="s">
        <v>10165</v>
      </c>
      <c r="Q2656" s="84" t="s">
        <v>1963</v>
      </c>
      <c r="R2656" s="84" t="s">
        <v>9605</v>
      </c>
      <c r="S2656" s="84">
        <v>6.2E-2</v>
      </c>
      <c r="T2656" s="82" t="s">
        <v>10166</v>
      </c>
      <c r="U2656" s="84"/>
      <c r="V2656" s="54"/>
    </row>
    <row r="2657" spans="1:22" s="11" customFormat="1" ht="45" customHeight="1" x14ac:dyDescent="0.2">
      <c r="A2657" s="66" t="s">
        <v>1963</v>
      </c>
      <c r="B2657" s="66" t="s">
        <v>1155</v>
      </c>
      <c r="C2657" s="66" t="s">
        <v>9605</v>
      </c>
      <c r="D2657" s="66">
        <v>6942421155089</v>
      </c>
      <c r="E2657" s="68" t="s">
        <v>10167</v>
      </c>
      <c r="F2657" s="66" t="s">
        <v>10168</v>
      </c>
      <c r="G2657" s="71">
        <v>5039</v>
      </c>
      <c r="H2657" s="73"/>
      <c r="I2657" s="75">
        <v>0.2</v>
      </c>
      <c r="J2657" s="77"/>
      <c r="K2657" s="66"/>
      <c r="L2657" s="66"/>
      <c r="M2657" s="79" t="str">
        <f>HYPERLINK("http://www.pristavka.com/catalog/Genshin Impact/GEN1458/")</f>
        <v>http://www.pristavka.com/catalog/Genshin Impact/GEN1458/</v>
      </c>
      <c r="N2657" s="71">
        <v>8399</v>
      </c>
      <c r="O2657" s="66" t="s">
        <v>27</v>
      </c>
      <c r="P2657" s="82" t="s">
        <v>10169</v>
      </c>
      <c r="Q2657" s="84" t="s">
        <v>1963</v>
      </c>
      <c r="R2657" s="84" t="s">
        <v>9605</v>
      </c>
      <c r="S2657" s="84">
        <v>0.06</v>
      </c>
      <c r="T2657" s="82" t="s">
        <v>10159</v>
      </c>
      <c r="U2657" s="84"/>
      <c r="V2657" s="54"/>
    </row>
    <row r="2658" spans="1:22" s="11" customFormat="1" ht="45" customHeight="1" x14ac:dyDescent="0.2">
      <c r="A2658" s="66" t="s">
        <v>1963</v>
      </c>
      <c r="B2658" s="66" t="s">
        <v>1155</v>
      </c>
      <c r="C2658" s="66" t="s">
        <v>9605</v>
      </c>
      <c r="D2658" s="66">
        <v>6942421155058</v>
      </c>
      <c r="E2658" s="68" t="s">
        <v>10170</v>
      </c>
      <c r="F2658" s="66" t="s">
        <v>10171</v>
      </c>
      <c r="G2658" s="71">
        <v>5039</v>
      </c>
      <c r="H2658" s="73"/>
      <c r="I2658" s="75">
        <v>0.2</v>
      </c>
      <c r="J2658" s="77"/>
      <c r="K2658" s="66"/>
      <c r="L2658" s="66"/>
      <c r="M2658" s="79" t="str">
        <f>HYPERLINK("http://www.pristavka.com/catalog/Genshin Impact/GEN1456/")</f>
        <v>http://www.pristavka.com/catalog/Genshin Impact/GEN1456/</v>
      </c>
      <c r="N2658" s="71">
        <v>8399</v>
      </c>
      <c r="O2658" s="66" t="s">
        <v>27</v>
      </c>
      <c r="P2658" s="82" t="s">
        <v>10172</v>
      </c>
      <c r="Q2658" s="84" t="s">
        <v>1963</v>
      </c>
      <c r="R2658" s="84" t="s">
        <v>9605</v>
      </c>
      <c r="S2658" s="84">
        <v>6.2E-2</v>
      </c>
      <c r="T2658" s="82" t="s">
        <v>10149</v>
      </c>
      <c r="U2658" s="84"/>
      <c r="V2658" s="54"/>
    </row>
    <row r="2659" spans="1:22" s="11" customFormat="1" ht="45" customHeight="1" x14ac:dyDescent="0.2">
      <c r="A2659" s="66" t="s">
        <v>1963</v>
      </c>
      <c r="B2659" s="66" t="s">
        <v>1155</v>
      </c>
      <c r="C2659" s="66" t="s">
        <v>9605</v>
      </c>
      <c r="D2659" s="66">
        <v>6942421155119</v>
      </c>
      <c r="E2659" s="68" t="s">
        <v>10173</v>
      </c>
      <c r="F2659" s="66" t="s">
        <v>10174</v>
      </c>
      <c r="G2659" s="71">
        <v>5039</v>
      </c>
      <c r="H2659" s="73"/>
      <c r="I2659" s="75">
        <v>0.2</v>
      </c>
      <c r="J2659" s="77"/>
      <c r="K2659" s="66"/>
      <c r="L2659" s="66"/>
      <c r="M2659" s="79" t="str">
        <f>HYPERLINK("http://www.pristavka.com/catalog/Genshin Impact/GEN1461/")</f>
        <v>http://www.pristavka.com/catalog/Genshin Impact/GEN1461/</v>
      </c>
      <c r="N2659" s="71">
        <v>8399</v>
      </c>
      <c r="O2659" s="66" t="s">
        <v>27</v>
      </c>
      <c r="P2659" s="82" t="s">
        <v>10175</v>
      </c>
      <c r="Q2659" s="84" t="s">
        <v>1963</v>
      </c>
      <c r="R2659" s="84" t="s">
        <v>9605</v>
      </c>
      <c r="S2659" s="84">
        <v>0.06</v>
      </c>
      <c r="T2659" s="82" t="s">
        <v>10176</v>
      </c>
      <c r="U2659" s="84"/>
      <c r="V2659" s="54"/>
    </row>
    <row r="2660" spans="1:22" s="11" customFormat="1" ht="45" customHeight="1" x14ac:dyDescent="0.2">
      <c r="A2660" s="66" t="s">
        <v>1963</v>
      </c>
      <c r="B2660" s="66" t="s">
        <v>1155</v>
      </c>
      <c r="C2660" s="66" t="s">
        <v>9605</v>
      </c>
      <c r="D2660" s="66">
        <v>6942421155034</v>
      </c>
      <c r="E2660" s="68" t="s">
        <v>10177</v>
      </c>
      <c r="F2660" s="66" t="s">
        <v>10178</v>
      </c>
      <c r="G2660" s="71">
        <v>5039</v>
      </c>
      <c r="H2660" s="73"/>
      <c r="I2660" s="75">
        <v>0.2</v>
      </c>
      <c r="J2660" s="77"/>
      <c r="K2660" s="66"/>
      <c r="L2660" s="66"/>
      <c r="M2660" s="79" t="str">
        <f>HYPERLINK("http://www.pristavka.com/catalog/Genshin Impact/GEN1455/")</f>
        <v>http://www.pristavka.com/catalog/Genshin Impact/GEN1455/</v>
      </c>
      <c r="N2660" s="71">
        <v>8399</v>
      </c>
      <c r="O2660" s="66" t="s">
        <v>27</v>
      </c>
      <c r="P2660" s="82" t="s">
        <v>10179</v>
      </c>
      <c r="Q2660" s="84" t="s">
        <v>1963</v>
      </c>
      <c r="R2660" s="84" t="s">
        <v>9605</v>
      </c>
      <c r="S2660" s="84">
        <v>6.0999999999999999E-2</v>
      </c>
      <c r="T2660" s="82" t="s">
        <v>10149</v>
      </c>
      <c r="U2660" s="84"/>
      <c r="V2660" s="54"/>
    </row>
    <row r="2661" spans="1:22" s="11" customFormat="1" ht="45" customHeight="1" x14ac:dyDescent="0.2">
      <c r="A2661" s="66" t="s">
        <v>1963</v>
      </c>
      <c r="B2661" s="66" t="s">
        <v>1155</v>
      </c>
      <c r="C2661" s="66" t="s">
        <v>9605</v>
      </c>
      <c r="D2661" s="66">
        <v>6976068149576</v>
      </c>
      <c r="E2661" s="68" t="s">
        <v>10180</v>
      </c>
      <c r="F2661" s="66" t="s">
        <v>10181</v>
      </c>
      <c r="G2661" s="71">
        <v>2213</v>
      </c>
      <c r="H2661" s="73"/>
      <c r="I2661" s="75">
        <v>0.2</v>
      </c>
      <c r="J2661" s="77"/>
      <c r="K2661" s="66"/>
      <c r="L2661" s="66"/>
      <c r="M2661" s="79" t="str">
        <f>HYPERLINK("http://www.pristavka.com/catalog/Genshin Impact/GEN896/")</f>
        <v>http://www.pristavka.com/catalog/Genshin Impact/GEN896/</v>
      </c>
      <c r="N2661" s="71">
        <v>3699</v>
      </c>
      <c r="O2661" s="66" t="s">
        <v>27</v>
      </c>
      <c r="P2661" s="82" t="s">
        <v>10182</v>
      </c>
      <c r="Q2661" s="84" t="s">
        <v>1963</v>
      </c>
      <c r="R2661" s="84" t="s">
        <v>9605</v>
      </c>
      <c r="S2661" s="84">
        <v>0.04</v>
      </c>
      <c r="T2661" s="82" t="s">
        <v>10183</v>
      </c>
      <c r="U2661" s="84"/>
      <c r="V2661" s="54"/>
    </row>
    <row r="2662" spans="1:22" s="11" customFormat="1" ht="45" customHeight="1" x14ac:dyDescent="0.2">
      <c r="A2662" s="66" t="s">
        <v>1963</v>
      </c>
      <c r="B2662" s="66" t="s">
        <v>1155</v>
      </c>
      <c r="C2662" s="66" t="s">
        <v>9605</v>
      </c>
      <c r="D2662" s="66">
        <v>6976068147527</v>
      </c>
      <c r="E2662" s="68" t="s">
        <v>10184</v>
      </c>
      <c r="F2662" s="66" t="s">
        <v>10185</v>
      </c>
      <c r="G2662" s="71">
        <v>6307</v>
      </c>
      <c r="H2662" s="73"/>
      <c r="I2662" s="75">
        <v>0.2</v>
      </c>
      <c r="J2662" s="77"/>
      <c r="K2662" s="66"/>
      <c r="L2662" s="66"/>
      <c r="M2662" s="79" t="str">
        <f>HYPERLINK("http://www.pristavka.com/catalog/Genshin Impact/GEN922/")</f>
        <v>http://www.pristavka.com/catalog/Genshin Impact/GEN922/</v>
      </c>
      <c r="N2662" s="71">
        <v>10599</v>
      </c>
      <c r="O2662" s="66" t="s">
        <v>27</v>
      </c>
      <c r="P2662" s="82" t="s">
        <v>10186</v>
      </c>
      <c r="Q2662" s="84" t="s">
        <v>1963</v>
      </c>
      <c r="R2662" s="84" t="s">
        <v>9605</v>
      </c>
      <c r="S2662" s="84">
        <v>4.2000000000000003E-2</v>
      </c>
      <c r="T2662" s="82" t="s">
        <v>10187</v>
      </c>
      <c r="U2662" s="84"/>
      <c r="V2662" s="54"/>
    </row>
    <row r="2663" spans="1:22" s="11" customFormat="1" ht="45" customHeight="1" x14ac:dyDescent="0.2">
      <c r="A2663" s="66" t="s">
        <v>1963</v>
      </c>
      <c r="B2663" s="66" t="s">
        <v>1155</v>
      </c>
      <c r="C2663" s="66" t="s">
        <v>9605</v>
      </c>
      <c r="D2663" s="66">
        <v>6976068147503</v>
      </c>
      <c r="E2663" s="68" t="s">
        <v>10188</v>
      </c>
      <c r="F2663" s="66" t="s">
        <v>10189</v>
      </c>
      <c r="G2663" s="71">
        <v>6307</v>
      </c>
      <c r="H2663" s="73"/>
      <c r="I2663" s="75">
        <v>0.2</v>
      </c>
      <c r="J2663" s="77"/>
      <c r="K2663" s="66"/>
      <c r="L2663" s="66"/>
      <c r="M2663" s="79" t="str">
        <f>HYPERLINK("http://www.pristavka.com/catalog/Genshin Impact/GEN920/")</f>
        <v>http://www.pristavka.com/catalog/Genshin Impact/GEN920/</v>
      </c>
      <c r="N2663" s="71">
        <v>10599</v>
      </c>
      <c r="O2663" s="66" t="s">
        <v>27</v>
      </c>
      <c r="P2663" s="82" t="s">
        <v>10190</v>
      </c>
      <c r="Q2663" s="84" t="s">
        <v>1963</v>
      </c>
      <c r="R2663" s="84" t="s">
        <v>9605</v>
      </c>
      <c r="S2663" s="84">
        <v>3.5000000000000003E-2</v>
      </c>
      <c r="T2663" s="82" t="s">
        <v>10191</v>
      </c>
      <c r="U2663" s="84"/>
      <c r="V2663" s="54"/>
    </row>
    <row r="2664" spans="1:22" s="11" customFormat="1" ht="45" customHeight="1" x14ac:dyDescent="0.2">
      <c r="A2664" s="66" t="s">
        <v>1963</v>
      </c>
      <c r="B2664" s="66" t="s">
        <v>1155</v>
      </c>
      <c r="C2664" s="66" t="s">
        <v>9605</v>
      </c>
      <c r="D2664" s="66">
        <v>6976068147497</v>
      </c>
      <c r="E2664" s="68" t="s">
        <v>10192</v>
      </c>
      <c r="F2664" s="66" t="s">
        <v>10193</v>
      </c>
      <c r="G2664" s="71">
        <v>6307</v>
      </c>
      <c r="H2664" s="73"/>
      <c r="I2664" s="75">
        <v>0.2</v>
      </c>
      <c r="J2664" s="77"/>
      <c r="K2664" s="66"/>
      <c r="L2664" s="66"/>
      <c r="M2664" s="79" t="str">
        <f>HYPERLINK("http://www.pristavka.com/catalog/Genshin Impact/GEN919/")</f>
        <v>http://www.pristavka.com/catalog/Genshin Impact/GEN919/</v>
      </c>
      <c r="N2664" s="71">
        <v>10599</v>
      </c>
      <c r="O2664" s="66" t="s">
        <v>27</v>
      </c>
      <c r="P2664" s="82" t="s">
        <v>10194</v>
      </c>
      <c r="Q2664" s="84" t="s">
        <v>1963</v>
      </c>
      <c r="R2664" s="84" t="s">
        <v>9605</v>
      </c>
      <c r="S2664" s="84">
        <v>3.5000000000000003E-2</v>
      </c>
      <c r="T2664" s="82" t="s">
        <v>10191</v>
      </c>
      <c r="U2664" s="84"/>
      <c r="V2664" s="54"/>
    </row>
    <row r="2665" spans="1:22" s="11" customFormat="1" ht="45" customHeight="1" x14ac:dyDescent="0.2">
      <c r="A2665" s="66" t="s">
        <v>1963</v>
      </c>
      <c r="B2665" s="66" t="s">
        <v>1155</v>
      </c>
      <c r="C2665" s="66" t="s">
        <v>9605</v>
      </c>
      <c r="D2665" s="66">
        <v>6976068147480</v>
      </c>
      <c r="E2665" s="68" t="s">
        <v>10195</v>
      </c>
      <c r="F2665" s="66" t="s">
        <v>10196</v>
      </c>
      <c r="G2665" s="71">
        <v>6307</v>
      </c>
      <c r="H2665" s="73"/>
      <c r="I2665" s="75">
        <v>0.2</v>
      </c>
      <c r="J2665" s="77"/>
      <c r="K2665" s="66"/>
      <c r="L2665" s="66"/>
      <c r="M2665" s="79" t="str">
        <f>HYPERLINK("http://www.pristavka.com/catalog/Genshin Impact/GEN918/")</f>
        <v>http://www.pristavka.com/catalog/Genshin Impact/GEN918/</v>
      </c>
      <c r="N2665" s="71">
        <v>10599</v>
      </c>
      <c r="O2665" s="66" t="s">
        <v>27</v>
      </c>
      <c r="P2665" s="82" t="s">
        <v>10197</v>
      </c>
      <c r="Q2665" s="84" t="s">
        <v>1963</v>
      </c>
      <c r="R2665" s="84" t="s">
        <v>9605</v>
      </c>
      <c r="S2665" s="84">
        <v>3.5000000000000003E-2</v>
      </c>
      <c r="T2665" s="82" t="s">
        <v>10191</v>
      </c>
      <c r="U2665" s="84"/>
      <c r="V2665" s="54"/>
    </row>
    <row r="2666" spans="1:22" s="11" customFormat="1" ht="45" customHeight="1" x14ac:dyDescent="0.2">
      <c r="A2666" s="66" t="s">
        <v>1963</v>
      </c>
      <c r="B2666" s="66" t="s">
        <v>1155</v>
      </c>
      <c r="C2666" s="66" t="s">
        <v>9605</v>
      </c>
      <c r="D2666" s="66">
        <v>6942421138440</v>
      </c>
      <c r="E2666" s="68" t="s">
        <v>10198</v>
      </c>
      <c r="F2666" s="66" t="s">
        <v>10199</v>
      </c>
      <c r="G2666" s="71">
        <v>3164</v>
      </c>
      <c r="H2666" s="73"/>
      <c r="I2666" s="75">
        <v>0.2</v>
      </c>
      <c r="J2666" s="77"/>
      <c r="K2666" s="66"/>
      <c r="L2666" s="66"/>
      <c r="M2666" s="79" t="str">
        <f>HYPERLINK("http://www.pristavka.com/catalog/Genshin Impact/GEN1350/")</f>
        <v>http://www.pristavka.com/catalog/Genshin Impact/GEN1350/</v>
      </c>
      <c r="N2666" s="71">
        <v>5299</v>
      </c>
      <c r="O2666" s="66" t="s">
        <v>28</v>
      </c>
      <c r="P2666" s="82" t="s">
        <v>10200</v>
      </c>
      <c r="Q2666" s="84" t="s">
        <v>1963</v>
      </c>
      <c r="R2666" s="84" t="s">
        <v>9605</v>
      </c>
      <c r="S2666" s="84">
        <v>0.03</v>
      </c>
      <c r="T2666" s="82" t="s">
        <v>10201</v>
      </c>
      <c r="U2666" s="84"/>
      <c r="V2666" s="54"/>
    </row>
    <row r="2667" spans="1:22" s="11" customFormat="1" ht="45" customHeight="1" x14ac:dyDescent="0.2">
      <c r="A2667" s="66" t="s">
        <v>1963</v>
      </c>
      <c r="B2667" s="66" t="s">
        <v>1155</v>
      </c>
      <c r="C2667" s="66" t="s">
        <v>9605</v>
      </c>
      <c r="D2667" s="66">
        <v>6942421102229</v>
      </c>
      <c r="E2667" s="68" t="s">
        <v>10202</v>
      </c>
      <c r="F2667" s="66" t="s">
        <v>10203</v>
      </c>
      <c r="G2667" s="71">
        <v>4088</v>
      </c>
      <c r="H2667" s="73"/>
      <c r="I2667" s="75">
        <v>0.2</v>
      </c>
      <c r="J2667" s="77"/>
      <c r="K2667" s="66"/>
      <c r="L2667" s="66"/>
      <c r="M2667" s="79" t="str">
        <f>HYPERLINK("http://www.pristavka.com/catalog/Genshin Impact/GEN1066/")</f>
        <v>http://www.pristavka.com/catalog/Genshin Impact/GEN1066/</v>
      </c>
      <c r="N2667" s="71">
        <v>6899</v>
      </c>
      <c r="O2667" s="66" t="s">
        <v>27</v>
      </c>
      <c r="P2667" s="82" t="s">
        <v>10204</v>
      </c>
      <c r="Q2667" s="84" t="s">
        <v>1963</v>
      </c>
      <c r="R2667" s="84" t="s">
        <v>9605</v>
      </c>
      <c r="S2667" s="84">
        <v>2.8000000000000001E-2</v>
      </c>
      <c r="T2667" s="82" t="s">
        <v>10205</v>
      </c>
      <c r="U2667" s="84"/>
      <c r="V2667" s="54"/>
    </row>
    <row r="2668" spans="1:22" s="11" customFormat="1" ht="45" customHeight="1" x14ac:dyDescent="0.2">
      <c r="A2668" s="66" t="s">
        <v>1963</v>
      </c>
      <c r="B2668" s="66" t="s">
        <v>1155</v>
      </c>
      <c r="C2668" s="66" t="s">
        <v>9605</v>
      </c>
      <c r="D2668" s="66">
        <v>6975628241675</v>
      </c>
      <c r="E2668" s="68" t="s">
        <v>10206</v>
      </c>
      <c r="F2668" s="66" t="s">
        <v>10207</v>
      </c>
      <c r="G2668" s="71">
        <v>2530</v>
      </c>
      <c r="H2668" s="73"/>
      <c r="I2668" s="75">
        <v>0.2</v>
      </c>
      <c r="J2668" s="77"/>
      <c r="K2668" s="66"/>
      <c r="L2668" s="66"/>
      <c r="M2668" s="79" t="str">
        <f>HYPERLINK("http://www.pristavka.com/catalog/Genshin Impact/GEN513/")</f>
        <v>http://www.pristavka.com/catalog/Genshin Impact/GEN513/</v>
      </c>
      <c r="N2668" s="71">
        <v>4299</v>
      </c>
      <c r="O2668" s="66" t="s">
        <v>27</v>
      </c>
      <c r="P2668" s="82" t="s">
        <v>10208</v>
      </c>
      <c r="Q2668" s="84" t="s">
        <v>1963</v>
      </c>
      <c r="R2668" s="84" t="s">
        <v>9605</v>
      </c>
      <c r="S2668" s="84">
        <v>3.9E-2</v>
      </c>
      <c r="T2668" s="82" t="s">
        <v>10209</v>
      </c>
      <c r="U2668" s="84"/>
      <c r="V2668" s="54"/>
    </row>
    <row r="2669" spans="1:22" s="11" customFormat="1" ht="45" customHeight="1" x14ac:dyDescent="0.2">
      <c r="A2669" s="66" t="s">
        <v>1963</v>
      </c>
      <c r="B2669" s="66" t="s">
        <v>1155</v>
      </c>
      <c r="C2669" s="66" t="s">
        <v>9605</v>
      </c>
      <c r="D2669" s="66">
        <v>6975628241750</v>
      </c>
      <c r="E2669" s="68" t="s">
        <v>10210</v>
      </c>
      <c r="F2669" s="66" t="s">
        <v>10211</v>
      </c>
      <c r="G2669" s="71">
        <v>2530</v>
      </c>
      <c r="H2669" s="73"/>
      <c r="I2669" s="75">
        <v>0.2</v>
      </c>
      <c r="J2669" s="77"/>
      <c r="K2669" s="66"/>
      <c r="L2669" s="66"/>
      <c r="M2669" s="79" t="str">
        <f>HYPERLINK("http://www.pristavka.com/catalog/Genshin Impact/GEN521/")</f>
        <v>http://www.pristavka.com/catalog/Genshin Impact/GEN521/</v>
      </c>
      <c r="N2669" s="71">
        <v>4299</v>
      </c>
      <c r="O2669" s="66" t="s">
        <v>27</v>
      </c>
      <c r="P2669" s="82" t="s">
        <v>10212</v>
      </c>
      <c r="Q2669" s="84" t="s">
        <v>1963</v>
      </c>
      <c r="R2669" s="84" t="s">
        <v>9605</v>
      </c>
      <c r="S2669" s="84">
        <v>3.9E-2</v>
      </c>
      <c r="T2669" s="82" t="s">
        <v>10209</v>
      </c>
      <c r="U2669" s="84"/>
      <c r="V2669" s="54"/>
    </row>
    <row r="2670" spans="1:22" s="11" customFormat="1" ht="45" customHeight="1" x14ac:dyDescent="0.2">
      <c r="A2670" s="66" t="s">
        <v>1963</v>
      </c>
      <c r="B2670" s="66" t="s">
        <v>1155</v>
      </c>
      <c r="C2670" s="66" t="s">
        <v>9605</v>
      </c>
      <c r="D2670" s="66">
        <v>6975628241644</v>
      </c>
      <c r="E2670" s="68" t="s">
        <v>10213</v>
      </c>
      <c r="F2670" s="66" t="s">
        <v>10214</v>
      </c>
      <c r="G2670" s="71">
        <v>2530</v>
      </c>
      <c r="H2670" s="73"/>
      <c r="I2670" s="75">
        <v>0.2</v>
      </c>
      <c r="J2670" s="77"/>
      <c r="K2670" s="66"/>
      <c r="L2670" s="66"/>
      <c r="M2670" s="79" t="str">
        <f>HYPERLINK("http://www.pristavka.com/catalog/Genshin Impact/GEN510/")</f>
        <v>http://www.pristavka.com/catalog/Genshin Impact/GEN510/</v>
      </c>
      <c r="N2670" s="71">
        <v>4299</v>
      </c>
      <c r="O2670" s="66" t="s">
        <v>27</v>
      </c>
      <c r="P2670" s="82" t="s">
        <v>10215</v>
      </c>
      <c r="Q2670" s="84" t="s">
        <v>1963</v>
      </c>
      <c r="R2670" s="84" t="s">
        <v>9605</v>
      </c>
      <c r="S2670" s="84">
        <v>3.9E-2</v>
      </c>
      <c r="T2670" s="82" t="s">
        <v>10209</v>
      </c>
      <c r="U2670" s="84"/>
      <c r="V2670" s="54"/>
    </row>
    <row r="2671" spans="1:22" s="11" customFormat="1" ht="45" customHeight="1" x14ac:dyDescent="0.2">
      <c r="A2671" s="66" t="s">
        <v>1963</v>
      </c>
      <c r="B2671" s="66" t="s">
        <v>1155</v>
      </c>
      <c r="C2671" s="66" t="s">
        <v>9605</v>
      </c>
      <c r="D2671" s="66">
        <v>6975213686737</v>
      </c>
      <c r="E2671" s="68" t="s">
        <v>10216</v>
      </c>
      <c r="F2671" s="66" t="s">
        <v>10217</v>
      </c>
      <c r="G2671" s="71">
        <v>2308</v>
      </c>
      <c r="H2671" s="73"/>
      <c r="I2671" s="75">
        <v>0.2</v>
      </c>
      <c r="J2671" s="77"/>
      <c r="K2671" s="66"/>
      <c r="L2671" s="66"/>
      <c r="M2671" s="79" t="str">
        <f>HYPERLINK("http://www.pristavka.com/catalog/Genshin Impact/GEN531/")</f>
        <v>http://www.pristavka.com/catalog/Genshin Impact/GEN531/</v>
      </c>
      <c r="N2671" s="71">
        <v>3899</v>
      </c>
      <c r="O2671" s="66" t="s">
        <v>27</v>
      </c>
      <c r="P2671" s="82" t="s">
        <v>10218</v>
      </c>
      <c r="Q2671" s="84" t="s">
        <v>1963</v>
      </c>
      <c r="R2671" s="84" t="s">
        <v>9605</v>
      </c>
      <c r="S2671" s="84">
        <v>3.9E-2</v>
      </c>
      <c r="T2671" s="82" t="s">
        <v>10209</v>
      </c>
      <c r="U2671" s="84"/>
      <c r="V2671" s="54"/>
    </row>
    <row r="2672" spans="1:22" s="11" customFormat="1" ht="45" customHeight="1" x14ac:dyDescent="0.2">
      <c r="A2672" s="66" t="s">
        <v>1963</v>
      </c>
      <c r="B2672" s="66" t="s">
        <v>1155</v>
      </c>
      <c r="C2672" s="66" t="s">
        <v>9605</v>
      </c>
      <c r="D2672" s="66">
        <v>6974696611427</v>
      </c>
      <c r="E2672" s="68" t="s">
        <v>10219</v>
      </c>
      <c r="F2672" s="66" t="s">
        <v>10220</v>
      </c>
      <c r="G2672" s="71">
        <v>2530</v>
      </c>
      <c r="H2672" s="73"/>
      <c r="I2672" s="75">
        <v>0.2</v>
      </c>
      <c r="J2672" s="77"/>
      <c r="K2672" s="66"/>
      <c r="L2672" s="66"/>
      <c r="M2672" s="79" t="str">
        <f>HYPERLINK("http://www.pristavka.com/catalog/Genshin Impact/GEN509/")</f>
        <v>http://www.pristavka.com/catalog/Genshin Impact/GEN509/</v>
      </c>
      <c r="N2672" s="71">
        <v>4299</v>
      </c>
      <c r="O2672" s="66" t="s">
        <v>27</v>
      </c>
      <c r="P2672" s="82" t="s">
        <v>10221</v>
      </c>
      <c r="Q2672" s="84" t="s">
        <v>1963</v>
      </c>
      <c r="R2672" s="84" t="s">
        <v>9605</v>
      </c>
      <c r="S2672" s="84">
        <v>3.9E-2</v>
      </c>
      <c r="T2672" s="82" t="s">
        <v>10209</v>
      </c>
      <c r="U2672" s="84"/>
      <c r="V2672" s="54"/>
    </row>
    <row r="2673" spans="1:22" s="11" customFormat="1" ht="45" customHeight="1" x14ac:dyDescent="0.2">
      <c r="A2673" s="66" t="s">
        <v>1963</v>
      </c>
      <c r="B2673" s="66" t="s">
        <v>1155</v>
      </c>
      <c r="C2673" s="66" t="s">
        <v>9605</v>
      </c>
      <c r="D2673" s="66">
        <v>6975213686713</v>
      </c>
      <c r="E2673" s="68" t="s">
        <v>10222</v>
      </c>
      <c r="F2673" s="66" t="s">
        <v>10223</v>
      </c>
      <c r="G2673" s="71">
        <v>2308</v>
      </c>
      <c r="H2673" s="73"/>
      <c r="I2673" s="75">
        <v>0.2</v>
      </c>
      <c r="J2673" s="77"/>
      <c r="K2673" s="66"/>
      <c r="L2673" s="66"/>
      <c r="M2673" s="79" t="str">
        <f>HYPERLINK("http://www.pristavka.com/catalog/Genshin Impact/GEN529/")</f>
        <v>http://www.pristavka.com/catalog/Genshin Impact/GEN529/</v>
      </c>
      <c r="N2673" s="71">
        <v>3899</v>
      </c>
      <c r="O2673" s="66" t="s">
        <v>27</v>
      </c>
      <c r="P2673" s="82" t="s">
        <v>10224</v>
      </c>
      <c r="Q2673" s="84" t="s">
        <v>1963</v>
      </c>
      <c r="R2673" s="84" t="s">
        <v>9605</v>
      </c>
      <c r="S2673" s="84">
        <v>3.9E-2</v>
      </c>
      <c r="T2673" s="82" t="s">
        <v>10209</v>
      </c>
      <c r="U2673" s="84"/>
      <c r="V2673" s="54"/>
    </row>
    <row r="2674" spans="1:22" s="11" customFormat="1" ht="45" customHeight="1" x14ac:dyDescent="0.2">
      <c r="A2674" s="66" t="s">
        <v>1963</v>
      </c>
      <c r="B2674" s="66" t="s">
        <v>1155</v>
      </c>
      <c r="C2674" s="66" t="s">
        <v>9605</v>
      </c>
      <c r="D2674" s="66">
        <v>6975213686706</v>
      </c>
      <c r="E2674" s="68" t="s">
        <v>10225</v>
      </c>
      <c r="F2674" s="66" t="s">
        <v>10226</v>
      </c>
      <c r="G2674" s="71">
        <v>2308</v>
      </c>
      <c r="H2674" s="73"/>
      <c r="I2674" s="75">
        <v>0.2</v>
      </c>
      <c r="J2674" s="77"/>
      <c r="K2674" s="66"/>
      <c r="L2674" s="66"/>
      <c r="M2674" s="79" t="str">
        <f>HYPERLINK("http://www.pristavka.com/catalog/Genshin Impact/GEN528/")</f>
        <v>http://www.pristavka.com/catalog/Genshin Impact/GEN528/</v>
      </c>
      <c r="N2674" s="71">
        <v>3899</v>
      </c>
      <c r="O2674" s="66" t="s">
        <v>27</v>
      </c>
      <c r="P2674" s="82" t="s">
        <v>10227</v>
      </c>
      <c r="Q2674" s="84" t="s">
        <v>1963</v>
      </c>
      <c r="R2674" s="84" t="s">
        <v>9605</v>
      </c>
      <c r="S2674" s="84">
        <v>3.9E-2</v>
      </c>
      <c r="T2674" s="82" t="s">
        <v>10209</v>
      </c>
      <c r="U2674" s="84"/>
      <c r="V2674" s="54"/>
    </row>
    <row r="2675" spans="1:22" s="11" customFormat="1" ht="45" customHeight="1" x14ac:dyDescent="0.2">
      <c r="A2675" s="66" t="s">
        <v>1963</v>
      </c>
      <c r="B2675" s="66" t="s">
        <v>1155</v>
      </c>
      <c r="C2675" s="66" t="s">
        <v>9605</v>
      </c>
      <c r="D2675" s="66">
        <v>6976068141372</v>
      </c>
      <c r="E2675" s="68" t="s">
        <v>10228</v>
      </c>
      <c r="F2675" s="66" t="s">
        <v>10229</v>
      </c>
      <c r="G2675" s="71">
        <v>2308</v>
      </c>
      <c r="H2675" s="73"/>
      <c r="I2675" s="75">
        <v>0.2</v>
      </c>
      <c r="J2675" s="77"/>
      <c r="K2675" s="66"/>
      <c r="L2675" s="66"/>
      <c r="M2675" s="79" t="str">
        <f>HYPERLINK("http://www.pristavka.com/catalog/Genshin Impact/GEN537/")</f>
        <v>http://www.pristavka.com/catalog/Genshin Impact/GEN537/</v>
      </c>
      <c r="N2675" s="71">
        <v>3899</v>
      </c>
      <c r="O2675" s="66" t="s">
        <v>27</v>
      </c>
      <c r="P2675" s="82" t="s">
        <v>10230</v>
      </c>
      <c r="Q2675" s="84" t="s">
        <v>1963</v>
      </c>
      <c r="R2675" s="84" t="s">
        <v>9605</v>
      </c>
      <c r="S2675" s="84">
        <v>3.9E-2</v>
      </c>
      <c r="T2675" s="82" t="s">
        <v>10209</v>
      </c>
      <c r="U2675" s="84"/>
      <c r="V2675" s="54"/>
    </row>
    <row r="2676" spans="1:22" s="11" customFormat="1" ht="45" customHeight="1" x14ac:dyDescent="0.2">
      <c r="A2676" s="66" t="s">
        <v>1963</v>
      </c>
      <c r="B2676" s="66" t="s">
        <v>1155</v>
      </c>
      <c r="C2676" s="66" t="s">
        <v>9605</v>
      </c>
      <c r="D2676" s="66">
        <v>6975628249251</v>
      </c>
      <c r="E2676" s="68" t="s">
        <v>10231</v>
      </c>
      <c r="F2676" s="66" t="s">
        <v>10232</v>
      </c>
      <c r="G2676" s="71">
        <v>2308</v>
      </c>
      <c r="H2676" s="73"/>
      <c r="I2676" s="75">
        <v>0.2</v>
      </c>
      <c r="J2676" s="77"/>
      <c r="K2676" s="66"/>
      <c r="L2676" s="66"/>
      <c r="M2676" s="79" t="str">
        <f>HYPERLINK("http://www.pristavka.com/catalog/Genshin Impact/GEN535/")</f>
        <v>http://www.pristavka.com/catalog/Genshin Impact/GEN535/</v>
      </c>
      <c r="N2676" s="71">
        <v>3899</v>
      </c>
      <c r="O2676" s="66" t="s">
        <v>27</v>
      </c>
      <c r="P2676" s="82" t="s">
        <v>10233</v>
      </c>
      <c r="Q2676" s="84" t="s">
        <v>1963</v>
      </c>
      <c r="R2676" s="84" t="s">
        <v>9605</v>
      </c>
      <c r="S2676" s="84">
        <v>3.9E-2</v>
      </c>
      <c r="T2676" s="82" t="s">
        <v>10209</v>
      </c>
      <c r="U2676" s="84"/>
      <c r="V2676" s="54"/>
    </row>
    <row r="2677" spans="1:22" s="11" customFormat="1" ht="45" customHeight="1" x14ac:dyDescent="0.2">
      <c r="A2677" s="66" t="s">
        <v>1963</v>
      </c>
      <c r="B2677" s="66" t="s">
        <v>1155</v>
      </c>
      <c r="C2677" s="66" t="s">
        <v>9605</v>
      </c>
      <c r="D2677" s="66">
        <v>6975628241651</v>
      </c>
      <c r="E2677" s="68" t="s">
        <v>10234</v>
      </c>
      <c r="F2677" s="66" t="s">
        <v>10235</v>
      </c>
      <c r="G2677" s="71">
        <v>2530</v>
      </c>
      <c r="H2677" s="73"/>
      <c r="I2677" s="75">
        <v>0.2</v>
      </c>
      <c r="J2677" s="77"/>
      <c r="K2677" s="66"/>
      <c r="L2677" s="66"/>
      <c r="M2677" s="79" t="str">
        <f>HYPERLINK("http://www.pristavka.com/catalog/Genshin Impact/GEN511/")</f>
        <v>http://www.pristavka.com/catalog/Genshin Impact/GEN511/</v>
      </c>
      <c r="N2677" s="71">
        <v>4299</v>
      </c>
      <c r="O2677" s="66" t="s">
        <v>27</v>
      </c>
      <c r="P2677" s="82" t="s">
        <v>10236</v>
      </c>
      <c r="Q2677" s="84" t="s">
        <v>1963</v>
      </c>
      <c r="R2677" s="84" t="s">
        <v>9605</v>
      </c>
      <c r="S2677" s="84">
        <v>3.9E-2</v>
      </c>
      <c r="T2677" s="82" t="s">
        <v>10209</v>
      </c>
      <c r="U2677" s="84"/>
      <c r="V2677" s="54"/>
    </row>
    <row r="2678" spans="1:22" s="11" customFormat="1" ht="45" customHeight="1" x14ac:dyDescent="0.2">
      <c r="A2678" s="66" t="s">
        <v>1963</v>
      </c>
      <c r="B2678" s="66" t="s">
        <v>1155</v>
      </c>
      <c r="C2678" s="66" t="s">
        <v>9605</v>
      </c>
      <c r="D2678" s="66">
        <v>6976068147602</v>
      </c>
      <c r="E2678" s="68" t="s">
        <v>10237</v>
      </c>
      <c r="F2678" s="66" t="s">
        <v>10238</v>
      </c>
      <c r="G2678" s="71">
        <v>2689</v>
      </c>
      <c r="H2678" s="73"/>
      <c r="I2678" s="75">
        <v>0.2</v>
      </c>
      <c r="J2678" s="77"/>
      <c r="K2678" s="66"/>
      <c r="L2678" s="66"/>
      <c r="M2678" s="79" t="str">
        <f>HYPERLINK("http://www.pristavka.com/catalog/Genshin Impact/GEN890/")</f>
        <v>http://www.pristavka.com/catalog/Genshin Impact/GEN890/</v>
      </c>
      <c r="N2678" s="71">
        <v>4499</v>
      </c>
      <c r="O2678" s="66" t="s">
        <v>27</v>
      </c>
      <c r="P2678" s="82" t="s">
        <v>10239</v>
      </c>
      <c r="Q2678" s="84" t="s">
        <v>1963</v>
      </c>
      <c r="R2678" s="84" t="s">
        <v>9605</v>
      </c>
      <c r="S2678" s="84">
        <v>2.5000000000000001E-2</v>
      </c>
      <c r="T2678" s="82" t="s">
        <v>10240</v>
      </c>
      <c r="U2678" s="84"/>
      <c r="V2678" s="54"/>
    </row>
    <row r="2679" spans="1:22" s="11" customFormat="1" ht="45" customHeight="1" x14ac:dyDescent="0.2">
      <c r="A2679" s="66" t="s">
        <v>1963</v>
      </c>
      <c r="B2679" s="66" t="s">
        <v>1155</v>
      </c>
      <c r="C2679" s="66" t="s">
        <v>9605</v>
      </c>
      <c r="D2679" s="66">
        <v>6975628241668</v>
      </c>
      <c r="E2679" s="68" t="s">
        <v>10241</v>
      </c>
      <c r="F2679" s="66" t="s">
        <v>10242</v>
      </c>
      <c r="G2679" s="71">
        <v>2530</v>
      </c>
      <c r="H2679" s="73"/>
      <c r="I2679" s="75">
        <v>0.2</v>
      </c>
      <c r="J2679" s="77"/>
      <c r="K2679" s="66"/>
      <c r="L2679" s="66"/>
      <c r="M2679" s="79" t="str">
        <f>HYPERLINK("http://www.pristavka.com/catalog/Genshin Impact/GEN512/")</f>
        <v>http://www.pristavka.com/catalog/Genshin Impact/GEN512/</v>
      </c>
      <c r="N2679" s="71">
        <v>4299</v>
      </c>
      <c r="O2679" s="66" t="s">
        <v>27</v>
      </c>
      <c r="P2679" s="82" t="s">
        <v>10243</v>
      </c>
      <c r="Q2679" s="84" t="s">
        <v>1963</v>
      </c>
      <c r="R2679" s="84" t="s">
        <v>9605</v>
      </c>
      <c r="S2679" s="84">
        <v>3.9E-2</v>
      </c>
      <c r="T2679" s="82" t="s">
        <v>10209</v>
      </c>
      <c r="U2679" s="84"/>
      <c r="V2679" s="54"/>
    </row>
    <row r="2680" spans="1:22" s="11" customFormat="1" ht="45" customHeight="1" x14ac:dyDescent="0.2">
      <c r="A2680" s="66" t="s">
        <v>1963</v>
      </c>
      <c r="B2680" s="66" t="s">
        <v>1155</v>
      </c>
      <c r="C2680" s="66" t="s">
        <v>9605</v>
      </c>
      <c r="D2680" s="66">
        <v>6975628241774</v>
      </c>
      <c r="E2680" s="68" t="s">
        <v>10244</v>
      </c>
      <c r="F2680" s="66" t="s">
        <v>10245</v>
      </c>
      <c r="G2680" s="71">
        <v>2530</v>
      </c>
      <c r="H2680" s="73"/>
      <c r="I2680" s="75">
        <v>0.2</v>
      </c>
      <c r="J2680" s="77"/>
      <c r="K2680" s="66"/>
      <c r="L2680" s="66"/>
      <c r="M2680" s="79" t="str">
        <f>HYPERLINK("http://www.pristavka.com/catalog/Genshin Impact/GEN523/")</f>
        <v>http://www.pristavka.com/catalog/Genshin Impact/GEN523/</v>
      </c>
      <c r="N2680" s="71">
        <v>4299</v>
      </c>
      <c r="O2680" s="66" t="s">
        <v>27</v>
      </c>
      <c r="P2680" s="82" t="s">
        <v>10246</v>
      </c>
      <c r="Q2680" s="84" t="s">
        <v>1963</v>
      </c>
      <c r="R2680" s="84" t="s">
        <v>9605</v>
      </c>
      <c r="S2680" s="84">
        <v>3.9E-2</v>
      </c>
      <c r="T2680" s="82" t="s">
        <v>10209</v>
      </c>
      <c r="U2680" s="84"/>
      <c r="V2680" s="54"/>
    </row>
    <row r="2681" spans="1:22" s="11" customFormat="1" ht="45" customHeight="1" x14ac:dyDescent="0.2">
      <c r="A2681" s="66" t="s">
        <v>1963</v>
      </c>
      <c r="B2681" s="66" t="s">
        <v>1155</v>
      </c>
      <c r="C2681" s="66" t="s">
        <v>9605</v>
      </c>
      <c r="D2681" s="66">
        <v>6975628241767</v>
      </c>
      <c r="E2681" s="68" t="s">
        <v>10247</v>
      </c>
      <c r="F2681" s="66" t="s">
        <v>10248</v>
      </c>
      <c r="G2681" s="71">
        <v>2530</v>
      </c>
      <c r="H2681" s="73"/>
      <c r="I2681" s="75">
        <v>0.2</v>
      </c>
      <c r="J2681" s="77"/>
      <c r="K2681" s="66"/>
      <c r="L2681" s="66"/>
      <c r="M2681" s="79" t="str">
        <f>HYPERLINK("http://www.pristavka.com/catalog/Genshin Impact/GEN522/")</f>
        <v>http://www.pristavka.com/catalog/Genshin Impact/GEN522/</v>
      </c>
      <c r="N2681" s="71">
        <v>4299</v>
      </c>
      <c r="O2681" s="66" t="s">
        <v>27</v>
      </c>
      <c r="P2681" s="82" t="s">
        <v>10249</v>
      </c>
      <c r="Q2681" s="84" t="s">
        <v>1963</v>
      </c>
      <c r="R2681" s="84" t="s">
        <v>9605</v>
      </c>
      <c r="S2681" s="84">
        <v>3.9E-2</v>
      </c>
      <c r="T2681" s="82" t="s">
        <v>10209</v>
      </c>
      <c r="U2681" s="84"/>
      <c r="V2681" s="54"/>
    </row>
    <row r="2682" spans="1:22" s="11" customFormat="1" ht="45" customHeight="1" x14ac:dyDescent="0.2">
      <c r="A2682" s="66" t="s">
        <v>1963</v>
      </c>
      <c r="B2682" s="66" t="s">
        <v>1155</v>
      </c>
      <c r="C2682" s="66" t="s">
        <v>9605</v>
      </c>
      <c r="D2682" s="66">
        <v>6975628241729</v>
      </c>
      <c r="E2682" s="68" t="s">
        <v>10250</v>
      </c>
      <c r="F2682" s="66" t="s">
        <v>10251</v>
      </c>
      <c r="G2682" s="71">
        <v>2530</v>
      </c>
      <c r="H2682" s="73"/>
      <c r="I2682" s="75">
        <v>0.2</v>
      </c>
      <c r="J2682" s="77"/>
      <c r="K2682" s="66"/>
      <c r="L2682" s="66"/>
      <c r="M2682" s="79" t="str">
        <f>HYPERLINK("http://www.pristavka.com/catalog/Genshin Impact/GEN518/")</f>
        <v>http://www.pristavka.com/catalog/Genshin Impact/GEN518/</v>
      </c>
      <c r="N2682" s="71">
        <v>4299</v>
      </c>
      <c r="O2682" s="66" t="s">
        <v>27</v>
      </c>
      <c r="P2682" s="82" t="s">
        <v>10252</v>
      </c>
      <c r="Q2682" s="84" t="s">
        <v>1963</v>
      </c>
      <c r="R2682" s="84" t="s">
        <v>9605</v>
      </c>
      <c r="S2682" s="84">
        <v>3.9E-2</v>
      </c>
      <c r="T2682" s="82" t="s">
        <v>10209</v>
      </c>
      <c r="U2682" s="84"/>
      <c r="V2682" s="54"/>
    </row>
    <row r="2683" spans="1:22" s="11" customFormat="1" ht="45" customHeight="1" x14ac:dyDescent="0.2">
      <c r="A2683" s="66" t="s">
        <v>1963</v>
      </c>
      <c r="B2683" s="66" t="s">
        <v>1155</v>
      </c>
      <c r="C2683" s="66" t="s">
        <v>9605</v>
      </c>
      <c r="D2683" s="66">
        <v>6972957489891</v>
      </c>
      <c r="E2683" s="68" t="s">
        <v>10253</v>
      </c>
      <c r="F2683" s="66" t="s">
        <v>10254</v>
      </c>
      <c r="G2683" s="71">
        <v>2847</v>
      </c>
      <c r="H2683" s="73"/>
      <c r="I2683" s="75">
        <v>0.2</v>
      </c>
      <c r="J2683" s="77"/>
      <c r="K2683" s="66"/>
      <c r="L2683" s="66"/>
      <c r="M2683" s="79" t="str">
        <f>HYPERLINK("http://www.pristavka.com/catalog/Genshin Impact/GEN507/")</f>
        <v>http://www.pristavka.com/catalog/Genshin Impact/GEN507/</v>
      </c>
      <c r="N2683" s="71">
        <v>4799</v>
      </c>
      <c r="O2683" s="66" t="s">
        <v>28</v>
      </c>
      <c r="P2683" s="82" t="s">
        <v>10255</v>
      </c>
      <c r="Q2683" s="84" t="s">
        <v>1963</v>
      </c>
      <c r="R2683" s="84" t="s">
        <v>9605</v>
      </c>
      <c r="S2683" s="84">
        <v>3.9E-2</v>
      </c>
      <c r="T2683" s="82" t="s">
        <v>10209</v>
      </c>
      <c r="U2683" s="84"/>
      <c r="V2683" s="54"/>
    </row>
    <row r="2684" spans="1:22" s="11" customFormat="1" ht="45" customHeight="1" x14ac:dyDescent="0.2">
      <c r="A2684" s="66" t="s">
        <v>1963</v>
      </c>
      <c r="B2684" s="66" t="s">
        <v>1155</v>
      </c>
      <c r="C2684" s="66" t="s">
        <v>9605</v>
      </c>
      <c r="D2684" s="66">
        <v>6975628249237</v>
      </c>
      <c r="E2684" s="68" t="s">
        <v>10256</v>
      </c>
      <c r="F2684" s="66" t="s">
        <v>10257</v>
      </c>
      <c r="G2684" s="71">
        <v>2308</v>
      </c>
      <c r="H2684" s="73"/>
      <c r="I2684" s="75">
        <v>0.2</v>
      </c>
      <c r="J2684" s="77"/>
      <c r="K2684" s="66"/>
      <c r="L2684" s="66"/>
      <c r="M2684" s="79" t="str">
        <f>HYPERLINK("http://www.pristavka.com/catalog/Genshin Impact/GEN533/")</f>
        <v>http://www.pristavka.com/catalog/Genshin Impact/GEN533/</v>
      </c>
      <c r="N2684" s="71">
        <v>3899</v>
      </c>
      <c r="O2684" s="66" t="s">
        <v>27</v>
      </c>
      <c r="P2684" s="82" t="s">
        <v>10258</v>
      </c>
      <c r="Q2684" s="84" t="s">
        <v>1963</v>
      </c>
      <c r="R2684" s="84" t="s">
        <v>9605</v>
      </c>
      <c r="S2684" s="84">
        <v>3.9E-2</v>
      </c>
      <c r="T2684" s="82" t="s">
        <v>10209</v>
      </c>
      <c r="U2684" s="84"/>
      <c r="V2684" s="54"/>
    </row>
    <row r="2685" spans="1:22" s="11" customFormat="1" ht="45" customHeight="1" x14ac:dyDescent="0.2">
      <c r="A2685" s="66" t="s">
        <v>1963</v>
      </c>
      <c r="B2685" s="66" t="s">
        <v>1155</v>
      </c>
      <c r="C2685" s="66" t="s">
        <v>9605</v>
      </c>
      <c r="D2685" s="66">
        <v>6976068141396</v>
      </c>
      <c r="E2685" s="68" t="s">
        <v>10259</v>
      </c>
      <c r="F2685" s="66" t="s">
        <v>10260</v>
      </c>
      <c r="G2685" s="71">
        <v>2308</v>
      </c>
      <c r="H2685" s="73"/>
      <c r="I2685" s="75">
        <v>0.2</v>
      </c>
      <c r="J2685" s="77"/>
      <c r="K2685" s="66"/>
      <c r="L2685" s="66"/>
      <c r="M2685" s="79" t="str">
        <f>HYPERLINK("http://www.pristavka.com/catalog/Genshin Impact/GEN539/")</f>
        <v>http://www.pristavka.com/catalog/Genshin Impact/GEN539/</v>
      </c>
      <c r="N2685" s="71">
        <v>3899</v>
      </c>
      <c r="O2685" s="66" t="s">
        <v>27</v>
      </c>
      <c r="P2685" s="82" t="s">
        <v>10261</v>
      </c>
      <c r="Q2685" s="84" t="s">
        <v>1963</v>
      </c>
      <c r="R2685" s="84" t="s">
        <v>9605</v>
      </c>
      <c r="S2685" s="84">
        <v>3.9E-2</v>
      </c>
      <c r="T2685" s="82" t="s">
        <v>10209</v>
      </c>
      <c r="U2685" s="84"/>
      <c r="V2685" s="54"/>
    </row>
    <row r="2686" spans="1:22" s="11" customFormat="1" ht="45" customHeight="1" x14ac:dyDescent="0.2">
      <c r="A2686" s="66" t="s">
        <v>1963</v>
      </c>
      <c r="B2686" s="66" t="s">
        <v>1155</v>
      </c>
      <c r="C2686" s="66" t="s">
        <v>9605</v>
      </c>
      <c r="D2686" s="66">
        <v>6975213686744</v>
      </c>
      <c r="E2686" s="68" t="s">
        <v>10262</v>
      </c>
      <c r="F2686" s="66" t="s">
        <v>10263</v>
      </c>
      <c r="G2686" s="71">
        <v>2308</v>
      </c>
      <c r="H2686" s="73"/>
      <c r="I2686" s="75">
        <v>0.2</v>
      </c>
      <c r="J2686" s="77"/>
      <c r="K2686" s="66"/>
      <c r="L2686" s="66"/>
      <c r="M2686" s="79" t="str">
        <f>HYPERLINK("http://www.pristavka.com/catalog/Genshin Impact/GEN532/")</f>
        <v>http://www.pristavka.com/catalog/Genshin Impact/GEN532/</v>
      </c>
      <c r="N2686" s="71">
        <v>3899</v>
      </c>
      <c r="O2686" s="66" t="s">
        <v>27</v>
      </c>
      <c r="P2686" s="82" t="s">
        <v>10264</v>
      </c>
      <c r="Q2686" s="84" t="s">
        <v>1963</v>
      </c>
      <c r="R2686" s="84" t="s">
        <v>9605</v>
      </c>
      <c r="S2686" s="84">
        <v>3.9E-2</v>
      </c>
      <c r="T2686" s="82" t="s">
        <v>10209</v>
      </c>
      <c r="U2686" s="84"/>
      <c r="V2686" s="54"/>
    </row>
    <row r="2687" spans="1:22" s="11" customFormat="1" ht="45" customHeight="1" x14ac:dyDescent="0.2">
      <c r="A2687" s="66" t="s">
        <v>1963</v>
      </c>
      <c r="B2687" s="66" t="s">
        <v>1155</v>
      </c>
      <c r="C2687" s="66" t="s">
        <v>9605</v>
      </c>
      <c r="D2687" s="66">
        <v>6975213686690</v>
      </c>
      <c r="E2687" s="68" t="s">
        <v>10265</v>
      </c>
      <c r="F2687" s="66" t="s">
        <v>10266</v>
      </c>
      <c r="G2687" s="71">
        <v>2308</v>
      </c>
      <c r="H2687" s="73"/>
      <c r="I2687" s="75">
        <v>0.2</v>
      </c>
      <c r="J2687" s="77"/>
      <c r="K2687" s="66"/>
      <c r="L2687" s="66"/>
      <c r="M2687" s="79" t="str">
        <f>HYPERLINK("http://www.pristavka.com/catalog/Genshin Impact/GEN527/")</f>
        <v>http://www.pristavka.com/catalog/Genshin Impact/GEN527/</v>
      </c>
      <c r="N2687" s="71">
        <v>3899</v>
      </c>
      <c r="O2687" s="66" t="s">
        <v>27</v>
      </c>
      <c r="P2687" s="82" t="s">
        <v>10267</v>
      </c>
      <c r="Q2687" s="84" t="s">
        <v>1963</v>
      </c>
      <c r="R2687" s="84" t="s">
        <v>9605</v>
      </c>
      <c r="S2687" s="84">
        <v>3.9E-2</v>
      </c>
      <c r="T2687" s="82" t="s">
        <v>10209</v>
      </c>
      <c r="U2687" s="84"/>
      <c r="V2687" s="54"/>
    </row>
    <row r="2688" spans="1:22" s="11" customFormat="1" ht="45" customHeight="1" x14ac:dyDescent="0.2">
      <c r="A2688" s="66" t="s">
        <v>1963</v>
      </c>
      <c r="B2688" s="66" t="s">
        <v>1155</v>
      </c>
      <c r="C2688" s="66" t="s">
        <v>9605</v>
      </c>
      <c r="D2688" s="66">
        <v>6972957489884</v>
      </c>
      <c r="E2688" s="68" t="s">
        <v>10268</v>
      </c>
      <c r="F2688" s="66" t="s">
        <v>10269</v>
      </c>
      <c r="G2688" s="71">
        <v>2847</v>
      </c>
      <c r="H2688" s="73"/>
      <c r="I2688" s="75">
        <v>0.2</v>
      </c>
      <c r="J2688" s="77"/>
      <c r="K2688" s="66"/>
      <c r="L2688" s="66"/>
      <c r="M2688" s="79" t="str">
        <f>HYPERLINK("http://www.pristavka.com/catalog/Genshin Impact/GEN506/")</f>
        <v>http://www.pristavka.com/catalog/Genshin Impact/GEN506/</v>
      </c>
      <c r="N2688" s="71">
        <v>4799</v>
      </c>
      <c r="O2688" s="66" t="s">
        <v>27</v>
      </c>
      <c r="P2688" s="82" t="s">
        <v>10270</v>
      </c>
      <c r="Q2688" s="84" t="s">
        <v>1963</v>
      </c>
      <c r="R2688" s="84" t="s">
        <v>9605</v>
      </c>
      <c r="S2688" s="84">
        <v>3.9E-2</v>
      </c>
      <c r="T2688" s="82" t="s">
        <v>10209</v>
      </c>
      <c r="U2688" s="84"/>
      <c r="V2688" s="54"/>
    </row>
    <row r="2689" spans="1:22" s="11" customFormat="1" ht="45" customHeight="1" x14ac:dyDescent="0.2">
      <c r="A2689" s="66" t="s">
        <v>1963</v>
      </c>
      <c r="B2689" s="66" t="s">
        <v>1155</v>
      </c>
      <c r="C2689" s="66" t="s">
        <v>9605</v>
      </c>
      <c r="D2689" s="66">
        <v>6975628241798</v>
      </c>
      <c r="E2689" s="68" t="s">
        <v>10271</v>
      </c>
      <c r="F2689" s="66" t="s">
        <v>10272</v>
      </c>
      <c r="G2689" s="71">
        <v>2530</v>
      </c>
      <c r="H2689" s="73"/>
      <c r="I2689" s="75">
        <v>0.2</v>
      </c>
      <c r="J2689" s="77"/>
      <c r="K2689" s="66"/>
      <c r="L2689" s="66"/>
      <c r="M2689" s="79" t="str">
        <f>HYPERLINK("http://www.pristavka.com/catalog/Genshin Impact/GEN525/")</f>
        <v>http://www.pristavka.com/catalog/Genshin Impact/GEN525/</v>
      </c>
      <c r="N2689" s="71">
        <v>4299</v>
      </c>
      <c r="O2689" s="66" t="s">
        <v>28</v>
      </c>
      <c r="P2689" s="82" t="s">
        <v>10273</v>
      </c>
      <c r="Q2689" s="84" t="s">
        <v>1963</v>
      </c>
      <c r="R2689" s="84" t="s">
        <v>9605</v>
      </c>
      <c r="S2689" s="84">
        <v>3.9E-2</v>
      </c>
      <c r="T2689" s="82" t="s">
        <v>10209</v>
      </c>
      <c r="U2689" s="84"/>
      <c r="V2689" s="54"/>
    </row>
    <row r="2690" spans="1:22" s="11" customFormat="1" ht="45" customHeight="1" x14ac:dyDescent="0.2">
      <c r="A2690" s="66" t="s">
        <v>1963</v>
      </c>
      <c r="B2690" s="66" t="s">
        <v>1155</v>
      </c>
      <c r="C2690" s="66" t="s">
        <v>9605</v>
      </c>
      <c r="D2690" s="66">
        <v>6974696611397</v>
      </c>
      <c r="E2690" s="68" t="s">
        <v>10274</v>
      </c>
      <c r="F2690" s="66" t="s">
        <v>10275</v>
      </c>
      <c r="G2690" s="71">
        <v>2530</v>
      </c>
      <c r="H2690" s="73"/>
      <c r="I2690" s="75">
        <v>0.2</v>
      </c>
      <c r="J2690" s="77"/>
      <c r="K2690" s="66"/>
      <c r="L2690" s="66"/>
      <c r="M2690" s="79" t="str">
        <f>HYPERLINK("http://www.pristavka.com/catalog/Genshin Impact/GEN508/")</f>
        <v>http://www.pristavka.com/catalog/Genshin Impact/GEN508/</v>
      </c>
      <c r="N2690" s="71">
        <v>4299</v>
      </c>
      <c r="O2690" s="66" t="s">
        <v>27</v>
      </c>
      <c r="P2690" s="82" t="s">
        <v>10276</v>
      </c>
      <c r="Q2690" s="84" t="s">
        <v>1963</v>
      </c>
      <c r="R2690" s="84" t="s">
        <v>9605</v>
      </c>
      <c r="S2690" s="84">
        <v>3.9E-2</v>
      </c>
      <c r="T2690" s="82" t="s">
        <v>10209</v>
      </c>
      <c r="U2690" s="84"/>
      <c r="V2690" s="54"/>
    </row>
    <row r="2691" spans="1:22" s="11" customFormat="1" ht="45" customHeight="1" x14ac:dyDescent="0.2">
      <c r="A2691" s="66" t="s">
        <v>1963</v>
      </c>
      <c r="B2691" s="66" t="s">
        <v>1155</v>
      </c>
      <c r="C2691" s="66" t="s">
        <v>9605</v>
      </c>
      <c r="D2691" s="66">
        <v>6975628241705</v>
      </c>
      <c r="E2691" s="68" t="s">
        <v>10277</v>
      </c>
      <c r="F2691" s="66" t="s">
        <v>10278</v>
      </c>
      <c r="G2691" s="71">
        <v>2530</v>
      </c>
      <c r="H2691" s="73"/>
      <c r="I2691" s="75">
        <v>0.2</v>
      </c>
      <c r="J2691" s="77"/>
      <c r="K2691" s="66"/>
      <c r="L2691" s="66"/>
      <c r="M2691" s="79" t="str">
        <f>HYPERLINK("http://www.pristavka.com/catalog/Genshin Impact/GEN516/")</f>
        <v>http://www.pristavka.com/catalog/Genshin Impact/GEN516/</v>
      </c>
      <c r="N2691" s="71">
        <v>4299</v>
      </c>
      <c r="O2691" s="66" t="s">
        <v>27</v>
      </c>
      <c r="P2691" s="82" t="s">
        <v>10279</v>
      </c>
      <c r="Q2691" s="84" t="s">
        <v>1963</v>
      </c>
      <c r="R2691" s="84" t="s">
        <v>9605</v>
      </c>
      <c r="S2691" s="84">
        <v>3.9E-2</v>
      </c>
      <c r="T2691" s="82" t="s">
        <v>10209</v>
      </c>
      <c r="U2691" s="84"/>
      <c r="V2691" s="54"/>
    </row>
    <row r="2692" spans="1:22" s="11" customFormat="1" ht="45" customHeight="1" x14ac:dyDescent="0.2">
      <c r="A2692" s="66" t="s">
        <v>1963</v>
      </c>
      <c r="B2692" s="66" t="s">
        <v>1155</v>
      </c>
      <c r="C2692" s="66" t="s">
        <v>9605</v>
      </c>
      <c r="D2692" s="66">
        <v>6975628249244</v>
      </c>
      <c r="E2692" s="68" t="s">
        <v>10280</v>
      </c>
      <c r="F2692" s="66" t="s">
        <v>10281</v>
      </c>
      <c r="G2692" s="71">
        <v>2308</v>
      </c>
      <c r="H2692" s="73"/>
      <c r="I2692" s="75">
        <v>0.2</v>
      </c>
      <c r="J2692" s="77"/>
      <c r="K2692" s="66"/>
      <c r="L2692" s="66"/>
      <c r="M2692" s="79" t="str">
        <f>HYPERLINK("http://www.pristavka.com/catalog/Genshin Impact/GEN534/")</f>
        <v>http://www.pristavka.com/catalog/Genshin Impact/GEN534/</v>
      </c>
      <c r="N2692" s="71">
        <v>3899</v>
      </c>
      <c r="O2692" s="66" t="s">
        <v>27</v>
      </c>
      <c r="P2692" s="82" t="s">
        <v>10282</v>
      </c>
      <c r="Q2692" s="84" t="s">
        <v>1963</v>
      </c>
      <c r="R2692" s="84" t="s">
        <v>9605</v>
      </c>
      <c r="S2692" s="84">
        <v>3.9E-2</v>
      </c>
      <c r="T2692" s="82" t="s">
        <v>10209</v>
      </c>
      <c r="U2692" s="84"/>
      <c r="V2692" s="54"/>
    </row>
    <row r="2693" spans="1:22" s="11" customFormat="1" ht="45" customHeight="1" x14ac:dyDescent="0.2">
      <c r="A2693" s="66" t="s">
        <v>1963</v>
      </c>
      <c r="B2693" s="66" t="s">
        <v>1155</v>
      </c>
      <c r="C2693" s="66" t="s">
        <v>9605</v>
      </c>
      <c r="D2693" s="66">
        <v>6975628241736</v>
      </c>
      <c r="E2693" s="68" t="s">
        <v>10283</v>
      </c>
      <c r="F2693" s="66" t="s">
        <v>10284</v>
      </c>
      <c r="G2693" s="71">
        <v>2530</v>
      </c>
      <c r="H2693" s="73"/>
      <c r="I2693" s="75">
        <v>0.2</v>
      </c>
      <c r="J2693" s="77"/>
      <c r="K2693" s="66"/>
      <c r="L2693" s="66"/>
      <c r="M2693" s="79" t="str">
        <f>HYPERLINK("http://www.pristavka.com/catalog/Genshin Impact/GEN519/")</f>
        <v>http://www.pristavka.com/catalog/Genshin Impact/GEN519/</v>
      </c>
      <c r="N2693" s="71">
        <v>4299</v>
      </c>
      <c r="O2693" s="66" t="s">
        <v>27</v>
      </c>
      <c r="P2693" s="82" t="s">
        <v>10285</v>
      </c>
      <c r="Q2693" s="84" t="s">
        <v>1963</v>
      </c>
      <c r="R2693" s="84" t="s">
        <v>9605</v>
      </c>
      <c r="S2693" s="84">
        <v>3.9E-2</v>
      </c>
      <c r="T2693" s="82" t="s">
        <v>10209</v>
      </c>
      <c r="U2693" s="84"/>
      <c r="V2693" s="54"/>
    </row>
    <row r="2694" spans="1:22" s="11" customFormat="1" ht="45" customHeight="1" x14ac:dyDescent="0.2">
      <c r="A2694" s="66" t="s">
        <v>1963</v>
      </c>
      <c r="B2694" s="66" t="s">
        <v>1155</v>
      </c>
      <c r="C2694" s="66" t="s">
        <v>9605</v>
      </c>
      <c r="D2694" s="66">
        <v>6975628241712</v>
      </c>
      <c r="E2694" s="68" t="s">
        <v>10286</v>
      </c>
      <c r="F2694" s="66" t="s">
        <v>10287</v>
      </c>
      <c r="G2694" s="71">
        <v>2530</v>
      </c>
      <c r="H2694" s="73"/>
      <c r="I2694" s="75">
        <v>0.2</v>
      </c>
      <c r="J2694" s="77"/>
      <c r="K2694" s="66"/>
      <c r="L2694" s="66"/>
      <c r="M2694" s="79" t="str">
        <f>HYPERLINK("http://www.pristavka.com/catalog/Genshin Impact/GEN517/")</f>
        <v>http://www.pristavka.com/catalog/Genshin Impact/GEN517/</v>
      </c>
      <c r="N2694" s="71">
        <v>4299</v>
      </c>
      <c r="O2694" s="66" t="s">
        <v>27</v>
      </c>
      <c r="P2694" s="82" t="s">
        <v>10288</v>
      </c>
      <c r="Q2694" s="84" t="s">
        <v>1963</v>
      </c>
      <c r="R2694" s="84" t="s">
        <v>9605</v>
      </c>
      <c r="S2694" s="84">
        <v>3.9E-2</v>
      </c>
      <c r="T2694" s="82" t="s">
        <v>10209</v>
      </c>
      <c r="U2694" s="84"/>
      <c r="V2694" s="54"/>
    </row>
    <row r="2695" spans="1:22" s="11" customFormat="1" ht="45" customHeight="1" x14ac:dyDescent="0.2">
      <c r="A2695" s="66" t="s">
        <v>1963</v>
      </c>
      <c r="B2695" s="66" t="s">
        <v>1155</v>
      </c>
      <c r="C2695" s="66" t="s">
        <v>9605</v>
      </c>
      <c r="D2695" s="66">
        <v>6975628241781</v>
      </c>
      <c r="E2695" s="68" t="s">
        <v>10289</v>
      </c>
      <c r="F2695" s="66" t="s">
        <v>10290</v>
      </c>
      <c r="G2695" s="71">
        <v>2530</v>
      </c>
      <c r="H2695" s="73"/>
      <c r="I2695" s="75">
        <v>0.2</v>
      </c>
      <c r="J2695" s="77"/>
      <c r="K2695" s="66"/>
      <c r="L2695" s="66"/>
      <c r="M2695" s="79" t="str">
        <f>HYPERLINK("http://www.pristavka.com/catalog/Genshin Impact/GEN524/")</f>
        <v>http://www.pristavka.com/catalog/Genshin Impact/GEN524/</v>
      </c>
      <c r="N2695" s="71">
        <v>4299</v>
      </c>
      <c r="O2695" s="66" t="s">
        <v>28</v>
      </c>
      <c r="P2695" s="82" t="s">
        <v>10291</v>
      </c>
      <c r="Q2695" s="84" t="s">
        <v>1963</v>
      </c>
      <c r="R2695" s="84" t="s">
        <v>9605</v>
      </c>
      <c r="S2695" s="84">
        <v>3.9E-2</v>
      </c>
      <c r="T2695" s="82" t="s">
        <v>10209</v>
      </c>
      <c r="U2695" s="84"/>
      <c r="V2695" s="54"/>
    </row>
    <row r="2696" spans="1:22" s="11" customFormat="1" ht="45" customHeight="1" x14ac:dyDescent="0.2">
      <c r="A2696" s="66" t="s">
        <v>1963</v>
      </c>
      <c r="B2696" s="66" t="s">
        <v>1155</v>
      </c>
      <c r="C2696" s="66" t="s">
        <v>9605</v>
      </c>
      <c r="D2696" s="66">
        <v>6976068141389</v>
      </c>
      <c r="E2696" s="68" t="s">
        <v>10292</v>
      </c>
      <c r="F2696" s="66" t="s">
        <v>10293</v>
      </c>
      <c r="G2696" s="71">
        <v>2308</v>
      </c>
      <c r="H2696" s="73"/>
      <c r="I2696" s="75">
        <v>0.2</v>
      </c>
      <c r="J2696" s="77"/>
      <c r="K2696" s="66"/>
      <c r="L2696" s="66"/>
      <c r="M2696" s="79" t="str">
        <f>HYPERLINK("http://www.pristavka.com/catalog/Genshin Impact/GEN538/")</f>
        <v>http://www.pristavka.com/catalog/Genshin Impact/GEN538/</v>
      </c>
      <c r="N2696" s="71">
        <v>3899</v>
      </c>
      <c r="O2696" s="66" t="s">
        <v>27</v>
      </c>
      <c r="P2696" s="82" t="s">
        <v>10294</v>
      </c>
      <c r="Q2696" s="84" t="s">
        <v>1963</v>
      </c>
      <c r="R2696" s="84" t="s">
        <v>9605</v>
      </c>
      <c r="S2696" s="84">
        <v>3.9E-2</v>
      </c>
      <c r="T2696" s="82" t="s">
        <v>10209</v>
      </c>
      <c r="U2696" s="84"/>
      <c r="V2696" s="54"/>
    </row>
    <row r="2697" spans="1:22" s="11" customFormat="1" ht="45" customHeight="1" x14ac:dyDescent="0.2">
      <c r="A2697" s="66" t="s">
        <v>1963</v>
      </c>
      <c r="B2697" s="66" t="s">
        <v>1155</v>
      </c>
      <c r="C2697" s="66" t="s">
        <v>9605</v>
      </c>
      <c r="D2697" s="66">
        <v>6975628241682</v>
      </c>
      <c r="E2697" s="68" t="s">
        <v>10295</v>
      </c>
      <c r="F2697" s="66" t="s">
        <v>10296</v>
      </c>
      <c r="G2697" s="71">
        <v>2530</v>
      </c>
      <c r="H2697" s="73"/>
      <c r="I2697" s="75">
        <v>0.2</v>
      </c>
      <c r="J2697" s="77"/>
      <c r="K2697" s="66"/>
      <c r="L2697" s="66"/>
      <c r="M2697" s="79" t="str">
        <f>HYPERLINK("http://www.pristavka.com/catalog/Genshin Impact/GEN514/")</f>
        <v>http://www.pristavka.com/catalog/Genshin Impact/GEN514/</v>
      </c>
      <c r="N2697" s="71">
        <v>4299</v>
      </c>
      <c r="O2697" s="66" t="s">
        <v>28</v>
      </c>
      <c r="P2697" s="82" t="s">
        <v>10297</v>
      </c>
      <c r="Q2697" s="84" t="s">
        <v>1963</v>
      </c>
      <c r="R2697" s="84" t="s">
        <v>9605</v>
      </c>
      <c r="S2697" s="84">
        <v>3.9E-2</v>
      </c>
      <c r="T2697" s="82" t="s">
        <v>10209</v>
      </c>
      <c r="U2697" s="84"/>
      <c r="V2697" s="54"/>
    </row>
    <row r="2698" spans="1:22" s="11" customFormat="1" ht="45" customHeight="1" x14ac:dyDescent="0.2">
      <c r="A2698" s="66" t="s">
        <v>1963</v>
      </c>
      <c r="B2698" s="66" t="s">
        <v>1155</v>
      </c>
      <c r="C2698" s="66" t="s">
        <v>9605</v>
      </c>
      <c r="D2698" s="66">
        <v>6975628241743</v>
      </c>
      <c r="E2698" s="68" t="s">
        <v>10298</v>
      </c>
      <c r="F2698" s="66" t="s">
        <v>10299</v>
      </c>
      <c r="G2698" s="71">
        <v>2530</v>
      </c>
      <c r="H2698" s="73"/>
      <c r="I2698" s="75">
        <v>0.2</v>
      </c>
      <c r="J2698" s="77"/>
      <c r="K2698" s="66"/>
      <c r="L2698" s="66"/>
      <c r="M2698" s="79" t="str">
        <f>HYPERLINK("http://www.pristavka.com/catalog/Genshin Impact/GEN520/")</f>
        <v>http://www.pristavka.com/catalog/Genshin Impact/GEN520/</v>
      </c>
      <c r="N2698" s="71">
        <v>4299</v>
      </c>
      <c r="O2698" s="66" t="s">
        <v>27</v>
      </c>
      <c r="P2698" s="82" t="s">
        <v>10300</v>
      </c>
      <c r="Q2698" s="84" t="s">
        <v>1963</v>
      </c>
      <c r="R2698" s="84" t="s">
        <v>9605</v>
      </c>
      <c r="S2698" s="84">
        <v>3.9E-2</v>
      </c>
      <c r="T2698" s="82" t="s">
        <v>10209</v>
      </c>
      <c r="U2698" s="84"/>
      <c r="V2698" s="54"/>
    </row>
    <row r="2699" spans="1:22" s="11" customFormat="1" ht="45" customHeight="1" x14ac:dyDescent="0.2">
      <c r="A2699" s="66" t="s">
        <v>1963</v>
      </c>
      <c r="B2699" s="66" t="s">
        <v>1155</v>
      </c>
      <c r="C2699" s="66" t="s">
        <v>9605</v>
      </c>
      <c r="D2699" s="66">
        <v>6976068149637</v>
      </c>
      <c r="E2699" s="68" t="s">
        <v>10301</v>
      </c>
      <c r="F2699" s="66" t="s">
        <v>10302</v>
      </c>
      <c r="G2699" s="71">
        <v>2213</v>
      </c>
      <c r="H2699" s="73"/>
      <c r="I2699" s="75">
        <v>0.2</v>
      </c>
      <c r="J2699" s="77"/>
      <c r="K2699" s="66"/>
      <c r="L2699" s="66"/>
      <c r="M2699" s="79" t="str">
        <f>HYPERLINK("http://www.pristavka.com/catalog/Genshin Impact/GEN961/")</f>
        <v>http://www.pristavka.com/catalog/Genshin Impact/GEN961/</v>
      </c>
      <c r="N2699" s="71">
        <v>3699</v>
      </c>
      <c r="O2699" s="66" t="s">
        <v>27</v>
      </c>
      <c r="P2699" s="82" t="s">
        <v>10303</v>
      </c>
      <c r="Q2699" s="84" t="s">
        <v>1963</v>
      </c>
      <c r="R2699" s="84" t="s">
        <v>9605</v>
      </c>
      <c r="S2699" s="84">
        <v>3.5000000000000003E-2</v>
      </c>
      <c r="T2699" s="82" t="s">
        <v>10304</v>
      </c>
      <c r="U2699" s="84"/>
      <c r="V2699" s="54"/>
    </row>
    <row r="2700" spans="1:22" s="11" customFormat="1" ht="45" customHeight="1" x14ac:dyDescent="0.2">
      <c r="A2700" s="66" t="s">
        <v>1963</v>
      </c>
      <c r="B2700" s="66" t="s">
        <v>1155</v>
      </c>
      <c r="C2700" s="66" t="s">
        <v>9605</v>
      </c>
      <c r="D2700" s="66">
        <v>6976068149620</v>
      </c>
      <c r="E2700" s="68" t="s">
        <v>10305</v>
      </c>
      <c r="F2700" s="66" t="s">
        <v>10306</v>
      </c>
      <c r="G2700" s="71">
        <v>2213</v>
      </c>
      <c r="H2700" s="73"/>
      <c r="I2700" s="75">
        <v>0.2</v>
      </c>
      <c r="J2700" s="77"/>
      <c r="K2700" s="66"/>
      <c r="L2700" s="66"/>
      <c r="M2700" s="79" t="str">
        <f>HYPERLINK("http://www.pristavka.com/catalog/Genshin Impact/GEN960/")</f>
        <v>http://www.pristavka.com/catalog/Genshin Impact/GEN960/</v>
      </c>
      <c r="N2700" s="71">
        <v>3699</v>
      </c>
      <c r="O2700" s="66" t="s">
        <v>27</v>
      </c>
      <c r="P2700" s="82" t="s">
        <v>10307</v>
      </c>
      <c r="Q2700" s="84" t="s">
        <v>1963</v>
      </c>
      <c r="R2700" s="84" t="s">
        <v>9605</v>
      </c>
      <c r="S2700" s="84">
        <v>3.5000000000000003E-2</v>
      </c>
      <c r="T2700" s="82" t="s">
        <v>10304</v>
      </c>
      <c r="U2700" s="84"/>
      <c r="V2700" s="54"/>
    </row>
    <row r="2701" spans="1:22" s="11" customFormat="1" ht="45" customHeight="1" x14ac:dyDescent="0.2">
      <c r="A2701" s="66" t="s">
        <v>1963</v>
      </c>
      <c r="B2701" s="66" t="s">
        <v>1155</v>
      </c>
      <c r="C2701" s="66" t="s">
        <v>9605</v>
      </c>
      <c r="D2701" s="66">
        <v>6975628245147</v>
      </c>
      <c r="E2701" s="68" t="s">
        <v>10308</v>
      </c>
      <c r="F2701" s="66" t="s">
        <v>10309</v>
      </c>
      <c r="G2701" s="71">
        <v>2308</v>
      </c>
      <c r="H2701" s="73"/>
      <c r="I2701" s="75">
        <v>0.2</v>
      </c>
      <c r="J2701" s="77"/>
      <c r="K2701" s="66"/>
      <c r="L2701" s="66"/>
      <c r="M2701" s="79" t="str">
        <f>HYPERLINK("http://www.pristavka.com/catalog/Genshin Impact/GEN687/")</f>
        <v>http://www.pristavka.com/catalog/Genshin Impact/GEN687/</v>
      </c>
      <c r="N2701" s="71">
        <v>3899</v>
      </c>
      <c r="O2701" s="66" t="s">
        <v>28</v>
      </c>
      <c r="P2701" s="82" t="s">
        <v>10310</v>
      </c>
      <c r="Q2701" s="84" t="s">
        <v>1963</v>
      </c>
      <c r="R2701" s="84" t="s">
        <v>9605</v>
      </c>
      <c r="S2701" s="84">
        <v>2.1999999999999999E-2</v>
      </c>
      <c r="T2701" s="82" t="s">
        <v>10311</v>
      </c>
      <c r="U2701" s="84"/>
      <c r="V2701" s="54"/>
    </row>
    <row r="2702" spans="1:22" s="11" customFormat="1" ht="45" customHeight="1" x14ac:dyDescent="0.2">
      <c r="A2702" s="66" t="s">
        <v>1963</v>
      </c>
      <c r="B2702" s="66" t="s">
        <v>1155</v>
      </c>
      <c r="C2702" s="66" t="s">
        <v>9605</v>
      </c>
      <c r="D2702" s="66">
        <v>6972957489877</v>
      </c>
      <c r="E2702" s="68" t="s">
        <v>10312</v>
      </c>
      <c r="F2702" s="66" t="s">
        <v>10313</v>
      </c>
      <c r="G2702" s="71">
        <v>2847</v>
      </c>
      <c r="H2702" s="73"/>
      <c r="I2702" s="75">
        <v>0.2</v>
      </c>
      <c r="J2702" s="77"/>
      <c r="K2702" s="66"/>
      <c r="L2702" s="66"/>
      <c r="M2702" s="79" t="str">
        <f>HYPERLINK("http://www.pristavka.com/catalog/Genshin Impact/GEN884/")</f>
        <v>http://www.pristavka.com/catalog/Genshin Impact/GEN884/</v>
      </c>
      <c r="N2702" s="71">
        <v>4799</v>
      </c>
      <c r="O2702" s="66" t="s">
        <v>28</v>
      </c>
      <c r="P2702" s="82" t="s">
        <v>10314</v>
      </c>
      <c r="Q2702" s="84" t="s">
        <v>1963</v>
      </c>
      <c r="R2702" s="84" t="s">
        <v>9605</v>
      </c>
      <c r="S2702" s="84">
        <v>3.5000000000000003E-2</v>
      </c>
      <c r="T2702" s="82" t="s">
        <v>10209</v>
      </c>
      <c r="U2702" s="84"/>
      <c r="V2702" s="54"/>
    </row>
    <row r="2703" spans="1:22" s="11" customFormat="1" ht="45" customHeight="1" x14ac:dyDescent="0.2">
      <c r="A2703" s="66" t="s">
        <v>1963</v>
      </c>
      <c r="B2703" s="66" t="s">
        <v>1155</v>
      </c>
      <c r="C2703" s="66" t="s">
        <v>9605</v>
      </c>
      <c r="D2703" s="66">
        <v>6972957489822</v>
      </c>
      <c r="E2703" s="68" t="s">
        <v>10315</v>
      </c>
      <c r="F2703" s="66" t="s">
        <v>10316</v>
      </c>
      <c r="G2703" s="71">
        <v>2847</v>
      </c>
      <c r="H2703" s="73"/>
      <c r="I2703" s="75">
        <v>0.2</v>
      </c>
      <c r="J2703" s="77"/>
      <c r="K2703" s="66"/>
      <c r="L2703" s="66"/>
      <c r="M2703" s="79" t="str">
        <f>HYPERLINK("http://www.pristavka.com/catalog/Genshin Impact/GEN883/")</f>
        <v>http://www.pristavka.com/catalog/Genshin Impact/GEN883/</v>
      </c>
      <c r="N2703" s="71">
        <v>4799</v>
      </c>
      <c r="O2703" s="66" t="s">
        <v>28</v>
      </c>
      <c r="P2703" s="82" t="s">
        <v>10317</v>
      </c>
      <c r="Q2703" s="84" t="s">
        <v>1963</v>
      </c>
      <c r="R2703" s="84" t="s">
        <v>9605</v>
      </c>
      <c r="S2703" s="84">
        <v>3.5000000000000003E-2</v>
      </c>
      <c r="T2703" s="82" t="s">
        <v>10209</v>
      </c>
      <c r="U2703" s="84"/>
      <c r="V2703" s="54"/>
    </row>
    <row r="2704" spans="1:22" s="11" customFormat="1" ht="45" customHeight="1" x14ac:dyDescent="0.2">
      <c r="A2704" s="66" t="s">
        <v>1963</v>
      </c>
      <c r="B2704" s="66" t="s">
        <v>1155</v>
      </c>
      <c r="C2704" s="66" t="s">
        <v>9605</v>
      </c>
      <c r="D2704" s="66">
        <v>6974696611373</v>
      </c>
      <c r="E2704" s="68" t="s">
        <v>10318</v>
      </c>
      <c r="F2704" s="66" t="s">
        <v>10319</v>
      </c>
      <c r="G2704" s="71">
        <v>2213</v>
      </c>
      <c r="H2704" s="73"/>
      <c r="I2704" s="75">
        <v>0.2</v>
      </c>
      <c r="J2704" s="77"/>
      <c r="K2704" s="66"/>
      <c r="L2704" s="66"/>
      <c r="M2704" s="79" t="str">
        <f>HYPERLINK("http://www.pristavka.com/catalog/Genshin Impact/GEN5/")</f>
        <v>http://www.pristavka.com/catalog/Genshin Impact/GEN5/</v>
      </c>
      <c r="N2704" s="71">
        <v>3699</v>
      </c>
      <c r="O2704" s="66" t="s">
        <v>27</v>
      </c>
      <c r="P2704" s="82" t="s">
        <v>10320</v>
      </c>
      <c r="Q2704" s="84" t="s">
        <v>1963</v>
      </c>
      <c r="R2704" s="84" t="s">
        <v>9605</v>
      </c>
      <c r="S2704" s="84">
        <v>3.6999999999999998E-2</v>
      </c>
      <c r="T2704" s="82" t="s">
        <v>10321</v>
      </c>
      <c r="U2704" s="84" t="s">
        <v>2255</v>
      </c>
      <c r="V2704" s="54"/>
    </row>
    <row r="2705" spans="1:22" s="11" customFormat="1" ht="45" customHeight="1" x14ac:dyDescent="0.2">
      <c r="A2705" s="66" t="s">
        <v>1963</v>
      </c>
      <c r="B2705" s="66" t="s">
        <v>1155</v>
      </c>
      <c r="C2705" s="66" t="s">
        <v>9605</v>
      </c>
      <c r="D2705" s="66">
        <v>6974696611403</v>
      </c>
      <c r="E2705" s="68" t="s">
        <v>10322</v>
      </c>
      <c r="F2705" s="66" t="s">
        <v>10323</v>
      </c>
      <c r="G2705" s="71">
        <v>2213</v>
      </c>
      <c r="H2705" s="73"/>
      <c r="I2705" s="75">
        <v>0.2</v>
      </c>
      <c r="J2705" s="77"/>
      <c r="K2705" s="66"/>
      <c r="L2705" s="66"/>
      <c r="M2705" s="79" t="str">
        <f>HYPERLINK("http://www.pristavka.com/catalog/Genshin Impact/GEN126/")</f>
        <v>http://www.pristavka.com/catalog/Genshin Impact/GEN126/</v>
      </c>
      <c r="N2705" s="71">
        <v>3699</v>
      </c>
      <c r="O2705" s="66" t="s">
        <v>27</v>
      </c>
      <c r="P2705" s="82" t="s">
        <v>10324</v>
      </c>
      <c r="Q2705" s="84" t="s">
        <v>1963</v>
      </c>
      <c r="R2705" s="84" t="s">
        <v>9605</v>
      </c>
      <c r="S2705" s="84">
        <v>3.6999999999999998E-2</v>
      </c>
      <c r="T2705" s="82" t="s">
        <v>10321</v>
      </c>
      <c r="U2705" s="84" t="s">
        <v>2255</v>
      </c>
      <c r="V2705" s="54"/>
    </row>
    <row r="2706" spans="1:22" s="11" customFormat="1" ht="45" customHeight="1" x14ac:dyDescent="0.2">
      <c r="A2706" s="66" t="s">
        <v>1963</v>
      </c>
      <c r="B2706" s="66" t="s">
        <v>1155</v>
      </c>
      <c r="C2706" s="66" t="s">
        <v>9605</v>
      </c>
      <c r="D2706" s="66">
        <v>6974696611410</v>
      </c>
      <c r="E2706" s="68" t="s">
        <v>10325</v>
      </c>
      <c r="F2706" s="66" t="s">
        <v>10326</v>
      </c>
      <c r="G2706" s="71">
        <v>2213</v>
      </c>
      <c r="H2706" s="73"/>
      <c r="I2706" s="75">
        <v>0.2</v>
      </c>
      <c r="J2706" s="77"/>
      <c r="K2706" s="66"/>
      <c r="L2706" s="66"/>
      <c r="M2706" s="79" t="str">
        <f>HYPERLINK("http://www.pristavka.com/catalog/Genshin Impact/GEN127/")</f>
        <v>http://www.pristavka.com/catalog/Genshin Impact/GEN127/</v>
      </c>
      <c r="N2706" s="71">
        <v>3699</v>
      </c>
      <c r="O2706" s="66" t="s">
        <v>27</v>
      </c>
      <c r="P2706" s="82" t="s">
        <v>10327</v>
      </c>
      <c r="Q2706" s="84" t="s">
        <v>1963</v>
      </c>
      <c r="R2706" s="84" t="s">
        <v>9605</v>
      </c>
      <c r="S2706" s="84">
        <v>3.6999999999999998E-2</v>
      </c>
      <c r="T2706" s="82" t="s">
        <v>10321</v>
      </c>
      <c r="U2706" s="84" t="s">
        <v>2255</v>
      </c>
      <c r="V2706" s="54"/>
    </row>
    <row r="2707" spans="1:22" s="11" customFormat="1" ht="45" customHeight="1" x14ac:dyDescent="0.2">
      <c r="A2707" s="66" t="s">
        <v>1963</v>
      </c>
      <c r="B2707" s="66" t="s">
        <v>1155</v>
      </c>
      <c r="C2707" s="66" t="s">
        <v>9605</v>
      </c>
      <c r="D2707" s="66">
        <v>6974696611434</v>
      </c>
      <c r="E2707" s="68" t="s">
        <v>10328</v>
      </c>
      <c r="F2707" s="66" t="s">
        <v>10329</v>
      </c>
      <c r="G2707" s="71">
        <v>2213</v>
      </c>
      <c r="H2707" s="73"/>
      <c r="I2707" s="75">
        <v>0.2</v>
      </c>
      <c r="J2707" s="77"/>
      <c r="K2707" s="66"/>
      <c r="L2707" s="66"/>
      <c r="M2707" s="79" t="str">
        <f>HYPERLINK("http://www.pristavka.com/catalog/Genshin Impact/GEN128/")</f>
        <v>http://www.pristavka.com/catalog/Genshin Impact/GEN128/</v>
      </c>
      <c r="N2707" s="71">
        <v>3699</v>
      </c>
      <c r="O2707" s="66" t="s">
        <v>27</v>
      </c>
      <c r="P2707" s="82" t="s">
        <v>10330</v>
      </c>
      <c r="Q2707" s="84" t="s">
        <v>1963</v>
      </c>
      <c r="R2707" s="84" t="s">
        <v>9605</v>
      </c>
      <c r="S2707" s="84">
        <v>3.7999999999999999E-2</v>
      </c>
      <c r="T2707" s="82" t="s">
        <v>10331</v>
      </c>
      <c r="U2707" s="84" t="s">
        <v>2255</v>
      </c>
      <c r="V2707" s="54"/>
    </row>
    <row r="2708" spans="1:22" s="11" customFormat="1" ht="45" customHeight="1" x14ac:dyDescent="0.2">
      <c r="A2708" s="66" t="s">
        <v>1963</v>
      </c>
      <c r="B2708" s="66" t="s">
        <v>1155</v>
      </c>
      <c r="C2708" s="66" t="s">
        <v>9605</v>
      </c>
      <c r="D2708" s="66">
        <v>6974696611366</v>
      </c>
      <c r="E2708" s="68" t="s">
        <v>10332</v>
      </c>
      <c r="F2708" s="66" t="s">
        <v>10333</v>
      </c>
      <c r="G2708" s="71">
        <v>2213</v>
      </c>
      <c r="H2708" s="73"/>
      <c r="I2708" s="75">
        <v>0.2</v>
      </c>
      <c r="J2708" s="77"/>
      <c r="K2708" s="66"/>
      <c r="L2708" s="66"/>
      <c r="M2708" s="79" t="str">
        <f>HYPERLINK("http://www.pristavka.com/catalog/Genshin Impact/GEN129/")</f>
        <v>http://www.pristavka.com/catalog/Genshin Impact/GEN129/</v>
      </c>
      <c r="N2708" s="71">
        <v>3699</v>
      </c>
      <c r="O2708" s="66" t="s">
        <v>27</v>
      </c>
      <c r="P2708" s="82" t="s">
        <v>10334</v>
      </c>
      <c r="Q2708" s="84" t="s">
        <v>1963</v>
      </c>
      <c r="R2708" s="84" t="s">
        <v>9605</v>
      </c>
      <c r="S2708" s="84">
        <v>3.7999999999999999E-2</v>
      </c>
      <c r="T2708" s="82" t="s">
        <v>10331</v>
      </c>
      <c r="U2708" s="84" t="s">
        <v>2255</v>
      </c>
      <c r="V2708" s="54"/>
    </row>
    <row r="2709" spans="1:22" s="11" customFormat="1" ht="45" customHeight="1" x14ac:dyDescent="0.2">
      <c r="A2709" s="66" t="s">
        <v>1963</v>
      </c>
      <c r="B2709" s="66" t="s">
        <v>1155</v>
      </c>
      <c r="C2709" s="66" t="s">
        <v>9605</v>
      </c>
      <c r="D2709" s="66">
        <v>6974696611380</v>
      </c>
      <c r="E2709" s="68" t="s">
        <v>10335</v>
      </c>
      <c r="F2709" s="66" t="s">
        <v>10336</v>
      </c>
      <c r="G2709" s="71">
        <v>2213</v>
      </c>
      <c r="H2709" s="73"/>
      <c r="I2709" s="75">
        <v>0.2</v>
      </c>
      <c r="J2709" s="77"/>
      <c r="K2709" s="66"/>
      <c r="L2709" s="66"/>
      <c r="M2709" s="79" t="str">
        <f>HYPERLINK("http://www.pristavka.com/catalog/Genshin Impact/GEN125/")</f>
        <v>http://www.pristavka.com/catalog/Genshin Impact/GEN125/</v>
      </c>
      <c r="N2709" s="71">
        <v>3699</v>
      </c>
      <c r="O2709" s="66" t="s">
        <v>27</v>
      </c>
      <c r="P2709" s="82" t="s">
        <v>10337</v>
      </c>
      <c r="Q2709" s="84" t="s">
        <v>1963</v>
      </c>
      <c r="R2709" s="84" t="s">
        <v>9605</v>
      </c>
      <c r="S2709" s="84">
        <v>3.7999999999999999E-2</v>
      </c>
      <c r="T2709" s="82" t="s">
        <v>10321</v>
      </c>
      <c r="U2709" s="84" t="s">
        <v>2255</v>
      </c>
      <c r="V2709" s="54"/>
    </row>
    <row r="2710" spans="1:22" s="11" customFormat="1" ht="45" customHeight="1" x14ac:dyDescent="0.2">
      <c r="A2710" s="66" t="s">
        <v>1963</v>
      </c>
      <c r="B2710" s="66" t="s">
        <v>1155</v>
      </c>
      <c r="C2710" s="66" t="s">
        <v>9605</v>
      </c>
      <c r="D2710" s="66">
        <v>6975628247301</v>
      </c>
      <c r="E2710" s="68" t="s">
        <v>10338</v>
      </c>
      <c r="F2710" s="66" t="s">
        <v>10339</v>
      </c>
      <c r="G2710" s="71">
        <v>1896</v>
      </c>
      <c r="H2710" s="73"/>
      <c r="I2710" s="75">
        <v>0.2</v>
      </c>
      <c r="J2710" s="77"/>
      <c r="K2710" s="66"/>
      <c r="L2710" s="66"/>
      <c r="M2710" s="79" t="str">
        <f>HYPERLINK("http://www.pristavka.com/catalog/Genshin Impact/GEN631/")</f>
        <v>http://www.pristavka.com/catalog/Genshin Impact/GEN631/</v>
      </c>
      <c r="N2710" s="71">
        <v>3199</v>
      </c>
      <c r="O2710" s="66" t="s">
        <v>27</v>
      </c>
      <c r="P2710" s="82" t="s">
        <v>10340</v>
      </c>
      <c r="Q2710" s="84" t="s">
        <v>1963</v>
      </c>
      <c r="R2710" s="84" t="s">
        <v>9605</v>
      </c>
      <c r="S2710" s="84">
        <v>2.7E-2</v>
      </c>
      <c r="T2710" s="82" t="s">
        <v>10341</v>
      </c>
      <c r="U2710" s="84"/>
      <c r="V2710" s="54"/>
    </row>
    <row r="2711" spans="1:22" s="11" customFormat="1" ht="45" customHeight="1" x14ac:dyDescent="0.2">
      <c r="A2711" s="66" t="s">
        <v>1963</v>
      </c>
      <c r="B2711" s="66" t="s">
        <v>1155</v>
      </c>
      <c r="C2711" s="66" t="s">
        <v>9605</v>
      </c>
      <c r="D2711" s="66">
        <v>6974096537556</v>
      </c>
      <c r="E2711" s="68" t="s">
        <v>10342</v>
      </c>
      <c r="F2711" s="66" t="s">
        <v>10343</v>
      </c>
      <c r="G2711" s="71">
        <v>1579</v>
      </c>
      <c r="H2711" s="73"/>
      <c r="I2711" s="75">
        <v>0.2</v>
      </c>
      <c r="J2711" s="77"/>
      <c r="K2711" s="66"/>
      <c r="L2711" s="66"/>
      <c r="M2711" s="79" t="str">
        <f>HYPERLINK("http://www.pristavka.com/catalog/Genshin Impact/GEN13/")</f>
        <v>http://www.pristavka.com/catalog/Genshin Impact/GEN13/</v>
      </c>
      <c r="N2711" s="71">
        <v>2699</v>
      </c>
      <c r="O2711" s="66" t="s">
        <v>27</v>
      </c>
      <c r="P2711" s="82" t="s">
        <v>10344</v>
      </c>
      <c r="Q2711" s="84" t="s">
        <v>1963</v>
      </c>
      <c r="R2711" s="84" t="s">
        <v>9605</v>
      </c>
      <c r="S2711" s="84">
        <v>2.7E-2</v>
      </c>
      <c r="T2711" s="82" t="s">
        <v>10345</v>
      </c>
      <c r="U2711" s="84" t="s">
        <v>2255</v>
      </c>
      <c r="V2711" s="54"/>
    </row>
    <row r="2712" spans="1:22" s="11" customFormat="1" ht="45" customHeight="1" x14ac:dyDescent="0.2">
      <c r="A2712" s="66" t="s">
        <v>1963</v>
      </c>
      <c r="B2712" s="66" t="s">
        <v>1155</v>
      </c>
      <c r="C2712" s="66" t="s">
        <v>9605</v>
      </c>
      <c r="D2712" s="66">
        <v>6974096537549</v>
      </c>
      <c r="E2712" s="68" t="s">
        <v>10346</v>
      </c>
      <c r="F2712" s="66" t="s">
        <v>10347</v>
      </c>
      <c r="G2712" s="71">
        <v>1579</v>
      </c>
      <c r="H2712" s="73"/>
      <c r="I2712" s="75">
        <v>0.2</v>
      </c>
      <c r="J2712" s="77"/>
      <c r="K2712" s="66"/>
      <c r="L2712" s="66"/>
      <c r="M2712" s="79" t="str">
        <f>HYPERLINK("http://www.pristavka.com/catalog/Genshin Impact/GEN233/")</f>
        <v>http://www.pristavka.com/catalog/Genshin Impact/GEN233/</v>
      </c>
      <c r="N2712" s="71">
        <v>2699</v>
      </c>
      <c r="O2712" s="66" t="s">
        <v>27</v>
      </c>
      <c r="P2712" s="82" t="s">
        <v>10348</v>
      </c>
      <c r="Q2712" s="84" t="s">
        <v>1963</v>
      </c>
      <c r="R2712" s="84" t="s">
        <v>9605</v>
      </c>
      <c r="S2712" s="84">
        <v>2.4E-2</v>
      </c>
      <c r="T2712" s="82" t="s">
        <v>10349</v>
      </c>
      <c r="U2712" s="84" t="s">
        <v>2255</v>
      </c>
      <c r="V2712" s="54"/>
    </row>
    <row r="2713" spans="1:22" s="11" customFormat="1" ht="45" customHeight="1" x14ac:dyDescent="0.2">
      <c r="A2713" s="66" t="s">
        <v>1963</v>
      </c>
      <c r="B2713" s="66" t="s">
        <v>1155</v>
      </c>
      <c r="C2713" s="66" t="s">
        <v>9605</v>
      </c>
      <c r="D2713" s="66">
        <v>6975213680414</v>
      </c>
      <c r="E2713" s="68" t="s">
        <v>10350</v>
      </c>
      <c r="F2713" s="66" t="s">
        <v>10351</v>
      </c>
      <c r="G2713" s="71">
        <v>1579</v>
      </c>
      <c r="H2713" s="73"/>
      <c r="I2713" s="75">
        <v>0.2</v>
      </c>
      <c r="J2713" s="77"/>
      <c r="K2713" s="66"/>
      <c r="L2713" s="66"/>
      <c r="M2713" s="79" t="str">
        <f>HYPERLINK("http://www.pristavka.com/catalog/Genshin Impact/GEN243/")</f>
        <v>http://www.pristavka.com/catalog/Genshin Impact/GEN243/</v>
      </c>
      <c r="N2713" s="71">
        <v>2699</v>
      </c>
      <c r="O2713" s="66" t="s">
        <v>27</v>
      </c>
      <c r="P2713" s="82" t="s">
        <v>10352</v>
      </c>
      <c r="Q2713" s="84" t="s">
        <v>1963</v>
      </c>
      <c r="R2713" s="84" t="s">
        <v>9605</v>
      </c>
      <c r="S2713" s="84">
        <v>2.5000000000000001E-2</v>
      </c>
      <c r="T2713" s="82" t="s">
        <v>10353</v>
      </c>
      <c r="U2713" s="84" t="s">
        <v>2255</v>
      </c>
      <c r="V2713" s="54"/>
    </row>
    <row r="2714" spans="1:22" s="11" customFormat="1" ht="45" customHeight="1" x14ac:dyDescent="0.2">
      <c r="A2714" s="66" t="s">
        <v>1963</v>
      </c>
      <c r="B2714" s="66" t="s">
        <v>1155</v>
      </c>
      <c r="C2714" s="66" t="s">
        <v>9605</v>
      </c>
      <c r="D2714" s="66">
        <v>6974696611328</v>
      </c>
      <c r="E2714" s="68" t="s">
        <v>10354</v>
      </c>
      <c r="F2714" s="66" t="s">
        <v>10355</v>
      </c>
      <c r="G2714" s="71">
        <v>1579</v>
      </c>
      <c r="H2714" s="73"/>
      <c r="I2714" s="75">
        <v>0.2</v>
      </c>
      <c r="J2714" s="77"/>
      <c r="K2714" s="66"/>
      <c r="L2714" s="66"/>
      <c r="M2714" s="79" t="str">
        <f>HYPERLINK("http://www.pristavka.com/catalog/Genshin Impact/GEN235/")</f>
        <v>http://www.pristavka.com/catalog/Genshin Impact/GEN235/</v>
      </c>
      <c r="N2714" s="71">
        <v>2699</v>
      </c>
      <c r="O2714" s="66" t="s">
        <v>27</v>
      </c>
      <c r="P2714" s="82" t="s">
        <v>10356</v>
      </c>
      <c r="Q2714" s="84" t="s">
        <v>1963</v>
      </c>
      <c r="R2714" s="84" t="s">
        <v>9605</v>
      </c>
      <c r="S2714" s="84">
        <v>2.4E-2</v>
      </c>
      <c r="T2714" s="82" t="s">
        <v>10349</v>
      </c>
      <c r="U2714" s="84" t="s">
        <v>2255</v>
      </c>
      <c r="V2714" s="54"/>
    </row>
    <row r="2715" spans="1:22" s="11" customFormat="1" ht="45" customHeight="1" x14ac:dyDescent="0.2">
      <c r="A2715" s="66" t="s">
        <v>1963</v>
      </c>
      <c r="B2715" s="66" t="s">
        <v>1155</v>
      </c>
      <c r="C2715" s="66" t="s">
        <v>9605</v>
      </c>
      <c r="D2715" s="66">
        <v>6975213680438</v>
      </c>
      <c r="E2715" s="68" t="s">
        <v>10357</v>
      </c>
      <c r="F2715" s="66" t="s">
        <v>10358</v>
      </c>
      <c r="G2715" s="71">
        <v>1738</v>
      </c>
      <c r="H2715" s="73"/>
      <c r="I2715" s="75">
        <v>0.2</v>
      </c>
      <c r="J2715" s="77"/>
      <c r="K2715" s="66"/>
      <c r="L2715" s="66"/>
      <c r="M2715" s="79" t="str">
        <f>HYPERLINK("http://www.pristavka.com/catalog/Genshin Impact/GEN888/")</f>
        <v>http://www.pristavka.com/catalog/Genshin Impact/GEN888/</v>
      </c>
      <c r="N2715" s="71">
        <v>2899</v>
      </c>
      <c r="O2715" s="66" t="s">
        <v>27</v>
      </c>
      <c r="P2715" s="82" t="s">
        <v>10359</v>
      </c>
      <c r="Q2715" s="84" t="s">
        <v>1963</v>
      </c>
      <c r="R2715" s="84" t="s">
        <v>9605</v>
      </c>
      <c r="S2715" s="84">
        <v>2.5000000000000001E-2</v>
      </c>
      <c r="T2715" s="82" t="s">
        <v>10360</v>
      </c>
      <c r="U2715" s="84"/>
      <c r="V2715" s="54"/>
    </row>
    <row r="2716" spans="1:22" s="11" customFormat="1" ht="45" customHeight="1" x14ac:dyDescent="0.2">
      <c r="A2716" s="66" t="s">
        <v>1963</v>
      </c>
      <c r="B2716" s="66" t="s">
        <v>1155</v>
      </c>
      <c r="C2716" s="66" t="s">
        <v>9605</v>
      </c>
      <c r="D2716" s="66">
        <v>6976068147367</v>
      </c>
      <c r="E2716" s="68" t="s">
        <v>10361</v>
      </c>
      <c r="F2716" s="66" t="s">
        <v>10362</v>
      </c>
      <c r="G2716" s="71">
        <v>1738</v>
      </c>
      <c r="H2716" s="73"/>
      <c r="I2716" s="75">
        <v>0.2</v>
      </c>
      <c r="J2716" s="77"/>
      <c r="K2716" s="66"/>
      <c r="L2716" s="66"/>
      <c r="M2716" s="79" t="str">
        <f>HYPERLINK("http://www.pristavka.com/catalog/Genshin Impact/GEN893/")</f>
        <v>http://www.pristavka.com/catalog/Genshin Impact/GEN893/</v>
      </c>
      <c r="N2716" s="71">
        <v>2899</v>
      </c>
      <c r="O2716" s="66" t="s">
        <v>27</v>
      </c>
      <c r="P2716" s="82" t="s">
        <v>10363</v>
      </c>
      <c r="Q2716" s="84" t="s">
        <v>1963</v>
      </c>
      <c r="R2716" s="84" t="s">
        <v>9605</v>
      </c>
      <c r="S2716" s="84">
        <v>2.5000000000000001E-2</v>
      </c>
      <c r="T2716" s="82" t="s">
        <v>10360</v>
      </c>
      <c r="U2716" s="84"/>
      <c r="V2716" s="54"/>
    </row>
    <row r="2717" spans="1:22" s="11" customFormat="1" ht="45" customHeight="1" x14ac:dyDescent="0.2">
      <c r="A2717" s="66" t="s">
        <v>1963</v>
      </c>
      <c r="B2717" s="66" t="s">
        <v>1155</v>
      </c>
      <c r="C2717" s="66" t="s">
        <v>9605</v>
      </c>
      <c r="D2717" s="66">
        <v>6972957488191</v>
      </c>
      <c r="E2717" s="68" t="s">
        <v>10364</v>
      </c>
      <c r="F2717" s="66" t="s">
        <v>10365</v>
      </c>
      <c r="G2717" s="71">
        <v>1738</v>
      </c>
      <c r="H2717" s="73"/>
      <c r="I2717" s="75">
        <v>0.2</v>
      </c>
      <c r="J2717" s="77"/>
      <c r="K2717" s="66"/>
      <c r="L2717" s="66"/>
      <c r="M2717" s="79" t="str">
        <f>HYPERLINK("http://www.pristavka.com/catalog/Genshin Impact/GEN224/")</f>
        <v>http://www.pristavka.com/catalog/Genshin Impact/GEN224/</v>
      </c>
      <c r="N2717" s="71">
        <v>2899</v>
      </c>
      <c r="O2717" s="66" t="s">
        <v>28</v>
      </c>
      <c r="P2717" s="82" t="s">
        <v>10366</v>
      </c>
      <c r="Q2717" s="84" t="s">
        <v>1963</v>
      </c>
      <c r="R2717" s="84" t="s">
        <v>9605</v>
      </c>
      <c r="S2717" s="84">
        <v>2.4E-2</v>
      </c>
      <c r="T2717" s="82" t="s">
        <v>10360</v>
      </c>
      <c r="U2717" s="84" t="s">
        <v>2255</v>
      </c>
      <c r="V2717" s="54"/>
    </row>
    <row r="2718" spans="1:22" s="11" customFormat="1" ht="45" customHeight="1" x14ac:dyDescent="0.2">
      <c r="A2718" s="66" t="s">
        <v>1963</v>
      </c>
      <c r="B2718" s="66" t="s">
        <v>1155</v>
      </c>
      <c r="C2718" s="66" t="s">
        <v>9605</v>
      </c>
      <c r="D2718" s="66">
        <v>6974696611342</v>
      </c>
      <c r="E2718" s="68" t="s">
        <v>10367</v>
      </c>
      <c r="F2718" s="66" t="s">
        <v>10368</v>
      </c>
      <c r="G2718" s="71">
        <v>1579</v>
      </c>
      <c r="H2718" s="73"/>
      <c r="I2718" s="75">
        <v>0.2</v>
      </c>
      <c r="J2718" s="77"/>
      <c r="K2718" s="66"/>
      <c r="L2718" s="66"/>
      <c r="M2718" s="79" t="str">
        <f>HYPERLINK("http://www.pristavka.com/catalog/Genshin Impact/GEN237/")</f>
        <v>http://www.pristavka.com/catalog/Genshin Impact/GEN237/</v>
      </c>
      <c r="N2718" s="71">
        <v>2699</v>
      </c>
      <c r="O2718" s="66" t="s">
        <v>27</v>
      </c>
      <c r="P2718" s="82" t="s">
        <v>10369</v>
      </c>
      <c r="Q2718" s="84" t="s">
        <v>1963</v>
      </c>
      <c r="R2718" s="84" t="s">
        <v>9605</v>
      </c>
      <c r="S2718" s="84">
        <v>2.5000000000000001E-2</v>
      </c>
      <c r="T2718" s="82" t="s">
        <v>10349</v>
      </c>
      <c r="U2718" s="84" t="s">
        <v>2255</v>
      </c>
      <c r="V2718" s="54"/>
    </row>
    <row r="2719" spans="1:22" s="11" customFormat="1" ht="45" customHeight="1" x14ac:dyDescent="0.2">
      <c r="A2719" s="66" t="s">
        <v>1963</v>
      </c>
      <c r="B2719" s="66" t="s">
        <v>1155</v>
      </c>
      <c r="C2719" s="66" t="s">
        <v>9605</v>
      </c>
      <c r="D2719" s="66">
        <v>6974696616644</v>
      </c>
      <c r="E2719" s="68" t="s">
        <v>10370</v>
      </c>
      <c r="F2719" s="66" t="s">
        <v>10371</v>
      </c>
      <c r="G2719" s="71">
        <v>1579</v>
      </c>
      <c r="H2719" s="73"/>
      <c r="I2719" s="75">
        <v>0.2</v>
      </c>
      <c r="J2719" s="77"/>
      <c r="K2719" s="66"/>
      <c r="L2719" s="66"/>
      <c r="M2719" s="79" t="str">
        <f>HYPERLINK("http://www.pristavka.com/catalog/Genshin Impact/GEN241/")</f>
        <v>http://www.pristavka.com/catalog/Genshin Impact/GEN241/</v>
      </c>
      <c r="N2719" s="71">
        <v>2699</v>
      </c>
      <c r="O2719" s="66" t="s">
        <v>27</v>
      </c>
      <c r="P2719" s="82" t="s">
        <v>10372</v>
      </c>
      <c r="Q2719" s="84" t="s">
        <v>1963</v>
      </c>
      <c r="R2719" s="84" t="s">
        <v>9605</v>
      </c>
      <c r="S2719" s="84">
        <v>2.4E-2</v>
      </c>
      <c r="T2719" s="82" t="s">
        <v>10373</v>
      </c>
      <c r="U2719" s="84" t="s">
        <v>2255</v>
      </c>
      <c r="V2719" s="54"/>
    </row>
    <row r="2720" spans="1:22" s="11" customFormat="1" ht="45" customHeight="1" x14ac:dyDescent="0.2">
      <c r="A2720" s="66" t="s">
        <v>1963</v>
      </c>
      <c r="B2720" s="66" t="s">
        <v>1155</v>
      </c>
      <c r="C2720" s="66" t="s">
        <v>9605</v>
      </c>
      <c r="D2720" s="66">
        <v>6974096537532</v>
      </c>
      <c r="E2720" s="68" t="s">
        <v>10374</v>
      </c>
      <c r="F2720" s="66" t="s">
        <v>10375</v>
      </c>
      <c r="G2720" s="71">
        <v>1579</v>
      </c>
      <c r="H2720" s="73"/>
      <c r="I2720" s="75">
        <v>0.2</v>
      </c>
      <c r="J2720" s="77"/>
      <c r="K2720" s="66"/>
      <c r="L2720" s="66"/>
      <c r="M2720" s="79" t="str">
        <f>HYPERLINK("http://www.pristavka.com/catalog/Genshin Impact/GEN232/")</f>
        <v>http://www.pristavka.com/catalog/Genshin Impact/GEN232/</v>
      </c>
      <c r="N2720" s="71">
        <v>2699</v>
      </c>
      <c r="O2720" s="66" t="s">
        <v>27</v>
      </c>
      <c r="P2720" s="82" t="s">
        <v>10376</v>
      </c>
      <c r="Q2720" s="84" t="s">
        <v>1963</v>
      </c>
      <c r="R2720" s="84" t="s">
        <v>9605</v>
      </c>
      <c r="S2720" s="84">
        <v>2.5000000000000001E-2</v>
      </c>
      <c r="T2720" s="82" t="s">
        <v>10353</v>
      </c>
      <c r="U2720" s="84" t="s">
        <v>2255</v>
      </c>
      <c r="V2720" s="54"/>
    </row>
    <row r="2721" spans="1:22" s="11" customFormat="1" ht="45" customHeight="1" x14ac:dyDescent="0.2">
      <c r="A2721" s="66" t="s">
        <v>1963</v>
      </c>
      <c r="B2721" s="66" t="s">
        <v>1155</v>
      </c>
      <c r="C2721" s="66" t="s">
        <v>9605</v>
      </c>
      <c r="D2721" s="66">
        <v>6974696611335</v>
      </c>
      <c r="E2721" s="68" t="s">
        <v>10377</v>
      </c>
      <c r="F2721" s="66" t="s">
        <v>10378</v>
      </c>
      <c r="G2721" s="71">
        <v>1579</v>
      </c>
      <c r="H2721" s="73"/>
      <c r="I2721" s="75">
        <v>0.2</v>
      </c>
      <c r="J2721" s="77"/>
      <c r="K2721" s="66"/>
      <c r="L2721" s="66"/>
      <c r="M2721" s="79" t="str">
        <f>HYPERLINK("http://www.pristavka.com/catalog/Genshin Impact/GEN236/")</f>
        <v>http://www.pristavka.com/catalog/Genshin Impact/GEN236/</v>
      </c>
      <c r="N2721" s="71">
        <v>2699</v>
      </c>
      <c r="O2721" s="66" t="s">
        <v>27</v>
      </c>
      <c r="P2721" s="82" t="s">
        <v>10379</v>
      </c>
      <c r="Q2721" s="84" t="s">
        <v>1963</v>
      </c>
      <c r="R2721" s="84" t="s">
        <v>9605</v>
      </c>
      <c r="S2721" s="84">
        <v>2.4E-2</v>
      </c>
      <c r="T2721" s="82" t="s">
        <v>10349</v>
      </c>
      <c r="U2721" s="84" t="s">
        <v>2255</v>
      </c>
      <c r="V2721" s="54"/>
    </row>
    <row r="2722" spans="1:22" s="11" customFormat="1" ht="45" customHeight="1" x14ac:dyDescent="0.2">
      <c r="A2722" s="66" t="s">
        <v>1963</v>
      </c>
      <c r="B2722" s="66" t="s">
        <v>1155</v>
      </c>
      <c r="C2722" s="66" t="s">
        <v>9605</v>
      </c>
      <c r="D2722" s="66">
        <v>6976068147343</v>
      </c>
      <c r="E2722" s="68" t="s">
        <v>10380</v>
      </c>
      <c r="F2722" s="66" t="s">
        <v>10381</v>
      </c>
      <c r="G2722" s="71">
        <v>1738</v>
      </c>
      <c r="H2722" s="73"/>
      <c r="I2722" s="75">
        <v>0.2</v>
      </c>
      <c r="J2722" s="77"/>
      <c r="K2722" s="66"/>
      <c r="L2722" s="66"/>
      <c r="M2722" s="79" t="str">
        <f>HYPERLINK("http://www.pristavka.com/catalog/Genshin Impact/GEN891/")</f>
        <v>http://www.pristavka.com/catalog/Genshin Impact/GEN891/</v>
      </c>
      <c r="N2722" s="71">
        <v>2899</v>
      </c>
      <c r="O2722" s="66" t="s">
        <v>27</v>
      </c>
      <c r="P2722" s="82" t="s">
        <v>10382</v>
      </c>
      <c r="Q2722" s="84" t="s">
        <v>1963</v>
      </c>
      <c r="R2722" s="84" t="s">
        <v>9605</v>
      </c>
      <c r="S2722" s="84">
        <v>2.5000000000000001E-2</v>
      </c>
      <c r="T2722" s="82" t="s">
        <v>10360</v>
      </c>
      <c r="U2722" s="84"/>
      <c r="V2722" s="54"/>
    </row>
    <row r="2723" spans="1:22" s="11" customFormat="1" ht="45" customHeight="1" x14ac:dyDescent="0.2">
      <c r="A2723" s="66" t="s">
        <v>1963</v>
      </c>
      <c r="B2723" s="66" t="s">
        <v>1155</v>
      </c>
      <c r="C2723" s="66" t="s">
        <v>9605</v>
      </c>
      <c r="D2723" s="66">
        <v>6972957488160</v>
      </c>
      <c r="E2723" s="68" t="s">
        <v>10383</v>
      </c>
      <c r="F2723" s="66" t="s">
        <v>10384</v>
      </c>
      <c r="G2723" s="71">
        <v>1738</v>
      </c>
      <c r="H2723" s="73"/>
      <c r="I2723" s="75">
        <v>0.2</v>
      </c>
      <c r="J2723" s="77"/>
      <c r="K2723" s="66"/>
      <c r="L2723" s="66"/>
      <c r="M2723" s="79" t="str">
        <f>HYPERLINK("http://www.pristavka.com/catalog/Genshin Impact/GEN223/")</f>
        <v>http://www.pristavka.com/catalog/Genshin Impact/GEN223/</v>
      </c>
      <c r="N2723" s="71">
        <v>2899</v>
      </c>
      <c r="O2723" s="66" t="s">
        <v>27</v>
      </c>
      <c r="P2723" s="82" t="s">
        <v>10385</v>
      </c>
      <c r="Q2723" s="84" t="s">
        <v>1963</v>
      </c>
      <c r="R2723" s="84" t="s">
        <v>9605</v>
      </c>
      <c r="S2723" s="84">
        <v>2.5000000000000001E-2</v>
      </c>
      <c r="T2723" s="82" t="s">
        <v>10353</v>
      </c>
      <c r="U2723" s="84" t="s">
        <v>2255</v>
      </c>
      <c r="V2723" s="54"/>
    </row>
    <row r="2724" spans="1:22" s="11" customFormat="1" ht="45" customHeight="1" x14ac:dyDescent="0.2">
      <c r="A2724" s="66" t="s">
        <v>1963</v>
      </c>
      <c r="B2724" s="66" t="s">
        <v>1155</v>
      </c>
      <c r="C2724" s="66" t="s">
        <v>9605</v>
      </c>
      <c r="D2724" s="66">
        <v>6976068147350</v>
      </c>
      <c r="E2724" s="68" t="s">
        <v>10386</v>
      </c>
      <c r="F2724" s="66" t="s">
        <v>10387</v>
      </c>
      <c r="G2724" s="71">
        <v>1738</v>
      </c>
      <c r="H2724" s="73"/>
      <c r="I2724" s="75">
        <v>0.2</v>
      </c>
      <c r="J2724" s="77"/>
      <c r="K2724" s="66"/>
      <c r="L2724" s="66"/>
      <c r="M2724" s="79" t="str">
        <f>HYPERLINK("http://www.pristavka.com/catalog/Genshin Impact/GEN892/")</f>
        <v>http://www.pristavka.com/catalog/Genshin Impact/GEN892/</v>
      </c>
      <c r="N2724" s="71">
        <v>2899</v>
      </c>
      <c r="O2724" s="66" t="s">
        <v>27</v>
      </c>
      <c r="P2724" s="82" t="s">
        <v>10388</v>
      </c>
      <c r="Q2724" s="84" t="s">
        <v>1963</v>
      </c>
      <c r="R2724" s="84" t="s">
        <v>9605</v>
      </c>
      <c r="S2724" s="84">
        <v>2.5000000000000001E-2</v>
      </c>
      <c r="T2724" s="82" t="s">
        <v>10360</v>
      </c>
      <c r="U2724" s="84"/>
      <c r="V2724" s="54"/>
    </row>
    <row r="2725" spans="1:22" s="11" customFormat="1" ht="45" customHeight="1" x14ac:dyDescent="0.2">
      <c r="A2725" s="66" t="s">
        <v>1963</v>
      </c>
      <c r="B2725" s="66" t="s">
        <v>1155</v>
      </c>
      <c r="C2725" s="66" t="s">
        <v>9605</v>
      </c>
      <c r="D2725" s="66">
        <v>6976068141266</v>
      </c>
      <c r="E2725" s="68" t="s">
        <v>10389</v>
      </c>
      <c r="F2725" s="66" t="s">
        <v>10390</v>
      </c>
      <c r="G2725" s="71">
        <v>1896</v>
      </c>
      <c r="H2725" s="73"/>
      <c r="I2725" s="75">
        <v>0.2</v>
      </c>
      <c r="J2725" s="77"/>
      <c r="K2725" s="66"/>
      <c r="L2725" s="66"/>
      <c r="M2725" s="79" t="str">
        <f>HYPERLINK("http://www.pristavka.com/catalog/Genshin Impact/GEN637/")</f>
        <v>http://www.pristavka.com/catalog/Genshin Impact/GEN637/</v>
      </c>
      <c r="N2725" s="71">
        <v>3199</v>
      </c>
      <c r="O2725" s="66" t="s">
        <v>27</v>
      </c>
      <c r="P2725" s="82" t="s">
        <v>10391</v>
      </c>
      <c r="Q2725" s="84" t="s">
        <v>1963</v>
      </c>
      <c r="R2725" s="84" t="s">
        <v>9605</v>
      </c>
      <c r="S2725" s="84">
        <v>2.7E-2</v>
      </c>
      <c r="T2725" s="82" t="s">
        <v>10341</v>
      </c>
      <c r="U2725" s="84"/>
      <c r="V2725" s="54"/>
    </row>
    <row r="2726" spans="1:22" s="11" customFormat="1" ht="45" customHeight="1" x14ac:dyDescent="0.2">
      <c r="A2726" s="66" t="s">
        <v>1963</v>
      </c>
      <c r="B2726" s="66" t="s">
        <v>1155</v>
      </c>
      <c r="C2726" s="66" t="s">
        <v>9605</v>
      </c>
      <c r="D2726" s="66">
        <v>6975628247295</v>
      </c>
      <c r="E2726" s="68" t="s">
        <v>10392</v>
      </c>
      <c r="F2726" s="66" t="s">
        <v>10393</v>
      </c>
      <c r="G2726" s="71">
        <v>1896</v>
      </c>
      <c r="H2726" s="73"/>
      <c r="I2726" s="75">
        <v>0.2</v>
      </c>
      <c r="J2726" s="77"/>
      <c r="K2726" s="66"/>
      <c r="L2726" s="66"/>
      <c r="M2726" s="79" t="str">
        <f>HYPERLINK("http://www.pristavka.com/catalog/Genshin Impact/GEN628/")</f>
        <v>http://www.pristavka.com/catalog/Genshin Impact/GEN628/</v>
      </c>
      <c r="N2726" s="71">
        <v>3199</v>
      </c>
      <c r="O2726" s="66" t="s">
        <v>27</v>
      </c>
      <c r="P2726" s="82" t="s">
        <v>10394</v>
      </c>
      <c r="Q2726" s="84" t="s">
        <v>1963</v>
      </c>
      <c r="R2726" s="84" t="s">
        <v>9605</v>
      </c>
      <c r="S2726" s="84">
        <v>2.7E-2</v>
      </c>
      <c r="T2726" s="82" t="s">
        <v>10341</v>
      </c>
      <c r="U2726" s="84"/>
      <c r="V2726" s="54"/>
    </row>
    <row r="2727" spans="1:22" s="11" customFormat="1" ht="45" customHeight="1" x14ac:dyDescent="0.2">
      <c r="A2727" s="66" t="s">
        <v>1963</v>
      </c>
      <c r="B2727" s="66" t="s">
        <v>1155</v>
      </c>
      <c r="C2727" s="66" t="s">
        <v>9605</v>
      </c>
      <c r="D2727" s="66">
        <v>6975628248353</v>
      </c>
      <c r="E2727" s="68" t="s">
        <v>10395</v>
      </c>
      <c r="F2727" s="66" t="s">
        <v>10396</v>
      </c>
      <c r="G2727" s="71">
        <v>1896</v>
      </c>
      <c r="H2727" s="73"/>
      <c r="I2727" s="75">
        <v>0.2</v>
      </c>
      <c r="J2727" s="77"/>
      <c r="K2727" s="66"/>
      <c r="L2727" s="66"/>
      <c r="M2727" s="79" t="str">
        <f>HYPERLINK("http://www.pristavka.com/catalog/Genshin Impact/GEN635/")</f>
        <v>http://www.pristavka.com/catalog/Genshin Impact/GEN635/</v>
      </c>
      <c r="N2727" s="71">
        <v>3199</v>
      </c>
      <c r="O2727" s="66" t="s">
        <v>27</v>
      </c>
      <c r="P2727" s="82" t="s">
        <v>10397</v>
      </c>
      <c r="Q2727" s="84" t="s">
        <v>1963</v>
      </c>
      <c r="R2727" s="84" t="s">
        <v>9605</v>
      </c>
      <c r="S2727" s="84">
        <v>2.7E-2</v>
      </c>
      <c r="T2727" s="82" t="s">
        <v>10341</v>
      </c>
      <c r="U2727" s="84"/>
      <c r="V2727" s="54"/>
    </row>
    <row r="2728" spans="1:22" s="11" customFormat="1" ht="45" customHeight="1" x14ac:dyDescent="0.2">
      <c r="A2728" s="66" t="s">
        <v>1963</v>
      </c>
      <c r="B2728" s="66" t="s">
        <v>1155</v>
      </c>
      <c r="C2728" s="66" t="s">
        <v>9605</v>
      </c>
      <c r="D2728" s="66">
        <v>6975628248377</v>
      </c>
      <c r="E2728" s="68" t="s">
        <v>10398</v>
      </c>
      <c r="F2728" s="66" t="s">
        <v>10399</v>
      </c>
      <c r="G2728" s="71">
        <v>1896</v>
      </c>
      <c r="H2728" s="73"/>
      <c r="I2728" s="75">
        <v>0.2</v>
      </c>
      <c r="J2728" s="77"/>
      <c r="K2728" s="66"/>
      <c r="L2728" s="66"/>
      <c r="M2728" s="79" t="str">
        <f>HYPERLINK("http://www.pristavka.com/catalog/Genshin Impact/GEN625/")</f>
        <v>http://www.pristavka.com/catalog/Genshin Impact/GEN625/</v>
      </c>
      <c r="N2728" s="71">
        <v>3199</v>
      </c>
      <c r="O2728" s="66" t="s">
        <v>27</v>
      </c>
      <c r="P2728" s="82" t="s">
        <v>10400</v>
      </c>
      <c r="Q2728" s="84" t="s">
        <v>1963</v>
      </c>
      <c r="R2728" s="84" t="s">
        <v>9605</v>
      </c>
      <c r="S2728" s="84">
        <v>2.7E-2</v>
      </c>
      <c r="T2728" s="82" t="s">
        <v>10341</v>
      </c>
      <c r="U2728" s="84"/>
      <c r="V2728" s="54"/>
    </row>
    <row r="2729" spans="1:22" s="11" customFormat="1" ht="45" customHeight="1" x14ac:dyDescent="0.2">
      <c r="A2729" s="66" t="s">
        <v>1963</v>
      </c>
      <c r="B2729" s="66" t="s">
        <v>1155</v>
      </c>
      <c r="C2729" s="66" t="s">
        <v>9605</v>
      </c>
      <c r="D2729" s="66">
        <v>6975628248339</v>
      </c>
      <c r="E2729" s="68" t="s">
        <v>10401</v>
      </c>
      <c r="F2729" s="66" t="s">
        <v>10402</v>
      </c>
      <c r="G2729" s="71">
        <v>1896</v>
      </c>
      <c r="H2729" s="73"/>
      <c r="I2729" s="75">
        <v>0.2</v>
      </c>
      <c r="J2729" s="77"/>
      <c r="K2729" s="66"/>
      <c r="L2729" s="66"/>
      <c r="M2729" s="79" t="str">
        <f>HYPERLINK("http://www.pristavka.com/catalog/Genshin Impact/GEN632/")</f>
        <v>http://www.pristavka.com/catalog/Genshin Impact/GEN632/</v>
      </c>
      <c r="N2729" s="71">
        <v>3199</v>
      </c>
      <c r="O2729" s="66" t="s">
        <v>27</v>
      </c>
      <c r="P2729" s="82" t="s">
        <v>10403</v>
      </c>
      <c r="Q2729" s="84" t="s">
        <v>1963</v>
      </c>
      <c r="R2729" s="84" t="s">
        <v>9605</v>
      </c>
      <c r="S2729" s="84">
        <v>2.7E-2</v>
      </c>
      <c r="T2729" s="82" t="s">
        <v>10341</v>
      </c>
      <c r="U2729" s="84"/>
      <c r="V2729" s="54"/>
    </row>
    <row r="2730" spans="1:22" s="11" customFormat="1" ht="45" customHeight="1" x14ac:dyDescent="0.2">
      <c r="A2730" s="66" t="s">
        <v>1963</v>
      </c>
      <c r="B2730" s="66" t="s">
        <v>1155</v>
      </c>
      <c r="C2730" s="66" t="s">
        <v>9605</v>
      </c>
      <c r="D2730" s="66">
        <v>6976068141273</v>
      </c>
      <c r="E2730" s="68" t="s">
        <v>10404</v>
      </c>
      <c r="F2730" s="66" t="s">
        <v>10405</v>
      </c>
      <c r="G2730" s="71">
        <v>1896</v>
      </c>
      <c r="H2730" s="73"/>
      <c r="I2730" s="75">
        <v>0.2</v>
      </c>
      <c r="J2730" s="77"/>
      <c r="K2730" s="66"/>
      <c r="L2730" s="66"/>
      <c r="M2730" s="79" t="str">
        <f>HYPERLINK("http://www.pristavka.com/catalog/Genshin Impact/GEN642/")</f>
        <v>http://www.pristavka.com/catalog/Genshin Impact/GEN642/</v>
      </c>
      <c r="N2730" s="71">
        <v>3199</v>
      </c>
      <c r="O2730" s="66" t="s">
        <v>27</v>
      </c>
      <c r="P2730" s="82" t="s">
        <v>10406</v>
      </c>
      <c r="Q2730" s="84" t="s">
        <v>1963</v>
      </c>
      <c r="R2730" s="84" t="s">
        <v>9605</v>
      </c>
      <c r="S2730" s="84">
        <v>2.7E-2</v>
      </c>
      <c r="T2730" s="82" t="s">
        <v>10341</v>
      </c>
      <c r="U2730" s="84"/>
      <c r="V2730" s="54"/>
    </row>
    <row r="2731" spans="1:22" s="11" customFormat="1" ht="45" customHeight="1" x14ac:dyDescent="0.2">
      <c r="A2731" s="66" t="s">
        <v>1963</v>
      </c>
      <c r="B2731" s="66" t="s">
        <v>1155</v>
      </c>
      <c r="C2731" s="66" t="s">
        <v>9605</v>
      </c>
      <c r="D2731" s="66">
        <v>6975628247264</v>
      </c>
      <c r="E2731" s="68" t="s">
        <v>10407</v>
      </c>
      <c r="F2731" s="66" t="s">
        <v>10408</v>
      </c>
      <c r="G2731" s="71">
        <v>1896</v>
      </c>
      <c r="H2731" s="73"/>
      <c r="I2731" s="75">
        <v>0.2</v>
      </c>
      <c r="J2731" s="77"/>
      <c r="K2731" s="66"/>
      <c r="L2731" s="66"/>
      <c r="M2731" s="79" t="str">
        <f>HYPERLINK("http://www.pristavka.com/catalog/Genshin Impact/GEN630/")</f>
        <v>http://www.pristavka.com/catalog/Genshin Impact/GEN630/</v>
      </c>
      <c r="N2731" s="71">
        <v>3199</v>
      </c>
      <c r="O2731" s="66" t="s">
        <v>28</v>
      </c>
      <c r="P2731" s="82" t="s">
        <v>10409</v>
      </c>
      <c r="Q2731" s="84" t="s">
        <v>1963</v>
      </c>
      <c r="R2731" s="84" t="s">
        <v>9605</v>
      </c>
      <c r="S2731" s="84">
        <v>2.7E-2</v>
      </c>
      <c r="T2731" s="82" t="s">
        <v>10341</v>
      </c>
      <c r="U2731" s="84"/>
      <c r="V2731" s="54"/>
    </row>
    <row r="2732" spans="1:22" s="11" customFormat="1" ht="45" customHeight="1" x14ac:dyDescent="0.2">
      <c r="A2732" s="66" t="s">
        <v>1963</v>
      </c>
      <c r="B2732" s="66" t="s">
        <v>1155</v>
      </c>
      <c r="C2732" s="66" t="s">
        <v>9605</v>
      </c>
      <c r="D2732" s="66">
        <v>6976068141242</v>
      </c>
      <c r="E2732" s="68" t="s">
        <v>10410</v>
      </c>
      <c r="F2732" s="66" t="s">
        <v>10411</v>
      </c>
      <c r="G2732" s="71">
        <v>1896</v>
      </c>
      <c r="H2732" s="73"/>
      <c r="I2732" s="75">
        <v>0.2</v>
      </c>
      <c r="J2732" s="77"/>
      <c r="K2732" s="66"/>
      <c r="L2732" s="66"/>
      <c r="M2732" s="79" t="str">
        <f>HYPERLINK("http://www.pristavka.com/catalog/Genshin Impact/GEN640/")</f>
        <v>http://www.pristavka.com/catalog/Genshin Impact/GEN640/</v>
      </c>
      <c r="N2732" s="71">
        <v>3199</v>
      </c>
      <c r="O2732" s="66" t="s">
        <v>27</v>
      </c>
      <c r="P2732" s="82" t="s">
        <v>10412</v>
      </c>
      <c r="Q2732" s="84" t="s">
        <v>1963</v>
      </c>
      <c r="R2732" s="84" t="s">
        <v>9605</v>
      </c>
      <c r="S2732" s="84">
        <v>2.7E-2</v>
      </c>
      <c r="T2732" s="82" t="s">
        <v>10341</v>
      </c>
      <c r="U2732" s="84"/>
      <c r="V2732" s="54"/>
    </row>
    <row r="2733" spans="1:22" s="11" customFormat="1" ht="45" customHeight="1" x14ac:dyDescent="0.2">
      <c r="A2733" s="66" t="s">
        <v>1963</v>
      </c>
      <c r="B2733" s="66" t="s">
        <v>1155</v>
      </c>
      <c r="C2733" s="66" t="s">
        <v>9605</v>
      </c>
      <c r="D2733" s="66">
        <v>6976068141235</v>
      </c>
      <c r="E2733" s="68" t="s">
        <v>10413</v>
      </c>
      <c r="F2733" s="66" t="s">
        <v>10414</v>
      </c>
      <c r="G2733" s="71">
        <v>1896</v>
      </c>
      <c r="H2733" s="73"/>
      <c r="I2733" s="75">
        <v>0.2</v>
      </c>
      <c r="J2733" s="77"/>
      <c r="K2733" s="66"/>
      <c r="L2733" s="66"/>
      <c r="M2733" s="79" t="str">
        <f>HYPERLINK("http://www.pristavka.com/catalog/Genshin Impact/GEN639/")</f>
        <v>http://www.pristavka.com/catalog/Genshin Impact/GEN639/</v>
      </c>
      <c r="N2733" s="71">
        <v>3199</v>
      </c>
      <c r="O2733" s="66" t="s">
        <v>27</v>
      </c>
      <c r="P2733" s="82" t="s">
        <v>10415</v>
      </c>
      <c r="Q2733" s="84" t="s">
        <v>1963</v>
      </c>
      <c r="R2733" s="84" t="s">
        <v>9605</v>
      </c>
      <c r="S2733" s="84">
        <v>2.5999999999999999E-2</v>
      </c>
      <c r="T2733" s="82" t="s">
        <v>10341</v>
      </c>
      <c r="U2733" s="84"/>
      <c r="V2733" s="54"/>
    </row>
    <row r="2734" spans="1:22" s="11" customFormat="1" ht="45" customHeight="1" x14ac:dyDescent="0.2">
      <c r="A2734" s="66" t="s">
        <v>1963</v>
      </c>
      <c r="B2734" s="66" t="s">
        <v>1155</v>
      </c>
      <c r="C2734" s="66" t="s">
        <v>9605</v>
      </c>
      <c r="D2734" s="66">
        <v>6975628248346</v>
      </c>
      <c r="E2734" s="68" t="s">
        <v>10416</v>
      </c>
      <c r="F2734" s="66" t="s">
        <v>10417</v>
      </c>
      <c r="G2734" s="71">
        <v>2213</v>
      </c>
      <c r="H2734" s="73"/>
      <c r="I2734" s="75">
        <v>0.2</v>
      </c>
      <c r="J2734" s="77"/>
      <c r="K2734" s="66"/>
      <c r="L2734" s="66"/>
      <c r="M2734" s="79" t="str">
        <f>HYPERLINK("http://www.pristavka.com/catalog/Genshin Impact/GEN634/")</f>
        <v>http://www.pristavka.com/catalog/Genshin Impact/GEN634/</v>
      </c>
      <c r="N2734" s="71">
        <v>3699</v>
      </c>
      <c r="O2734" s="66" t="s">
        <v>27</v>
      </c>
      <c r="P2734" s="82" t="s">
        <v>10418</v>
      </c>
      <c r="Q2734" s="84" t="s">
        <v>1963</v>
      </c>
      <c r="R2734" s="84" t="s">
        <v>9605</v>
      </c>
      <c r="S2734" s="84">
        <v>2.7E-2</v>
      </c>
      <c r="T2734" s="82" t="s">
        <v>10341</v>
      </c>
      <c r="U2734" s="84"/>
      <c r="V2734" s="54"/>
    </row>
    <row r="2735" spans="1:22" s="11" customFormat="1" ht="45" customHeight="1" x14ac:dyDescent="0.2">
      <c r="A2735" s="66" t="s">
        <v>1963</v>
      </c>
      <c r="B2735" s="66" t="s">
        <v>1155</v>
      </c>
      <c r="C2735" s="66" t="s">
        <v>9605</v>
      </c>
      <c r="D2735" s="66">
        <v>6976068141259</v>
      </c>
      <c r="E2735" s="68" t="s">
        <v>10419</v>
      </c>
      <c r="F2735" s="66" t="s">
        <v>10420</v>
      </c>
      <c r="G2735" s="71">
        <v>1896</v>
      </c>
      <c r="H2735" s="73"/>
      <c r="I2735" s="75">
        <v>0.2</v>
      </c>
      <c r="J2735" s="77"/>
      <c r="K2735" s="66"/>
      <c r="L2735" s="66"/>
      <c r="M2735" s="79" t="str">
        <f>HYPERLINK("http://www.pristavka.com/catalog/Genshin Impact/GEN641/")</f>
        <v>http://www.pristavka.com/catalog/Genshin Impact/GEN641/</v>
      </c>
      <c r="N2735" s="71">
        <v>3199</v>
      </c>
      <c r="O2735" s="66" t="s">
        <v>27</v>
      </c>
      <c r="P2735" s="82" t="s">
        <v>10421</v>
      </c>
      <c r="Q2735" s="84" t="s">
        <v>1963</v>
      </c>
      <c r="R2735" s="84" t="s">
        <v>9605</v>
      </c>
      <c r="S2735" s="84">
        <v>2.7E-2</v>
      </c>
      <c r="T2735" s="82" t="s">
        <v>10341</v>
      </c>
      <c r="U2735" s="84"/>
      <c r="V2735" s="54"/>
    </row>
    <row r="2736" spans="1:22" s="11" customFormat="1" ht="45" customHeight="1" x14ac:dyDescent="0.2">
      <c r="A2736" s="66" t="s">
        <v>1963</v>
      </c>
      <c r="B2736" s="66" t="s">
        <v>1155</v>
      </c>
      <c r="C2736" s="66" t="s">
        <v>9605</v>
      </c>
      <c r="D2736" s="66">
        <v>6975628248360</v>
      </c>
      <c r="E2736" s="68" t="s">
        <v>10422</v>
      </c>
      <c r="F2736" s="66" t="s">
        <v>10423</v>
      </c>
      <c r="G2736" s="71">
        <v>1896</v>
      </c>
      <c r="H2736" s="73"/>
      <c r="I2736" s="75">
        <v>0.2</v>
      </c>
      <c r="J2736" s="77"/>
      <c r="K2736" s="66"/>
      <c r="L2736" s="66"/>
      <c r="M2736" s="79" t="str">
        <f>HYPERLINK("http://www.pristavka.com/catalog/Genshin Impact/GEN624/")</f>
        <v>http://www.pristavka.com/catalog/Genshin Impact/GEN624/</v>
      </c>
      <c r="N2736" s="71">
        <v>3199</v>
      </c>
      <c r="O2736" s="66" t="s">
        <v>27</v>
      </c>
      <c r="P2736" s="82" t="s">
        <v>10424</v>
      </c>
      <c r="Q2736" s="84" t="s">
        <v>1963</v>
      </c>
      <c r="R2736" s="84" t="s">
        <v>9605</v>
      </c>
      <c r="S2736" s="84">
        <v>2.7E-2</v>
      </c>
      <c r="T2736" s="82" t="s">
        <v>10341</v>
      </c>
      <c r="U2736" s="84"/>
      <c r="V2736" s="54"/>
    </row>
    <row r="2737" spans="1:22" s="11" customFormat="1" ht="45" customHeight="1" x14ac:dyDescent="0.2">
      <c r="A2737" s="66" t="s">
        <v>1963</v>
      </c>
      <c r="B2737" s="66" t="s">
        <v>1155</v>
      </c>
      <c r="C2737" s="66" t="s">
        <v>9605</v>
      </c>
      <c r="D2737" s="66">
        <v>6975213686720</v>
      </c>
      <c r="E2737" s="68" t="s">
        <v>10425</v>
      </c>
      <c r="F2737" s="66" t="s">
        <v>10426</v>
      </c>
      <c r="G2737" s="71">
        <v>2308</v>
      </c>
      <c r="H2737" s="73"/>
      <c r="I2737" s="75">
        <v>0.2</v>
      </c>
      <c r="J2737" s="77"/>
      <c r="K2737" s="66"/>
      <c r="L2737" s="66"/>
      <c r="M2737" s="79" t="str">
        <f>HYPERLINK("http://www.pristavka.com/catalog/Genshin Impact/GEN530/")</f>
        <v>http://www.pristavka.com/catalog/Genshin Impact/GEN530/</v>
      </c>
      <c r="N2737" s="71">
        <v>3899</v>
      </c>
      <c r="O2737" s="66" t="s">
        <v>27</v>
      </c>
      <c r="P2737" s="82" t="s">
        <v>10427</v>
      </c>
      <c r="Q2737" s="84" t="s">
        <v>1963</v>
      </c>
      <c r="R2737" s="84" t="s">
        <v>9605</v>
      </c>
      <c r="S2737" s="84">
        <v>3.9E-2</v>
      </c>
      <c r="T2737" s="82" t="s">
        <v>10209</v>
      </c>
      <c r="U2737" s="84"/>
      <c r="V2737" s="54"/>
    </row>
    <row r="2738" spans="1:22" s="11" customFormat="1" ht="45" customHeight="1" x14ac:dyDescent="0.2">
      <c r="A2738" s="66" t="s">
        <v>1963</v>
      </c>
      <c r="B2738" s="66" t="s">
        <v>1155</v>
      </c>
      <c r="C2738" s="66" t="s">
        <v>9605</v>
      </c>
      <c r="D2738" s="66">
        <v>6975628245178</v>
      </c>
      <c r="E2738" s="68" t="s">
        <v>10428</v>
      </c>
      <c r="F2738" s="66" t="s">
        <v>10429</v>
      </c>
      <c r="G2738" s="71">
        <v>2308</v>
      </c>
      <c r="H2738" s="73"/>
      <c r="I2738" s="75">
        <v>0.2</v>
      </c>
      <c r="J2738" s="77"/>
      <c r="K2738" s="66"/>
      <c r="L2738" s="66"/>
      <c r="M2738" s="79" t="str">
        <f>HYPERLINK("http://www.pristavka.com/catalog/Genshin Impact/GEN690/")</f>
        <v>http://www.pristavka.com/catalog/Genshin Impact/GEN690/</v>
      </c>
      <c r="N2738" s="71">
        <v>3899</v>
      </c>
      <c r="O2738" s="66" t="s">
        <v>27</v>
      </c>
      <c r="P2738" s="82" t="s">
        <v>10430</v>
      </c>
      <c r="Q2738" s="84" t="s">
        <v>1963</v>
      </c>
      <c r="R2738" s="84" t="s">
        <v>9605</v>
      </c>
      <c r="S2738" s="84">
        <v>2.1999999999999999E-2</v>
      </c>
      <c r="T2738" s="82" t="s">
        <v>10311</v>
      </c>
      <c r="U2738" s="84"/>
      <c r="V2738" s="54"/>
    </row>
    <row r="2739" spans="1:22" s="11" customFormat="1" ht="45" customHeight="1" x14ac:dyDescent="0.2">
      <c r="A2739" s="66" t="s">
        <v>1963</v>
      </c>
      <c r="B2739" s="66" t="s">
        <v>1155</v>
      </c>
      <c r="C2739" s="66" t="s">
        <v>9605</v>
      </c>
      <c r="D2739" s="66">
        <v>6974696616224</v>
      </c>
      <c r="E2739" s="68" t="s">
        <v>10431</v>
      </c>
      <c r="F2739" s="66" t="s">
        <v>10432</v>
      </c>
      <c r="G2739" s="71">
        <v>2055</v>
      </c>
      <c r="H2739" s="73"/>
      <c r="I2739" s="75">
        <v>0.2</v>
      </c>
      <c r="J2739" s="77"/>
      <c r="K2739" s="66"/>
      <c r="L2739" s="66"/>
      <c r="M2739" s="79" t="str">
        <f>HYPERLINK("http://www.pristavka.com/catalog/Genshin Impact/GEN355/")</f>
        <v>http://www.pristavka.com/catalog/Genshin Impact/GEN355/</v>
      </c>
      <c r="N2739" s="71">
        <v>3499</v>
      </c>
      <c r="O2739" s="66" t="s">
        <v>27</v>
      </c>
      <c r="P2739" s="82" t="s">
        <v>10433</v>
      </c>
      <c r="Q2739" s="84" t="s">
        <v>1963</v>
      </c>
      <c r="R2739" s="84" t="s">
        <v>9605</v>
      </c>
      <c r="S2739" s="84">
        <v>2.4E-2</v>
      </c>
      <c r="T2739" s="82" t="s">
        <v>9688</v>
      </c>
      <c r="U2739" s="84" t="s">
        <v>2255</v>
      </c>
      <c r="V2739" s="54"/>
    </row>
    <row r="2740" spans="1:22" s="11" customFormat="1" ht="45" customHeight="1" x14ac:dyDescent="0.2">
      <c r="A2740" s="66" t="s">
        <v>1963</v>
      </c>
      <c r="B2740" s="66" t="s">
        <v>1155</v>
      </c>
      <c r="C2740" s="66" t="s">
        <v>9605</v>
      </c>
      <c r="D2740" s="66">
        <v>6974696616187</v>
      </c>
      <c r="E2740" s="68" t="s">
        <v>10434</v>
      </c>
      <c r="F2740" s="66" t="s">
        <v>10435</v>
      </c>
      <c r="G2740" s="71">
        <v>2055</v>
      </c>
      <c r="H2740" s="73"/>
      <c r="I2740" s="75">
        <v>0.2</v>
      </c>
      <c r="J2740" s="77"/>
      <c r="K2740" s="66"/>
      <c r="L2740" s="66"/>
      <c r="M2740" s="79" t="str">
        <f>HYPERLINK("http://www.pristavka.com/catalog/Genshin Impact/GEN351/")</f>
        <v>http://www.pristavka.com/catalog/Genshin Impact/GEN351/</v>
      </c>
      <c r="N2740" s="71">
        <v>3499</v>
      </c>
      <c r="O2740" s="66" t="s">
        <v>27</v>
      </c>
      <c r="P2740" s="82" t="s">
        <v>10436</v>
      </c>
      <c r="Q2740" s="84" t="s">
        <v>1963</v>
      </c>
      <c r="R2740" s="84" t="s">
        <v>9605</v>
      </c>
      <c r="S2740" s="84">
        <v>2.1999999999999999E-2</v>
      </c>
      <c r="T2740" s="82" t="s">
        <v>9688</v>
      </c>
      <c r="U2740" s="84" t="s">
        <v>2255</v>
      </c>
      <c r="V2740" s="54"/>
    </row>
    <row r="2741" spans="1:22" s="11" customFormat="1" ht="45" customHeight="1" x14ac:dyDescent="0.2">
      <c r="A2741" s="66" t="s">
        <v>1963</v>
      </c>
      <c r="B2741" s="66" t="s">
        <v>1155</v>
      </c>
      <c r="C2741" s="66" t="s">
        <v>9605</v>
      </c>
      <c r="D2741" s="66">
        <v>6974696614831</v>
      </c>
      <c r="E2741" s="68" t="s">
        <v>10437</v>
      </c>
      <c r="F2741" s="66" t="s">
        <v>10438</v>
      </c>
      <c r="G2741" s="71">
        <v>2055</v>
      </c>
      <c r="H2741" s="73"/>
      <c r="I2741" s="75">
        <v>0.2</v>
      </c>
      <c r="J2741" s="77"/>
      <c r="K2741" s="66"/>
      <c r="L2741" s="66"/>
      <c r="M2741" s="79" t="str">
        <f>HYPERLINK("http://www.pristavka.com/catalog/Genshin Impact/GEN349/")</f>
        <v>http://www.pristavka.com/catalog/Genshin Impact/GEN349/</v>
      </c>
      <c r="N2741" s="71">
        <v>3499</v>
      </c>
      <c r="O2741" s="66" t="s">
        <v>27</v>
      </c>
      <c r="P2741" s="82" t="s">
        <v>10439</v>
      </c>
      <c r="Q2741" s="84" t="s">
        <v>1963</v>
      </c>
      <c r="R2741" s="84" t="s">
        <v>9605</v>
      </c>
      <c r="S2741" s="84">
        <v>2.1999999999999999E-2</v>
      </c>
      <c r="T2741" s="82" t="s">
        <v>9684</v>
      </c>
      <c r="U2741" s="84" t="s">
        <v>2255</v>
      </c>
      <c r="V2741" s="54"/>
    </row>
    <row r="2742" spans="1:22" s="11" customFormat="1" ht="45" customHeight="1" x14ac:dyDescent="0.2">
      <c r="A2742" s="66" t="s">
        <v>1963</v>
      </c>
      <c r="B2742" s="66" t="s">
        <v>1155</v>
      </c>
      <c r="C2742" s="66" t="s">
        <v>9605</v>
      </c>
      <c r="D2742" s="66">
        <v>6974696614848</v>
      </c>
      <c r="E2742" s="68" t="s">
        <v>10440</v>
      </c>
      <c r="F2742" s="66" t="s">
        <v>10441</v>
      </c>
      <c r="G2742" s="71">
        <v>2055</v>
      </c>
      <c r="H2742" s="73"/>
      <c r="I2742" s="75">
        <v>0.2</v>
      </c>
      <c r="J2742" s="77"/>
      <c r="K2742" s="66"/>
      <c r="L2742" s="66"/>
      <c r="M2742" s="79" t="str">
        <f>HYPERLINK("http://www.pristavka.com/catalog/Genshin Impact/GEN350/")</f>
        <v>http://www.pristavka.com/catalog/Genshin Impact/GEN350/</v>
      </c>
      <c r="N2742" s="71">
        <v>3499</v>
      </c>
      <c r="O2742" s="66" t="s">
        <v>27</v>
      </c>
      <c r="P2742" s="82" t="s">
        <v>10442</v>
      </c>
      <c r="Q2742" s="84" t="s">
        <v>1963</v>
      </c>
      <c r="R2742" s="84" t="s">
        <v>9605</v>
      </c>
      <c r="S2742" s="84">
        <v>2.1999999999999999E-2</v>
      </c>
      <c r="T2742" s="82" t="s">
        <v>9684</v>
      </c>
      <c r="U2742" s="84" t="s">
        <v>2255</v>
      </c>
      <c r="V2742" s="54"/>
    </row>
    <row r="2743" spans="1:22" s="11" customFormat="1" ht="45" customHeight="1" x14ac:dyDescent="0.2">
      <c r="A2743" s="66" t="s">
        <v>1963</v>
      </c>
      <c r="B2743" s="66" t="s">
        <v>1155</v>
      </c>
      <c r="C2743" s="66" t="s">
        <v>9605</v>
      </c>
      <c r="D2743" s="66">
        <v>6974696616194</v>
      </c>
      <c r="E2743" s="68" t="s">
        <v>10443</v>
      </c>
      <c r="F2743" s="66" t="s">
        <v>10444</v>
      </c>
      <c r="G2743" s="71">
        <v>2055</v>
      </c>
      <c r="H2743" s="73"/>
      <c r="I2743" s="75">
        <v>0.2</v>
      </c>
      <c r="J2743" s="77"/>
      <c r="K2743" s="66"/>
      <c r="L2743" s="66"/>
      <c r="M2743" s="79" t="str">
        <f>HYPERLINK("http://www.pristavka.com/catalog/Genshin Impact/GEN352/")</f>
        <v>http://www.pristavka.com/catalog/Genshin Impact/GEN352/</v>
      </c>
      <c r="N2743" s="71">
        <v>3499</v>
      </c>
      <c r="O2743" s="66" t="s">
        <v>27</v>
      </c>
      <c r="P2743" s="82" t="s">
        <v>10445</v>
      </c>
      <c r="Q2743" s="84" t="s">
        <v>1963</v>
      </c>
      <c r="R2743" s="84" t="s">
        <v>9605</v>
      </c>
      <c r="S2743" s="84">
        <v>2.1999999999999999E-2</v>
      </c>
      <c r="T2743" s="82" t="s">
        <v>10446</v>
      </c>
      <c r="U2743" s="84" t="s">
        <v>2255</v>
      </c>
      <c r="V2743" s="54"/>
    </row>
    <row r="2744" spans="1:22" s="11" customFormat="1" ht="45" customHeight="1" x14ac:dyDescent="0.2">
      <c r="A2744" s="66" t="s">
        <v>1963</v>
      </c>
      <c r="B2744" s="66" t="s">
        <v>1155</v>
      </c>
      <c r="C2744" s="66" t="s">
        <v>9605</v>
      </c>
      <c r="D2744" s="66">
        <v>6974696616217</v>
      </c>
      <c r="E2744" s="68" t="s">
        <v>10447</v>
      </c>
      <c r="F2744" s="66" t="s">
        <v>10448</v>
      </c>
      <c r="G2744" s="71">
        <v>2055</v>
      </c>
      <c r="H2744" s="73"/>
      <c r="I2744" s="75">
        <v>0.2</v>
      </c>
      <c r="J2744" s="77"/>
      <c r="K2744" s="66"/>
      <c r="L2744" s="66"/>
      <c r="M2744" s="79" t="str">
        <f>HYPERLINK("http://www.pristavka.com/catalog/Genshin Impact/GEN354/")</f>
        <v>http://www.pristavka.com/catalog/Genshin Impact/GEN354/</v>
      </c>
      <c r="N2744" s="71">
        <v>3499</v>
      </c>
      <c r="O2744" s="66" t="s">
        <v>27</v>
      </c>
      <c r="P2744" s="82" t="s">
        <v>10449</v>
      </c>
      <c r="Q2744" s="84" t="s">
        <v>1963</v>
      </c>
      <c r="R2744" s="84" t="s">
        <v>9605</v>
      </c>
      <c r="S2744" s="84">
        <v>2.1999999999999999E-2</v>
      </c>
      <c r="T2744" s="82" t="s">
        <v>10450</v>
      </c>
      <c r="U2744" s="84" t="s">
        <v>2255</v>
      </c>
      <c r="V2744" s="54"/>
    </row>
    <row r="2745" spans="1:22" s="11" customFormat="1" ht="45" customHeight="1" x14ac:dyDescent="0.2">
      <c r="A2745" s="66" t="s">
        <v>1963</v>
      </c>
      <c r="B2745" s="66" t="s">
        <v>1155</v>
      </c>
      <c r="C2745" s="66" t="s">
        <v>9605</v>
      </c>
      <c r="D2745" s="66">
        <v>6974696614824</v>
      </c>
      <c r="E2745" s="68" t="s">
        <v>10451</v>
      </c>
      <c r="F2745" s="66" t="s">
        <v>10452</v>
      </c>
      <c r="G2745" s="71">
        <v>2372</v>
      </c>
      <c r="H2745" s="73"/>
      <c r="I2745" s="75">
        <v>0.2</v>
      </c>
      <c r="J2745" s="77"/>
      <c r="K2745" s="66"/>
      <c r="L2745" s="66"/>
      <c r="M2745" s="79" t="str">
        <f>HYPERLINK("http://www.pristavka.com/catalog/Genshin Impact/GEN348/")</f>
        <v>http://www.pristavka.com/catalog/Genshin Impact/GEN348/</v>
      </c>
      <c r="N2745" s="71">
        <v>3999</v>
      </c>
      <c r="O2745" s="66" t="s">
        <v>27</v>
      </c>
      <c r="P2745" s="82" t="s">
        <v>10453</v>
      </c>
      <c r="Q2745" s="84" t="s">
        <v>1963</v>
      </c>
      <c r="R2745" s="84" t="s">
        <v>9605</v>
      </c>
      <c r="S2745" s="84">
        <v>2.3E-2</v>
      </c>
      <c r="T2745" s="82" t="s">
        <v>9688</v>
      </c>
      <c r="U2745" s="84" t="s">
        <v>2255</v>
      </c>
      <c r="V2745" s="54"/>
    </row>
    <row r="2746" spans="1:22" s="11" customFormat="1" ht="45" customHeight="1" x14ac:dyDescent="0.2">
      <c r="A2746" s="66" t="s">
        <v>1963</v>
      </c>
      <c r="B2746" s="66" t="s">
        <v>1155</v>
      </c>
      <c r="C2746" s="66" t="s">
        <v>9605</v>
      </c>
      <c r="D2746" s="66">
        <v>6974696616200</v>
      </c>
      <c r="E2746" s="68" t="s">
        <v>10454</v>
      </c>
      <c r="F2746" s="66" t="s">
        <v>10455</v>
      </c>
      <c r="G2746" s="71">
        <v>2055</v>
      </c>
      <c r="H2746" s="73"/>
      <c r="I2746" s="75">
        <v>0.2</v>
      </c>
      <c r="J2746" s="77"/>
      <c r="K2746" s="66"/>
      <c r="L2746" s="66"/>
      <c r="M2746" s="79" t="str">
        <f>HYPERLINK("http://www.pristavka.com/catalog/Genshin Impact/GEN353/")</f>
        <v>http://www.pristavka.com/catalog/Genshin Impact/GEN353/</v>
      </c>
      <c r="N2746" s="71">
        <v>3499</v>
      </c>
      <c r="O2746" s="66" t="s">
        <v>27</v>
      </c>
      <c r="P2746" s="82" t="s">
        <v>10456</v>
      </c>
      <c r="Q2746" s="84" t="s">
        <v>1963</v>
      </c>
      <c r="R2746" s="84" t="s">
        <v>9605</v>
      </c>
      <c r="S2746" s="84">
        <v>0.02</v>
      </c>
      <c r="T2746" s="82" t="s">
        <v>10450</v>
      </c>
      <c r="U2746" s="84" t="s">
        <v>2255</v>
      </c>
      <c r="V2746" s="54"/>
    </row>
    <row r="2747" spans="1:22" s="11" customFormat="1" ht="45" customHeight="1" x14ac:dyDescent="0.2">
      <c r="A2747" s="66" t="s">
        <v>1963</v>
      </c>
      <c r="B2747" s="66" t="s">
        <v>1155</v>
      </c>
      <c r="C2747" s="66" t="s">
        <v>9605</v>
      </c>
      <c r="D2747" s="66">
        <v>6974696614817</v>
      </c>
      <c r="E2747" s="68" t="s">
        <v>10457</v>
      </c>
      <c r="F2747" s="66" t="s">
        <v>10458</v>
      </c>
      <c r="G2747" s="71">
        <v>2055</v>
      </c>
      <c r="H2747" s="73"/>
      <c r="I2747" s="75">
        <v>0.2</v>
      </c>
      <c r="J2747" s="77"/>
      <c r="K2747" s="66"/>
      <c r="L2747" s="66"/>
      <c r="M2747" s="79" t="str">
        <f>HYPERLINK("http://www.pristavka.com/catalog/Genshin Impact/GEN347/")</f>
        <v>http://www.pristavka.com/catalog/Genshin Impact/GEN347/</v>
      </c>
      <c r="N2747" s="71">
        <v>3499</v>
      </c>
      <c r="O2747" s="66" t="s">
        <v>27</v>
      </c>
      <c r="P2747" s="82" t="s">
        <v>10459</v>
      </c>
      <c r="Q2747" s="84" t="s">
        <v>1963</v>
      </c>
      <c r="R2747" s="84" t="s">
        <v>9605</v>
      </c>
      <c r="S2747" s="84">
        <v>2.1999999999999999E-2</v>
      </c>
      <c r="T2747" s="82" t="s">
        <v>9688</v>
      </c>
      <c r="U2747" s="84" t="s">
        <v>2255</v>
      </c>
      <c r="V2747" s="54"/>
    </row>
    <row r="2748" spans="1:22" s="11" customFormat="1" ht="45" customHeight="1" x14ac:dyDescent="0.2">
      <c r="A2748" s="66" t="s">
        <v>1963</v>
      </c>
      <c r="B2748" s="66" t="s">
        <v>1155</v>
      </c>
      <c r="C2748" s="66" t="s">
        <v>9605</v>
      </c>
      <c r="D2748" s="66">
        <v>6974696616231</v>
      </c>
      <c r="E2748" s="68" t="s">
        <v>10460</v>
      </c>
      <c r="F2748" s="66" t="s">
        <v>10461</v>
      </c>
      <c r="G2748" s="71">
        <v>2055</v>
      </c>
      <c r="H2748" s="73"/>
      <c r="I2748" s="75">
        <v>0.2</v>
      </c>
      <c r="J2748" s="77"/>
      <c r="K2748" s="66"/>
      <c r="L2748" s="66"/>
      <c r="M2748" s="79" t="str">
        <f>HYPERLINK("http://www.pristavka.com/catalog/Genshin Impact/GEN356/")</f>
        <v>http://www.pristavka.com/catalog/Genshin Impact/GEN356/</v>
      </c>
      <c r="N2748" s="71">
        <v>3499</v>
      </c>
      <c r="O2748" s="66" t="s">
        <v>28</v>
      </c>
      <c r="P2748" s="82" t="s">
        <v>10462</v>
      </c>
      <c r="Q2748" s="84" t="s">
        <v>1963</v>
      </c>
      <c r="R2748" s="84" t="s">
        <v>9605</v>
      </c>
      <c r="S2748" s="84">
        <v>0.02</v>
      </c>
      <c r="T2748" s="82" t="s">
        <v>10450</v>
      </c>
      <c r="U2748" s="84" t="s">
        <v>2255</v>
      </c>
      <c r="V2748" s="54"/>
    </row>
    <row r="2749" spans="1:22" s="11" customFormat="1" ht="45" customHeight="1" x14ac:dyDescent="0.2">
      <c r="A2749" s="66" t="s">
        <v>1963</v>
      </c>
      <c r="B2749" s="66" t="s">
        <v>1155</v>
      </c>
      <c r="C2749" s="66" t="s">
        <v>9605</v>
      </c>
      <c r="D2749" s="66">
        <v>6976525002024</v>
      </c>
      <c r="E2749" s="68" t="s">
        <v>10463</v>
      </c>
      <c r="F2749" s="66" t="s">
        <v>10464</v>
      </c>
      <c r="G2749" s="71">
        <v>6307</v>
      </c>
      <c r="H2749" s="73"/>
      <c r="I2749" s="75">
        <v>0.2</v>
      </c>
      <c r="J2749" s="77"/>
      <c r="K2749" s="66"/>
      <c r="L2749" s="66"/>
      <c r="M2749" s="79" t="str">
        <f>HYPERLINK("http://www.pristavka.com/catalog/Genshin Impact/GEN1126/")</f>
        <v>http://www.pristavka.com/catalog/Genshin Impact/GEN1126/</v>
      </c>
      <c r="N2749" s="71">
        <v>10599</v>
      </c>
      <c r="O2749" s="66" t="s">
        <v>27</v>
      </c>
      <c r="P2749" s="82" t="s">
        <v>10465</v>
      </c>
      <c r="Q2749" s="84" t="s">
        <v>1963</v>
      </c>
      <c r="R2749" s="84" t="s">
        <v>9605</v>
      </c>
      <c r="S2749" s="84">
        <v>7.0999999999999994E-2</v>
      </c>
      <c r="T2749" s="82" t="s">
        <v>10466</v>
      </c>
      <c r="U2749" s="84"/>
      <c r="V2749" s="54"/>
    </row>
    <row r="2750" spans="1:22" s="11" customFormat="1" ht="45" customHeight="1" x14ac:dyDescent="0.2">
      <c r="A2750" s="66" t="s">
        <v>1963</v>
      </c>
      <c r="B2750" s="66" t="s">
        <v>1155</v>
      </c>
      <c r="C2750" s="66" t="s">
        <v>9605</v>
      </c>
      <c r="D2750" s="66">
        <v>6942421102533</v>
      </c>
      <c r="E2750" s="68" t="s">
        <v>10467</v>
      </c>
      <c r="F2750" s="66" t="s">
        <v>10468</v>
      </c>
      <c r="G2750" s="71">
        <v>2594</v>
      </c>
      <c r="H2750" s="73"/>
      <c r="I2750" s="75">
        <v>0.2</v>
      </c>
      <c r="J2750" s="77"/>
      <c r="K2750" s="66"/>
      <c r="L2750" s="66"/>
      <c r="M2750" s="79" t="str">
        <f>HYPERLINK("http://www.pristavka.com/catalog/Genshin Impact/GEN1041/")</f>
        <v>http://www.pristavka.com/catalog/Genshin Impact/GEN1041/</v>
      </c>
      <c r="N2750" s="71">
        <v>4399</v>
      </c>
      <c r="O2750" s="66" t="s">
        <v>27</v>
      </c>
      <c r="P2750" s="82" t="s">
        <v>10469</v>
      </c>
      <c r="Q2750" s="84" t="s">
        <v>1963</v>
      </c>
      <c r="R2750" s="84" t="s">
        <v>9605</v>
      </c>
      <c r="S2750" s="84">
        <v>2.5000000000000001E-2</v>
      </c>
      <c r="T2750" s="82" t="s">
        <v>10470</v>
      </c>
      <c r="U2750" s="84"/>
      <c r="V2750" s="54"/>
    </row>
    <row r="2751" spans="1:22" s="11" customFormat="1" ht="45" customHeight="1" x14ac:dyDescent="0.2">
      <c r="A2751" s="66" t="s">
        <v>1963</v>
      </c>
      <c r="B2751" s="66" t="s">
        <v>1155</v>
      </c>
      <c r="C2751" s="66" t="s">
        <v>9605</v>
      </c>
      <c r="D2751" s="66">
        <v>6942421102205</v>
      </c>
      <c r="E2751" s="68" t="s">
        <v>10471</v>
      </c>
      <c r="F2751" s="66" t="s">
        <v>10472</v>
      </c>
      <c r="G2751" s="71">
        <v>3771</v>
      </c>
      <c r="H2751" s="73"/>
      <c r="I2751" s="75">
        <v>0.2</v>
      </c>
      <c r="J2751" s="77"/>
      <c r="K2751" s="66"/>
      <c r="L2751" s="66"/>
      <c r="M2751" s="79" t="str">
        <f>HYPERLINK("http://www.pristavka.com/catalog/Genshin Impact/GEN1229/")</f>
        <v>http://www.pristavka.com/catalog/Genshin Impact/GEN1229/</v>
      </c>
      <c r="N2751" s="71">
        <v>6299</v>
      </c>
      <c r="O2751" s="66" t="s">
        <v>27</v>
      </c>
      <c r="P2751" s="82" t="s">
        <v>10473</v>
      </c>
      <c r="Q2751" s="84" t="s">
        <v>1963</v>
      </c>
      <c r="R2751" s="84" t="s">
        <v>9605</v>
      </c>
      <c r="S2751" s="84">
        <v>2.9000000000000001E-2</v>
      </c>
      <c r="T2751" s="82" t="s">
        <v>10474</v>
      </c>
      <c r="U2751" s="84"/>
      <c r="V2751" s="54"/>
    </row>
    <row r="2752" spans="1:22" s="11" customFormat="1" ht="45" customHeight="1" x14ac:dyDescent="0.2">
      <c r="A2752" s="66" t="s">
        <v>1963</v>
      </c>
      <c r="B2752" s="66" t="s">
        <v>1155</v>
      </c>
      <c r="C2752" s="66" t="s">
        <v>9605</v>
      </c>
      <c r="D2752" s="66">
        <v>6942421102236</v>
      </c>
      <c r="E2752" s="68" t="s">
        <v>10475</v>
      </c>
      <c r="F2752" s="66" t="s">
        <v>10476</v>
      </c>
      <c r="G2752" s="71">
        <v>4088</v>
      </c>
      <c r="H2752" s="73"/>
      <c r="I2752" s="75">
        <v>0.2</v>
      </c>
      <c r="J2752" s="77"/>
      <c r="K2752" s="66"/>
      <c r="L2752" s="66"/>
      <c r="M2752" s="79" t="str">
        <f>HYPERLINK("http://www.pristavka.com/catalog/Genshin Impact/GEN1064/")</f>
        <v>http://www.pristavka.com/catalog/Genshin Impact/GEN1064/</v>
      </c>
      <c r="N2752" s="71">
        <v>6899</v>
      </c>
      <c r="O2752" s="66" t="s">
        <v>27</v>
      </c>
      <c r="P2752" s="82" t="s">
        <v>10477</v>
      </c>
      <c r="Q2752" s="84" t="s">
        <v>1963</v>
      </c>
      <c r="R2752" s="84" t="s">
        <v>9605</v>
      </c>
      <c r="S2752" s="84">
        <v>0.03</v>
      </c>
      <c r="T2752" s="82" t="s">
        <v>10478</v>
      </c>
      <c r="U2752" s="84"/>
      <c r="V2752" s="54"/>
    </row>
    <row r="2753" spans="1:22" s="11" customFormat="1" ht="45" customHeight="1" x14ac:dyDescent="0.2">
      <c r="A2753" s="66" t="s">
        <v>1963</v>
      </c>
      <c r="B2753" s="66" t="s">
        <v>1155</v>
      </c>
      <c r="C2753" s="66" t="s">
        <v>9605</v>
      </c>
      <c r="D2753" s="66">
        <v>6976525002000</v>
      </c>
      <c r="E2753" s="68" t="s">
        <v>10479</v>
      </c>
      <c r="F2753" s="66" t="s">
        <v>10480</v>
      </c>
      <c r="G2753" s="71">
        <v>6307</v>
      </c>
      <c r="H2753" s="73"/>
      <c r="I2753" s="75">
        <v>0.2</v>
      </c>
      <c r="J2753" s="77"/>
      <c r="K2753" s="66"/>
      <c r="L2753" s="66"/>
      <c r="M2753" s="79" t="str">
        <f>HYPERLINK("http://www.pristavka.com/catalog/Genshin Impact/GEN1125/")</f>
        <v>http://www.pristavka.com/catalog/Genshin Impact/GEN1125/</v>
      </c>
      <c r="N2753" s="71">
        <v>10599</v>
      </c>
      <c r="O2753" s="66" t="s">
        <v>27</v>
      </c>
      <c r="P2753" s="82" t="s">
        <v>10481</v>
      </c>
      <c r="Q2753" s="84" t="s">
        <v>1963</v>
      </c>
      <c r="R2753" s="84" t="s">
        <v>9605</v>
      </c>
      <c r="S2753" s="84">
        <v>7.0000000000000007E-2</v>
      </c>
      <c r="T2753" s="82" t="s">
        <v>10482</v>
      </c>
      <c r="U2753" s="84"/>
      <c r="V2753" s="54"/>
    </row>
    <row r="2754" spans="1:22" s="11" customFormat="1" ht="45" customHeight="1" x14ac:dyDescent="0.2">
      <c r="A2754" s="66" t="s">
        <v>1963</v>
      </c>
      <c r="B2754" s="66" t="s">
        <v>1155</v>
      </c>
      <c r="C2754" s="66" t="s">
        <v>9605</v>
      </c>
      <c r="D2754" s="66">
        <v>6976068149958</v>
      </c>
      <c r="E2754" s="68" t="s">
        <v>10483</v>
      </c>
      <c r="F2754" s="66" t="s">
        <v>10484</v>
      </c>
      <c r="G2754" s="71">
        <v>3771</v>
      </c>
      <c r="H2754" s="73"/>
      <c r="I2754" s="75">
        <v>0.2</v>
      </c>
      <c r="J2754" s="77"/>
      <c r="K2754" s="66"/>
      <c r="L2754" s="66"/>
      <c r="M2754" s="79" t="str">
        <f>HYPERLINK("http://www.pristavka.com/catalog/Genshin Impact/GEN1120/")</f>
        <v>http://www.pristavka.com/catalog/Genshin Impact/GEN1120/</v>
      </c>
      <c r="N2754" s="71">
        <v>6299</v>
      </c>
      <c r="O2754" s="66" t="s">
        <v>27</v>
      </c>
      <c r="P2754" s="82" t="s">
        <v>10485</v>
      </c>
      <c r="Q2754" s="84" t="s">
        <v>1963</v>
      </c>
      <c r="R2754" s="84" t="s">
        <v>9605</v>
      </c>
      <c r="S2754" s="84">
        <v>0.02</v>
      </c>
      <c r="T2754" s="82" t="s">
        <v>10486</v>
      </c>
      <c r="U2754" s="84"/>
      <c r="V2754" s="54"/>
    </row>
    <row r="2755" spans="1:22" s="11" customFormat="1" ht="45" customHeight="1" x14ac:dyDescent="0.2">
      <c r="A2755" s="66" t="s">
        <v>1963</v>
      </c>
      <c r="B2755" s="66" t="s">
        <v>1155</v>
      </c>
      <c r="C2755" s="66" t="s">
        <v>9605</v>
      </c>
      <c r="D2755" s="66">
        <v>6942421104094</v>
      </c>
      <c r="E2755" s="68" t="s">
        <v>10487</v>
      </c>
      <c r="F2755" s="66" t="s">
        <v>10488</v>
      </c>
      <c r="G2755" s="71">
        <v>3164</v>
      </c>
      <c r="H2755" s="73"/>
      <c r="I2755" s="75">
        <v>0.2</v>
      </c>
      <c r="J2755" s="77"/>
      <c r="K2755" s="66"/>
      <c r="L2755" s="66"/>
      <c r="M2755" s="79" t="str">
        <f>HYPERLINK("http://www.pristavka.com/catalog/Genshin Impact/GEN1145/")</f>
        <v>http://www.pristavka.com/catalog/Genshin Impact/GEN1145/</v>
      </c>
      <c r="N2755" s="71">
        <v>5299</v>
      </c>
      <c r="O2755" s="66" t="s">
        <v>28</v>
      </c>
      <c r="P2755" s="82" t="s">
        <v>10489</v>
      </c>
      <c r="Q2755" s="84" t="s">
        <v>1963</v>
      </c>
      <c r="R2755" s="84" t="s">
        <v>9605</v>
      </c>
      <c r="S2755" s="84">
        <v>4.4999999999999998E-2</v>
      </c>
      <c r="T2755" s="82" t="s">
        <v>10490</v>
      </c>
      <c r="U2755" s="84"/>
      <c r="V2755" s="54"/>
    </row>
    <row r="2756" spans="1:22" s="11" customFormat="1" ht="45" customHeight="1" x14ac:dyDescent="0.2">
      <c r="A2756" s="66" t="s">
        <v>1963</v>
      </c>
      <c r="B2756" s="66" t="s">
        <v>1155</v>
      </c>
      <c r="C2756" s="66" t="s">
        <v>9605</v>
      </c>
      <c r="D2756" s="66">
        <v>6942421104124</v>
      </c>
      <c r="E2756" s="68" t="s">
        <v>10491</v>
      </c>
      <c r="F2756" s="66" t="s">
        <v>10492</v>
      </c>
      <c r="G2756" s="71">
        <v>3164</v>
      </c>
      <c r="H2756" s="73"/>
      <c r="I2756" s="75">
        <v>0.2</v>
      </c>
      <c r="J2756" s="77"/>
      <c r="K2756" s="66"/>
      <c r="L2756" s="66"/>
      <c r="M2756" s="79" t="str">
        <f>HYPERLINK("http://www.pristavka.com/catalog/Genshin Impact/GEN1147/")</f>
        <v>http://www.pristavka.com/catalog/Genshin Impact/GEN1147/</v>
      </c>
      <c r="N2756" s="71">
        <v>5299</v>
      </c>
      <c r="O2756" s="66" t="s">
        <v>27</v>
      </c>
      <c r="P2756" s="82" t="s">
        <v>10493</v>
      </c>
      <c r="Q2756" s="84" t="s">
        <v>1963</v>
      </c>
      <c r="R2756" s="84" t="s">
        <v>9605</v>
      </c>
      <c r="S2756" s="84">
        <v>5.1999999999999998E-2</v>
      </c>
      <c r="T2756" s="82" t="s">
        <v>10494</v>
      </c>
      <c r="U2756" s="84"/>
      <c r="V2756" s="54"/>
    </row>
    <row r="2757" spans="1:22" s="11" customFormat="1" ht="45" customHeight="1" x14ac:dyDescent="0.2">
      <c r="A2757" s="66" t="s">
        <v>1963</v>
      </c>
      <c r="B2757" s="66" t="s">
        <v>1155</v>
      </c>
      <c r="C2757" s="66" t="s">
        <v>9605</v>
      </c>
      <c r="D2757" s="66">
        <v>6942421104162</v>
      </c>
      <c r="E2757" s="68" t="s">
        <v>10495</v>
      </c>
      <c r="F2757" s="66" t="s">
        <v>10496</v>
      </c>
      <c r="G2757" s="71">
        <v>3164</v>
      </c>
      <c r="H2757" s="73"/>
      <c r="I2757" s="75">
        <v>0.2</v>
      </c>
      <c r="J2757" s="77"/>
      <c r="K2757" s="66"/>
      <c r="L2757" s="66"/>
      <c r="M2757" s="79" t="str">
        <f>HYPERLINK("http://www.pristavka.com/catalog/Genshin Impact/GEN1149/")</f>
        <v>http://www.pristavka.com/catalog/Genshin Impact/GEN1149/</v>
      </c>
      <c r="N2757" s="71">
        <v>5299</v>
      </c>
      <c r="O2757" s="66" t="s">
        <v>27</v>
      </c>
      <c r="P2757" s="82" t="s">
        <v>10497</v>
      </c>
      <c r="Q2757" s="84" t="s">
        <v>1963</v>
      </c>
      <c r="R2757" s="84" t="s">
        <v>9605</v>
      </c>
      <c r="S2757" s="84">
        <v>0.05</v>
      </c>
      <c r="T2757" s="82" t="s">
        <v>10498</v>
      </c>
      <c r="U2757" s="84"/>
      <c r="V2757" s="54"/>
    </row>
    <row r="2758" spans="1:22" s="11" customFormat="1" ht="45" customHeight="1" x14ac:dyDescent="0.2">
      <c r="A2758" s="66" t="s">
        <v>1963</v>
      </c>
      <c r="B2758" s="66" t="s">
        <v>1155</v>
      </c>
      <c r="C2758" s="66" t="s">
        <v>9605</v>
      </c>
      <c r="D2758" s="66">
        <v>6942421107439</v>
      </c>
      <c r="E2758" s="68" t="s">
        <v>10499</v>
      </c>
      <c r="F2758" s="66" t="s">
        <v>10500</v>
      </c>
      <c r="G2758" s="71">
        <v>3771</v>
      </c>
      <c r="H2758" s="73"/>
      <c r="I2758" s="75">
        <v>0.2</v>
      </c>
      <c r="J2758" s="77"/>
      <c r="K2758" s="66"/>
      <c r="L2758" s="66"/>
      <c r="M2758" s="79" t="str">
        <f>HYPERLINK("http://www.pristavka.com/catalog/Genshin Impact/GEN1115/")</f>
        <v>http://www.pristavka.com/catalog/Genshin Impact/GEN1115/</v>
      </c>
      <c r="N2758" s="71">
        <v>6299</v>
      </c>
      <c r="O2758" s="66" t="s">
        <v>27</v>
      </c>
      <c r="P2758" s="82" t="s">
        <v>10501</v>
      </c>
      <c r="Q2758" s="84" t="s">
        <v>1963</v>
      </c>
      <c r="R2758" s="84" t="s">
        <v>9605</v>
      </c>
      <c r="S2758" s="84">
        <v>3.1E-2</v>
      </c>
      <c r="T2758" s="82" t="s">
        <v>10502</v>
      </c>
      <c r="U2758" s="84"/>
      <c r="V2758" s="54"/>
    </row>
    <row r="2759" spans="1:22" s="11" customFormat="1" ht="45" customHeight="1" x14ac:dyDescent="0.2">
      <c r="A2759" s="66" t="s">
        <v>1963</v>
      </c>
      <c r="B2759" s="66" t="s">
        <v>1155</v>
      </c>
      <c r="C2759" s="66" t="s">
        <v>9605</v>
      </c>
      <c r="D2759" s="66">
        <v>6972957489839</v>
      </c>
      <c r="E2759" s="68" t="s">
        <v>10503</v>
      </c>
      <c r="F2759" s="66" t="s">
        <v>10504</v>
      </c>
      <c r="G2759" s="71">
        <v>4088</v>
      </c>
      <c r="H2759" s="73"/>
      <c r="I2759" s="75">
        <v>0.2</v>
      </c>
      <c r="J2759" s="77"/>
      <c r="K2759" s="66"/>
      <c r="L2759" s="66"/>
      <c r="M2759" s="79" t="str">
        <f>HYPERLINK("http://www.pristavka.com/catalog/Genshin Impact/GEN1121/")</f>
        <v>http://www.pristavka.com/catalog/Genshin Impact/GEN1121/</v>
      </c>
      <c r="N2759" s="71">
        <v>6899</v>
      </c>
      <c r="O2759" s="66" t="s">
        <v>27</v>
      </c>
      <c r="P2759" s="82" t="s">
        <v>10505</v>
      </c>
      <c r="Q2759" s="84" t="s">
        <v>1963</v>
      </c>
      <c r="R2759" s="84" t="s">
        <v>9605</v>
      </c>
      <c r="S2759" s="84">
        <v>3.9E-2</v>
      </c>
      <c r="T2759" s="82" t="s">
        <v>10209</v>
      </c>
      <c r="U2759" s="84"/>
      <c r="V2759" s="54"/>
    </row>
    <row r="2760" spans="1:22" s="11" customFormat="1" ht="45" customHeight="1" x14ac:dyDescent="0.2">
      <c r="A2760" s="66" t="s">
        <v>1963</v>
      </c>
      <c r="B2760" s="66" t="s">
        <v>1155</v>
      </c>
      <c r="C2760" s="66" t="s">
        <v>9605</v>
      </c>
      <c r="D2760" s="66">
        <v>6942421102212</v>
      </c>
      <c r="E2760" s="68" t="s">
        <v>10506</v>
      </c>
      <c r="F2760" s="66" t="s">
        <v>10507</v>
      </c>
      <c r="G2760" s="71">
        <v>4088</v>
      </c>
      <c r="H2760" s="73"/>
      <c r="I2760" s="75">
        <v>0.2</v>
      </c>
      <c r="J2760" s="77"/>
      <c r="K2760" s="66"/>
      <c r="L2760" s="66"/>
      <c r="M2760" s="79" t="str">
        <f>HYPERLINK("http://www.pristavka.com/catalog/Genshin Impact/GEN1065/")</f>
        <v>http://www.pristavka.com/catalog/Genshin Impact/GEN1065/</v>
      </c>
      <c r="N2760" s="71">
        <v>6899</v>
      </c>
      <c r="O2760" s="66" t="s">
        <v>27</v>
      </c>
      <c r="P2760" s="82" t="s">
        <v>10508</v>
      </c>
      <c r="Q2760" s="84" t="s">
        <v>1963</v>
      </c>
      <c r="R2760" s="84" t="s">
        <v>9605</v>
      </c>
      <c r="S2760" s="84">
        <v>0.03</v>
      </c>
      <c r="T2760" s="82" t="s">
        <v>10478</v>
      </c>
      <c r="U2760" s="84"/>
      <c r="V2760" s="54"/>
    </row>
    <row r="2761" spans="1:22" s="11" customFormat="1" ht="45" customHeight="1" x14ac:dyDescent="0.2">
      <c r="A2761" s="66" t="s">
        <v>1963</v>
      </c>
      <c r="B2761" s="66" t="s">
        <v>1155</v>
      </c>
      <c r="C2761" s="66" t="s">
        <v>9605</v>
      </c>
      <c r="D2761" s="66">
        <v>6942421104070</v>
      </c>
      <c r="E2761" s="68" t="s">
        <v>10509</v>
      </c>
      <c r="F2761" s="66" t="s">
        <v>10510</v>
      </c>
      <c r="G2761" s="71">
        <v>3164</v>
      </c>
      <c r="H2761" s="73"/>
      <c r="I2761" s="75">
        <v>0.2</v>
      </c>
      <c r="J2761" s="77"/>
      <c r="K2761" s="66"/>
      <c r="L2761" s="66"/>
      <c r="M2761" s="79" t="str">
        <f>HYPERLINK("http://www.pristavka.com/catalog/Genshin Impact/GEN1144/")</f>
        <v>http://www.pristavka.com/catalog/Genshin Impact/GEN1144/</v>
      </c>
      <c r="N2761" s="71">
        <v>5299</v>
      </c>
      <c r="O2761" s="66" t="s">
        <v>27</v>
      </c>
      <c r="P2761" s="82" t="s">
        <v>10511</v>
      </c>
      <c r="Q2761" s="84" t="s">
        <v>1963</v>
      </c>
      <c r="R2761" s="84" t="s">
        <v>9605</v>
      </c>
      <c r="S2761" s="84">
        <v>0.05</v>
      </c>
      <c r="T2761" s="82" t="s">
        <v>10512</v>
      </c>
      <c r="U2761" s="84"/>
      <c r="V2761" s="54"/>
    </row>
    <row r="2762" spans="1:22" s="11" customFormat="1" ht="45" customHeight="1" x14ac:dyDescent="0.2">
      <c r="A2762" s="66" t="s">
        <v>1963</v>
      </c>
      <c r="B2762" s="66" t="s">
        <v>1155</v>
      </c>
      <c r="C2762" s="66" t="s">
        <v>9605</v>
      </c>
      <c r="D2762" s="66">
        <v>6942421104117</v>
      </c>
      <c r="E2762" s="68" t="s">
        <v>10513</v>
      </c>
      <c r="F2762" s="66" t="s">
        <v>10514</v>
      </c>
      <c r="G2762" s="71">
        <v>3164</v>
      </c>
      <c r="H2762" s="73"/>
      <c r="I2762" s="75">
        <v>0.2</v>
      </c>
      <c r="J2762" s="77"/>
      <c r="K2762" s="66"/>
      <c r="L2762" s="66"/>
      <c r="M2762" s="79" t="str">
        <f>HYPERLINK("http://www.pristavka.com/catalog/Genshin Impact/GEN1146/")</f>
        <v>http://www.pristavka.com/catalog/Genshin Impact/GEN1146/</v>
      </c>
      <c r="N2762" s="71">
        <v>5299</v>
      </c>
      <c r="O2762" s="66" t="s">
        <v>27</v>
      </c>
      <c r="P2762" s="82" t="s">
        <v>10515</v>
      </c>
      <c r="Q2762" s="84" t="s">
        <v>1963</v>
      </c>
      <c r="R2762" s="84" t="s">
        <v>9605</v>
      </c>
      <c r="S2762" s="84">
        <v>4.9000000000000002E-2</v>
      </c>
      <c r="T2762" s="82" t="s">
        <v>10512</v>
      </c>
      <c r="U2762" s="84"/>
      <c r="V2762" s="54"/>
    </row>
    <row r="2763" spans="1:22" s="11" customFormat="1" ht="45" customHeight="1" x14ac:dyDescent="0.2">
      <c r="A2763" s="66" t="s">
        <v>1963</v>
      </c>
      <c r="B2763" s="66" t="s">
        <v>1155</v>
      </c>
      <c r="C2763" s="66" t="s">
        <v>9605</v>
      </c>
      <c r="D2763" s="66">
        <v>6942421104155</v>
      </c>
      <c r="E2763" s="68" t="s">
        <v>10516</v>
      </c>
      <c r="F2763" s="66" t="s">
        <v>10517</v>
      </c>
      <c r="G2763" s="71">
        <v>3164</v>
      </c>
      <c r="H2763" s="73"/>
      <c r="I2763" s="75">
        <v>0.2</v>
      </c>
      <c r="J2763" s="77"/>
      <c r="K2763" s="66"/>
      <c r="L2763" s="66"/>
      <c r="M2763" s="79" t="str">
        <f>HYPERLINK("http://www.pristavka.com/catalog/Genshin Impact/GEN1148/")</f>
        <v>http://www.pristavka.com/catalog/Genshin Impact/GEN1148/</v>
      </c>
      <c r="N2763" s="71">
        <v>5299</v>
      </c>
      <c r="O2763" s="66" t="s">
        <v>27</v>
      </c>
      <c r="P2763" s="82" t="s">
        <v>10518</v>
      </c>
      <c r="Q2763" s="84" t="s">
        <v>1963</v>
      </c>
      <c r="R2763" s="84" t="s">
        <v>9605</v>
      </c>
      <c r="S2763" s="84">
        <v>0.05</v>
      </c>
      <c r="T2763" s="82" t="s">
        <v>10519</v>
      </c>
      <c r="U2763" s="84"/>
      <c r="V2763" s="54"/>
    </row>
    <row r="2764" spans="1:22" s="11" customFormat="1" ht="45" customHeight="1" x14ac:dyDescent="0.2">
      <c r="A2764" s="66" t="s">
        <v>1963</v>
      </c>
      <c r="B2764" s="66" t="s">
        <v>1155</v>
      </c>
      <c r="C2764" s="66" t="s">
        <v>9605</v>
      </c>
      <c r="D2764" s="66">
        <v>6942421104148</v>
      </c>
      <c r="E2764" s="68" t="s">
        <v>10520</v>
      </c>
      <c r="F2764" s="66" t="s">
        <v>10521</v>
      </c>
      <c r="G2764" s="71">
        <v>2530</v>
      </c>
      <c r="H2764" s="73"/>
      <c r="I2764" s="75">
        <v>0.2</v>
      </c>
      <c r="J2764" s="77"/>
      <c r="K2764" s="66"/>
      <c r="L2764" s="66"/>
      <c r="M2764" s="79" t="str">
        <f>HYPERLINK("http://www.pristavka.com/catalog/Genshin Impact/GEN1217/")</f>
        <v>http://www.pristavka.com/catalog/Genshin Impact/GEN1217/</v>
      </c>
      <c r="N2764" s="71">
        <v>4299</v>
      </c>
      <c r="O2764" s="66" t="s">
        <v>27</v>
      </c>
      <c r="P2764" s="82" t="s">
        <v>10522</v>
      </c>
      <c r="Q2764" s="84" t="s">
        <v>1963</v>
      </c>
      <c r="R2764" s="84" t="s">
        <v>9605</v>
      </c>
      <c r="S2764" s="84">
        <v>0.05</v>
      </c>
      <c r="T2764" s="82" t="s">
        <v>10512</v>
      </c>
      <c r="U2764" s="84"/>
      <c r="V2764" s="54"/>
    </row>
    <row r="2765" spans="1:22" s="11" customFormat="1" ht="45" customHeight="1" x14ac:dyDescent="0.2">
      <c r="A2765" s="66" t="s">
        <v>1963</v>
      </c>
      <c r="B2765" s="66" t="s">
        <v>1155</v>
      </c>
      <c r="C2765" s="66" t="s">
        <v>9605</v>
      </c>
      <c r="D2765" s="66">
        <v>6942421106005</v>
      </c>
      <c r="E2765" s="68" t="s">
        <v>10523</v>
      </c>
      <c r="F2765" s="66" t="s">
        <v>10524</v>
      </c>
      <c r="G2765" s="71">
        <v>2530</v>
      </c>
      <c r="H2765" s="73"/>
      <c r="I2765" s="75">
        <v>0.2</v>
      </c>
      <c r="J2765" s="77"/>
      <c r="K2765" s="66"/>
      <c r="L2765" s="66"/>
      <c r="M2765" s="79" t="str">
        <f>HYPERLINK("http://www.pristavka.com/catalog/Genshin Impact/GEN1220/")</f>
        <v>http://www.pristavka.com/catalog/Genshin Impact/GEN1220/</v>
      </c>
      <c r="N2765" s="71">
        <v>4299</v>
      </c>
      <c r="O2765" s="66" t="s">
        <v>27</v>
      </c>
      <c r="P2765" s="82" t="s">
        <v>10525</v>
      </c>
      <c r="Q2765" s="84" t="s">
        <v>1963</v>
      </c>
      <c r="R2765" s="84" t="s">
        <v>9605</v>
      </c>
      <c r="S2765" s="84">
        <v>0.03</v>
      </c>
      <c r="T2765" s="82" t="s">
        <v>10526</v>
      </c>
      <c r="U2765" s="84"/>
      <c r="V2765" s="54"/>
    </row>
    <row r="2766" spans="1:22" s="11" customFormat="1" ht="45" customHeight="1" x14ac:dyDescent="0.2">
      <c r="A2766" s="66" t="s">
        <v>1963</v>
      </c>
      <c r="B2766" s="66" t="s">
        <v>1155</v>
      </c>
      <c r="C2766" s="66" t="s">
        <v>9605</v>
      </c>
      <c r="D2766" s="66">
        <v>6942421106012</v>
      </c>
      <c r="E2766" s="68" t="s">
        <v>10527</v>
      </c>
      <c r="F2766" s="66" t="s">
        <v>10528</v>
      </c>
      <c r="G2766" s="71">
        <v>2530</v>
      </c>
      <c r="H2766" s="73"/>
      <c r="I2766" s="75">
        <v>0.2</v>
      </c>
      <c r="J2766" s="77"/>
      <c r="K2766" s="66"/>
      <c r="L2766" s="66"/>
      <c r="M2766" s="79" t="str">
        <f>HYPERLINK("http://www.pristavka.com/catalog/Genshin Impact/GEN1221/")</f>
        <v>http://www.pristavka.com/catalog/Genshin Impact/GEN1221/</v>
      </c>
      <c r="N2766" s="71">
        <v>4299</v>
      </c>
      <c r="O2766" s="66" t="s">
        <v>27</v>
      </c>
      <c r="P2766" s="82" t="s">
        <v>10529</v>
      </c>
      <c r="Q2766" s="84" t="s">
        <v>1963</v>
      </c>
      <c r="R2766" s="84" t="s">
        <v>9605</v>
      </c>
      <c r="S2766" s="84">
        <v>0.03</v>
      </c>
      <c r="T2766" s="82" t="s">
        <v>10530</v>
      </c>
      <c r="U2766" s="84"/>
      <c r="V2766" s="54"/>
    </row>
    <row r="2767" spans="1:22" s="11" customFormat="1" ht="45" customHeight="1" x14ac:dyDescent="0.2">
      <c r="A2767" s="66" t="s">
        <v>1963</v>
      </c>
      <c r="B2767" s="66" t="s">
        <v>1155</v>
      </c>
      <c r="C2767" s="66" t="s">
        <v>9605</v>
      </c>
      <c r="D2767" s="66">
        <v>6942421106029</v>
      </c>
      <c r="E2767" s="68" t="s">
        <v>10531</v>
      </c>
      <c r="F2767" s="66" t="s">
        <v>10532</v>
      </c>
      <c r="G2767" s="71">
        <v>2530</v>
      </c>
      <c r="H2767" s="73"/>
      <c r="I2767" s="75">
        <v>0.2</v>
      </c>
      <c r="J2767" s="77"/>
      <c r="K2767" s="66"/>
      <c r="L2767" s="66"/>
      <c r="M2767" s="79" t="str">
        <f>HYPERLINK("http://www.pristavka.com/catalog/Genshin Impact/GEN1225/")</f>
        <v>http://www.pristavka.com/catalog/Genshin Impact/GEN1225/</v>
      </c>
      <c r="N2767" s="71">
        <v>4299</v>
      </c>
      <c r="O2767" s="66" t="s">
        <v>27</v>
      </c>
      <c r="P2767" s="82" t="s">
        <v>10533</v>
      </c>
      <c r="Q2767" s="84" t="s">
        <v>1963</v>
      </c>
      <c r="R2767" s="84" t="s">
        <v>9605</v>
      </c>
      <c r="S2767" s="84">
        <v>3.1E-2</v>
      </c>
      <c r="T2767" s="82" t="s">
        <v>10534</v>
      </c>
      <c r="U2767" s="84"/>
      <c r="V2767" s="54"/>
    </row>
    <row r="2768" spans="1:22" s="11" customFormat="1" ht="45" customHeight="1" x14ac:dyDescent="0.2">
      <c r="A2768" s="66" t="s">
        <v>1963</v>
      </c>
      <c r="B2768" s="66" t="s">
        <v>1155</v>
      </c>
      <c r="C2768" s="66" t="s">
        <v>9605</v>
      </c>
      <c r="D2768" s="66">
        <v>6942421113997</v>
      </c>
      <c r="E2768" s="68" t="s">
        <v>10535</v>
      </c>
      <c r="F2768" s="66" t="s">
        <v>10536</v>
      </c>
      <c r="G2768" s="71">
        <v>2530</v>
      </c>
      <c r="H2768" s="73"/>
      <c r="I2768" s="75">
        <v>0.2</v>
      </c>
      <c r="J2768" s="77"/>
      <c r="K2768" s="66"/>
      <c r="L2768" s="66"/>
      <c r="M2768" s="79" t="str">
        <f>HYPERLINK("http://www.pristavka.com/catalog/Genshin Impact/GEN1206/")</f>
        <v>http://www.pristavka.com/catalog/Genshin Impact/GEN1206/</v>
      </c>
      <c r="N2768" s="71">
        <v>4299</v>
      </c>
      <c r="O2768" s="66" t="s">
        <v>27</v>
      </c>
      <c r="P2768" s="82" t="s">
        <v>10537</v>
      </c>
      <c r="Q2768" s="84" t="s">
        <v>1963</v>
      </c>
      <c r="R2768" s="84" t="s">
        <v>9605</v>
      </c>
      <c r="S2768" s="84">
        <v>2.5999999999999999E-2</v>
      </c>
      <c r="T2768" s="82" t="s">
        <v>10538</v>
      </c>
      <c r="U2768" s="84"/>
      <c r="V2768" s="54"/>
    </row>
    <row r="2769" spans="1:22" s="11" customFormat="1" ht="45" customHeight="1" x14ac:dyDescent="0.2">
      <c r="A2769" s="66" t="s">
        <v>1963</v>
      </c>
      <c r="B2769" s="66" t="s">
        <v>1155</v>
      </c>
      <c r="C2769" s="66" t="s">
        <v>9605</v>
      </c>
      <c r="D2769" s="66">
        <v>6942421114055</v>
      </c>
      <c r="E2769" s="68" t="s">
        <v>10539</v>
      </c>
      <c r="F2769" s="66" t="s">
        <v>10540</v>
      </c>
      <c r="G2769" s="71">
        <v>2530</v>
      </c>
      <c r="H2769" s="73"/>
      <c r="I2769" s="75">
        <v>0.2</v>
      </c>
      <c r="J2769" s="77"/>
      <c r="K2769" s="66"/>
      <c r="L2769" s="66"/>
      <c r="M2769" s="79" t="str">
        <f>HYPERLINK("http://www.pristavka.com/catalog/Genshin Impact/GEN1208/")</f>
        <v>http://www.pristavka.com/catalog/Genshin Impact/GEN1208/</v>
      </c>
      <c r="N2769" s="71">
        <v>4299</v>
      </c>
      <c r="O2769" s="66" t="s">
        <v>27</v>
      </c>
      <c r="P2769" s="82" t="s">
        <v>10541</v>
      </c>
      <c r="Q2769" s="84" t="s">
        <v>1963</v>
      </c>
      <c r="R2769" s="84" t="s">
        <v>9605</v>
      </c>
      <c r="S2769" s="84">
        <v>2.7E-2</v>
      </c>
      <c r="T2769" s="82" t="s">
        <v>10542</v>
      </c>
      <c r="U2769" s="84"/>
      <c r="V2769" s="54"/>
    </row>
    <row r="2770" spans="1:22" s="11" customFormat="1" ht="45" customHeight="1" x14ac:dyDescent="0.2">
      <c r="A2770" s="66" t="s">
        <v>1963</v>
      </c>
      <c r="B2770" s="66" t="s">
        <v>1155</v>
      </c>
      <c r="C2770" s="66" t="s">
        <v>9605</v>
      </c>
      <c r="D2770" s="66">
        <v>6942421105978</v>
      </c>
      <c r="E2770" s="68" t="s">
        <v>10543</v>
      </c>
      <c r="F2770" s="66" t="s">
        <v>10544</v>
      </c>
      <c r="G2770" s="71">
        <v>2530</v>
      </c>
      <c r="H2770" s="73"/>
      <c r="I2770" s="75">
        <v>0.2</v>
      </c>
      <c r="J2770" s="77"/>
      <c r="K2770" s="66"/>
      <c r="L2770" s="66"/>
      <c r="M2770" s="79" t="str">
        <f>HYPERLINK("http://www.pristavka.com/catalog/Genshin Impact/GEN1222/")</f>
        <v>http://www.pristavka.com/catalog/Genshin Impact/GEN1222/</v>
      </c>
      <c r="N2770" s="71">
        <v>4299</v>
      </c>
      <c r="O2770" s="66" t="s">
        <v>27</v>
      </c>
      <c r="P2770" s="82" t="s">
        <v>10545</v>
      </c>
      <c r="Q2770" s="84" t="s">
        <v>1963</v>
      </c>
      <c r="R2770" s="84" t="s">
        <v>9605</v>
      </c>
      <c r="S2770" s="84">
        <v>0.03</v>
      </c>
      <c r="T2770" s="82" t="s">
        <v>10530</v>
      </c>
      <c r="U2770" s="84"/>
      <c r="V2770" s="54"/>
    </row>
    <row r="2771" spans="1:22" s="11" customFormat="1" ht="45" customHeight="1" x14ac:dyDescent="0.2">
      <c r="A2771" s="66" t="s">
        <v>1963</v>
      </c>
      <c r="B2771" s="66" t="s">
        <v>1155</v>
      </c>
      <c r="C2771" s="66" t="s">
        <v>9605</v>
      </c>
      <c r="D2771" s="66">
        <v>6942421105985</v>
      </c>
      <c r="E2771" s="68" t="s">
        <v>10546</v>
      </c>
      <c r="F2771" s="66" t="s">
        <v>10547</v>
      </c>
      <c r="G2771" s="71">
        <v>2530</v>
      </c>
      <c r="H2771" s="73"/>
      <c r="I2771" s="75">
        <v>0.2</v>
      </c>
      <c r="J2771" s="77"/>
      <c r="K2771" s="66"/>
      <c r="L2771" s="66"/>
      <c r="M2771" s="79" t="str">
        <f>HYPERLINK("http://www.pristavka.com/catalog/Genshin Impact/GEN1223/")</f>
        <v>http://www.pristavka.com/catalog/Genshin Impact/GEN1223/</v>
      </c>
      <c r="N2771" s="71">
        <v>4299</v>
      </c>
      <c r="O2771" s="66" t="s">
        <v>27</v>
      </c>
      <c r="P2771" s="82" t="s">
        <v>10548</v>
      </c>
      <c r="Q2771" s="84" t="s">
        <v>1963</v>
      </c>
      <c r="R2771" s="84" t="s">
        <v>9605</v>
      </c>
      <c r="S2771" s="84">
        <v>3.1E-2</v>
      </c>
      <c r="T2771" s="82" t="s">
        <v>10534</v>
      </c>
      <c r="U2771" s="84"/>
      <c r="V2771" s="54"/>
    </row>
    <row r="2772" spans="1:22" s="11" customFormat="1" ht="45" customHeight="1" x14ac:dyDescent="0.2">
      <c r="A2772" s="66" t="s">
        <v>1963</v>
      </c>
      <c r="B2772" s="66" t="s">
        <v>1155</v>
      </c>
      <c r="C2772" s="66" t="s">
        <v>9605</v>
      </c>
      <c r="D2772" s="66">
        <v>6942421105992</v>
      </c>
      <c r="E2772" s="68" t="s">
        <v>10549</v>
      </c>
      <c r="F2772" s="66" t="s">
        <v>10550</v>
      </c>
      <c r="G2772" s="71">
        <v>2530</v>
      </c>
      <c r="H2772" s="73"/>
      <c r="I2772" s="75">
        <v>0.2</v>
      </c>
      <c r="J2772" s="77"/>
      <c r="K2772" s="66"/>
      <c r="L2772" s="66"/>
      <c r="M2772" s="79" t="str">
        <f>HYPERLINK("http://www.pristavka.com/catalog/Genshin Impact/GEN1224/")</f>
        <v>http://www.pristavka.com/catalog/Genshin Impact/GEN1224/</v>
      </c>
      <c r="N2772" s="71">
        <v>4299</v>
      </c>
      <c r="O2772" s="66" t="s">
        <v>27</v>
      </c>
      <c r="P2772" s="82" t="s">
        <v>10551</v>
      </c>
      <c r="Q2772" s="84" t="s">
        <v>1963</v>
      </c>
      <c r="R2772" s="84" t="s">
        <v>9605</v>
      </c>
      <c r="S2772" s="84">
        <v>0.03</v>
      </c>
      <c r="T2772" s="82" t="s">
        <v>10530</v>
      </c>
      <c r="U2772" s="84"/>
      <c r="V2772" s="54"/>
    </row>
    <row r="2773" spans="1:22" s="11" customFormat="1" ht="45" customHeight="1" x14ac:dyDescent="0.2">
      <c r="A2773" s="66" t="s">
        <v>1963</v>
      </c>
      <c r="B2773" s="66" t="s">
        <v>1155</v>
      </c>
      <c r="C2773" s="66" t="s">
        <v>9605</v>
      </c>
      <c r="D2773" s="66">
        <v>6942421104186</v>
      </c>
      <c r="E2773" s="68" t="s">
        <v>10552</v>
      </c>
      <c r="F2773" s="66" t="s">
        <v>10553</v>
      </c>
      <c r="G2773" s="71">
        <v>2530</v>
      </c>
      <c r="H2773" s="73"/>
      <c r="I2773" s="75">
        <v>0.2</v>
      </c>
      <c r="J2773" s="77"/>
      <c r="K2773" s="66"/>
      <c r="L2773" s="66"/>
      <c r="M2773" s="79" t="str">
        <f>HYPERLINK("http://www.pristavka.com/catalog/Genshin Impact/GEN1218/")</f>
        <v>http://www.pristavka.com/catalog/Genshin Impact/GEN1218/</v>
      </c>
      <c r="N2773" s="71">
        <v>4299</v>
      </c>
      <c r="O2773" s="66" t="s">
        <v>27</v>
      </c>
      <c r="P2773" s="82" t="s">
        <v>10554</v>
      </c>
      <c r="Q2773" s="84" t="s">
        <v>1963</v>
      </c>
      <c r="R2773" s="84" t="s">
        <v>9605</v>
      </c>
      <c r="S2773" s="84">
        <v>0.05</v>
      </c>
      <c r="T2773" s="82" t="s">
        <v>10512</v>
      </c>
      <c r="U2773" s="84"/>
      <c r="V2773" s="54"/>
    </row>
    <row r="2774" spans="1:22" s="11" customFormat="1" ht="45" customHeight="1" x14ac:dyDescent="0.2">
      <c r="A2774" s="66" t="s">
        <v>1963</v>
      </c>
      <c r="B2774" s="66" t="s">
        <v>1155</v>
      </c>
      <c r="C2774" s="66" t="s">
        <v>9605</v>
      </c>
      <c r="D2774" s="66">
        <v>6942421114123</v>
      </c>
      <c r="E2774" s="68" t="s">
        <v>10555</v>
      </c>
      <c r="F2774" s="66" t="s">
        <v>10556</v>
      </c>
      <c r="G2774" s="71">
        <v>2530</v>
      </c>
      <c r="H2774" s="73"/>
      <c r="I2774" s="75">
        <v>0.2</v>
      </c>
      <c r="J2774" s="77"/>
      <c r="K2774" s="66"/>
      <c r="L2774" s="66"/>
      <c r="M2774" s="79" t="str">
        <f>HYPERLINK("http://www.pristavka.com/catalog/Genshin Impact/GEN1209/")</f>
        <v>http://www.pristavka.com/catalog/Genshin Impact/GEN1209/</v>
      </c>
      <c r="N2774" s="71">
        <v>4299</v>
      </c>
      <c r="O2774" s="66" t="s">
        <v>27</v>
      </c>
      <c r="P2774" s="82" t="s">
        <v>10557</v>
      </c>
      <c r="Q2774" s="84" t="s">
        <v>1963</v>
      </c>
      <c r="R2774" s="84" t="s">
        <v>9605</v>
      </c>
      <c r="S2774" s="84">
        <v>2.8000000000000001E-2</v>
      </c>
      <c r="T2774" s="82" t="s">
        <v>10558</v>
      </c>
      <c r="U2774" s="84"/>
      <c r="V2774" s="54"/>
    </row>
    <row r="2775" spans="1:22" s="11" customFormat="1" ht="45" customHeight="1" x14ac:dyDescent="0.2">
      <c r="A2775" s="66" t="s">
        <v>1963</v>
      </c>
      <c r="B2775" s="66" t="s">
        <v>1155</v>
      </c>
      <c r="C2775" s="66" t="s">
        <v>9605</v>
      </c>
      <c r="D2775" s="66">
        <v>6942421114000</v>
      </c>
      <c r="E2775" s="68" t="s">
        <v>10559</v>
      </c>
      <c r="F2775" s="66" t="s">
        <v>10560</v>
      </c>
      <c r="G2775" s="71">
        <v>2530</v>
      </c>
      <c r="H2775" s="73"/>
      <c r="I2775" s="75">
        <v>0.2</v>
      </c>
      <c r="J2775" s="77"/>
      <c r="K2775" s="66"/>
      <c r="L2775" s="66"/>
      <c r="M2775" s="79" t="str">
        <f>HYPERLINK("http://www.pristavka.com/catalog/Genshin Impact/GEN1207/")</f>
        <v>http://www.pristavka.com/catalog/Genshin Impact/GEN1207/</v>
      </c>
      <c r="N2775" s="71">
        <v>4299</v>
      </c>
      <c r="O2775" s="66" t="s">
        <v>27</v>
      </c>
      <c r="P2775" s="82" t="s">
        <v>10561</v>
      </c>
      <c r="Q2775" s="84" t="s">
        <v>1963</v>
      </c>
      <c r="R2775" s="84" t="s">
        <v>9605</v>
      </c>
      <c r="S2775" s="84">
        <v>2.7E-2</v>
      </c>
      <c r="T2775" s="82" t="s">
        <v>10542</v>
      </c>
      <c r="U2775" s="84"/>
      <c r="V2775" s="54"/>
    </row>
    <row r="2776" spans="1:22" s="11" customFormat="1" ht="45" customHeight="1" x14ac:dyDescent="0.2">
      <c r="A2776" s="66" t="s">
        <v>1963</v>
      </c>
      <c r="B2776" s="66" t="s">
        <v>1155</v>
      </c>
      <c r="C2776" s="66" t="s">
        <v>9605</v>
      </c>
      <c r="D2776" s="66">
        <v>6942421106050</v>
      </c>
      <c r="E2776" s="68" t="s">
        <v>10562</v>
      </c>
      <c r="F2776" s="66" t="s">
        <v>10563</v>
      </c>
      <c r="G2776" s="71">
        <v>2530</v>
      </c>
      <c r="H2776" s="73"/>
      <c r="I2776" s="75">
        <v>0.2</v>
      </c>
      <c r="J2776" s="77"/>
      <c r="K2776" s="66"/>
      <c r="L2776" s="66"/>
      <c r="M2776" s="79" t="str">
        <f>HYPERLINK("http://www.pristavka.com/catalog/Genshin Impact/GEN1226/")</f>
        <v>http://www.pristavka.com/catalog/Genshin Impact/GEN1226/</v>
      </c>
      <c r="N2776" s="71">
        <v>4299</v>
      </c>
      <c r="O2776" s="66" t="s">
        <v>27</v>
      </c>
      <c r="P2776" s="82" t="s">
        <v>10564</v>
      </c>
      <c r="Q2776" s="84" t="s">
        <v>1963</v>
      </c>
      <c r="R2776" s="84" t="s">
        <v>9605</v>
      </c>
      <c r="S2776" s="84">
        <v>0.03</v>
      </c>
      <c r="T2776" s="82" t="s">
        <v>10565</v>
      </c>
      <c r="U2776" s="84"/>
      <c r="V2776" s="54"/>
    </row>
    <row r="2777" spans="1:22" s="11" customFormat="1" ht="45" customHeight="1" x14ac:dyDescent="0.2">
      <c r="A2777" s="66" t="s">
        <v>1963</v>
      </c>
      <c r="B2777" s="66" t="s">
        <v>1155</v>
      </c>
      <c r="C2777" s="66" t="s">
        <v>9605</v>
      </c>
      <c r="D2777" s="66">
        <v>6975628245130</v>
      </c>
      <c r="E2777" s="68" t="s">
        <v>10566</v>
      </c>
      <c r="F2777" s="66" t="s">
        <v>10567</v>
      </c>
      <c r="G2777" s="71">
        <v>2308</v>
      </c>
      <c r="H2777" s="73"/>
      <c r="I2777" s="75">
        <v>0.2</v>
      </c>
      <c r="J2777" s="77"/>
      <c r="K2777" s="66"/>
      <c r="L2777" s="66"/>
      <c r="M2777" s="79" t="str">
        <f>HYPERLINK("http://www.pristavka.com/catalog/Genshin Impact/GEN686/")</f>
        <v>http://www.pristavka.com/catalog/Genshin Impact/GEN686/</v>
      </c>
      <c r="N2777" s="71">
        <v>3899</v>
      </c>
      <c r="O2777" s="66" t="s">
        <v>27</v>
      </c>
      <c r="P2777" s="82" t="s">
        <v>10568</v>
      </c>
      <c r="Q2777" s="84" t="s">
        <v>1963</v>
      </c>
      <c r="R2777" s="84" t="s">
        <v>9605</v>
      </c>
      <c r="S2777" s="84">
        <v>2.1999999999999999E-2</v>
      </c>
      <c r="T2777" s="82" t="s">
        <v>10311</v>
      </c>
      <c r="U2777" s="84"/>
      <c r="V2777" s="54"/>
    </row>
    <row r="2778" spans="1:22" s="11" customFormat="1" ht="45" customHeight="1" x14ac:dyDescent="0.2">
      <c r="A2778" s="66" t="s">
        <v>1963</v>
      </c>
      <c r="B2778" s="66" t="s">
        <v>1155</v>
      </c>
      <c r="C2778" s="66" t="s">
        <v>9605</v>
      </c>
      <c r="D2778" s="66">
        <v>6975628245055</v>
      </c>
      <c r="E2778" s="68" t="s">
        <v>10569</v>
      </c>
      <c r="F2778" s="66" t="s">
        <v>10570</v>
      </c>
      <c r="G2778" s="71">
        <v>2308</v>
      </c>
      <c r="H2778" s="73"/>
      <c r="I2778" s="75">
        <v>0.2</v>
      </c>
      <c r="J2778" s="77"/>
      <c r="K2778" s="66"/>
      <c r="L2778" s="66"/>
      <c r="M2778" s="79" t="str">
        <f>HYPERLINK("http://www.pristavka.com/catalog/Genshin Impact/GEN678/")</f>
        <v>http://www.pristavka.com/catalog/Genshin Impact/GEN678/</v>
      </c>
      <c r="N2778" s="71">
        <v>3899</v>
      </c>
      <c r="O2778" s="66" t="s">
        <v>27</v>
      </c>
      <c r="P2778" s="82" t="s">
        <v>10571</v>
      </c>
      <c r="Q2778" s="84" t="s">
        <v>1963</v>
      </c>
      <c r="R2778" s="84" t="s">
        <v>9605</v>
      </c>
      <c r="S2778" s="84">
        <v>2.1999999999999999E-2</v>
      </c>
      <c r="T2778" s="82" t="s">
        <v>10311</v>
      </c>
      <c r="U2778" s="84"/>
      <c r="V2778" s="54"/>
    </row>
    <row r="2779" spans="1:22" s="11" customFormat="1" ht="45" customHeight="1" x14ac:dyDescent="0.2">
      <c r="A2779" s="66" t="s">
        <v>1963</v>
      </c>
      <c r="B2779" s="66" t="s">
        <v>1155</v>
      </c>
      <c r="C2779" s="66" t="s">
        <v>9605</v>
      </c>
      <c r="D2779" s="66">
        <v>6975628245161</v>
      </c>
      <c r="E2779" s="68" t="s">
        <v>10572</v>
      </c>
      <c r="F2779" s="66" t="s">
        <v>10573</v>
      </c>
      <c r="G2779" s="71">
        <v>2308</v>
      </c>
      <c r="H2779" s="73"/>
      <c r="I2779" s="75">
        <v>0.2</v>
      </c>
      <c r="J2779" s="77"/>
      <c r="K2779" s="66"/>
      <c r="L2779" s="66"/>
      <c r="M2779" s="79" t="str">
        <f>HYPERLINK("http://www.pristavka.com/catalog/Genshin Impact/GEN689/")</f>
        <v>http://www.pristavka.com/catalog/Genshin Impact/GEN689/</v>
      </c>
      <c r="N2779" s="71">
        <v>3899</v>
      </c>
      <c r="O2779" s="66" t="s">
        <v>27</v>
      </c>
      <c r="P2779" s="82" t="s">
        <v>10574</v>
      </c>
      <c r="Q2779" s="84" t="s">
        <v>1963</v>
      </c>
      <c r="R2779" s="84" t="s">
        <v>9605</v>
      </c>
      <c r="S2779" s="84">
        <v>2.1999999999999999E-2</v>
      </c>
      <c r="T2779" s="82" t="s">
        <v>10311</v>
      </c>
      <c r="U2779" s="84"/>
      <c r="V2779" s="54"/>
    </row>
    <row r="2780" spans="1:22" s="11" customFormat="1" ht="45" customHeight="1" x14ac:dyDescent="0.2">
      <c r="A2780" s="66" t="s">
        <v>1963</v>
      </c>
      <c r="B2780" s="66" t="s">
        <v>1155</v>
      </c>
      <c r="C2780" s="66" t="s">
        <v>9605</v>
      </c>
      <c r="D2780" s="66">
        <v>6975628245086</v>
      </c>
      <c r="E2780" s="68" t="s">
        <v>10575</v>
      </c>
      <c r="F2780" s="66" t="s">
        <v>10576</v>
      </c>
      <c r="G2780" s="71">
        <v>2308</v>
      </c>
      <c r="H2780" s="73"/>
      <c r="I2780" s="75">
        <v>0.2</v>
      </c>
      <c r="J2780" s="77"/>
      <c r="K2780" s="66"/>
      <c r="L2780" s="66"/>
      <c r="M2780" s="79" t="str">
        <f>HYPERLINK("http://www.pristavka.com/catalog/Genshin Impact/GEN681/")</f>
        <v>http://www.pristavka.com/catalog/Genshin Impact/GEN681/</v>
      </c>
      <c r="N2780" s="71">
        <v>3899</v>
      </c>
      <c r="O2780" s="66" t="s">
        <v>27</v>
      </c>
      <c r="P2780" s="82" t="s">
        <v>10577</v>
      </c>
      <c r="Q2780" s="84" t="s">
        <v>1963</v>
      </c>
      <c r="R2780" s="84" t="s">
        <v>9605</v>
      </c>
      <c r="S2780" s="84">
        <v>2.1999999999999999E-2</v>
      </c>
      <c r="T2780" s="82" t="s">
        <v>10311</v>
      </c>
      <c r="U2780" s="84"/>
      <c r="V2780" s="54"/>
    </row>
    <row r="2781" spans="1:22" s="11" customFormat="1" ht="45" customHeight="1" x14ac:dyDescent="0.2">
      <c r="A2781" s="66" t="s">
        <v>1963</v>
      </c>
      <c r="B2781" s="66" t="s">
        <v>1155</v>
      </c>
      <c r="C2781" s="66" t="s">
        <v>9605</v>
      </c>
      <c r="D2781" s="66">
        <v>6975628245079</v>
      </c>
      <c r="E2781" s="68" t="s">
        <v>10578</v>
      </c>
      <c r="F2781" s="66" t="s">
        <v>10579</v>
      </c>
      <c r="G2781" s="71">
        <v>2308</v>
      </c>
      <c r="H2781" s="73"/>
      <c r="I2781" s="75">
        <v>0.2</v>
      </c>
      <c r="J2781" s="77"/>
      <c r="K2781" s="66"/>
      <c r="L2781" s="66"/>
      <c r="M2781" s="79" t="str">
        <f>HYPERLINK("http://www.pristavka.com/catalog/Genshin Impact/GEN680/")</f>
        <v>http://www.pristavka.com/catalog/Genshin Impact/GEN680/</v>
      </c>
      <c r="N2781" s="71">
        <v>3899</v>
      </c>
      <c r="O2781" s="66" t="s">
        <v>27</v>
      </c>
      <c r="P2781" s="82" t="s">
        <v>10580</v>
      </c>
      <c r="Q2781" s="84" t="s">
        <v>1963</v>
      </c>
      <c r="R2781" s="84" t="s">
        <v>9605</v>
      </c>
      <c r="S2781" s="84">
        <v>2.1999999999999999E-2</v>
      </c>
      <c r="T2781" s="82" t="s">
        <v>10311</v>
      </c>
      <c r="U2781" s="84"/>
      <c r="V2781" s="54"/>
    </row>
    <row r="2782" spans="1:22" s="11" customFormat="1" ht="45" customHeight="1" x14ac:dyDescent="0.2">
      <c r="A2782" s="66" t="s">
        <v>1963</v>
      </c>
      <c r="B2782" s="66" t="s">
        <v>1155</v>
      </c>
      <c r="C2782" s="66" t="s">
        <v>9605</v>
      </c>
      <c r="D2782" s="66">
        <v>6975628245062</v>
      </c>
      <c r="E2782" s="68" t="s">
        <v>10581</v>
      </c>
      <c r="F2782" s="66" t="s">
        <v>10582</v>
      </c>
      <c r="G2782" s="71">
        <v>2308</v>
      </c>
      <c r="H2782" s="73"/>
      <c r="I2782" s="75">
        <v>0.2</v>
      </c>
      <c r="J2782" s="77"/>
      <c r="K2782" s="66"/>
      <c r="L2782" s="66"/>
      <c r="M2782" s="79" t="str">
        <f>HYPERLINK("http://www.pristavka.com/catalog/Genshin Impact/GEN679/")</f>
        <v>http://www.pristavka.com/catalog/Genshin Impact/GEN679/</v>
      </c>
      <c r="N2782" s="71">
        <v>3899</v>
      </c>
      <c r="O2782" s="66" t="s">
        <v>27</v>
      </c>
      <c r="P2782" s="82" t="s">
        <v>10583</v>
      </c>
      <c r="Q2782" s="84" t="s">
        <v>1963</v>
      </c>
      <c r="R2782" s="84" t="s">
        <v>9605</v>
      </c>
      <c r="S2782" s="84">
        <v>2.1999999999999999E-2</v>
      </c>
      <c r="T2782" s="82" t="s">
        <v>10311</v>
      </c>
      <c r="U2782" s="84"/>
      <c r="V2782" s="54"/>
    </row>
    <row r="2783" spans="1:22" s="11" customFormat="1" ht="45" customHeight="1" x14ac:dyDescent="0.2">
      <c r="A2783" s="66" t="s">
        <v>1963</v>
      </c>
      <c r="B2783" s="66" t="s">
        <v>1155</v>
      </c>
      <c r="C2783" s="66" t="s">
        <v>9605</v>
      </c>
      <c r="D2783" s="66">
        <v>6975628245154</v>
      </c>
      <c r="E2783" s="68" t="s">
        <v>10584</v>
      </c>
      <c r="F2783" s="66" t="s">
        <v>10585</v>
      </c>
      <c r="G2783" s="71">
        <v>2308</v>
      </c>
      <c r="H2783" s="73"/>
      <c r="I2783" s="75">
        <v>0.2</v>
      </c>
      <c r="J2783" s="77"/>
      <c r="K2783" s="66"/>
      <c r="L2783" s="66"/>
      <c r="M2783" s="79" t="str">
        <f>HYPERLINK("http://www.pristavka.com/catalog/Genshin Impact/GEN688/")</f>
        <v>http://www.pristavka.com/catalog/Genshin Impact/GEN688/</v>
      </c>
      <c r="N2783" s="71">
        <v>3899</v>
      </c>
      <c r="O2783" s="66" t="s">
        <v>27</v>
      </c>
      <c r="P2783" s="82" t="s">
        <v>10586</v>
      </c>
      <c r="Q2783" s="84" t="s">
        <v>1963</v>
      </c>
      <c r="R2783" s="84" t="s">
        <v>9605</v>
      </c>
      <c r="S2783" s="84">
        <v>2.1999999999999999E-2</v>
      </c>
      <c r="T2783" s="82" t="s">
        <v>10311</v>
      </c>
      <c r="U2783" s="84"/>
      <c r="V2783" s="54"/>
    </row>
    <row r="2784" spans="1:22" s="11" customFormat="1" ht="45" customHeight="1" x14ac:dyDescent="0.2">
      <c r="A2784" s="66" t="s">
        <v>1963</v>
      </c>
      <c r="B2784" s="66" t="s">
        <v>1155</v>
      </c>
      <c r="C2784" s="66" t="s">
        <v>9605</v>
      </c>
      <c r="D2784" s="66">
        <v>6975628245185</v>
      </c>
      <c r="E2784" s="68" t="s">
        <v>10587</v>
      </c>
      <c r="F2784" s="66" t="s">
        <v>10588</v>
      </c>
      <c r="G2784" s="71">
        <v>2308</v>
      </c>
      <c r="H2784" s="73"/>
      <c r="I2784" s="75">
        <v>0.2</v>
      </c>
      <c r="J2784" s="77"/>
      <c r="K2784" s="66"/>
      <c r="L2784" s="66"/>
      <c r="M2784" s="79" t="str">
        <f>HYPERLINK("http://www.pristavka.com/catalog/Genshin Impact/GEN691/")</f>
        <v>http://www.pristavka.com/catalog/Genshin Impact/GEN691/</v>
      </c>
      <c r="N2784" s="71">
        <v>3899</v>
      </c>
      <c r="O2784" s="66" t="s">
        <v>27</v>
      </c>
      <c r="P2784" s="82" t="s">
        <v>10589</v>
      </c>
      <c r="Q2784" s="84" t="s">
        <v>1963</v>
      </c>
      <c r="R2784" s="84" t="s">
        <v>9605</v>
      </c>
      <c r="S2784" s="84">
        <v>2.1999999999999999E-2</v>
      </c>
      <c r="T2784" s="82" t="s">
        <v>10311</v>
      </c>
      <c r="U2784" s="84"/>
      <c r="V2784" s="54"/>
    </row>
    <row r="2785" spans="1:22" s="11" customFormat="1" ht="45" customHeight="1" x14ac:dyDescent="0.2">
      <c r="A2785" s="66" t="s">
        <v>1963</v>
      </c>
      <c r="B2785" s="66" t="s">
        <v>1155</v>
      </c>
      <c r="C2785" s="66" t="s">
        <v>9605</v>
      </c>
      <c r="D2785" s="66">
        <v>6975628241699</v>
      </c>
      <c r="E2785" s="68" t="s">
        <v>10590</v>
      </c>
      <c r="F2785" s="66" t="s">
        <v>10591</v>
      </c>
      <c r="G2785" s="71">
        <v>2530</v>
      </c>
      <c r="H2785" s="73"/>
      <c r="I2785" s="75">
        <v>0.2</v>
      </c>
      <c r="J2785" s="77"/>
      <c r="K2785" s="66"/>
      <c r="L2785" s="66"/>
      <c r="M2785" s="79" t="str">
        <f>HYPERLINK("http://www.pristavka.com/catalog/Genshin Impact/GEN515/")</f>
        <v>http://www.pristavka.com/catalog/Genshin Impact/GEN515/</v>
      </c>
      <c r="N2785" s="71">
        <v>4299</v>
      </c>
      <c r="O2785" s="66" t="s">
        <v>27</v>
      </c>
      <c r="P2785" s="82" t="s">
        <v>10592</v>
      </c>
      <c r="Q2785" s="84" t="s">
        <v>1963</v>
      </c>
      <c r="R2785" s="84" t="s">
        <v>9605</v>
      </c>
      <c r="S2785" s="84">
        <v>3.9E-2</v>
      </c>
      <c r="T2785" s="82" t="s">
        <v>10209</v>
      </c>
      <c r="U2785" s="84"/>
      <c r="V2785" s="54"/>
    </row>
    <row r="2786" spans="1:22" s="11" customFormat="1" ht="45" customHeight="1" x14ac:dyDescent="0.2">
      <c r="A2786" s="66" t="s">
        <v>1963</v>
      </c>
      <c r="B2786" s="66" t="s">
        <v>1155</v>
      </c>
      <c r="C2786" s="66" t="s">
        <v>9605</v>
      </c>
      <c r="D2786" s="66">
        <v>6975628245093</v>
      </c>
      <c r="E2786" s="68" t="s">
        <v>10593</v>
      </c>
      <c r="F2786" s="66" t="s">
        <v>10594</v>
      </c>
      <c r="G2786" s="71">
        <v>2308</v>
      </c>
      <c r="H2786" s="73"/>
      <c r="I2786" s="75">
        <v>0.2</v>
      </c>
      <c r="J2786" s="77"/>
      <c r="K2786" s="66"/>
      <c r="L2786" s="66"/>
      <c r="M2786" s="79" t="str">
        <f>HYPERLINK("http://www.pristavka.com/catalog/Genshin Impact/GEN682/")</f>
        <v>http://www.pristavka.com/catalog/Genshin Impact/GEN682/</v>
      </c>
      <c r="N2786" s="71">
        <v>3899</v>
      </c>
      <c r="O2786" s="66" t="s">
        <v>27</v>
      </c>
      <c r="P2786" s="82" t="s">
        <v>10595</v>
      </c>
      <c r="Q2786" s="84" t="s">
        <v>1963</v>
      </c>
      <c r="R2786" s="84" t="s">
        <v>9605</v>
      </c>
      <c r="S2786" s="84">
        <v>2.1999999999999999E-2</v>
      </c>
      <c r="T2786" s="82" t="s">
        <v>10311</v>
      </c>
      <c r="U2786" s="84"/>
      <c r="V2786" s="54"/>
    </row>
    <row r="2787" spans="1:22" s="11" customFormat="1" ht="45" customHeight="1" x14ac:dyDescent="0.2">
      <c r="A2787" s="66" t="s">
        <v>1963</v>
      </c>
      <c r="B2787" s="66" t="s">
        <v>1155</v>
      </c>
      <c r="C2787" s="66" t="s">
        <v>9605</v>
      </c>
      <c r="D2787" s="66">
        <v>6974696616255</v>
      </c>
      <c r="E2787" s="68" t="s">
        <v>10596</v>
      </c>
      <c r="F2787" s="66" t="s">
        <v>10597</v>
      </c>
      <c r="G2787" s="71">
        <v>2308</v>
      </c>
      <c r="H2787" s="73"/>
      <c r="I2787" s="75">
        <v>0.2</v>
      </c>
      <c r="J2787" s="77"/>
      <c r="K2787" s="66"/>
      <c r="L2787" s="66"/>
      <c r="M2787" s="79" t="str">
        <f>HYPERLINK("http://www.pristavka.com/catalog/Genshin Impact/GEN677/")</f>
        <v>http://www.pristavka.com/catalog/Genshin Impact/GEN677/</v>
      </c>
      <c r="N2787" s="71">
        <v>3899</v>
      </c>
      <c r="O2787" s="66" t="s">
        <v>28</v>
      </c>
      <c r="P2787" s="82" t="s">
        <v>10598</v>
      </c>
      <c r="Q2787" s="84" t="s">
        <v>1963</v>
      </c>
      <c r="R2787" s="84" t="s">
        <v>9605</v>
      </c>
      <c r="S2787" s="84">
        <v>2.1999999999999999E-2</v>
      </c>
      <c r="T2787" s="82" t="s">
        <v>10311</v>
      </c>
      <c r="U2787" s="84"/>
      <c r="V2787" s="54"/>
    </row>
    <row r="2788" spans="1:22" s="11" customFormat="1" ht="45" customHeight="1" x14ac:dyDescent="0.2">
      <c r="A2788" s="66" t="s">
        <v>1963</v>
      </c>
      <c r="B2788" s="66" t="s">
        <v>1155</v>
      </c>
      <c r="C2788" s="66" t="s">
        <v>9605</v>
      </c>
      <c r="D2788" s="66">
        <v>6974096530885</v>
      </c>
      <c r="E2788" s="68" t="s">
        <v>10599</v>
      </c>
      <c r="F2788" s="66" t="s">
        <v>10600</v>
      </c>
      <c r="G2788" s="71">
        <v>3771</v>
      </c>
      <c r="H2788" s="73"/>
      <c r="I2788" s="75">
        <v>0.2</v>
      </c>
      <c r="J2788" s="77"/>
      <c r="K2788" s="66"/>
      <c r="L2788" s="66"/>
      <c r="M2788" s="79" t="str">
        <f>HYPERLINK("http://www.pristavka.com/catalog/Genshin Impact/GEN540/")</f>
        <v>http://www.pristavka.com/catalog/Genshin Impact/GEN540/</v>
      </c>
      <c r="N2788" s="71">
        <v>6299</v>
      </c>
      <c r="O2788" s="66" t="s">
        <v>28</v>
      </c>
      <c r="P2788" s="82" t="s">
        <v>10601</v>
      </c>
      <c r="Q2788" s="84" t="s">
        <v>1963</v>
      </c>
      <c r="R2788" s="84" t="s">
        <v>9605</v>
      </c>
      <c r="S2788" s="84">
        <v>2.9000000000000001E-2</v>
      </c>
      <c r="T2788" s="82" t="s">
        <v>10602</v>
      </c>
      <c r="U2788" s="84"/>
      <c r="V2788" s="54"/>
    </row>
    <row r="2789" spans="1:22" s="11" customFormat="1" ht="45" customHeight="1" x14ac:dyDescent="0.2">
      <c r="A2789" s="66" t="s">
        <v>1963</v>
      </c>
      <c r="B2789" s="66" t="s">
        <v>1155</v>
      </c>
      <c r="C2789" s="66" t="s">
        <v>9605</v>
      </c>
      <c r="D2789" s="66">
        <v>6975628246359</v>
      </c>
      <c r="E2789" s="68" t="s">
        <v>10603</v>
      </c>
      <c r="F2789" s="66" t="s">
        <v>10604</v>
      </c>
      <c r="G2789" s="71">
        <v>4722</v>
      </c>
      <c r="H2789" s="73"/>
      <c r="I2789" s="75">
        <v>0.2</v>
      </c>
      <c r="J2789" s="77"/>
      <c r="K2789" s="66"/>
      <c r="L2789" s="66"/>
      <c r="M2789" s="79" t="str">
        <f>HYPERLINK("http://www.pristavka.com/catalog/Genshin Impact/GEN546/")</f>
        <v>http://www.pristavka.com/catalog/Genshin Impact/GEN546/</v>
      </c>
      <c r="N2789" s="71">
        <v>7899</v>
      </c>
      <c r="O2789" s="66" t="s">
        <v>27</v>
      </c>
      <c r="P2789" s="82" t="s">
        <v>10605</v>
      </c>
      <c r="Q2789" s="84" t="s">
        <v>1963</v>
      </c>
      <c r="R2789" s="84" t="s">
        <v>9605</v>
      </c>
      <c r="S2789" s="84">
        <v>0.02</v>
      </c>
      <c r="T2789" s="82" t="s">
        <v>10602</v>
      </c>
      <c r="U2789" s="84"/>
      <c r="V2789" s="54"/>
    </row>
    <row r="2790" spans="1:22" s="11" customFormat="1" ht="45" customHeight="1" x14ac:dyDescent="0.2">
      <c r="A2790" s="66" t="s">
        <v>1963</v>
      </c>
      <c r="B2790" s="66" t="s">
        <v>1155</v>
      </c>
      <c r="C2790" s="66" t="s">
        <v>9605</v>
      </c>
      <c r="D2790" s="66">
        <v>6975628246328</v>
      </c>
      <c r="E2790" s="68" t="s">
        <v>10606</v>
      </c>
      <c r="F2790" s="66" t="s">
        <v>10607</v>
      </c>
      <c r="G2790" s="71">
        <v>4088</v>
      </c>
      <c r="H2790" s="73"/>
      <c r="I2790" s="75">
        <v>0.2</v>
      </c>
      <c r="J2790" s="77"/>
      <c r="K2790" s="66"/>
      <c r="L2790" s="66"/>
      <c r="M2790" s="79" t="str">
        <f>HYPERLINK("http://www.pristavka.com/catalog/Genshin Impact/GEN543/")</f>
        <v>http://www.pristavka.com/catalog/Genshin Impact/GEN543/</v>
      </c>
      <c r="N2790" s="71">
        <v>6899</v>
      </c>
      <c r="O2790" s="66" t="s">
        <v>28</v>
      </c>
      <c r="P2790" s="82" t="s">
        <v>10608</v>
      </c>
      <c r="Q2790" s="84" t="s">
        <v>1963</v>
      </c>
      <c r="R2790" s="84" t="s">
        <v>9605</v>
      </c>
      <c r="S2790" s="84">
        <v>2.5000000000000001E-2</v>
      </c>
      <c r="T2790" s="82" t="s">
        <v>10602</v>
      </c>
      <c r="U2790" s="84"/>
      <c r="V2790" s="54"/>
    </row>
    <row r="2791" spans="1:22" s="11" customFormat="1" ht="45" customHeight="1" x14ac:dyDescent="0.2">
      <c r="A2791" s="66" t="s">
        <v>1963</v>
      </c>
      <c r="B2791" s="66" t="s">
        <v>1155</v>
      </c>
      <c r="C2791" s="66" t="s">
        <v>9605</v>
      </c>
      <c r="D2791" s="66">
        <v>6974696617498</v>
      </c>
      <c r="E2791" s="68" t="s">
        <v>10609</v>
      </c>
      <c r="F2791" s="66" t="s">
        <v>10610</v>
      </c>
      <c r="G2791" s="71">
        <v>3164</v>
      </c>
      <c r="H2791" s="73"/>
      <c r="I2791" s="75">
        <v>0.2</v>
      </c>
      <c r="J2791" s="77"/>
      <c r="K2791" s="66"/>
      <c r="L2791" s="66"/>
      <c r="M2791" s="79" t="str">
        <f>HYPERLINK("http://www.pristavka.com/catalog/Genshin Impact/GEN7/")</f>
        <v>http://www.pristavka.com/catalog/Genshin Impact/GEN7/</v>
      </c>
      <c r="N2791" s="71">
        <v>5299</v>
      </c>
      <c r="O2791" s="66" t="s">
        <v>27</v>
      </c>
      <c r="P2791" s="82" t="s">
        <v>10611</v>
      </c>
      <c r="Q2791" s="84" t="s">
        <v>1963</v>
      </c>
      <c r="R2791" s="84" t="s">
        <v>9605</v>
      </c>
      <c r="S2791" s="84">
        <v>2.4E-2</v>
      </c>
      <c r="T2791" s="82" t="s">
        <v>10612</v>
      </c>
      <c r="U2791" s="84" t="s">
        <v>2255</v>
      </c>
      <c r="V2791" s="54"/>
    </row>
    <row r="2792" spans="1:22" s="11" customFormat="1" ht="45" customHeight="1" x14ac:dyDescent="0.2">
      <c r="A2792" s="66" t="s">
        <v>1963</v>
      </c>
      <c r="B2792" s="66" t="s">
        <v>1155</v>
      </c>
      <c r="C2792" s="66" t="s">
        <v>9605</v>
      </c>
      <c r="D2792" s="66">
        <v>6974696617061</v>
      </c>
      <c r="E2792" s="68" t="s">
        <v>10613</v>
      </c>
      <c r="F2792" s="66" t="s">
        <v>10614</v>
      </c>
      <c r="G2792" s="71">
        <v>3164</v>
      </c>
      <c r="H2792" s="73"/>
      <c r="I2792" s="75">
        <v>0.2</v>
      </c>
      <c r="J2792" s="77"/>
      <c r="K2792" s="66"/>
      <c r="L2792" s="66"/>
      <c r="M2792" s="79" t="str">
        <f>HYPERLINK("http://www.pristavka.com/catalog/Genshin Impact/GEN143/")</f>
        <v>http://www.pristavka.com/catalog/Genshin Impact/GEN143/</v>
      </c>
      <c r="N2792" s="71">
        <v>5299</v>
      </c>
      <c r="O2792" s="66" t="s">
        <v>27</v>
      </c>
      <c r="P2792" s="82" t="s">
        <v>10615</v>
      </c>
      <c r="Q2792" s="84" t="s">
        <v>1963</v>
      </c>
      <c r="R2792" s="84" t="s">
        <v>9605</v>
      </c>
      <c r="S2792" s="84">
        <v>3.2000000000000001E-2</v>
      </c>
      <c r="T2792" s="82" t="s">
        <v>10616</v>
      </c>
      <c r="U2792" s="84" t="s">
        <v>2255</v>
      </c>
      <c r="V2792" s="54"/>
    </row>
    <row r="2793" spans="1:22" s="11" customFormat="1" ht="45" customHeight="1" x14ac:dyDescent="0.2">
      <c r="A2793" s="66" t="s">
        <v>1963</v>
      </c>
      <c r="B2793" s="66" t="s">
        <v>1155</v>
      </c>
      <c r="C2793" s="66" t="s">
        <v>9605</v>
      </c>
      <c r="D2793" s="66">
        <v>6974096532537</v>
      </c>
      <c r="E2793" s="68" t="s">
        <v>10617</v>
      </c>
      <c r="F2793" s="66" t="s">
        <v>10618</v>
      </c>
      <c r="G2793" s="71">
        <v>3164</v>
      </c>
      <c r="H2793" s="73"/>
      <c r="I2793" s="75">
        <v>0.2</v>
      </c>
      <c r="J2793" s="77"/>
      <c r="K2793" s="66"/>
      <c r="L2793" s="66"/>
      <c r="M2793" s="79" t="str">
        <f>HYPERLINK("http://www.pristavka.com/catalog/Genshin Impact/GEN139/")</f>
        <v>http://www.pristavka.com/catalog/Genshin Impact/GEN139/</v>
      </c>
      <c r="N2793" s="71">
        <v>5299</v>
      </c>
      <c r="O2793" s="66" t="s">
        <v>27</v>
      </c>
      <c r="P2793" s="82" t="s">
        <v>10619</v>
      </c>
      <c r="Q2793" s="84" t="s">
        <v>1963</v>
      </c>
      <c r="R2793" s="84" t="s">
        <v>9605</v>
      </c>
      <c r="S2793" s="84">
        <v>3.7999999999999999E-2</v>
      </c>
      <c r="T2793" s="82" t="s">
        <v>10620</v>
      </c>
      <c r="U2793" s="84" t="s">
        <v>2255</v>
      </c>
      <c r="V2793" s="54"/>
    </row>
    <row r="2794" spans="1:22" s="11" customFormat="1" ht="45" customHeight="1" x14ac:dyDescent="0.2">
      <c r="A2794" s="66" t="s">
        <v>1963</v>
      </c>
      <c r="B2794" s="66" t="s">
        <v>1155</v>
      </c>
      <c r="C2794" s="66" t="s">
        <v>9605</v>
      </c>
      <c r="D2794" s="66">
        <v>6974696615609</v>
      </c>
      <c r="E2794" s="68" t="s">
        <v>10621</v>
      </c>
      <c r="F2794" s="66" t="s">
        <v>10622</v>
      </c>
      <c r="G2794" s="71">
        <v>3164</v>
      </c>
      <c r="H2794" s="73"/>
      <c r="I2794" s="75">
        <v>0.2</v>
      </c>
      <c r="J2794" s="77"/>
      <c r="K2794" s="66"/>
      <c r="L2794" s="66"/>
      <c r="M2794" s="79" t="str">
        <f>HYPERLINK("http://www.pristavka.com/catalog/Genshin Impact/GEN142/")</f>
        <v>http://www.pristavka.com/catalog/Genshin Impact/GEN142/</v>
      </c>
      <c r="N2794" s="71">
        <v>5299</v>
      </c>
      <c r="O2794" s="66" t="s">
        <v>27</v>
      </c>
      <c r="P2794" s="82" t="s">
        <v>10623</v>
      </c>
      <c r="Q2794" s="84" t="s">
        <v>1963</v>
      </c>
      <c r="R2794" s="84" t="s">
        <v>9605</v>
      </c>
      <c r="S2794" s="84">
        <v>3.2000000000000001E-2</v>
      </c>
      <c r="T2794" s="82" t="s">
        <v>10624</v>
      </c>
      <c r="U2794" s="84" t="s">
        <v>2255</v>
      </c>
      <c r="V2794" s="54"/>
    </row>
    <row r="2795" spans="1:22" s="11" customFormat="1" ht="45" customHeight="1" x14ac:dyDescent="0.2">
      <c r="A2795" s="66" t="s">
        <v>1963</v>
      </c>
      <c r="B2795" s="66" t="s">
        <v>1155</v>
      </c>
      <c r="C2795" s="66" t="s">
        <v>9605</v>
      </c>
      <c r="D2795" s="66">
        <v>6974696615647</v>
      </c>
      <c r="E2795" s="68" t="s">
        <v>10625</v>
      </c>
      <c r="F2795" s="66" t="s">
        <v>10626</v>
      </c>
      <c r="G2795" s="71">
        <v>3164</v>
      </c>
      <c r="H2795" s="73"/>
      <c r="I2795" s="75">
        <v>0.2</v>
      </c>
      <c r="J2795" s="77"/>
      <c r="K2795" s="66"/>
      <c r="L2795" s="66"/>
      <c r="M2795" s="79" t="str">
        <f>HYPERLINK("http://www.pristavka.com/catalog/Genshin Impact/GEN144/")</f>
        <v>http://www.pristavka.com/catalog/Genshin Impact/GEN144/</v>
      </c>
      <c r="N2795" s="71">
        <v>5299</v>
      </c>
      <c r="O2795" s="66" t="s">
        <v>27</v>
      </c>
      <c r="P2795" s="82" t="s">
        <v>10627</v>
      </c>
      <c r="Q2795" s="84" t="s">
        <v>1963</v>
      </c>
      <c r="R2795" s="84" t="s">
        <v>9605</v>
      </c>
      <c r="S2795" s="84">
        <v>2.4E-2</v>
      </c>
      <c r="T2795" s="82" t="s">
        <v>10612</v>
      </c>
      <c r="U2795" s="84" t="s">
        <v>2255</v>
      </c>
      <c r="V2795" s="54"/>
    </row>
    <row r="2796" spans="1:22" s="11" customFormat="1" ht="45" customHeight="1" x14ac:dyDescent="0.2">
      <c r="A2796" s="66" t="s">
        <v>1963</v>
      </c>
      <c r="B2796" s="66" t="s">
        <v>1155</v>
      </c>
      <c r="C2796" s="66" t="s">
        <v>9605</v>
      </c>
      <c r="D2796" s="66">
        <v>6974096535576</v>
      </c>
      <c r="E2796" s="68" t="s">
        <v>10628</v>
      </c>
      <c r="F2796" s="66" t="s">
        <v>10629</v>
      </c>
      <c r="G2796" s="71">
        <v>3164</v>
      </c>
      <c r="H2796" s="73"/>
      <c r="I2796" s="75">
        <v>0.2</v>
      </c>
      <c r="J2796" s="77"/>
      <c r="K2796" s="66"/>
      <c r="L2796" s="66"/>
      <c r="M2796" s="79" t="str">
        <f>HYPERLINK("http://www.pristavka.com/catalog/Genshin Impact/GEN141/")</f>
        <v>http://www.pristavka.com/catalog/Genshin Impact/GEN141/</v>
      </c>
      <c r="N2796" s="71">
        <v>5299</v>
      </c>
      <c r="O2796" s="66" t="s">
        <v>27</v>
      </c>
      <c r="P2796" s="82" t="s">
        <v>10630</v>
      </c>
      <c r="Q2796" s="84" t="s">
        <v>1963</v>
      </c>
      <c r="R2796" s="84" t="s">
        <v>9605</v>
      </c>
      <c r="S2796" s="84">
        <v>3.6999999999999998E-2</v>
      </c>
      <c r="T2796" s="82" t="s">
        <v>10612</v>
      </c>
      <c r="U2796" s="84" t="s">
        <v>2255</v>
      </c>
      <c r="V2796" s="54"/>
    </row>
    <row r="2797" spans="1:22" s="11" customFormat="1" ht="45" customHeight="1" x14ac:dyDescent="0.2">
      <c r="A2797" s="66" t="s">
        <v>1963</v>
      </c>
      <c r="B2797" s="66" t="s">
        <v>1155</v>
      </c>
      <c r="C2797" s="66" t="s">
        <v>9605</v>
      </c>
      <c r="D2797" s="66">
        <v>6974696617467</v>
      </c>
      <c r="E2797" s="68" t="s">
        <v>10631</v>
      </c>
      <c r="F2797" s="66" t="s">
        <v>10632</v>
      </c>
      <c r="G2797" s="71">
        <v>3164</v>
      </c>
      <c r="H2797" s="73"/>
      <c r="I2797" s="75">
        <v>0.2</v>
      </c>
      <c r="J2797" s="77"/>
      <c r="K2797" s="66"/>
      <c r="L2797" s="66"/>
      <c r="M2797" s="79" t="str">
        <f>HYPERLINK("http://www.pristavka.com/catalog/Genshin Impact/GEN145/")</f>
        <v>http://www.pristavka.com/catalog/Genshin Impact/GEN145/</v>
      </c>
      <c r="N2797" s="71">
        <v>5299</v>
      </c>
      <c r="O2797" s="66" t="s">
        <v>28</v>
      </c>
      <c r="P2797" s="82" t="s">
        <v>10633</v>
      </c>
      <c r="Q2797" s="84" t="s">
        <v>1963</v>
      </c>
      <c r="R2797" s="84" t="s">
        <v>9605</v>
      </c>
      <c r="S2797" s="84">
        <v>2.4E-2</v>
      </c>
      <c r="T2797" s="82" t="s">
        <v>10612</v>
      </c>
      <c r="U2797" s="84" t="s">
        <v>2255</v>
      </c>
      <c r="V2797" s="54"/>
    </row>
    <row r="2798" spans="1:22" s="11" customFormat="1" ht="45" customHeight="1" x14ac:dyDescent="0.2">
      <c r="A2798" s="66" t="s">
        <v>1963</v>
      </c>
      <c r="B2798" s="66" t="s">
        <v>1155</v>
      </c>
      <c r="C2798" s="66" t="s">
        <v>9605</v>
      </c>
      <c r="D2798" s="66">
        <v>6974096534180</v>
      </c>
      <c r="E2798" s="68" t="s">
        <v>10634</v>
      </c>
      <c r="F2798" s="66" t="s">
        <v>10635</v>
      </c>
      <c r="G2798" s="71">
        <v>3164</v>
      </c>
      <c r="H2798" s="73"/>
      <c r="I2798" s="75">
        <v>0.2</v>
      </c>
      <c r="J2798" s="77"/>
      <c r="K2798" s="66"/>
      <c r="L2798" s="66"/>
      <c r="M2798" s="79" t="str">
        <f>HYPERLINK("http://www.pristavka.com/catalog/Genshin Impact/GEN140/")</f>
        <v>http://www.pristavka.com/catalog/Genshin Impact/GEN140/</v>
      </c>
      <c r="N2798" s="71">
        <v>5299</v>
      </c>
      <c r="O2798" s="66" t="s">
        <v>27</v>
      </c>
      <c r="P2798" s="82" t="s">
        <v>10636</v>
      </c>
      <c r="Q2798" s="84" t="s">
        <v>1963</v>
      </c>
      <c r="R2798" s="84" t="s">
        <v>9605</v>
      </c>
      <c r="S2798" s="84">
        <v>3.4000000000000002E-2</v>
      </c>
      <c r="T2798" s="82" t="s">
        <v>10620</v>
      </c>
      <c r="U2798" s="84" t="s">
        <v>2255</v>
      </c>
      <c r="V2798" s="54"/>
    </row>
    <row r="2799" spans="1:22" s="11" customFormat="1" ht="45" customHeight="1" x14ac:dyDescent="0.2">
      <c r="A2799" s="66" t="s">
        <v>1963</v>
      </c>
      <c r="B2799" s="66" t="s">
        <v>1155</v>
      </c>
      <c r="C2799" s="66" t="s">
        <v>9605</v>
      </c>
      <c r="D2799" s="66">
        <v>6974096531868</v>
      </c>
      <c r="E2799" s="68" t="s">
        <v>10637</v>
      </c>
      <c r="F2799" s="66" t="s">
        <v>10638</v>
      </c>
      <c r="G2799" s="71">
        <v>3164</v>
      </c>
      <c r="H2799" s="73"/>
      <c r="I2799" s="75">
        <v>0.2</v>
      </c>
      <c r="J2799" s="77"/>
      <c r="K2799" s="66"/>
      <c r="L2799" s="66"/>
      <c r="M2799" s="79" t="str">
        <f>HYPERLINK("http://www.pristavka.com/catalog/Genshin Impact/GEN138/")</f>
        <v>http://www.pristavka.com/catalog/Genshin Impact/GEN138/</v>
      </c>
      <c r="N2799" s="71">
        <v>5299</v>
      </c>
      <c r="O2799" s="66" t="s">
        <v>27</v>
      </c>
      <c r="P2799" s="82" t="s">
        <v>10639</v>
      </c>
      <c r="Q2799" s="84" t="s">
        <v>1963</v>
      </c>
      <c r="R2799" s="84" t="s">
        <v>9605</v>
      </c>
      <c r="S2799" s="84">
        <v>2.4E-2</v>
      </c>
      <c r="T2799" s="82" t="s">
        <v>10612</v>
      </c>
      <c r="U2799" s="84" t="s">
        <v>2255</v>
      </c>
      <c r="V2799" s="54"/>
    </row>
    <row r="2800" spans="1:22" s="11" customFormat="1" ht="45" customHeight="1" x14ac:dyDescent="0.2">
      <c r="A2800" s="66" t="s">
        <v>1963</v>
      </c>
      <c r="B2800" s="66" t="s">
        <v>1155</v>
      </c>
      <c r="C2800" s="66" t="s">
        <v>9605</v>
      </c>
      <c r="D2800" s="66">
        <v>6974696617542</v>
      </c>
      <c r="E2800" s="68" t="s">
        <v>10640</v>
      </c>
      <c r="F2800" s="66" t="s">
        <v>10641</v>
      </c>
      <c r="G2800" s="71">
        <v>3164</v>
      </c>
      <c r="H2800" s="73"/>
      <c r="I2800" s="75">
        <v>0.2</v>
      </c>
      <c r="J2800" s="77"/>
      <c r="K2800" s="66"/>
      <c r="L2800" s="66"/>
      <c r="M2800" s="79" t="str">
        <f>HYPERLINK("http://www.pristavka.com/catalog/Genshin Impact/GEN6/")</f>
        <v>http://www.pristavka.com/catalog/Genshin Impact/GEN6/</v>
      </c>
      <c r="N2800" s="71">
        <v>5299</v>
      </c>
      <c r="O2800" s="66" t="s">
        <v>27</v>
      </c>
      <c r="P2800" s="82" t="s">
        <v>10642</v>
      </c>
      <c r="Q2800" s="84" t="s">
        <v>1963</v>
      </c>
      <c r="R2800" s="84" t="s">
        <v>9605</v>
      </c>
      <c r="S2800" s="84">
        <v>0.02</v>
      </c>
      <c r="T2800" s="82" t="s">
        <v>10643</v>
      </c>
      <c r="U2800" s="84" t="s">
        <v>2255</v>
      </c>
      <c r="V2800" s="54"/>
    </row>
    <row r="2801" spans="1:22" s="11" customFormat="1" ht="45" customHeight="1" x14ac:dyDescent="0.2">
      <c r="A2801" s="66" t="s">
        <v>1963</v>
      </c>
      <c r="B2801" s="66" t="s">
        <v>1155</v>
      </c>
      <c r="C2801" s="66" t="s">
        <v>9605</v>
      </c>
      <c r="D2801" s="66">
        <v>6974696612516</v>
      </c>
      <c r="E2801" s="68" t="s">
        <v>10644</v>
      </c>
      <c r="F2801" s="66" t="s">
        <v>10645</v>
      </c>
      <c r="G2801" s="71">
        <v>3771</v>
      </c>
      <c r="H2801" s="73"/>
      <c r="I2801" s="75">
        <v>0.2</v>
      </c>
      <c r="J2801" s="77"/>
      <c r="K2801" s="66"/>
      <c r="L2801" s="66"/>
      <c r="M2801" s="79" t="str">
        <f>HYPERLINK("http://www.pristavka.com/catalog/Genshin Impact/GEN602/")</f>
        <v>http://www.pristavka.com/catalog/Genshin Impact/GEN602/</v>
      </c>
      <c r="N2801" s="71">
        <v>6299</v>
      </c>
      <c r="O2801" s="66" t="s">
        <v>28</v>
      </c>
      <c r="P2801" s="82" t="s">
        <v>10646</v>
      </c>
      <c r="Q2801" s="84" t="s">
        <v>1963</v>
      </c>
      <c r="R2801" s="84" t="s">
        <v>9605</v>
      </c>
      <c r="S2801" s="84">
        <v>4.4999999999999998E-2</v>
      </c>
      <c r="T2801" s="82" t="s">
        <v>1187</v>
      </c>
      <c r="U2801" s="84"/>
      <c r="V2801" s="54"/>
    </row>
    <row r="2802" spans="1:22" s="11" customFormat="1" ht="45" customHeight="1" x14ac:dyDescent="0.2">
      <c r="A2802" s="66" t="s">
        <v>1963</v>
      </c>
      <c r="B2802" s="66" t="s">
        <v>1155</v>
      </c>
      <c r="C2802" s="66" t="s">
        <v>9605</v>
      </c>
      <c r="D2802" s="66">
        <v>6972957486258</v>
      </c>
      <c r="E2802" s="68" t="s">
        <v>10647</v>
      </c>
      <c r="F2802" s="66" t="s">
        <v>10648</v>
      </c>
      <c r="G2802" s="71">
        <v>3164</v>
      </c>
      <c r="H2802" s="73"/>
      <c r="I2802" s="75">
        <v>0.2</v>
      </c>
      <c r="J2802" s="77"/>
      <c r="K2802" s="66"/>
      <c r="L2802" s="66"/>
      <c r="M2802" s="79" t="str">
        <f>HYPERLINK("http://www.pristavka.com/catalog/Genshin Impact/GEN182/")</f>
        <v>http://www.pristavka.com/catalog/Genshin Impact/GEN182/</v>
      </c>
      <c r="N2802" s="71">
        <v>5299</v>
      </c>
      <c r="O2802" s="66" t="s">
        <v>27</v>
      </c>
      <c r="P2802" s="82" t="s">
        <v>10649</v>
      </c>
      <c r="Q2802" s="84" t="s">
        <v>1963</v>
      </c>
      <c r="R2802" s="84" t="s">
        <v>9605</v>
      </c>
      <c r="S2802" s="84">
        <v>4.9000000000000002E-2</v>
      </c>
      <c r="T2802" s="82" t="s">
        <v>10650</v>
      </c>
      <c r="U2802" s="84" t="s">
        <v>2255</v>
      </c>
      <c r="V2802" s="54"/>
    </row>
    <row r="2803" spans="1:22" s="11" customFormat="1" ht="45" customHeight="1" x14ac:dyDescent="0.2">
      <c r="A2803" s="66" t="s">
        <v>1963</v>
      </c>
      <c r="B2803" s="66" t="s">
        <v>1155</v>
      </c>
      <c r="C2803" s="66" t="s">
        <v>9605</v>
      </c>
      <c r="D2803" s="66">
        <v>6974696612547</v>
      </c>
      <c r="E2803" s="68" t="s">
        <v>10651</v>
      </c>
      <c r="F2803" s="66" t="s">
        <v>10652</v>
      </c>
      <c r="G2803" s="71">
        <v>3164</v>
      </c>
      <c r="H2803" s="73"/>
      <c r="I2803" s="75">
        <v>0.2</v>
      </c>
      <c r="J2803" s="77"/>
      <c r="K2803" s="66"/>
      <c r="L2803" s="66"/>
      <c r="M2803" s="79" t="str">
        <f>HYPERLINK("http://www.pristavka.com/catalog/Genshin Impact/GEN195/")</f>
        <v>http://www.pristavka.com/catalog/Genshin Impact/GEN195/</v>
      </c>
      <c r="N2803" s="71">
        <v>5299</v>
      </c>
      <c r="O2803" s="66" t="s">
        <v>27</v>
      </c>
      <c r="P2803" s="82" t="s">
        <v>10653</v>
      </c>
      <c r="Q2803" s="84" t="s">
        <v>1963</v>
      </c>
      <c r="R2803" s="84" t="s">
        <v>9605</v>
      </c>
      <c r="S2803" s="84">
        <v>4.5999999999999999E-2</v>
      </c>
      <c r="T2803" s="82" t="s">
        <v>1187</v>
      </c>
      <c r="U2803" s="84" t="s">
        <v>2255</v>
      </c>
      <c r="V2803" s="54"/>
    </row>
    <row r="2804" spans="1:22" s="11" customFormat="1" ht="45" customHeight="1" x14ac:dyDescent="0.2">
      <c r="A2804" s="66" t="s">
        <v>1963</v>
      </c>
      <c r="B2804" s="66" t="s">
        <v>1155</v>
      </c>
      <c r="C2804" s="66" t="s">
        <v>9605</v>
      </c>
      <c r="D2804" s="66">
        <v>6972957486296</v>
      </c>
      <c r="E2804" s="68" t="s">
        <v>10654</v>
      </c>
      <c r="F2804" s="66" t="s">
        <v>10655</v>
      </c>
      <c r="G2804" s="71">
        <v>3164</v>
      </c>
      <c r="H2804" s="73"/>
      <c r="I2804" s="75">
        <v>0.2</v>
      </c>
      <c r="J2804" s="77"/>
      <c r="K2804" s="66"/>
      <c r="L2804" s="66"/>
      <c r="M2804" s="79" t="str">
        <f>HYPERLINK("http://www.pristavka.com/catalog/Genshin Impact/GEN185/")</f>
        <v>http://www.pristavka.com/catalog/Genshin Impact/GEN185/</v>
      </c>
      <c r="N2804" s="71">
        <v>5299</v>
      </c>
      <c r="O2804" s="66" t="s">
        <v>27</v>
      </c>
      <c r="P2804" s="82" t="s">
        <v>10656</v>
      </c>
      <c r="Q2804" s="84" t="s">
        <v>1963</v>
      </c>
      <c r="R2804" s="84" t="s">
        <v>9605</v>
      </c>
      <c r="S2804" s="84">
        <v>5.0999999999999997E-2</v>
      </c>
      <c r="T2804" s="82" t="s">
        <v>10657</v>
      </c>
      <c r="U2804" s="84" t="s">
        <v>2255</v>
      </c>
      <c r="V2804" s="54"/>
    </row>
    <row r="2805" spans="1:22" s="11" customFormat="1" ht="45" customHeight="1" x14ac:dyDescent="0.2">
      <c r="A2805" s="66" t="s">
        <v>1963</v>
      </c>
      <c r="B2805" s="66" t="s">
        <v>1155</v>
      </c>
      <c r="C2805" s="66" t="s">
        <v>9605</v>
      </c>
      <c r="D2805" s="66">
        <v>6974096530397</v>
      </c>
      <c r="E2805" s="68" t="s">
        <v>10658</v>
      </c>
      <c r="F2805" s="66" t="s">
        <v>10659</v>
      </c>
      <c r="G2805" s="71">
        <v>3164</v>
      </c>
      <c r="H2805" s="73"/>
      <c r="I2805" s="75">
        <v>0.2</v>
      </c>
      <c r="J2805" s="77"/>
      <c r="K2805" s="66"/>
      <c r="L2805" s="66"/>
      <c r="M2805" s="79" t="str">
        <f>HYPERLINK("http://www.pristavka.com/catalog/Genshin Impact/GEN191/")</f>
        <v>http://www.pristavka.com/catalog/Genshin Impact/GEN191/</v>
      </c>
      <c r="N2805" s="71">
        <v>5299</v>
      </c>
      <c r="O2805" s="66" t="s">
        <v>27</v>
      </c>
      <c r="P2805" s="82" t="s">
        <v>10660</v>
      </c>
      <c r="Q2805" s="84" t="s">
        <v>1963</v>
      </c>
      <c r="R2805" s="84" t="s">
        <v>9605</v>
      </c>
      <c r="S2805" s="84">
        <v>4.3999999999999997E-2</v>
      </c>
      <c r="T2805" s="82" t="s">
        <v>10661</v>
      </c>
      <c r="U2805" s="84" t="s">
        <v>2255</v>
      </c>
      <c r="V2805" s="54"/>
    </row>
    <row r="2806" spans="1:22" s="11" customFormat="1" ht="45" customHeight="1" x14ac:dyDescent="0.2">
      <c r="A2806" s="66" t="s">
        <v>1963</v>
      </c>
      <c r="B2806" s="66" t="s">
        <v>1155</v>
      </c>
      <c r="C2806" s="66" t="s">
        <v>9605</v>
      </c>
      <c r="D2806" s="66">
        <v>6974696617825</v>
      </c>
      <c r="E2806" s="68" t="s">
        <v>10662</v>
      </c>
      <c r="F2806" s="66" t="s">
        <v>10663</v>
      </c>
      <c r="G2806" s="71">
        <v>3771</v>
      </c>
      <c r="H2806" s="73"/>
      <c r="I2806" s="75">
        <v>0.2</v>
      </c>
      <c r="J2806" s="77"/>
      <c r="K2806" s="66"/>
      <c r="L2806" s="66"/>
      <c r="M2806" s="79" t="str">
        <f>HYPERLINK("http://www.pristavka.com/catalog/Genshin Impact/GEN197/")</f>
        <v>http://www.pristavka.com/catalog/Genshin Impact/GEN197/</v>
      </c>
      <c r="N2806" s="71">
        <v>6299</v>
      </c>
      <c r="O2806" s="66" t="s">
        <v>27</v>
      </c>
      <c r="P2806" s="82" t="s">
        <v>10664</v>
      </c>
      <c r="Q2806" s="84" t="s">
        <v>1963</v>
      </c>
      <c r="R2806" s="84" t="s">
        <v>9605</v>
      </c>
      <c r="S2806" s="84">
        <v>0.05</v>
      </c>
      <c r="T2806" s="82" t="s">
        <v>10657</v>
      </c>
      <c r="U2806" s="84" t="s">
        <v>2255</v>
      </c>
      <c r="V2806" s="54"/>
    </row>
    <row r="2807" spans="1:22" s="11" customFormat="1" ht="45" customHeight="1" x14ac:dyDescent="0.2">
      <c r="A2807" s="66" t="s">
        <v>1963</v>
      </c>
      <c r="B2807" s="66" t="s">
        <v>1155</v>
      </c>
      <c r="C2807" s="66" t="s">
        <v>9605</v>
      </c>
      <c r="D2807" s="66">
        <v>6972957486272</v>
      </c>
      <c r="E2807" s="68" t="s">
        <v>10665</v>
      </c>
      <c r="F2807" s="66" t="s">
        <v>10666</v>
      </c>
      <c r="G2807" s="71">
        <v>3164</v>
      </c>
      <c r="H2807" s="73"/>
      <c r="I2807" s="75">
        <v>0.2</v>
      </c>
      <c r="J2807" s="77"/>
      <c r="K2807" s="66"/>
      <c r="L2807" s="66"/>
      <c r="M2807" s="79" t="str">
        <f>HYPERLINK("http://www.pristavka.com/catalog/Genshin Impact/GEN184/")</f>
        <v>http://www.pristavka.com/catalog/Genshin Impact/GEN184/</v>
      </c>
      <c r="N2807" s="71">
        <v>5299</v>
      </c>
      <c r="O2807" s="66" t="s">
        <v>27</v>
      </c>
      <c r="P2807" s="82" t="s">
        <v>10667</v>
      </c>
      <c r="Q2807" s="84" t="s">
        <v>1963</v>
      </c>
      <c r="R2807" s="84" t="s">
        <v>9605</v>
      </c>
      <c r="S2807" s="84">
        <v>4.7E-2</v>
      </c>
      <c r="T2807" s="82" t="s">
        <v>10657</v>
      </c>
      <c r="U2807" s="84" t="s">
        <v>2255</v>
      </c>
      <c r="V2807" s="54"/>
    </row>
    <row r="2808" spans="1:22" s="11" customFormat="1" ht="45" customHeight="1" x14ac:dyDescent="0.2">
      <c r="A2808" s="66" t="s">
        <v>1963</v>
      </c>
      <c r="B2808" s="66" t="s">
        <v>1155</v>
      </c>
      <c r="C2808" s="66" t="s">
        <v>9605</v>
      </c>
      <c r="D2808" s="66">
        <v>6972957486302</v>
      </c>
      <c r="E2808" s="68" t="s">
        <v>10668</v>
      </c>
      <c r="F2808" s="66" t="s">
        <v>10669</v>
      </c>
      <c r="G2808" s="71">
        <v>3164</v>
      </c>
      <c r="H2808" s="73"/>
      <c r="I2808" s="75">
        <v>0.2</v>
      </c>
      <c r="J2808" s="77"/>
      <c r="K2808" s="66"/>
      <c r="L2808" s="66"/>
      <c r="M2808" s="79" t="str">
        <f>HYPERLINK("http://www.pristavka.com/catalog/Genshin Impact/GEN186/")</f>
        <v>http://www.pristavka.com/catalog/Genshin Impact/GEN186/</v>
      </c>
      <c r="N2808" s="71">
        <v>5299</v>
      </c>
      <c r="O2808" s="66" t="s">
        <v>27</v>
      </c>
      <c r="P2808" s="82" t="s">
        <v>10670</v>
      </c>
      <c r="Q2808" s="84" t="s">
        <v>1963</v>
      </c>
      <c r="R2808" s="84" t="s">
        <v>9605</v>
      </c>
      <c r="S2808" s="84">
        <v>4.5999999999999999E-2</v>
      </c>
      <c r="T2808" s="82" t="s">
        <v>10671</v>
      </c>
      <c r="U2808" s="84" t="s">
        <v>2255</v>
      </c>
      <c r="V2808" s="54"/>
    </row>
    <row r="2809" spans="1:22" s="11" customFormat="1" ht="45" customHeight="1" x14ac:dyDescent="0.2">
      <c r="A2809" s="66" t="s">
        <v>1963</v>
      </c>
      <c r="B2809" s="66" t="s">
        <v>1155</v>
      </c>
      <c r="C2809" s="66" t="s">
        <v>9605</v>
      </c>
      <c r="D2809" s="66">
        <v>6972957486319</v>
      </c>
      <c r="E2809" s="68" t="s">
        <v>10672</v>
      </c>
      <c r="F2809" s="66" t="s">
        <v>10673</v>
      </c>
      <c r="G2809" s="71">
        <v>3164</v>
      </c>
      <c r="H2809" s="73"/>
      <c r="I2809" s="75">
        <v>0.2</v>
      </c>
      <c r="J2809" s="77"/>
      <c r="K2809" s="66"/>
      <c r="L2809" s="66"/>
      <c r="M2809" s="79" t="str">
        <f>HYPERLINK("http://www.pristavka.com/catalog/Genshin Impact/GEN187/")</f>
        <v>http://www.pristavka.com/catalog/Genshin Impact/GEN187/</v>
      </c>
      <c r="N2809" s="71">
        <v>5299</v>
      </c>
      <c r="O2809" s="66" t="s">
        <v>27</v>
      </c>
      <c r="P2809" s="82" t="s">
        <v>10674</v>
      </c>
      <c r="Q2809" s="84" t="s">
        <v>1963</v>
      </c>
      <c r="R2809" s="84" t="s">
        <v>9605</v>
      </c>
      <c r="S2809" s="84">
        <v>4.2999999999999997E-2</v>
      </c>
      <c r="T2809" s="82" t="s">
        <v>10657</v>
      </c>
      <c r="U2809" s="84" t="s">
        <v>2255</v>
      </c>
      <c r="V2809" s="54"/>
    </row>
    <row r="2810" spans="1:22" s="11" customFormat="1" ht="45" customHeight="1" x14ac:dyDescent="0.2">
      <c r="A2810" s="66" t="s">
        <v>1963</v>
      </c>
      <c r="B2810" s="66" t="s">
        <v>1155</v>
      </c>
      <c r="C2810" s="66" t="s">
        <v>9605</v>
      </c>
      <c r="D2810" s="66">
        <v>6974096530380</v>
      </c>
      <c r="E2810" s="68" t="s">
        <v>10675</v>
      </c>
      <c r="F2810" s="66" t="s">
        <v>10676</v>
      </c>
      <c r="G2810" s="71">
        <v>3771</v>
      </c>
      <c r="H2810" s="73"/>
      <c r="I2810" s="75">
        <v>0.2</v>
      </c>
      <c r="J2810" s="77"/>
      <c r="K2810" s="66"/>
      <c r="L2810" s="66"/>
      <c r="M2810" s="79" t="str">
        <f>HYPERLINK("http://www.pristavka.com/catalog/Genshin Impact/GEN190/")</f>
        <v>http://www.pristavka.com/catalog/Genshin Impact/GEN190/</v>
      </c>
      <c r="N2810" s="71">
        <v>6299</v>
      </c>
      <c r="O2810" s="66" t="s">
        <v>27</v>
      </c>
      <c r="P2810" s="82" t="s">
        <v>10677</v>
      </c>
      <c r="Q2810" s="84" t="s">
        <v>1963</v>
      </c>
      <c r="R2810" s="84" t="s">
        <v>9605</v>
      </c>
      <c r="S2810" s="84">
        <v>4.5999999999999999E-2</v>
      </c>
      <c r="T2810" s="82" t="s">
        <v>10671</v>
      </c>
      <c r="U2810" s="84" t="s">
        <v>2255</v>
      </c>
      <c r="V2810" s="54"/>
    </row>
    <row r="2811" spans="1:22" s="11" customFormat="1" ht="45" customHeight="1" x14ac:dyDescent="0.2">
      <c r="A2811" s="66" t="s">
        <v>1963</v>
      </c>
      <c r="B2811" s="66" t="s">
        <v>1155</v>
      </c>
      <c r="C2811" s="66" t="s">
        <v>9605</v>
      </c>
      <c r="D2811" s="66">
        <v>6974096530427</v>
      </c>
      <c r="E2811" s="68" t="s">
        <v>10678</v>
      </c>
      <c r="F2811" s="66" t="s">
        <v>10679</v>
      </c>
      <c r="G2811" s="71">
        <v>3771</v>
      </c>
      <c r="H2811" s="73"/>
      <c r="I2811" s="75">
        <v>0.2</v>
      </c>
      <c r="J2811" s="77"/>
      <c r="K2811" s="66"/>
      <c r="L2811" s="66"/>
      <c r="M2811" s="79" t="str">
        <f>HYPERLINK("http://www.pristavka.com/catalog/Genshin Impact/GEN601/")</f>
        <v>http://www.pristavka.com/catalog/Genshin Impact/GEN601/</v>
      </c>
      <c r="N2811" s="71">
        <v>6299</v>
      </c>
      <c r="O2811" s="66" t="s">
        <v>27</v>
      </c>
      <c r="P2811" s="82" t="s">
        <v>10680</v>
      </c>
      <c r="Q2811" s="84" t="s">
        <v>1963</v>
      </c>
      <c r="R2811" s="84" t="s">
        <v>9605</v>
      </c>
      <c r="S2811" s="84">
        <v>4.8000000000000001E-2</v>
      </c>
      <c r="T2811" s="82" t="s">
        <v>1187</v>
      </c>
      <c r="U2811" s="84"/>
      <c r="V2811" s="54"/>
    </row>
    <row r="2812" spans="1:22" s="11" customFormat="1" ht="45" customHeight="1" x14ac:dyDescent="0.2">
      <c r="A2812" s="66" t="s">
        <v>1963</v>
      </c>
      <c r="B2812" s="66" t="s">
        <v>1155</v>
      </c>
      <c r="C2812" s="66" t="s">
        <v>9605</v>
      </c>
      <c r="D2812" s="66">
        <v>6974696617559</v>
      </c>
      <c r="E2812" s="68" t="s">
        <v>10681</v>
      </c>
      <c r="F2812" s="66" t="s">
        <v>10682</v>
      </c>
      <c r="G2812" s="71">
        <v>3164</v>
      </c>
      <c r="H2812" s="73"/>
      <c r="I2812" s="75">
        <v>0.2</v>
      </c>
      <c r="J2812" s="77"/>
      <c r="K2812" s="66"/>
      <c r="L2812" s="66"/>
      <c r="M2812" s="79" t="str">
        <f>HYPERLINK("http://www.pristavka.com/catalog/Genshin Impact/GEN133/")</f>
        <v>http://www.pristavka.com/catalog/Genshin Impact/GEN133/</v>
      </c>
      <c r="N2812" s="71">
        <v>5299</v>
      </c>
      <c r="O2812" s="66" t="s">
        <v>27</v>
      </c>
      <c r="P2812" s="82" t="s">
        <v>10683</v>
      </c>
      <c r="Q2812" s="84" t="s">
        <v>1963</v>
      </c>
      <c r="R2812" s="84" t="s">
        <v>9605</v>
      </c>
      <c r="S2812" s="84">
        <v>0.02</v>
      </c>
      <c r="T2812" s="82" t="s">
        <v>10684</v>
      </c>
      <c r="U2812" s="84" t="s">
        <v>2255</v>
      </c>
      <c r="V2812" s="54"/>
    </row>
    <row r="2813" spans="1:22" s="11" customFormat="1" ht="45" customHeight="1" x14ac:dyDescent="0.2">
      <c r="A2813" s="66" t="s">
        <v>1963</v>
      </c>
      <c r="B2813" s="66" t="s">
        <v>1155</v>
      </c>
      <c r="C2813" s="66" t="s">
        <v>9605</v>
      </c>
      <c r="D2813" s="66">
        <v>6974696611731</v>
      </c>
      <c r="E2813" s="68" t="s">
        <v>10685</v>
      </c>
      <c r="F2813" s="66" t="s">
        <v>10686</v>
      </c>
      <c r="G2813" s="71">
        <v>3164</v>
      </c>
      <c r="H2813" s="73"/>
      <c r="I2813" s="75">
        <v>0.2</v>
      </c>
      <c r="J2813" s="77"/>
      <c r="K2813" s="66"/>
      <c r="L2813" s="66"/>
      <c r="M2813" s="79" t="str">
        <f>HYPERLINK("http://www.pristavka.com/catalog/Genshin Impact/GEN132/")</f>
        <v>http://www.pristavka.com/catalog/Genshin Impact/GEN132/</v>
      </c>
      <c r="N2813" s="71">
        <v>5299</v>
      </c>
      <c r="O2813" s="66" t="s">
        <v>27</v>
      </c>
      <c r="P2813" s="82" t="s">
        <v>10687</v>
      </c>
      <c r="Q2813" s="84" t="s">
        <v>1963</v>
      </c>
      <c r="R2813" s="84" t="s">
        <v>9605</v>
      </c>
      <c r="S2813" s="84">
        <v>2.1000000000000001E-2</v>
      </c>
      <c r="T2813" s="82" t="s">
        <v>10688</v>
      </c>
      <c r="U2813" s="84" t="s">
        <v>2255</v>
      </c>
      <c r="V2813" s="54"/>
    </row>
    <row r="2814" spans="1:22" s="11" customFormat="1" ht="45" customHeight="1" x14ac:dyDescent="0.2">
      <c r="A2814" s="66" t="s">
        <v>1963</v>
      </c>
      <c r="B2814" s="66" t="s">
        <v>1155</v>
      </c>
      <c r="C2814" s="66" t="s">
        <v>9605</v>
      </c>
      <c r="D2814" s="66">
        <v>6974696611748</v>
      </c>
      <c r="E2814" s="68" t="s">
        <v>10689</v>
      </c>
      <c r="F2814" s="66" t="s">
        <v>10690</v>
      </c>
      <c r="G2814" s="71">
        <v>3164</v>
      </c>
      <c r="H2814" s="73"/>
      <c r="I2814" s="75">
        <v>0.2</v>
      </c>
      <c r="J2814" s="77"/>
      <c r="K2814" s="66"/>
      <c r="L2814" s="66"/>
      <c r="M2814" s="79" t="str">
        <f>HYPERLINK("http://www.pristavka.com/catalog/Genshin Impact/GEN131/")</f>
        <v>http://www.pristavka.com/catalog/Genshin Impact/GEN131/</v>
      </c>
      <c r="N2814" s="71">
        <v>5299</v>
      </c>
      <c r="O2814" s="66" t="s">
        <v>27</v>
      </c>
      <c r="P2814" s="82" t="s">
        <v>10691</v>
      </c>
      <c r="Q2814" s="84" t="s">
        <v>1963</v>
      </c>
      <c r="R2814" s="84" t="s">
        <v>9605</v>
      </c>
      <c r="S2814" s="84">
        <v>2.1000000000000001E-2</v>
      </c>
      <c r="T2814" s="82" t="s">
        <v>10684</v>
      </c>
      <c r="U2814" s="84" t="s">
        <v>2255</v>
      </c>
      <c r="V2814" s="54"/>
    </row>
    <row r="2815" spans="1:22" s="11" customFormat="1" ht="45" customHeight="1" x14ac:dyDescent="0.2">
      <c r="A2815" s="66" t="s">
        <v>1963</v>
      </c>
      <c r="B2815" s="66" t="s">
        <v>1155</v>
      </c>
      <c r="C2815" s="66" t="s">
        <v>9605</v>
      </c>
      <c r="D2815" s="66">
        <v>6974096530878</v>
      </c>
      <c r="E2815" s="68" t="s">
        <v>10692</v>
      </c>
      <c r="F2815" s="66" t="s">
        <v>10693</v>
      </c>
      <c r="G2815" s="71">
        <v>2847</v>
      </c>
      <c r="H2815" s="73"/>
      <c r="I2815" s="75">
        <v>0.2</v>
      </c>
      <c r="J2815" s="77"/>
      <c r="K2815" s="66"/>
      <c r="L2815" s="66"/>
      <c r="M2815" s="79" t="str">
        <f>HYPERLINK("http://www.pristavka.com/catalog/Genshin Impact/GEN130/")</f>
        <v>http://www.pristavka.com/catalog/Genshin Impact/GEN130/</v>
      </c>
      <c r="N2815" s="71">
        <v>4799</v>
      </c>
      <c r="O2815" s="66" t="s">
        <v>27</v>
      </c>
      <c r="P2815" s="82" t="s">
        <v>10694</v>
      </c>
      <c r="Q2815" s="84" t="s">
        <v>1963</v>
      </c>
      <c r="R2815" s="84" t="s">
        <v>9605</v>
      </c>
      <c r="S2815" s="84">
        <v>2.4E-2</v>
      </c>
      <c r="T2815" s="82" t="s">
        <v>10695</v>
      </c>
      <c r="U2815" s="84" t="s">
        <v>2255</v>
      </c>
      <c r="V2815" s="54"/>
    </row>
    <row r="2816" spans="1:22" s="11" customFormat="1" ht="45" customHeight="1" x14ac:dyDescent="0.2">
      <c r="A2816" s="66" t="s">
        <v>1963</v>
      </c>
      <c r="B2816" s="66" t="s">
        <v>1155</v>
      </c>
      <c r="C2816" s="66" t="s">
        <v>9605</v>
      </c>
      <c r="D2816" s="66">
        <v>6976068147565</v>
      </c>
      <c r="E2816" s="68" t="s">
        <v>10696</v>
      </c>
      <c r="F2816" s="66" t="s">
        <v>10697</v>
      </c>
      <c r="G2816" s="71">
        <v>7892</v>
      </c>
      <c r="H2816" s="73"/>
      <c r="I2816" s="75">
        <v>0.2</v>
      </c>
      <c r="J2816" s="77"/>
      <c r="K2816" s="66"/>
      <c r="L2816" s="66"/>
      <c r="M2816" s="79" t="str">
        <f>HYPERLINK("http://www.pristavka.com/catalog/Genshin Impact/GEN1212/")</f>
        <v>http://www.pristavka.com/catalog/Genshin Impact/GEN1212/</v>
      </c>
      <c r="N2816" s="71">
        <v>13199</v>
      </c>
      <c r="O2816" s="66" t="s">
        <v>27</v>
      </c>
      <c r="P2816" s="82" t="s">
        <v>10698</v>
      </c>
      <c r="Q2816" s="84" t="s">
        <v>1963</v>
      </c>
      <c r="R2816" s="84" t="s">
        <v>9605</v>
      </c>
      <c r="S2816" s="84">
        <v>0.17799999999999999</v>
      </c>
      <c r="T2816" s="82" t="s">
        <v>10699</v>
      </c>
      <c r="U2816" s="84"/>
      <c r="V2816" s="54"/>
    </row>
    <row r="2817" spans="1:22" s="11" customFormat="1" ht="45" customHeight="1" x14ac:dyDescent="0.2">
      <c r="A2817" s="66" t="s">
        <v>1963</v>
      </c>
      <c r="B2817" s="66" t="s">
        <v>1155</v>
      </c>
      <c r="C2817" s="66" t="s">
        <v>9605</v>
      </c>
      <c r="D2817" s="66">
        <v>6942421100782</v>
      </c>
      <c r="E2817" s="68" t="s">
        <v>10700</v>
      </c>
      <c r="F2817" s="66" t="s">
        <v>10701</v>
      </c>
      <c r="G2817" s="71">
        <v>7892</v>
      </c>
      <c r="H2817" s="73"/>
      <c r="I2817" s="75">
        <v>0.2</v>
      </c>
      <c r="J2817" s="77"/>
      <c r="K2817" s="66"/>
      <c r="L2817" s="66"/>
      <c r="M2817" s="79" t="str">
        <f>HYPERLINK("http://www.pristavka.com/catalog/Genshin Impact/GEN1228/")</f>
        <v>http://www.pristavka.com/catalog/Genshin Impact/GEN1228/</v>
      </c>
      <c r="N2817" s="71">
        <v>13199</v>
      </c>
      <c r="O2817" s="66" t="s">
        <v>27</v>
      </c>
      <c r="P2817" s="82" t="s">
        <v>10702</v>
      </c>
      <c r="Q2817" s="84" t="s">
        <v>1963</v>
      </c>
      <c r="R2817" s="84" t="s">
        <v>9605</v>
      </c>
      <c r="S2817" s="84">
        <v>0.188</v>
      </c>
      <c r="T2817" s="82" t="s">
        <v>10699</v>
      </c>
      <c r="U2817" s="84"/>
      <c r="V2817" s="54"/>
    </row>
    <row r="2818" spans="1:22" s="11" customFormat="1" ht="45" customHeight="1" x14ac:dyDescent="0.2">
      <c r="A2818" s="66" t="s">
        <v>1963</v>
      </c>
      <c r="B2818" s="66" t="s">
        <v>1155</v>
      </c>
      <c r="C2818" s="66" t="s">
        <v>9605</v>
      </c>
      <c r="D2818" s="66">
        <v>6942421100775</v>
      </c>
      <c r="E2818" s="68" t="s">
        <v>10703</v>
      </c>
      <c r="F2818" s="66" t="s">
        <v>10704</v>
      </c>
      <c r="G2818" s="71">
        <v>7892</v>
      </c>
      <c r="H2818" s="73"/>
      <c r="I2818" s="75">
        <v>0.2</v>
      </c>
      <c r="J2818" s="77"/>
      <c r="K2818" s="66"/>
      <c r="L2818" s="66"/>
      <c r="M2818" s="79" t="str">
        <f>HYPERLINK("http://www.pristavka.com/catalog/Genshin Impact/GEN1215/")</f>
        <v>http://www.pristavka.com/catalog/Genshin Impact/GEN1215/</v>
      </c>
      <c r="N2818" s="71">
        <v>13199</v>
      </c>
      <c r="O2818" s="66" t="s">
        <v>27</v>
      </c>
      <c r="P2818" s="82" t="s">
        <v>10705</v>
      </c>
      <c r="Q2818" s="84" t="s">
        <v>1963</v>
      </c>
      <c r="R2818" s="84" t="s">
        <v>9605</v>
      </c>
      <c r="S2818" s="84">
        <v>0.186</v>
      </c>
      <c r="T2818" s="82" t="s">
        <v>10699</v>
      </c>
      <c r="U2818" s="84"/>
      <c r="V2818" s="54"/>
    </row>
    <row r="2819" spans="1:22" s="11" customFormat="1" ht="45" customHeight="1" x14ac:dyDescent="0.2">
      <c r="A2819" s="66" t="s">
        <v>1963</v>
      </c>
      <c r="B2819" s="66" t="s">
        <v>1155</v>
      </c>
      <c r="C2819" s="66" t="s">
        <v>9605</v>
      </c>
      <c r="D2819" s="66">
        <v>6976068147541</v>
      </c>
      <c r="E2819" s="68" t="s">
        <v>10706</v>
      </c>
      <c r="F2819" s="66" t="s">
        <v>10707</v>
      </c>
      <c r="G2819" s="71">
        <v>7892</v>
      </c>
      <c r="H2819" s="73"/>
      <c r="I2819" s="75">
        <v>0.2</v>
      </c>
      <c r="J2819" s="77"/>
      <c r="K2819" s="66"/>
      <c r="L2819" s="66"/>
      <c r="M2819" s="79" t="str">
        <f>HYPERLINK("http://www.pristavka.com/catalog/Genshin Impact/GEN1211/")</f>
        <v>http://www.pristavka.com/catalog/Genshin Impact/GEN1211/</v>
      </c>
      <c r="N2819" s="71">
        <v>13199</v>
      </c>
      <c r="O2819" s="66" t="s">
        <v>27</v>
      </c>
      <c r="P2819" s="82" t="s">
        <v>10708</v>
      </c>
      <c r="Q2819" s="84" t="s">
        <v>1963</v>
      </c>
      <c r="R2819" s="84" t="s">
        <v>9605</v>
      </c>
      <c r="S2819" s="84">
        <v>0.218</v>
      </c>
      <c r="T2819" s="82" t="s">
        <v>10699</v>
      </c>
      <c r="U2819" s="84"/>
      <c r="V2819" s="54"/>
    </row>
    <row r="2820" spans="1:22" s="11" customFormat="1" ht="45" customHeight="1" x14ac:dyDescent="0.2">
      <c r="A2820" s="66" t="s">
        <v>1963</v>
      </c>
      <c r="B2820" s="66" t="s">
        <v>1155</v>
      </c>
      <c r="C2820" s="66" t="s">
        <v>9605</v>
      </c>
      <c r="D2820" s="66">
        <v>6942421100720</v>
      </c>
      <c r="E2820" s="68" t="s">
        <v>10709</v>
      </c>
      <c r="F2820" s="66" t="s">
        <v>10710</v>
      </c>
      <c r="G2820" s="71">
        <v>7892</v>
      </c>
      <c r="H2820" s="73"/>
      <c r="I2820" s="75">
        <v>0.2</v>
      </c>
      <c r="J2820" s="77"/>
      <c r="K2820" s="66"/>
      <c r="L2820" s="66"/>
      <c r="M2820" s="79" t="str">
        <f>HYPERLINK("http://www.pristavka.com/catalog/Genshin Impact/GEN1216/")</f>
        <v>http://www.pristavka.com/catalog/Genshin Impact/GEN1216/</v>
      </c>
      <c r="N2820" s="71">
        <v>13199</v>
      </c>
      <c r="O2820" s="66" t="s">
        <v>27</v>
      </c>
      <c r="P2820" s="82" t="s">
        <v>10711</v>
      </c>
      <c r="Q2820" s="84" t="s">
        <v>1963</v>
      </c>
      <c r="R2820" s="84" t="s">
        <v>9605</v>
      </c>
      <c r="S2820" s="84">
        <v>0.21</v>
      </c>
      <c r="T2820" s="82" t="s">
        <v>10712</v>
      </c>
      <c r="U2820" s="84"/>
      <c r="V2820" s="54"/>
    </row>
    <row r="2821" spans="1:22" s="11" customFormat="1" ht="45" customHeight="1" x14ac:dyDescent="0.2">
      <c r="A2821" s="66" t="s">
        <v>1963</v>
      </c>
      <c r="B2821" s="66" t="s">
        <v>1155</v>
      </c>
      <c r="C2821" s="66" t="s">
        <v>9605</v>
      </c>
      <c r="D2821" s="66">
        <v>6942421100713</v>
      </c>
      <c r="E2821" s="68" t="s">
        <v>10713</v>
      </c>
      <c r="F2821" s="66" t="s">
        <v>10714</v>
      </c>
      <c r="G2821" s="71">
        <v>7892</v>
      </c>
      <c r="H2821" s="73"/>
      <c r="I2821" s="75">
        <v>0.2</v>
      </c>
      <c r="J2821" s="77"/>
      <c r="K2821" s="66"/>
      <c r="L2821" s="66"/>
      <c r="M2821" s="79" t="str">
        <f>HYPERLINK("http://www.pristavka.com/catalog/Genshin Impact/GEN1214/")</f>
        <v>http://www.pristavka.com/catalog/Genshin Impact/GEN1214/</v>
      </c>
      <c r="N2821" s="71">
        <v>13199</v>
      </c>
      <c r="O2821" s="66" t="s">
        <v>27</v>
      </c>
      <c r="P2821" s="82" t="s">
        <v>10715</v>
      </c>
      <c r="Q2821" s="84" t="s">
        <v>1963</v>
      </c>
      <c r="R2821" s="84" t="s">
        <v>9605</v>
      </c>
      <c r="S2821" s="84">
        <v>0.214</v>
      </c>
      <c r="T2821" s="82" t="s">
        <v>10699</v>
      </c>
      <c r="U2821" s="84"/>
      <c r="V2821" s="54"/>
    </row>
    <row r="2822" spans="1:22" s="11" customFormat="1" ht="45" customHeight="1" x14ac:dyDescent="0.2">
      <c r="A2822" s="66" t="s">
        <v>1963</v>
      </c>
      <c r="B2822" s="66" t="s">
        <v>1155</v>
      </c>
      <c r="C2822" s="66" t="s">
        <v>9605</v>
      </c>
      <c r="D2822" s="66">
        <v>6942421100669</v>
      </c>
      <c r="E2822" s="68" t="s">
        <v>10716</v>
      </c>
      <c r="F2822" s="66" t="s">
        <v>10717</v>
      </c>
      <c r="G2822" s="71">
        <v>7892</v>
      </c>
      <c r="H2822" s="73"/>
      <c r="I2822" s="75">
        <v>0.2</v>
      </c>
      <c r="J2822" s="77"/>
      <c r="K2822" s="66"/>
      <c r="L2822" s="66"/>
      <c r="M2822" s="79" t="str">
        <f>HYPERLINK("http://www.pristavka.com/catalog/Genshin Impact/GEN1213/")</f>
        <v>http://www.pristavka.com/catalog/Genshin Impact/GEN1213/</v>
      </c>
      <c r="N2822" s="71">
        <v>13199</v>
      </c>
      <c r="O2822" s="66" t="s">
        <v>27</v>
      </c>
      <c r="P2822" s="82" t="s">
        <v>10718</v>
      </c>
      <c r="Q2822" s="84" t="s">
        <v>1963</v>
      </c>
      <c r="R2822" s="84" t="s">
        <v>9605</v>
      </c>
      <c r="S2822" s="84">
        <v>0.2</v>
      </c>
      <c r="T2822" s="82" t="s">
        <v>10699</v>
      </c>
      <c r="U2822" s="84"/>
      <c r="V2822" s="54"/>
    </row>
    <row r="2823" spans="1:22" s="11" customFormat="1" ht="45" customHeight="1" x14ac:dyDescent="0.2">
      <c r="A2823" s="66" t="s">
        <v>1963</v>
      </c>
      <c r="B2823" s="66" t="s">
        <v>1155</v>
      </c>
      <c r="C2823" s="66" t="s">
        <v>9605</v>
      </c>
      <c r="D2823" s="66">
        <v>6942421100683</v>
      </c>
      <c r="E2823" s="68" t="s">
        <v>10719</v>
      </c>
      <c r="F2823" s="66" t="s">
        <v>10720</v>
      </c>
      <c r="G2823" s="71">
        <v>7892</v>
      </c>
      <c r="H2823" s="73"/>
      <c r="I2823" s="75">
        <v>0.2</v>
      </c>
      <c r="J2823" s="77"/>
      <c r="K2823" s="66"/>
      <c r="L2823" s="66"/>
      <c r="M2823" s="79" t="str">
        <f>HYPERLINK("http://www.pristavka.com/catalog/Genshin Impact/GEN1227/")</f>
        <v>http://www.pristavka.com/catalog/Genshin Impact/GEN1227/</v>
      </c>
      <c r="N2823" s="71">
        <v>13199</v>
      </c>
      <c r="O2823" s="66" t="s">
        <v>27</v>
      </c>
      <c r="P2823" s="82" t="s">
        <v>10721</v>
      </c>
      <c r="Q2823" s="84" t="s">
        <v>1963</v>
      </c>
      <c r="R2823" s="84" t="s">
        <v>9605</v>
      </c>
      <c r="S2823" s="84">
        <v>0.20200000000000001</v>
      </c>
      <c r="T2823" s="82" t="s">
        <v>10699</v>
      </c>
      <c r="U2823" s="84"/>
      <c r="V2823" s="54"/>
    </row>
    <row r="2824" spans="1:22" s="11" customFormat="1" ht="45" customHeight="1" x14ac:dyDescent="0.2">
      <c r="A2824" s="66" t="s">
        <v>1963</v>
      </c>
      <c r="B2824" s="66" t="s">
        <v>1155</v>
      </c>
      <c r="C2824" s="66" t="s">
        <v>9605</v>
      </c>
      <c r="D2824" s="66">
        <v>6976068147534</v>
      </c>
      <c r="E2824" s="68" t="s">
        <v>10722</v>
      </c>
      <c r="F2824" s="66" t="s">
        <v>10723</v>
      </c>
      <c r="G2824" s="71">
        <v>7892</v>
      </c>
      <c r="H2824" s="73"/>
      <c r="I2824" s="75">
        <v>0.2</v>
      </c>
      <c r="J2824" s="77"/>
      <c r="K2824" s="66"/>
      <c r="L2824" s="66"/>
      <c r="M2824" s="79" t="str">
        <f>HYPERLINK("http://www.pristavka.com/catalog/Genshin Impact/GEN1210/")</f>
        <v>http://www.pristavka.com/catalog/Genshin Impact/GEN1210/</v>
      </c>
      <c r="N2824" s="71">
        <v>13199</v>
      </c>
      <c r="O2824" s="66" t="s">
        <v>27</v>
      </c>
      <c r="P2824" s="82" t="s">
        <v>10724</v>
      </c>
      <c r="Q2824" s="84" t="s">
        <v>1963</v>
      </c>
      <c r="R2824" s="84" t="s">
        <v>9605</v>
      </c>
      <c r="S2824" s="84">
        <v>0.20200000000000001</v>
      </c>
      <c r="T2824" s="82" t="s">
        <v>10699</v>
      </c>
      <c r="U2824" s="84"/>
      <c r="V2824" s="54"/>
    </row>
    <row r="2825" spans="1:22" s="11" customFormat="1" ht="45" customHeight="1" x14ac:dyDescent="0.2">
      <c r="A2825" s="66" t="s">
        <v>1963</v>
      </c>
      <c r="B2825" s="66" t="s">
        <v>1155</v>
      </c>
      <c r="C2825" s="66" t="s">
        <v>9605</v>
      </c>
      <c r="D2825" s="66">
        <v>6975213688380</v>
      </c>
      <c r="E2825" s="68" t="s">
        <v>10725</v>
      </c>
      <c r="F2825" s="66" t="s">
        <v>10726</v>
      </c>
      <c r="G2825" s="71">
        <v>3164</v>
      </c>
      <c r="H2825" s="73"/>
      <c r="I2825" s="75">
        <v>0.2</v>
      </c>
      <c r="J2825" s="77"/>
      <c r="K2825" s="66"/>
      <c r="L2825" s="66"/>
      <c r="M2825" s="79" t="str">
        <f>HYPERLINK("http://www.pristavka.com/catalog/Genshin Impact/GEN403/")</f>
        <v>http://www.pristavka.com/catalog/Genshin Impact/GEN403/</v>
      </c>
      <c r="N2825" s="71">
        <v>5299</v>
      </c>
      <c r="O2825" s="66" t="s">
        <v>27</v>
      </c>
      <c r="P2825" s="82" t="s">
        <v>10727</v>
      </c>
      <c r="Q2825" s="84" t="s">
        <v>1963</v>
      </c>
      <c r="R2825" s="84" t="s">
        <v>9605</v>
      </c>
      <c r="S2825" s="84">
        <v>4.4999999999999998E-2</v>
      </c>
      <c r="T2825" s="82" t="s">
        <v>10728</v>
      </c>
      <c r="U2825" s="84" t="s">
        <v>2255</v>
      </c>
      <c r="V2825" s="54"/>
    </row>
    <row r="2826" spans="1:22" s="11" customFormat="1" ht="45" customHeight="1" x14ac:dyDescent="0.2">
      <c r="A2826" s="66" t="s">
        <v>1963</v>
      </c>
      <c r="B2826" s="66" t="s">
        <v>1155</v>
      </c>
      <c r="C2826" s="66" t="s">
        <v>9605</v>
      </c>
      <c r="D2826" s="66">
        <v>6975213688397</v>
      </c>
      <c r="E2826" s="68" t="s">
        <v>10729</v>
      </c>
      <c r="F2826" s="66" t="s">
        <v>10730</v>
      </c>
      <c r="G2826" s="71">
        <v>3164</v>
      </c>
      <c r="H2826" s="73"/>
      <c r="I2826" s="75">
        <v>0.2</v>
      </c>
      <c r="J2826" s="77"/>
      <c r="K2826" s="66"/>
      <c r="L2826" s="66"/>
      <c r="M2826" s="79" t="str">
        <f>HYPERLINK("http://www.pristavka.com/catalog/Genshin Impact/GEN404/")</f>
        <v>http://www.pristavka.com/catalog/Genshin Impact/GEN404/</v>
      </c>
      <c r="N2826" s="71">
        <v>5299</v>
      </c>
      <c r="O2826" s="66" t="s">
        <v>27</v>
      </c>
      <c r="P2826" s="82" t="s">
        <v>10731</v>
      </c>
      <c r="Q2826" s="84" t="s">
        <v>1963</v>
      </c>
      <c r="R2826" s="84" t="s">
        <v>9605</v>
      </c>
      <c r="S2826" s="84">
        <v>4.5999999999999999E-2</v>
      </c>
      <c r="T2826" s="82" t="s">
        <v>10728</v>
      </c>
      <c r="U2826" s="84" t="s">
        <v>2255</v>
      </c>
      <c r="V2826" s="54"/>
    </row>
    <row r="2827" spans="1:22" s="11" customFormat="1" ht="45" customHeight="1" x14ac:dyDescent="0.2">
      <c r="A2827" s="66" t="s">
        <v>1963</v>
      </c>
      <c r="B2827" s="66" t="s">
        <v>1155</v>
      </c>
      <c r="C2827" s="66" t="s">
        <v>9605</v>
      </c>
      <c r="D2827" s="66">
        <v>6975213688410</v>
      </c>
      <c r="E2827" s="68" t="s">
        <v>10732</v>
      </c>
      <c r="F2827" s="66" t="s">
        <v>10733</v>
      </c>
      <c r="G2827" s="71">
        <v>3164</v>
      </c>
      <c r="H2827" s="73"/>
      <c r="I2827" s="75">
        <v>0.2</v>
      </c>
      <c r="J2827" s="77"/>
      <c r="K2827" s="66"/>
      <c r="L2827" s="66"/>
      <c r="M2827" s="79" t="str">
        <f>HYPERLINK("http://www.pristavka.com/catalog/Genshin Impact/GEN406/")</f>
        <v>http://www.pristavka.com/catalog/Genshin Impact/GEN406/</v>
      </c>
      <c r="N2827" s="71">
        <v>5299</v>
      </c>
      <c r="O2827" s="66" t="s">
        <v>27</v>
      </c>
      <c r="P2827" s="82" t="s">
        <v>10734</v>
      </c>
      <c r="Q2827" s="84" t="s">
        <v>1963</v>
      </c>
      <c r="R2827" s="84" t="s">
        <v>9605</v>
      </c>
      <c r="S2827" s="84">
        <v>4.4999999999999998E-2</v>
      </c>
      <c r="T2827" s="82" t="s">
        <v>10728</v>
      </c>
      <c r="U2827" s="84" t="s">
        <v>2255</v>
      </c>
      <c r="V2827" s="54"/>
    </row>
    <row r="2828" spans="1:22" s="11" customFormat="1" ht="45" customHeight="1" x14ac:dyDescent="0.2">
      <c r="A2828" s="66" t="s">
        <v>1963</v>
      </c>
      <c r="B2828" s="66" t="s">
        <v>1155</v>
      </c>
      <c r="C2828" s="66" t="s">
        <v>9605</v>
      </c>
      <c r="D2828" s="66">
        <v>6975213688434</v>
      </c>
      <c r="E2828" s="68" t="s">
        <v>10735</v>
      </c>
      <c r="F2828" s="66" t="s">
        <v>10736</v>
      </c>
      <c r="G2828" s="71">
        <v>3164</v>
      </c>
      <c r="H2828" s="73"/>
      <c r="I2828" s="75">
        <v>0.2</v>
      </c>
      <c r="J2828" s="77"/>
      <c r="K2828" s="66"/>
      <c r="L2828" s="66"/>
      <c r="M2828" s="79" t="str">
        <f>HYPERLINK("http://www.pristavka.com/catalog/Genshin Impact/GEN407/")</f>
        <v>http://www.pristavka.com/catalog/Genshin Impact/GEN407/</v>
      </c>
      <c r="N2828" s="71">
        <v>5299</v>
      </c>
      <c r="O2828" s="66" t="s">
        <v>27</v>
      </c>
      <c r="P2828" s="82" t="s">
        <v>10737</v>
      </c>
      <c r="Q2828" s="84" t="s">
        <v>1963</v>
      </c>
      <c r="R2828" s="84" t="s">
        <v>9605</v>
      </c>
      <c r="S2828" s="84">
        <v>4.8000000000000001E-2</v>
      </c>
      <c r="T2828" s="82" t="s">
        <v>10728</v>
      </c>
      <c r="U2828" s="84" t="s">
        <v>2255</v>
      </c>
      <c r="V2828" s="54"/>
    </row>
    <row r="2829" spans="1:22" s="11" customFormat="1" ht="45" customHeight="1" x14ac:dyDescent="0.2">
      <c r="A2829" s="66" t="s">
        <v>1963</v>
      </c>
      <c r="B2829" s="66" t="s">
        <v>1155</v>
      </c>
      <c r="C2829" s="66" t="s">
        <v>9605</v>
      </c>
      <c r="D2829" s="66">
        <v>6975213688427</v>
      </c>
      <c r="E2829" s="68" t="s">
        <v>10738</v>
      </c>
      <c r="F2829" s="66" t="s">
        <v>10739</v>
      </c>
      <c r="G2829" s="71">
        <v>3164</v>
      </c>
      <c r="H2829" s="73"/>
      <c r="I2829" s="75">
        <v>0.2</v>
      </c>
      <c r="J2829" s="77"/>
      <c r="K2829" s="66"/>
      <c r="L2829" s="66"/>
      <c r="M2829" s="79" t="str">
        <f>HYPERLINK("http://www.pristavka.com/catalog/Genshin Impact/GEN12/")</f>
        <v>http://www.pristavka.com/catalog/Genshin Impact/GEN12/</v>
      </c>
      <c r="N2829" s="71">
        <v>5299</v>
      </c>
      <c r="O2829" s="66" t="s">
        <v>27</v>
      </c>
      <c r="P2829" s="82" t="s">
        <v>10740</v>
      </c>
      <c r="Q2829" s="84" t="s">
        <v>1963</v>
      </c>
      <c r="R2829" s="84" t="s">
        <v>9605</v>
      </c>
      <c r="S2829" s="84">
        <v>4.5999999999999999E-2</v>
      </c>
      <c r="T2829" s="82" t="s">
        <v>10741</v>
      </c>
      <c r="U2829" s="84" t="s">
        <v>2255</v>
      </c>
      <c r="V2829" s="54"/>
    </row>
    <row r="2830" spans="1:22" s="11" customFormat="1" ht="45" customHeight="1" x14ac:dyDescent="0.2">
      <c r="A2830" s="66" t="s">
        <v>1963</v>
      </c>
      <c r="B2830" s="66" t="s">
        <v>1155</v>
      </c>
      <c r="C2830" s="66" t="s">
        <v>9605</v>
      </c>
      <c r="D2830" s="66">
        <v>6975213688403</v>
      </c>
      <c r="E2830" s="68" t="s">
        <v>10742</v>
      </c>
      <c r="F2830" s="66" t="s">
        <v>10743</v>
      </c>
      <c r="G2830" s="71">
        <v>3164</v>
      </c>
      <c r="H2830" s="73"/>
      <c r="I2830" s="75">
        <v>0.2</v>
      </c>
      <c r="J2830" s="77"/>
      <c r="K2830" s="66"/>
      <c r="L2830" s="66"/>
      <c r="M2830" s="79" t="str">
        <f>HYPERLINK("http://www.pristavka.com/catalog/Genshin Impact/GEN405/")</f>
        <v>http://www.pristavka.com/catalog/Genshin Impact/GEN405/</v>
      </c>
      <c r="N2830" s="71">
        <v>5299</v>
      </c>
      <c r="O2830" s="66" t="s">
        <v>27</v>
      </c>
      <c r="P2830" s="82" t="s">
        <v>10744</v>
      </c>
      <c r="Q2830" s="84" t="s">
        <v>1963</v>
      </c>
      <c r="R2830" s="84" t="s">
        <v>9605</v>
      </c>
      <c r="S2830" s="84">
        <v>4.9000000000000002E-2</v>
      </c>
      <c r="T2830" s="82" t="s">
        <v>10728</v>
      </c>
      <c r="U2830" s="84" t="s">
        <v>2255</v>
      </c>
      <c r="V2830" s="54"/>
    </row>
    <row r="2831" spans="1:22" s="11" customFormat="1" ht="45" customHeight="1" x14ac:dyDescent="0.2">
      <c r="A2831" s="66" t="s">
        <v>1963</v>
      </c>
      <c r="B2831" s="66" t="s">
        <v>1155</v>
      </c>
      <c r="C2831" s="66" t="s">
        <v>9605</v>
      </c>
      <c r="D2831" s="66">
        <v>6976525009450</v>
      </c>
      <c r="E2831" s="68" t="s">
        <v>10745</v>
      </c>
      <c r="F2831" s="66" t="s">
        <v>10746</v>
      </c>
      <c r="G2831" s="71">
        <v>3771</v>
      </c>
      <c r="H2831" s="73"/>
      <c r="I2831" s="75">
        <v>0.2</v>
      </c>
      <c r="J2831" s="77"/>
      <c r="K2831" s="66"/>
      <c r="L2831" s="66"/>
      <c r="M2831" s="79" t="str">
        <f>HYPERLINK("http://www.pristavka.com/catalog/Genshin Impact/GEN1031/")</f>
        <v>http://www.pristavka.com/catalog/Genshin Impact/GEN1031/</v>
      </c>
      <c r="N2831" s="71">
        <v>6299</v>
      </c>
      <c r="O2831" s="66" t="s">
        <v>27</v>
      </c>
      <c r="P2831" s="82" t="s">
        <v>10747</v>
      </c>
      <c r="Q2831" s="84" t="s">
        <v>1963</v>
      </c>
      <c r="R2831" s="84" t="s">
        <v>9605</v>
      </c>
      <c r="S2831" s="84">
        <v>3.1E-2</v>
      </c>
      <c r="T2831" s="82" t="s">
        <v>10748</v>
      </c>
      <c r="U2831" s="84"/>
      <c r="V2831" s="54"/>
    </row>
    <row r="2832" spans="1:22" s="11" customFormat="1" ht="45" customHeight="1" x14ac:dyDescent="0.2">
      <c r="A2832" s="66" t="s">
        <v>1963</v>
      </c>
      <c r="B2832" s="66" t="s">
        <v>1155</v>
      </c>
      <c r="C2832" s="66" t="s">
        <v>9605</v>
      </c>
      <c r="D2832" s="66">
        <v>6976525009467</v>
      </c>
      <c r="E2832" s="68" t="s">
        <v>10749</v>
      </c>
      <c r="F2832" s="66" t="s">
        <v>10750</v>
      </c>
      <c r="G2832" s="71">
        <v>3771</v>
      </c>
      <c r="H2832" s="73"/>
      <c r="I2832" s="75">
        <v>0.2</v>
      </c>
      <c r="J2832" s="77"/>
      <c r="K2832" s="66"/>
      <c r="L2832" s="66"/>
      <c r="M2832" s="79" t="str">
        <f>HYPERLINK("http://www.pristavka.com/catalog/Genshin Impact/GEN1032/")</f>
        <v>http://www.pristavka.com/catalog/Genshin Impact/GEN1032/</v>
      </c>
      <c r="N2832" s="71">
        <v>6299</v>
      </c>
      <c r="O2832" s="66" t="s">
        <v>27</v>
      </c>
      <c r="P2832" s="82" t="s">
        <v>10751</v>
      </c>
      <c r="Q2832" s="84" t="s">
        <v>1963</v>
      </c>
      <c r="R2832" s="84" t="s">
        <v>9605</v>
      </c>
      <c r="S2832" s="84">
        <v>0.03</v>
      </c>
      <c r="T2832" s="82" t="s">
        <v>10752</v>
      </c>
      <c r="U2832" s="84"/>
      <c r="V2832" s="54"/>
    </row>
    <row r="2833" spans="1:22" s="11" customFormat="1" ht="45" customHeight="1" x14ac:dyDescent="0.2">
      <c r="A2833" s="66" t="s">
        <v>1963</v>
      </c>
      <c r="B2833" s="66" t="s">
        <v>1155</v>
      </c>
      <c r="C2833" s="66" t="s">
        <v>9605</v>
      </c>
      <c r="D2833" s="66">
        <v>6976525004813</v>
      </c>
      <c r="E2833" s="68" t="s">
        <v>10753</v>
      </c>
      <c r="F2833" s="66" t="s">
        <v>10754</v>
      </c>
      <c r="G2833" s="71">
        <v>5990</v>
      </c>
      <c r="H2833" s="73"/>
      <c r="I2833" s="75">
        <v>0.2</v>
      </c>
      <c r="J2833" s="77"/>
      <c r="K2833" s="66"/>
      <c r="L2833" s="66"/>
      <c r="M2833" s="79" t="str">
        <f>HYPERLINK("http://www.pristavka.com/catalog/Genshin Impact/GEN1027/")</f>
        <v>http://www.pristavka.com/catalog/Genshin Impact/GEN1027/</v>
      </c>
      <c r="N2833" s="71">
        <v>9999</v>
      </c>
      <c r="O2833" s="66" t="s">
        <v>27</v>
      </c>
      <c r="P2833" s="82" t="s">
        <v>10755</v>
      </c>
      <c r="Q2833" s="84" t="s">
        <v>1963</v>
      </c>
      <c r="R2833" s="84" t="s">
        <v>9605</v>
      </c>
      <c r="S2833" s="84">
        <v>7.0000000000000007E-2</v>
      </c>
      <c r="T2833" s="82" t="s">
        <v>10756</v>
      </c>
      <c r="U2833" s="84"/>
      <c r="V2833" s="54"/>
    </row>
    <row r="2834" spans="1:22" s="11" customFormat="1" ht="45" customHeight="1" x14ac:dyDescent="0.2">
      <c r="A2834" s="66" t="s">
        <v>1963</v>
      </c>
      <c r="B2834" s="66" t="s">
        <v>1155</v>
      </c>
      <c r="C2834" s="66" t="s">
        <v>9605</v>
      </c>
      <c r="D2834" s="66">
        <v>6976525004820</v>
      </c>
      <c r="E2834" s="68" t="s">
        <v>10757</v>
      </c>
      <c r="F2834" s="66" t="s">
        <v>10758</v>
      </c>
      <c r="G2834" s="71">
        <v>5990</v>
      </c>
      <c r="H2834" s="73"/>
      <c r="I2834" s="75">
        <v>0.2</v>
      </c>
      <c r="J2834" s="77"/>
      <c r="K2834" s="66"/>
      <c r="L2834" s="66"/>
      <c r="M2834" s="79" t="str">
        <f>HYPERLINK("http://www.pristavka.com/catalog/Genshin Impact/GEN1028/")</f>
        <v>http://www.pristavka.com/catalog/Genshin Impact/GEN1028/</v>
      </c>
      <c r="N2834" s="71">
        <v>9999</v>
      </c>
      <c r="O2834" s="66" t="s">
        <v>27</v>
      </c>
      <c r="P2834" s="82" t="s">
        <v>10759</v>
      </c>
      <c r="Q2834" s="84" t="s">
        <v>1963</v>
      </c>
      <c r="R2834" s="84" t="s">
        <v>9605</v>
      </c>
      <c r="S2834" s="84">
        <v>6.5000000000000002E-2</v>
      </c>
      <c r="T2834" s="82" t="s">
        <v>10756</v>
      </c>
      <c r="U2834" s="84"/>
      <c r="V2834" s="54"/>
    </row>
    <row r="2835" spans="1:22" s="11" customFormat="1" ht="45" customHeight="1" x14ac:dyDescent="0.2">
      <c r="A2835" s="66" t="s">
        <v>1963</v>
      </c>
      <c r="B2835" s="66" t="s">
        <v>1155</v>
      </c>
      <c r="C2835" s="66" t="s">
        <v>9605</v>
      </c>
      <c r="D2835" s="66">
        <v>6976525004868</v>
      </c>
      <c r="E2835" s="68" t="s">
        <v>10760</v>
      </c>
      <c r="F2835" s="66" t="s">
        <v>10761</v>
      </c>
      <c r="G2835" s="71">
        <v>5990</v>
      </c>
      <c r="H2835" s="73"/>
      <c r="I2835" s="75">
        <v>0.2</v>
      </c>
      <c r="J2835" s="77"/>
      <c r="K2835" s="66"/>
      <c r="L2835" s="66"/>
      <c r="M2835" s="79" t="str">
        <f>HYPERLINK("http://www.pristavka.com/catalog/Genshin Impact/GEN1023/")</f>
        <v>http://www.pristavka.com/catalog/Genshin Impact/GEN1023/</v>
      </c>
      <c r="N2835" s="71">
        <v>9999</v>
      </c>
      <c r="O2835" s="66" t="s">
        <v>27</v>
      </c>
      <c r="P2835" s="82" t="s">
        <v>10762</v>
      </c>
      <c r="Q2835" s="84" t="s">
        <v>1963</v>
      </c>
      <c r="R2835" s="84" t="s">
        <v>9605</v>
      </c>
      <c r="S2835" s="84">
        <v>5.5E-2</v>
      </c>
      <c r="T2835" s="82" t="s">
        <v>10756</v>
      </c>
      <c r="U2835" s="84"/>
      <c r="V2835" s="54"/>
    </row>
    <row r="2836" spans="1:22" s="11" customFormat="1" ht="45" customHeight="1" x14ac:dyDescent="0.2">
      <c r="A2836" s="66" t="s">
        <v>1963</v>
      </c>
      <c r="B2836" s="66" t="s">
        <v>1155</v>
      </c>
      <c r="C2836" s="66" t="s">
        <v>9605</v>
      </c>
      <c r="D2836" s="66">
        <v>6976525004875</v>
      </c>
      <c r="E2836" s="68" t="s">
        <v>10763</v>
      </c>
      <c r="F2836" s="66" t="s">
        <v>10764</v>
      </c>
      <c r="G2836" s="71">
        <v>5990</v>
      </c>
      <c r="H2836" s="73"/>
      <c r="I2836" s="75">
        <v>0.2</v>
      </c>
      <c r="J2836" s="77"/>
      <c r="K2836" s="66"/>
      <c r="L2836" s="66"/>
      <c r="M2836" s="79" t="str">
        <f>HYPERLINK("http://www.pristavka.com/catalog/Genshin Impact/GEN1024/")</f>
        <v>http://www.pristavka.com/catalog/Genshin Impact/GEN1024/</v>
      </c>
      <c r="N2836" s="71">
        <v>9999</v>
      </c>
      <c r="O2836" s="66" t="s">
        <v>27</v>
      </c>
      <c r="P2836" s="82" t="s">
        <v>10765</v>
      </c>
      <c r="Q2836" s="84" t="s">
        <v>1963</v>
      </c>
      <c r="R2836" s="84" t="s">
        <v>9605</v>
      </c>
      <c r="S2836" s="84">
        <v>5.3999999999999999E-2</v>
      </c>
      <c r="T2836" s="82" t="s">
        <v>10766</v>
      </c>
      <c r="U2836" s="84"/>
      <c r="V2836" s="54"/>
    </row>
    <row r="2837" spans="1:22" s="11" customFormat="1" ht="45" customHeight="1" x14ac:dyDescent="0.2">
      <c r="A2837" s="66" t="s">
        <v>1963</v>
      </c>
      <c r="B2837" s="66" t="s">
        <v>1155</v>
      </c>
      <c r="C2837" s="66" t="s">
        <v>9605</v>
      </c>
      <c r="D2837" s="66">
        <v>6976525004851</v>
      </c>
      <c r="E2837" s="68" t="s">
        <v>10767</v>
      </c>
      <c r="F2837" s="66" t="s">
        <v>10768</v>
      </c>
      <c r="G2837" s="71">
        <v>5990</v>
      </c>
      <c r="H2837" s="73"/>
      <c r="I2837" s="75">
        <v>0.2</v>
      </c>
      <c r="J2837" s="77"/>
      <c r="K2837" s="66"/>
      <c r="L2837" s="66"/>
      <c r="M2837" s="79" t="str">
        <f>HYPERLINK("http://www.pristavka.com/catalog/Genshin Impact/GEN1022/")</f>
        <v>http://www.pristavka.com/catalog/Genshin Impact/GEN1022/</v>
      </c>
      <c r="N2837" s="71">
        <v>9999</v>
      </c>
      <c r="O2837" s="66" t="s">
        <v>27</v>
      </c>
      <c r="P2837" s="82" t="s">
        <v>10769</v>
      </c>
      <c r="Q2837" s="84" t="s">
        <v>1963</v>
      </c>
      <c r="R2837" s="84" t="s">
        <v>9605</v>
      </c>
      <c r="S2837" s="84">
        <v>5.1999999999999998E-2</v>
      </c>
      <c r="T2837" s="82" t="s">
        <v>10770</v>
      </c>
      <c r="U2837" s="84"/>
      <c r="V2837" s="54"/>
    </row>
    <row r="2838" spans="1:22" s="11" customFormat="1" ht="45" customHeight="1" x14ac:dyDescent="0.2">
      <c r="A2838" s="66" t="s">
        <v>1963</v>
      </c>
      <c r="B2838" s="66" t="s">
        <v>1155</v>
      </c>
      <c r="C2838" s="66" t="s">
        <v>9605</v>
      </c>
      <c r="D2838" s="66">
        <v>6942421101420</v>
      </c>
      <c r="E2838" s="68" t="s">
        <v>10771</v>
      </c>
      <c r="F2838" s="66" t="s">
        <v>10772</v>
      </c>
      <c r="G2838" s="71">
        <v>6307</v>
      </c>
      <c r="H2838" s="73"/>
      <c r="I2838" s="75">
        <v>0.2</v>
      </c>
      <c r="J2838" s="77"/>
      <c r="K2838" s="66"/>
      <c r="L2838" s="66"/>
      <c r="M2838" s="79" t="str">
        <f>HYPERLINK("http://www.pristavka.com/catalog/Genshin Impact/GEN1039/")</f>
        <v>http://www.pristavka.com/catalog/Genshin Impact/GEN1039/</v>
      </c>
      <c r="N2838" s="71">
        <v>10599</v>
      </c>
      <c r="O2838" s="66" t="s">
        <v>27</v>
      </c>
      <c r="P2838" s="82" t="s">
        <v>10773</v>
      </c>
      <c r="Q2838" s="84" t="s">
        <v>1963</v>
      </c>
      <c r="R2838" s="84" t="s">
        <v>9605</v>
      </c>
      <c r="S2838" s="84">
        <v>4.2000000000000003E-2</v>
      </c>
      <c r="T2838" s="82" t="s">
        <v>10774</v>
      </c>
      <c r="U2838" s="84"/>
      <c r="V2838" s="54"/>
    </row>
    <row r="2839" spans="1:22" s="11" customFormat="1" ht="45" customHeight="1" x14ac:dyDescent="0.2">
      <c r="A2839" s="66" t="s">
        <v>1963</v>
      </c>
      <c r="B2839" s="66" t="s">
        <v>1155</v>
      </c>
      <c r="C2839" s="66" t="s">
        <v>9605</v>
      </c>
      <c r="D2839" s="66">
        <v>6942421101413</v>
      </c>
      <c r="E2839" s="68" t="s">
        <v>10775</v>
      </c>
      <c r="F2839" s="66" t="s">
        <v>10776</v>
      </c>
      <c r="G2839" s="71">
        <v>6307</v>
      </c>
      <c r="H2839" s="73"/>
      <c r="I2839" s="75">
        <v>0.2</v>
      </c>
      <c r="J2839" s="77"/>
      <c r="K2839" s="66"/>
      <c r="L2839" s="66"/>
      <c r="M2839" s="79" t="str">
        <f>HYPERLINK("http://www.pristavka.com/catalog/Genshin Impact/GEN1036/")</f>
        <v>http://www.pristavka.com/catalog/Genshin Impact/GEN1036/</v>
      </c>
      <c r="N2839" s="71">
        <v>10599</v>
      </c>
      <c r="O2839" s="66" t="s">
        <v>27</v>
      </c>
      <c r="P2839" s="82" t="s">
        <v>10777</v>
      </c>
      <c r="Q2839" s="84" t="s">
        <v>1963</v>
      </c>
      <c r="R2839" s="84" t="s">
        <v>9605</v>
      </c>
      <c r="S2839" s="84">
        <v>3.5999999999999997E-2</v>
      </c>
      <c r="T2839" s="82" t="s">
        <v>10774</v>
      </c>
      <c r="U2839" s="84"/>
      <c r="V2839" s="54"/>
    </row>
    <row r="2840" spans="1:22" s="11" customFormat="1" ht="45" customHeight="1" x14ac:dyDescent="0.2">
      <c r="A2840" s="66" t="s">
        <v>1963</v>
      </c>
      <c r="B2840" s="66" t="s">
        <v>1155</v>
      </c>
      <c r="C2840" s="66" t="s">
        <v>9605</v>
      </c>
      <c r="D2840" s="66">
        <v>6942421101406</v>
      </c>
      <c r="E2840" s="68" t="s">
        <v>10778</v>
      </c>
      <c r="F2840" s="66" t="s">
        <v>10779</v>
      </c>
      <c r="G2840" s="71">
        <v>6307</v>
      </c>
      <c r="H2840" s="73"/>
      <c r="I2840" s="75">
        <v>0.2</v>
      </c>
      <c r="J2840" s="77"/>
      <c r="K2840" s="66"/>
      <c r="L2840" s="66"/>
      <c r="M2840" s="79" t="str">
        <f>HYPERLINK("http://www.pristavka.com/catalog/Genshin Impact/GEN1040/")</f>
        <v>http://www.pristavka.com/catalog/Genshin Impact/GEN1040/</v>
      </c>
      <c r="N2840" s="71">
        <v>10599</v>
      </c>
      <c r="O2840" s="66" t="s">
        <v>27</v>
      </c>
      <c r="P2840" s="82" t="s">
        <v>10780</v>
      </c>
      <c r="Q2840" s="84" t="s">
        <v>1963</v>
      </c>
      <c r="R2840" s="84" t="s">
        <v>9605</v>
      </c>
      <c r="S2840" s="84">
        <v>3.7999999999999999E-2</v>
      </c>
      <c r="T2840" s="82" t="s">
        <v>10774</v>
      </c>
      <c r="U2840" s="84"/>
      <c r="V2840" s="54"/>
    </row>
    <row r="2841" spans="1:22" s="11" customFormat="1" ht="45" customHeight="1" x14ac:dyDescent="0.2">
      <c r="A2841" s="66" t="s">
        <v>1963</v>
      </c>
      <c r="B2841" s="66" t="s">
        <v>1155</v>
      </c>
      <c r="C2841" s="66" t="s">
        <v>9605</v>
      </c>
      <c r="D2841" s="66">
        <v>6976525004776</v>
      </c>
      <c r="E2841" s="68" t="s">
        <v>10781</v>
      </c>
      <c r="F2841" s="66" t="s">
        <v>10782</v>
      </c>
      <c r="G2841" s="71">
        <v>7258</v>
      </c>
      <c r="H2841" s="73"/>
      <c r="I2841" s="75">
        <v>0.2</v>
      </c>
      <c r="J2841" s="77"/>
      <c r="K2841" s="66"/>
      <c r="L2841" s="66"/>
      <c r="M2841" s="79" t="str">
        <f>HYPERLINK("http://www.pristavka.com/catalog/Genshin Impact/GEN1030/")</f>
        <v>http://www.pristavka.com/catalog/Genshin Impact/GEN1030/</v>
      </c>
      <c r="N2841" s="71">
        <v>12099</v>
      </c>
      <c r="O2841" s="66" t="s">
        <v>27</v>
      </c>
      <c r="P2841" s="82" t="s">
        <v>10783</v>
      </c>
      <c r="Q2841" s="84" t="s">
        <v>1963</v>
      </c>
      <c r="R2841" s="84" t="s">
        <v>9605</v>
      </c>
      <c r="S2841" s="84">
        <v>0.106</v>
      </c>
      <c r="T2841" s="82" t="s">
        <v>10784</v>
      </c>
      <c r="U2841" s="84"/>
      <c r="V2841" s="54"/>
    </row>
    <row r="2842" spans="1:22" s="11" customFormat="1" ht="45" customHeight="1" x14ac:dyDescent="0.2">
      <c r="A2842" s="66" t="s">
        <v>1963</v>
      </c>
      <c r="B2842" s="66" t="s">
        <v>1155</v>
      </c>
      <c r="C2842" s="66" t="s">
        <v>9605</v>
      </c>
      <c r="D2842" s="66">
        <v>6942421101437</v>
      </c>
      <c r="E2842" s="68" t="s">
        <v>10785</v>
      </c>
      <c r="F2842" s="66" t="s">
        <v>10786</v>
      </c>
      <c r="G2842" s="71">
        <v>6307</v>
      </c>
      <c r="H2842" s="73"/>
      <c r="I2842" s="75">
        <v>0.2</v>
      </c>
      <c r="J2842" s="77"/>
      <c r="K2842" s="66"/>
      <c r="L2842" s="66"/>
      <c r="M2842" s="79" t="str">
        <f>HYPERLINK("http://www.pristavka.com/catalog/Genshin Impact/GEN1037/")</f>
        <v>http://www.pristavka.com/catalog/Genshin Impact/GEN1037/</v>
      </c>
      <c r="N2842" s="71">
        <v>10599</v>
      </c>
      <c r="O2842" s="66" t="s">
        <v>27</v>
      </c>
      <c r="P2842" s="82" t="s">
        <v>10787</v>
      </c>
      <c r="Q2842" s="84" t="s">
        <v>1963</v>
      </c>
      <c r="R2842" s="84" t="s">
        <v>9605</v>
      </c>
      <c r="S2842" s="84">
        <v>3.7999999999999999E-2</v>
      </c>
      <c r="T2842" s="82" t="s">
        <v>10191</v>
      </c>
      <c r="U2842" s="84"/>
      <c r="V2842" s="54"/>
    </row>
    <row r="2843" spans="1:22" s="11" customFormat="1" ht="45" customHeight="1" x14ac:dyDescent="0.2">
      <c r="A2843" s="66" t="s">
        <v>1963</v>
      </c>
      <c r="B2843" s="66" t="s">
        <v>1155</v>
      </c>
      <c r="C2843" s="66" t="s">
        <v>9605</v>
      </c>
      <c r="D2843" s="66">
        <v>6942421101444</v>
      </c>
      <c r="E2843" s="68" t="s">
        <v>10788</v>
      </c>
      <c r="F2843" s="66" t="s">
        <v>10789</v>
      </c>
      <c r="G2843" s="71">
        <v>6307</v>
      </c>
      <c r="H2843" s="73"/>
      <c r="I2843" s="75">
        <v>0.2</v>
      </c>
      <c r="J2843" s="77"/>
      <c r="K2843" s="66"/>
      <c r="L2843" s="66"/>
      <c r="M2843" s="79" t="str">
        <f>HYPERLINK("http://www.pristavka.com/catalog/Genshin Impact/GEN1038/")</f>
        <v>http://www.pristavka.com/catalog/Genshin Impact/GEN1038/</v>
      </c>
      <c r="N2843" s="71">
        <v>10599</v>
      </c>
      <c r="O2843" s="66" t="s">
        <v>27</v>
      </c>
      <c r="P2843" s="82" t="s">
        <v>10790</v>
      </c>
      <c r="Q2843" s="84" t="s">
        <v>1963</v>
      </c>
      <c r="R2843" s="84" t="s">
        <v>9605</v>
      </c>
      <c r="S2843" s="84">
        <v>3.5000000000000003E-2</v>
      </c>
      <c r="T2843" s="82" t="s">
        <v>10187</v>
      </c>
      <c r="U2843" s="84"/>
      <c r="V2843" s="54"/>
    </row>
    <row r="2844" spans="1:22" s="11" customFormat="1" ht="45" customHeight="1" x14ac:dyDescent="0.2">
      <c r="A2844" s="66" t="s">
        <v>1963</v>
      </c>
      <c r="B2844" s="66" t="s">
        <v>1155</v>
      </c>
      <c r="C2844" s="66" t="s">
        <v>9605</v>
      </c>
      <c r="D2844" s="66">
        <v>6976525004783</v>
      </c>
      <c r="E2844" s="68" t="s">
        <v>10791</v>
      </c>
      <c r="F2844" s="66" t="s">
        <v>10792</v>
      </c>
      <c r="G2844" s="71">
        <v>6941</v>
      </c>
      <c r="H2844" s="73"/>
      <c r="I2844" s="75">
        <v>0.2</v>
      </c>
      <c r="J2844" s="77"/>
      <c r="K2844" s="66"/>
      <c r="L2844" s="66"/>
      <c r="M2844" s="79" t="str">
        <f>HYPERLINK("http://www.pristavka.com/catalog/Genshin Impact/GEN1035/")</f>
        <v>http://www.pristavka.com/catalog/Genshin Impact/GEN1035/</v>
      </c>
      <c r="N2844" s="71">
        <v>11599</v>
      </c>
      <c r="O2844" s="66" t="s">
        <v>27</v>
      </c>
      <c r="P2844" s="82" t="s">
        <v>10793</v>
      </c>
      <c r="Q2844" s="84" t="s">
        <v>1963</v>
      </c>
      <c r="R2844" s="84" t="s">
        <v>9605</v>
      </c>
      <c r="S2844" s="84">
        <v>9.5000000000000001E-2</v>
      </c>
      <c r="T2844" s="82" t="s">
        <v>10756</v>
      </c>
      <c r="U2844" s="84"/>
      <c r="V2844" s="54"/>
    </row>
    <row r="2845" spans="1:22" s="11" customFormat="1" ht="45" customHeight="1" x14ac:dyDescent="0.2">
      <c r="A2845" s="66" t="s">
        <v>1963</v>
      </c>
      <c r="B2845" s="66" t="s">
        <v>1155</v>
      </c>
      <c r="C2845" s="66" t="s">
        <v>9605</v>
      </c>
      <c r="D2845" s="66">
        <v>6942421141860</v>
      </c>
      <c r="E2845" s="68" t="s">
        <v>10794</v>
      </c>
      <c r="F2845" s="66" t="s">
        <v>10795</v>
      </c>
      <c r="G2845" s="71">
        <v>5356</v>
      </c>
      <c r="H2845" s="73"/>
      <c r="I2845" s="75">
        <v>0.2</v>
      </c>
      <c r="J2845" s="77"/>
      <c r="K2845" s="66"/>
      <c r="L2845" s="66"/>
      <c r="M2845" s="79" t="str">
        <f>HYPERLINK("http://www.pristavka.com/catalog/Genshin Impact/GEN1425/")</f>
        <v>http://www.pristavka.com/catalog/Genshin Impact/GEN1425/</v>
      </c>
      <c r="N2845" s="71">
        <v>8999</v>
      </c>
      <c r="O2845" s="66" t="s">
        <v>27</v>
      </c>
      <c r="P2845" s="82" t="s">
        <v>10796</v>
      </c>
      <c r="Q2845" s="84" t="s">
        <v>1963</v>
      </c>
      <c r="R2845" s="84" t="s">
        <v>9605</v>
      </c>
      <c r="S2845" s="84">
        <v>0.125</v>
      </c>
      <c r="T2845" s="82" t="s">
        <v>10797</v>
      </c>
      <c r="U2845" s="84"/>
      <c r="V2845" s="54"/>
    </row>
    <row r="2846" spans="1:22" s="11" customFormat="1" ht="45" customHeight="1" x14ac:dyDescent="0.2">
      <c r="A2846" s="66" t="s">
        <v>1963</v>
      </c>
      <c r="B2846" s="66" t="s">
        <v>1155</v>
      </c>
      <c r="C2846" s="66" t="s">
        <v>9605</v>
      </c>
      <c r="D2846" s="66">
        <v>6942421138563</v>
      </c>
      <c r="E2846" s="68" t="s">
        <v>10798</v>
      </c>
      <c r="F2846" s="66" t="s">
        <v>10799</v>
      </c>
      <c r="G2846" s="71">
        <v>7892</v>
      </c>
      <c r="H2846" s="73"/>
      <c r="I2846" s="75">
        <v>0.2</v>
      </c>
      <c r="J2846" s="77"/>
      <c r="K2846" s="66"/>
      <c r="L2846" s="66"/>
      <c r="M2846" s="79" t="str">
        <f>HYPERLINK("http://www.pristavka.com/catalog/Genshin Impact/GEN1432/")</f>
        <v>http://www.pristavka.com/catalog/Genshin Impact/GEN1432/</v>
      </c>
      <c r="N2846" s="71">
        <v>13199</v>
      </c>
      <c r="O2846" s="66" t="s">
        <v>27</v>
      </c>
      <c r="P2846" s="82" t="s">
        <v>10800</v>
      </c>
      <c r="Q2846" s="84" t="s">
        <v>1963</v>
      </c>
      <c r="R2846" s="84" t="s">
        <v>9605</v>
      </c>
      <c r="S2846" s="84">
        <v>0.109</v>
      </c>
      <c r="T2846" s="82" t="s">
        <v>10801</v>
      </c>
      <c r="U2846" s="84"/>
      <c r="V2846" s="54"/>
    </row>
    <row r="2847" spans="1:22" s="11" customFormat="1" ht="45" customHeight="1" x14ac:dyDescent="0.2">
      <c r="A2847" s="66" t="s">
        <v>1963</v>
      </c>
      <c r="B2847" s="66" t="s">
        <v>1155</v>
      </c>
      <c r="C2847" s="66" t="s">
        <v>9605</v>
      </c>
      <c r="D2847" s="66">
        <v>6942421138556</v>
      </c>
      <c r="E2847" s="68" t="s">
        <v>10802</v>
      </c>
      <c r="F2847" s="66" t="s">
        <v>10803</v>
      </c>
      <c r="G2847" s="71">
        <v>7892</v>
      </c>
      <c r="H2847" s="73"/>
      <c r="I2847" s="75">
        <v>0.2</v>
      </c>
      <c r="J2847" s="77"/>
      <c r="K2847" s="66"/>
      <c r="L2847" s="66"/>
      <c r="M2847" s="79" t="str">
        <f>HYPERLINK("http://www.pristavka.com/catalog/Genshin Impact/GEN1431/")</f>
        <v>http://www.pristavka.com/catalog/Genshin Impact/GEN1431/</v>
      </c>
      <c r="N2847" s="71">
        <v>13199</v>
      </c>
      <c r="O2847" s="66" t="s">
        <v>28</v>
      </c>
      <c r="P2847" s="82" t="s">
        <v>10804</v>
      </c>
      <c r="Q2847" s="84" t="s">
        <v>1963</v>
      </c>
      <c r="R2847" s="84" t="s">
        <v>9605</v>
      </c>
      <c r="S2847" s="84">
        <v>0.11600000000000001</v>
      </c>
      <c r="T2847" s="82" t="s">
        <v>10805</v>
      </c>
      <c r="U2847" s="84"/>
      <c r="V2847" s="54"/>
    </row>
    <row r="2848" spans="1:22" s="11" customFormat="1" ht="45" customHeight="1" x14ac:dyDescent="0.2">
      <c r="A2848" s="66" t="s">
        <v>1963</v>
      </c>
      <c r="B2848" s="66" t="s">
        <v>1155</v>
      </c>
      <c r="C2848" s="66" t="s">
        <v>9605</v>
      </c>
      <c r="D2848" s="66">
        <v>6942421138570</v>
      </c>
      <c r="E2848" s="68" t="s">
        <v>10806</v>
      </c>
      <c r="F2848" s="66" t="s">
        <v>10807</v>
      </c>
      <c r="G2848" s="71">
        <v>7892</v>
      </c>
      <c r="H2848" s="73"/>
      <c r="I2848" s="75">
        <v>0.2</v>
      </c>
      <c r="J2848" s="77"/>
      <c r="K2848" s="66"/>
      <c r="L2848" s="66"/>
      <c r="M2848" s="79" t="str">
        <f>HYPERLINK("http://www.pristavka.com/catalog/Genshin Impact/GEN1433/")</f>
        <v>http://www.pristavka.com/catalog/Genshin Impact/GEN1433/</v>
      </c>
      <c r="N2848" s="71">
        <v>13199</v>
      </c>
      <c r="O2848" s="66" t="s">
        <v>27</v>
      </c>
      <c r="P2848" s="82" t="s">
        <v>10808</v>
      </c>
      <c r="Q2848" s="84" t="s">
        <v>1963</v>
      </c>
      <c r="R2848" s="84" t="s">
        <v>9605</v>
      </c>
      <c r="S2848" s="84">
        <v>0.11799999999999999</v>
      </c>
      <c r="T2848" s="82" t="s">
        <v>10805</v>
      </c>
      <c r="U2848" s="84"/>
      <c r="V2848" s="54"/>
    </row>
    <row r="2849" spans="1:22" s="11" customFormat="1" ht="45" customHeight="1" x14ac:dyDescent="0.2">
      <c r="A2849" s="66" t="s">
        <v>1963</v>
      </c>
      <c r="B2849" s="66" t="s">
        <v>1155</v>
      </c>
      <c r="C2849" s="66" t="s">
        <v>9605</v>
      </c>
      <c r="D2849" s="66">
        <v>6942421148692</v>
      </c>
      <c r="E2849" s="68" t="s">
        <v>10809</v>
      </c>
      <c r="F2849" s="66" t="s">
        <v>10810</v>
      </c>
      <c r="G2849" s="71">
        <v>6941</v>
      </c>
      <c r="H2849" s="73"/>
      <c r="I2849" s="75">
        <v>0.2</v>
      </c>
      <c r="J2849" s="77"/>
      <c r="K2849" s="66"/>
      <c r="L2849" s="66"/>
      <c r="M2849" s="79" t="str">
        <f>HYPERLINK("http://www.pristavka.com/catalog/Genshin Impact/GEN1406/")</f>
        <v>http://www.pristavka.com/catalog/Genshin Impact/GEN1406/</v>
      </c>
      <c r="N2849" s="71">
        <v>11599</v>
      </c>
      <c r="O2849" s="66" t="s">
        <v>27</v>
      </c>
      <c r="P2849" s="82" t="s">
        <v>10811</v>
      </c>
      <c r="Q2849" s="84" t="s">
        <v>1963</v>
      </c>
      <c r="R2849" s="84" t="s">
        <v>9605</v>
      </c>
      <c r="S2849" s="84">
        <v>4.4999999999999998E-2</v>
      </c>
      <c r="T2849" s="82" t="s">
        <v>10812</v>
      </c>
      <c r="U2849" s="84"/>
      <c r="V2849" s="54"/>
    </row>
    <row r="2850" spans="1:22" s="11" customFormat="1" ht="45" customHeight="1" x14ac:dyDescent="0.2">
      <c r="A2850" s="66" t="s">
        <v>1963</v>
      </c>
      <c r="B2850" s="66" t="s">
        <v>1155</v>
      </c>
      <c r="C2850" s="66" t="s">
        <v>9605</v>
      </c>
      <c r="D2850" s="66">
        <v>6942421148678</v>
      </c>
      <c r="E2850" s="68" t="s">
        <v>10813</v>
      </c>
      <c r="F2850" s="66" t="s">
        <v>10814</v>
      </c>
      <c r="G2850" s="71">
        <v>6941</v>
      </c>
      <c r="H2850" s="73"/>
      <c r="I2850" s="75">
        <v>0.2</v>
      </c>
      <c r="J2850" s="77"/>
      <c r="K2850" s="66"/>
      <c r="L2850" s="66"/>
      <c r="M2850" s="79" t="str">
        <f>HYPERLINK("http://www.pristavka.com/catalog/Genshin Impact/GEN1404/")</f>
        <v>http://www.pristavka.com/catalog/Genshin Impact/GEN1404/</v>
      </c>
      <c r="N2850" s="71">
        <v>11599</v>
      </c>
      <c r="O2850" s="66" t="s">
        <v>27</v>
      </c>
      <c r="P2850" s="82" t="s">
        <v>10815</v>
      </c>
      <c r="Q2850" s="84" t="s">
        <v>1963</v>
      </c>
      <c r="R2850" s="84" t="s">
        <v>9605</v>
      </c>
      <c r="S2850" s="84">
        <v>5.3999999999999999E-2</v>
      </c>
      <c r="T2850" s="82" t="s">
        <v>453</v>
      </c>
      <c r="U2850" s="84"/>
      <c r="V2850" s="54"/>
    </row>
    <row r="2851" spans="1:22" s="11" customFormat="1" ht="45" customHeight="1" x14ac:dyDescent="0.2">
      <c r="A2851" s="66" t="s">
        <v>1963</v>
      </c>
      <c r="B2851" s="66" t="s">
        <v>1155</v>
      </c>
      <c r="C2851" s="66" t="s">
        <v>9605</v>
      </c>
      <c r="D2851" s="66">
        <v>6976068144380</v>
      </c>
      <c r="E2851" s="68" t="s">
        <v>10816</v>
      </c>
      <c r="F2851" s="66" t="s">
        <v>10817</v>
      </c>
      <c r="G2851" s="71">
        <v>8842</v>
      </c>
      <c r="H2851" s="73"/>
      <c r="I2851" s="75">
        <v>0.2</v>
      </c>
      <c r="J2851" s="77"/>
      <c r="K2851" s="66"/>
      <c r="L2851" s="66"/>
      <c r="M2851" s="79" t="str">
        <f>HYPERLINK("http://www.pristavka.com/catalog/Genshin Impact/GEN953/")</f>
        <v>http://www.pristavka.com/catalog/Genshin Impact/GEN953/</v>
      </c>
      <c r="N2851" s="71">
        <v>14799</v>
      </c>
      <c r="O2851" s="66" t="s">
        <v>27</v>
      </c>
      <c r="P2851" s="82" t="s">
        <v>10818</v>
      </c>
      <c r="Q2851" s="84" t="s">
        <v>1963</v>
      </c>
      <c r="R2851" s="84" t="s">
        <v>9605</v>
      </c>
      <c r="S2851" s="84">
        <v>0.156</v>
      </c>
      <c r="T2851" s="82" t="s">
        <v>10819</v>
      </c>
      <c r="U2851" s="84"/>
      <c r="V2851" s="54"/>
    </row>
    <row r="2852" spans="1:22" s="11" customFormat="1" ht="45" customHeight="1" x14ac:dyDescent="0.2">
      <c r="A2852" s="66" t="s">
        <v>1963</v>
      </c>
      <c r="B2852" s="66" t="s">
        <v>1155</v>
      </c>
      <c r="C2852" s="66" t="s">
        <v>9605</v>
      </c>
      <c r="D2852" s="66">
        <v>6976525009382</v>
      </c>
      <c r="E2852" s="68" t="s">
        <v>10820</v>
      </c>
      <c r="F2852" s="66" t="s">
        <v>10821</v>
      </c>
      <c r="G2852" s="71">
        <v>25323</v>
      </c>
      <c r="H2852" s="73"/>
      <c r="I2852" s="75">
        <v>0.2</v>
      </c>
      <c r="J2852" s="77"/>
      <c r="K2852" s="66"/>
      <c r="L2852" s="66"/>
      <c r="M2852" s="79" t="str">
        <f>HYPERLINK("http://www.pristavka.com/catalog/Genshin Impact/GEN1175/")</f>
        <v>http://www.pristavka.com/catalog/Genshin Impact/GEN1175/</v>
      </c>
      <c r="N2852" s="71">
        <v>42299</v>
      </c>
      <c r="O2852" s="66" t="s">
        <v>27</v>
      </c>
      <c r="P2852" s="82" t="s">
        <v>10822</v>
      </c>
      <c r="Q2852" s="84" t="s">
        <v>1963</v>
      </c>
      <c r="R2852" s="84" t="s">
        <v>9605</v>
      </c>
      <c r="S2852" s="84">
        <v>8.4000000000000005E-2</v>
      </c>
      <c r="T2852" s="82" t="s">
        <v>10823</v>
      </c>
      <c r="U2852" s="84"/>
      <c r="V2852" s="54"/>
    </row>
    <row r="2853" spans="1:22" s="11" customFormat="1" ht="45" customHeight="1" x14ac:dyDescent="0.2">
      <c r="A2853" s="66" t="s">
        <v>1963</v>
      </c>
      <c r="B2853" s="66" t="s">
        <v>1155</v>
      </c>
      <c r="C2853" s="66" t="s">
        <v>9605</v>
      </c>
      <c r="D2853" s="66">
        <v>6976525002338</v>
      </c>
      <c r="E2853" s="68" t="s">
        <v>10824</v>
      </c>
      <c r="F2853" s="66" t="s">
        <v>10825</v>
      </c>
      <c r="G2853" s="71">
        <v>14230</v>
      </c>
      <c r="H2853" s="73"/>
      <c r="I2853" s="75">
        <v>0.2</v>
      </c>
      <c r="J2853" s="77"/>
      <c r="K2853" s="66"/>
      <c r="L2853" s="66"/>
      <c r="M2853" s="79" t="str">
        <f>HYPERLINK("http://www.pristavka.com/catalog/Genshin Impact/GEN1174/")</f>
        <v>http://www.pristavka.com/catalog/Genshin Impact/GEN1174/</v>
      </c>
      <c r="N2853" s="71">
        <v>23799</v>
      </c>
      <c r="O2853" s="66" t="s">
        <v>27</v>
      </c>
      <c r="P2853" s="82" t="s">
        <v>10826</v>
      </c>
      <c r="Q2853" s="84" t="s">
        <v>1963</v>
      </c>
      <c r="R2853" s="84" t="s">
        <v>9605</v>
      </c>
      <c r="S2853" s="84">
        <v>3.9E-2</v>
      </c>
      <c r="T2853" s="82" t="s">
        <v>10827</v>
      </c>
      <c r="U2853" s="84"/>
      <c r="V2853" s="54"/>
    </row>
    <row r="2854" spans="1:22" s="11" customFormat="1" ht="45" customHeight="1" x14ac:dyDescent="0.2">
      <c r="A2854" s="66" t="s">
        <v>1963</v>
      </c>
      <c r="B2854" s="66" t="s">
        <v>1155</v>
      </c>
      <c r="C2854" s="66" t="s">
        <v>9605</v>
      </c>
      <c r="D2854" s="66">
        <v>6974696610932</v>
      </c>
      <c r="E2854" s="68" t="s">
        <v>10828</v>
      </c>
      <c r="F2854" s="66" t="s">
        <v>10829</v>
      </c>
      <c r="G2854" s="71">
        <v>15815</v>
      </c>
      <c r="H2854" s="73"/>
      <c r="I2854" s="75">
        <v>0.2</v>
      </c>
      <c r="J2854" s="77"/>
      <c r="K2854" s="66"/>
      <c r="L2854" s="66"/>
      <c r="M2854" s="79" t="str">
        <f>HYPERLINK("http://www.pristavka.com/catalog/Genshin Impact/GEN26/")</f>
        <v>http://www.pristavka.com/catalog/Genshin Impact/GEN26/</v>
      </c>
      <c r="N2854" s="71">
        <v>26399</v>
      </c>
      <c r="O2854" s="66" t="s">
        <v>27</v>
      </c>
      <c r="P2854" s="82" t="s">
        <v>10830</v>
      </c>
      <c r="Q2854" s="84" t="s">
        <v>1963</v>
      </c>
      <c r="R2854" s="84" t="s">
        <v>9605</v>
      </c>
      <c r="S2854" s="84">
        <v>9.9000000000000005E-2</v>
      </c>
      <c r="T2854" s="82" t="s">
        <v>10831</v>
      </c>
      <c r="U2854" s="84" t="s">
        <v>2255</v>
      </c>
      <c r="V2854" s="54"/>
    </row>
    <row r="2855" spans="1:22" s="11" customFormat="1" ht="45" customHeight="1" x14ac:dyDescent="0.2">
      <c r="A2855" s="66" t="s">
        <v>1963</v>
      </c>
      <c r="B2855" s="66" t="s">
        <v>1155</v>
      </c>
      <c r="C2855" s="66" t="s">
        <v>9605</v>
      </c>
      <c r="D2855" s="66">
        <v>6975213681664</v>
      </c>
      <c r="E2855" s="68" t="s">
        <v>10832</v>
      </c>
      <c r="F2855" s="66" t="s">
        <v>10833</v>
      </c>
      <c r="G2855" s="71">
        <v>2910</v>
      </c>
      <c r="H2855" s="73"/>
      <c r="I2855" s="75">
        <v>0.2</v>
      </c>
      <c r="J2855" s="77"/>
      <c r="K2855" s="66"/>
      <c r="L2855" s="66"/>
      <c r="M2855" s="79" t="str">
        <f>HYPERLINK("http://www.pristavka.com/catalog/Genshin Impact/GEN838/")</f>
        <v>http://www.pristavka.com/catalog/Genshin Impact/GEN838/</v>
      </c>
      <c r="N2855" s="71">
        <v>4899</v>
      </c>
      <c r="O2855" s="66" t="s">
        <v>27</v>
      </c>
      <c r="P2855" s="82" t="s">
        <v>10834</v>
      </c>
      <c r="Q2855" s="84" t="s">
        <v>1963</v>
      </c>
      <c r="R2855" s="84" t="s">
        <v>9605</v>
      </c>
      <c r="S2855" s="84">
        <v>0.13900000000000001</v>
      </c>
      <c r="T2855" s="82" t="s">
        <v>10835</v>
      </c>
      <c r="U2855" s="84"/>
      <c r="V2855" s="54"/>
    </row>
    <row r="2856" spans="1:22" s="11" customFormat="1" ht="45" customHeight="1" x14ac:dyDescent="0.2">
      <c r="A2856" s="66" t="s">
        <v>1963</v>
      </c>
      <c r="B2856" s="66" t="s">
        <v>1155</v>
      </c>
      <c r="C2856" s="66" t="s">
        <v>9605</v>
      </c>
      <c r="D2856" s="66">
        <v>6975213681640</v>
      </c>
      <c r="E2856" s="68" t="s">
        <v>10836</v>
      </c>
      <c r="F2856" s="66" t="s">
        <v>10837</v>
      </c>
      <c r="G2856" s="71">
        <v>2910</v>
      </c>
      <c r="H2856" s="73"/>
      <c r="I2856" s="75">
        <v>0.2</v>
      </c>
      <c r="J2856" s="77"/>
      <c r="K2856" s="66"/>
      <c r="L2856" s="66"/>
      <c r="M2856" s="79" t="str">
        <f>HYPERLINK("http://www.pristavka.com/catalog/Genshin Impact/GEN836/")</f>
        <v>http://www.pristavka.com/catalog/Genshin Impact/GEN836/</v>
      </c>
      <c r="N2856" s="71">
        <v>4899</v>
      </c>
      <c r="O2856" s="66" t="s">
        <v>28</v>
      </c>
      <c r="P2856" s="82" t="s">
        <v>10838</v>
      </c>
      <c r="Q2856" s="84" t="s">
        <v>1963</v>
      </c>
      <c r="R2856" s="84" t="s">
        <v>9605</v>
      </c>
      <c r="S2856" s="84">
        <v>0.13900000000000001</v>
      </c>
      <c r="T2856" s="82" t="s">
        <v>10835</v>
      </c>
      <c r="U2856" s="84"/>
      <c r="V2856" s="54"/>
    </row>
    <row r="2857" spans="1:22" s="11" customFormat="1" ht="45" customHeight="1" x14ac:dyDescent="0.2">
      <c r="A2857" s="66" t="s">
        <v>1963</v>
      </c>
      <c r="B2857" s="66" t="s">
        <v>1155</v>
      </c>
      <c r="C2857" s="66" t="s">
        <v>9605</v>
      </c>
      <c r="D2857" s="66">
        <v>6975213680353</v>
      </c>
      <c r="E2857" s="68" t="s">
        <v>10839</v>
      </c>
      <c r="F2857" s="66" t="s">
        <v>10840</v>
      </c>
      <c r="G2857" s="71">
        <v>3455</v>
      </c>
      <c r="H2857" s="73"/>
      <c r="I2857" s="75">
        <v>0.2</v>
      </c>
      <c r="J2857" s="77"/>
      <c r="K2857" s="66"/>
      <c r="L2857" s="66"/>
      <c r="M2857" s="79" t="str">
        <f>HYPERLINK("http://www.pristavka.com/catalog/Genshin Impact/GEN819/")</f>
        <v>http://www.pristavka.com/catalog/Genshin Impact/GEN819/</v>
      </c>
      <c r="N2857" s="71">
        <v>5799</v>
      </c>
      <c r="O2857" s="66" t="s">
        <v>28</v>
      </c>
      <c r="P2857" s="82" t="s">
        <v>10841</v>
      </c>
      <c r="Q2857" s="84" t="s">
        <v>1963</v>
      </c>
      <c r="R2857" s="84" t="s">
        <v>9605</v>
      </c>
      <c r="S2857" s="84">
        <v>0.14799999999999999</v>
      </c>
      <c r="T2857" s="82" t="s">
        <v>10842</v>
      </c>
      <c r="U2857" s="84"/>
      <c r="V2857" s="54"/>
    </row>
    <row r="2858" spans="1:22" s="11" customFormat="1" ht="45" customHeight="1" x14ac:dyDescent="0.2">
      <c r="A2858" s="66" t="s">
        <v>1963</v>
      </c>
      <c r="B2858" s="66" t="s">
        <v>1155</v>
      </c>
      <c r="C2858" s="66" t="s">
        <v>9605</v>
      </c>
      <c r="D2858" s="66">
        <v>6976068140818</v>
      </c>
      <c r="E2858" s="68" t="s">
        <v>10843</v>
      </c>
      <c r="F2858" s="66" t="s">
        <v>10844</v>
      </c>
      <c r="G2858" s="71">
        <v>2308</v>
      </c>
      <c r="H2858" s="73"/>
      <c r="I2858" s="75">
        <v>0.2</v>
      </c>
      <c r="J2858" s="77"/>
      <c r="K2858" s="66"/>
      <c r="L2858" s="66"/>
      <c r="M2858" s="79" t="str">
        <f>HYPERLINK("http://www.pristavka.com/catalog/Genshin Impact/GEN563/")</f>
        <v>http://www.pristavka.com/catalog/Genshin Impact/GEN563/</v>
      </c>
      <c r="N2858" s="71">
        <v>3899</v>
      </c>
      <c r="O2858" s="66" t="s">
        <v>28</v>
      </c>
      <c r="P2858" s="82" t="s">
        <v>10845</v>
      </c>
      <c r="Q2858" s="84" t="s">
        <v>1963</v>
      </c>
      <c r="R2858" s="84" t="s">
        <v>9605</v>
      </c>
      <c r="S2858" s="84">
        <v>0.125</v>
      </c>
      <c r="T2858" s="82" t="s">
        <v>10846</v>
      </c>
      <c r="U2858" s="84"/>
      <c r="V2858" s="54"/>
    </row>
    <row r="2859" spans="1:22" s="11" customFormat="1" ht="45" customHeight="1" x14ac:dyDescent="0.2">
      <c r="A2859" s="66" t="s">
        <v>1963</v>
      </c>
      <c r="B2859" s="66" t="s">
        <v>1155</v>
      </c>
      <c r="C2859" s="66" t="s">
        <v>9605</v>
      </c>
      <c r="D2859" s="66">
        <v>6976068140825</v>
      </c>
      <c r="E2859" s="68" t="s">
        <v>10847</v>
      </c>
      <c r="F2859" s="66" t="s">
        <v>10848</v>
      </c>
      <c r="G2859" s="71">
        <v>2308</v>
      </c>
      <c r="H2859" s="73"/>
      <c r="I2859" s="75">
        <v>0.2</v>
      </c>
      <c r="J2859" s="77"/>
      <c r="K2859" s="66"/>
      <c r="L2859" s="66"/>
      <c r="M2859" s="79" t="str">
        <f>HYPERLINK("http://www.pristavka.com/catalog/Genshin Impact/GEN564/")</f>
        <v>http://www.pristavka.com/catalog/Genshin Impact/GEN564/</v>
      </c>
      <c r="N2859" s="71">
        <v>3899</v>
      </c>
      <c r="O2859" s="66" t="s">
        <v>28</v>
      </c>
      <c r="P2859" s="82" t="s">
        <v>10849</v>
      </c>
      <c r="Q2859" s="84" t="s">
        <v>1963</v>
      </c>
      <c r="R2859" s="84" t="s">
        <v>9605</v>
      </c>
      <c r="S2859" s="84">
        <v>0.125</v>
      </c>
      <c r="T2859" s="82" t="s">
        <v>10846</v>
      </c>
      <c r="U2859" s="84"/>
      <c r="V2859" s="54"/>
    </row>
    <row r="2860" spans="1:22" s="11" customFormat="1" ht="45" customHeight="1" x14ac:dyDescent="0.2">
      <c r="A2860" s="66" t="s">
        <v>1963</v>
      </c>
      <c r="B2860" s="66" t="s">
        <v>1155</v>
      </c>
      <c r="C2860" s="66" t="s">
        <v>9605</v>
      </c>
      <c r="D2860" s="66">
        <v>6976068140795</v>
      </c>
      <c r="E2860" s="68" t="s">
        <v>10850</v>
      </c>
      <c r="F2860" s="66" t="s">
        <v>10851</v>
      </c>
      <c r="G2860" s="71">
        <v>2308</v>
      </c>
      <c r="H2860" s="73"/>
      <c r="I2860" s="75">
        <v>0.2</v>
      </c>
      <c r="J2860" s="77"/>
      <c r="K2860" s="66"/>
      <c r="L2860" s="66"/>
      <c r="M2860" s="79" t="str">
        <f>HYPERLINK("http://www.pristavka.com/catalog/Genshin Impact/GEN561/")</f>
        <v>http://www.pristavka.com/catalog/Genshin Impact/GEN561/</v>
      </c>
      <c r="N2860" s="71">
        <v>3899</v>
      </c>
      <c r="O2860" s="66" t="s">
        <v>28</v>
      </c>
      <c r="P2860" s="82" t="s">
        <v>10852</v>
      </c>
      <c r="Q2860" s="84" t="s">
        <v>1963</v>
      </c>
      <c r="R2860" s="84" t="s">
        <v>9605</v>
      </c>
      <c r="S2860" s="84">
        <v>0.124</v>
      </c>
      <c r="T2860" s="82" t="s">
        <v>10846</v>
      </c>
      <c r="U2860" s="84"/>
      <c r="V2860" s="54"/>
    </row>
    <row r="2861" spans="1:22" s="11" customFormat="1" ht="45" customHeight="1" x14ac:dyDescent="0.2">
      <c r="A2861" s="66" t="s">
        <v>1963</v>
      </c>
      <c r="B2861" s="66" t="s">
        <v>1155</v>
      </c>
      <c r="C2861" s="66" t="s">
        <v>9605</v>
      </c>
      <c r="D2861" s="66">
        <v>6942421104278</v>
      </c>
      <c r="E2861" s="68" t="s">
        <v>10853</v>
      </c>
      <c r="F2861" s="66" t="s">
        <v>10854</v>
      </c>
      <c r="G2861" s="71">
        <v>3101</v>
      </c>
      <c r="H2861" s="73"/>
      <c r="I2861" s="75">
        <v>0.2</v>
      </c>
      <c r="J2861" s="77"/>
      <c r="K2861" s="66"/>
      <c r="L2861" s="66"/>
      <c r="M2861" s="79" t="str">
        <f>HYPERLINK("http://www.pristavka.com/catalog/Genshin Impact/GEN1101/")</f>
        <v>http://www.pristavka.com/catalog/Genshin Impact/GEN1101/</v>
      </c>
      <c r="N2861" s="71">
        <v>5199</v>
      </c>
      <c r="O2861" s="66" t="s">
        <v>27</v>
      </c>
      <c r="P2861" s="82" t="s">
        <v>10855</v>
      </c>
      <c r="Q2861" s="84" t="s">
        <v>1963</v>
      </c>
      <c r="R2861" s="84" t="s">
        <v>9605</v>
      </c>
      <c r="S2861" s="84">
        <v>0.20499999999999999</v>
      </c>
      <c r="T2861" s="82" t="s">
        <v>10856</v>
      </c>
      <c r="U2861" s="84"/>
      <c r="V2861" s="54"/>
    </row>
    <row r="2862" spans="1:22" s="11" customFormat="1" ht="45" customHeight="1" x14ac:dyDescent="0.2">
      <c r="A2862" s="66" t="s">
        <v>1963</v>
      </c>
      <c r="B2862" s="66" t="s">
        <v>1155</v>
      </c>
      <c r="C2862" s="66" t="s">
        <v>9605</v>
      </c>
      <c r="D2862" s="66">
        <v>6942421104964</v>
      </c>
      <c r="E2862" s="68" t="s">
        <v>10857</v>
      </c>
      <c r="F2862" s="66" t="s">
        <v>10858</v>
      </c>
      <c r="G2862" s="71">
        <v>3101</v>
      </c>
      <c r="H2862" s="73"/>
      <c r="I2862" s="75">
        <v>0.2</v>
      </c>
      <c r="J2862" s="77"/>
      <c r="K2862" s="66"/>
      <c r="L2862" s="66"/>
      <c r="M2862" s="79" t="str">
        <f>HYPERLINK("http://www.pristavka.com/catalog/Genshin Impact/GEN1100/")</f>
        <v>http://www.pristavka.com/catalog/Genshin Impact/GEN1100/</v>
      </c>
      <c r="N2862" s="71">
        <v>5199</v>
      </c>
      <c r="O2862" s="66" t="s">
        <v>28</v>
      </c>
      <c r="P2862" s="82" t="s">
        <v>10859</v>
      </c>
      <c r="Q2862" s="84" t="s">
        <v>1963</v>
      </c>
      <c r="R2862" s="84" t="s">
        <v>9605</v>
      </c>
      <c r="S2862" s="84">
        <v>0.10299999999999999</v>
      </c>
      <c r="T2862" s="82" t="s">
        <v>10860</v>
      </c>
      <c r="U2862" s="84"/>
      <c r="V2862" s="54"/>
    </row>
    <row r="2863" spans="1:22" s="11" customFormat="1" ht="45" customHeight="1" x14ac:dyDescent="0.2">
      <c r="A2863" s="66" t="s">
        <v>1963</v>
      </c>
      <c r="B2863" s="66" t="s">
        <v>1155</v>
      </c>
      <c r="C2863" s="66" t="s">
        <v>9605</v>
      </c>
      <c r="D2863" s="66">
        <v>6976068147688</v>
      </c>
      <c r="E2863" s="68" t="s">
        <v>10861</v>
      </c>
      <c r="F2863" s="66" t="s">
        <v>10862</v>
      </c>
      <c r="G2863" s="71">
        <v>3101</v>
      </c>
      <c r="H2863" s="73"/>
      <c r="I2863" s="75">
        <v>0.2</v>
      </c>
      <c r="J2863" s="77"/>
      <c r="K2863" s="66"/>
      <c r="L2863" s="66"/>
      <c r="M2863" s="79" t="str">
        <f>HYPERLINK("http://www.pristavka.com/catalog/Genshin Impact/GEN1099/")</f>
        <v>http://www.pristavka.com/catalog/Genshin Impact/GEN1099/</v>
      </c>
      <c r="N2863" s="71">
        <v>5199</v>
      </c>
      <c r="O2863" s="66" t="s">
        <v>27</v>
      </c>
      <c r="P2863" s="82" t="s">
        <v>10863</v>
      </c>
      <c r="Q2863" s="84" t="s">
        <v>1963</v>
      </c>
      <c r="R2863" s="84" t="s">
        <v>9605</v>
      </c>
      <c r="S2863" s="84">
        <v>0.10199999999999999</v>
      </c>
      <c r="T2863" s="82" t="s">
        <v>10864</v>
      </c>
      <c r="U2863" s="84"/>
      <c r="V2863" s="54"/>
    </row>
    <row r="2864" spans="1:22" s="11" customFormat="1" ht="45" customHeight="1" x14ac:dyDescent="0.2">
      <c r="A2864" s="66" t="s">
        <v>1963</v>
      </c>
      <c r="B2864" s="66" t="s">
        <v>1155</v>
      </c>
      <c r="C2864" s="66" t="s">
        <v>9605</v>
      </c>
      <c r="D2864" s="66">
        <v>6976525002062</v>
      </c>
      <c r="E2864" s="68" t="s">
        <v>10865</v>
      </c>
      <c r="F2864" s="66" t="s">
        <v>10866</v>
      </c>
      <c r="G2864" s="71">
        <v>3771</v>
      </c>
      <c r="H2864" s="73"/>
      <c r="I2864" s="75">
        <v>0.2</v>
      </c>
      <c r="J2864" s="77"/>
      <c r="K2864" s="66"/>
      <c r="L2864" s="66"/>
      <c r="M2864" s="79" t="str">
        <f>HYPERLINK("http://www.pristavka.com/catalog/Genshin Impact/GEN1097/")</f>
        <v>http://www.pristavka.com/catalog/Genshin Impact/GEN1097/</v>
      </c>
      <c r="N2864" s="71">
        <v>6299</v>
      </c>
      <c r="O2864" s="66" t="s">
        <v>27</v>
      </c>
      <c r="P2864" s="82" t="s">
        <v>10867</v>
      </c>
      <c r="Q2864" s="84" t="s">
        <v>1963</v>
      </c>
      <c r="R2864" s="84" t="s">
        <v>9605</v>
      </c>
      <c r="S2864" s="84">
        <v>0.12</v>
      </c>
      <c r="T2864" s="82" t="s">
        <v>10868</v>
      </c>
      <c r="U2864" s="84"/>
      <c r="V2864" s="54"/>
    </row>
    <row r="2865" spans="1:22" s="11" customFormat="1" ht="45" customHeight="1" x14ac:dyDescent="0.2">
      <c r="A2865" s="66" t="s">
        <v>1963</v>
      </c>
      <c r="B2865" s="66" t="s">
        <v>1155</v>
      </c>
      <c r="C2865" s="66" t="s">
        <v>9605</v>
      </c>
      <c r="D2865" s="66">
        <v>6976068143734</v>
      </c>
      <c r="E2865" s="68" t="s">
        <v>10869</v>
      </c>
      <c r="F2865" s="66" t="s">
        <v>10870</v>
      </c>
      <c r="G2865" s="71">
        <v>3101</v>
      </c>
      <c r="H2865" s="73"/>
      <c r="I2865" s="75">
        <v>0.2</v>
      </c>
      <c r="J2865" s="77"/>
      <c r="K2865" s="66"/>
      <c r="L2865" s="66"/>
      <c r="M2865" s="79" t="str">
        <f>HYPERLINK("http://www.pristavka.com/catalog/Genshin Impact/GEN1093/")</f>
        <v>http://www.pristavka.com/catalog/Genshin Impact/GEN1093/</v>
      </c>
      <c r="N2865" s="71">
        <v>5199</v>
      </c>
      <c r="O2865" s="66" t="s">
        <v>27</v>
      </c>
      <c r="P2865" s="82" t="s">
        <v>10871</v>
      </c>
      <c r="Q2865" s="84" t="s">
        <v>1963</v>
      </c>
      <c r="R2865" s="84" t="s">
        <v>9605</v>
      </c>
      <c r="S2865" s="84">
        <v>0.105</v>
      </c>
      <c r="T2865" s="82" t="s">
        <v>10872</v>
      </c>
      <c r="U2865" s="84"/>
      <c r="V2865" s="54"/>
    </row>
    <row r="2866" spans="1:22" s="11" customFormat="1" ht="45" customHeight="1" x14ac:dyDescent="0.2">
      <c r="A2866" s="66" t="s">
        <v>1963</v>
      </c>
      <c r="B2866" s="66" t="s">
        <v>1155</v>
      </c>
      <c r="C2866" s="66" t="s">
        <v>9605</v>
      </c>
      <c r="D2866" s="66">
        <v>6976068143741</v>
      </c>
      <c r="E2866" s="68" t="s">
        <v>10873</v>
      </c>
      <c r="F2866" s="66" t="s">
        <v>10874</v>
      </c>
      <c r="G2866" s="71">
        <v>6307</v>
      </c>
      <c r="H2866" s="73"/>
      <c r="I2866" s="75">
        <v>0.2</v>
      </c>
      <c r="J2866" s="77"/>
      <c r="K2866" s="66"/>
      <c r="L2866" s="66"/>
      <c r="M2866" s="79" t="str">
        <f>HYPERLINK("http://www.pristavka.com/catalog/Genshin Impact/GEN1094/")</f>
        <v>http://www.pristavka.com/catalog/Genshin Impact/GEN1094/</v>
      </c>
      <c r="N2866" s="71">
        <v>10599</v>
      </c>
      <c r="O2866" s="66" t="s">
        <v>27</v>
      </c>
      <c r="P2866" s="82" t="s">
        <v>10875</v>
      </c>
      <c r="Q2866" s="84" t="s">
        <v>1963</v>
      </c>
      <c r="R2866" s="84" t="s">
        <v>9605</v>
      </c>
      <c r="S2866" s="84">
        <v>0.14499999999999999</v>
      </c>
      <c r="T2866" s="82" t="s">
        <v>10860</v>
      </c>
      <c r="U2866" s="84"/>
      <c r="V2866" s="54"/>
    </row>
    <row r="2867" spans="1:22" s="11" customFormat="1" ht="45" customHeight="1" x14ac:dyDescent="0.2">
      <c r="A2867" s="66" t="s">
        <v>1963</v>
      </c>
      <c r="B2867" s="66" t="s">
        <v>1155</v>
      </c>
      <c r="C2867" s="66" t="s">
        <v>9605</v>
      </c>
      <c r="D2867" s="66">
        <v>6976525004745</v>
      </c>
      <c r="E2867" s="68" t="s">
        <v>10876</v>
      </c>
      <c r="F2867" s="66" t="s">
        <v>10877</v>
      </c>
      <c r="G2867" s="71">
        <v>3771</v>
      </c>
      <c r="H2867" s="73"/>
      <c r="I2867" s="75">
        <v>0.2</v>
      </c>
      <c r="J2867" s="77"/>
      <c r="K2867" s="66"/>
      <c r="L2867" s="66"/>
      <c r="M2867" s="79" t="str">
        <f>HYPERLINK("http://www.pristavka.com/catalog/Genshin Impact/GEN1096/")</f>
        <v>http://www.pristavka.com/catalog/Genshin Impact/GEN1096/</v>
      </c>
      <c r="N2867" s="71">
        <v>6299</v>
      </c>
      <c r="O2867" s="66" t="s">
        <v>28</v>
      </c>
      <c r="P2867" s="82" t="s">
        <v>10878</v>
      </c>
      <c r="Q2867" s="84" t="s">
        <v>1963</v>
      </c>
      <c r="R2867" s="84" t="s">
        <v>9605</v>
      </c>
      <c r="S2867" s="84">
        <v>0.1</v>
      </c>
      <c r="T2867" s="82" t="s">
        <v>10879</v>
      </c>
      <c r="U2867" s="84"/>
      <c r="V2867" s="54"/>
    </row>
    <row r="2868" spans="1:22" s="11" customFormat="1" ht="45" customHeight="1" x14ac:dyDescent="0.2">
      <c r="A2868" s="66" t="s">
        <v>1963</v>
      </c>
      <c r="B2868" s="66" t="s">
        <v>1155</v>
      </c>
      <c r="C2868" s="66" t="s">
        <v>9605</v>
      </c>
      <c r="D2868" s="66">
        <v>6942421132813</v>
      </c>
      <c r="E2868" s="68" t="s">
        <v>10880</v>
      </c>
      <c r="F2868" s="66" t="s">
        <v>10881</v>
      </c>
      <c r="G2868" s="71">
        <v>5356</v>
      </c>
      <c r="H2868" s="73"/>
      <c r="I2868" s="75">
        <v>0.2</v>
      </c>
      <c r="J2868" s="77"/>
      <c r="K2868" s="66"/>
      <c r="L2868" s="66"/>
      <c r="M2868" s="79" t="str">
        <f>HYPERLINK("http://www.pristavka.com/catalog/Genshin Impact/GEN1275/")</f>
        <v>http://www.pristavka.com/catalog/Genshin Impact/GEN1275/</v>
      </c>
      <c r="N2868" s="71">
        <v>8999</v>
      </c>
      <c r="O2868" s="66" t="s">
        <v>27</v>
      </c>
      <c r="P2868" s="82" t="s">
        <v>10882</v>
      </c>
      <c r="Q2868" s="84" t="s">
        <v>1963</v>
      </c>
      <c r="R2868" s="84" t="s">
        <v>9605</v>
      </c>
      <c r="S2868" s="84">
        <v>0.14599999999999999</v>
      </c>
      <c r="T2868" s="82" t="s">
        <v>10860</v>
      </c>
      <c r="U2868" s="84"/>
      <c r="V2868" s="54"/>
    </row>
    <row r="2869" spans="1:22" s="11" customFormat="1" ht="45" customHeight="1" x14ac:dyDescent="0.2">
      <c r="A2869" s="66" t="s">
        <v>1963</v>
      </c>
      <c r="B2869" s="66" t="s">
        <v>1155</v>
      </c>
      <c r="C2869" s="66" t="s">
        <v>9605</v>
      </c>
      <c r="D2869" s="66">
        <v>6942421106142</v>
      </c>
      <c r="E2869" s="68" t="s">
        <v>10883</v>
      </c>
      <c r="F2869" s="66" t="s">
        <v>10884</v>
      </c>
      <c r="G2869" s="71">
        <v>2847</v>
      </c>
      <c r="H2869" s="73"/>
      <c r="I2869" s="75">
        <v>0.2</v>
      </c>
      <c r="J2869" s="77"/>
      <c r="K2869" s="66"/>
      <c r="L2869" s="66"/>
      <c r="M2869" s="79" t="str">
        <f>HYPERLINK("http://www.pristavka.com/catalog/Genshin Impact/GEN1240/")</f>
        <v>http://www.pristavka.com/catalog/Genshin Impact/GEN1240/</v>
      </c>
      <c r="N2869" s="71">
        <v>4799</v>
      </c>
      <c r="O2869" s="66" t="s">
        <v>27</v>
      </c>
      <c r="P2869" s="82" t="s">
        <v>10885</v>
      </c>
      <c r="Q2869" s="84" t="s">
        <v>1963</v>
      </c>
      <c r="R2869" s="84" t="s">
        <v>9605</v>
      </c>
      <c r="S2869" s="84">
        <v>7.9000000000000001E-2</v>
      </c>
      <c r="T2869" s="82" t="s">
        <v>10886</v>
      </c>
      <c r="U2869" s="84"/>
      <c r="V2869" s="54"/>
    </row>
    <row r="2870" spans="1:22" s="11" customFormat="1" ht="45" customHeight="1" x14ac:dyDescent="0.2">
      <c r="A2870" s="66" t="s">
        <v>1963</v>
      </c>
      <c r="B2870" s="66" t="s">
        <v>1155</v>
      </c>
      <c r="C2870" s="66" t="s">
        <v>9605</v>
      </c>
      <c r="D2870" s="66">
        <v>6942421106159</v>
      </c>
      <c r="E2870" s="68" t="s">
        <v>10887</v>
      </c>
      <c r="F2870" s="66" t="s">
        <v>10888</v>
      </c>
      <c r="G2870" s="71">
        <v>2847</v>
      </c>
      <c r="H2870" s="73"/>
      <c r="I2870" s="75">
        <v>0.2</v>
      </c>
      <c r="J2870" s="77"/>
      <c r="K2870" s="66"/>
      <c r="L2870" s="66"/>
      <c r="M2870" s="79" t="str">
        <f>HYPERLINK("http://www.pristavka.com/catalog/Genshin Impact/GEN1241/")</f>
        <v>http://www.pristavka.com/catalog/Genshin Impact/GEN1241/</v>
      </c>
      <c r="N2870" s="71">
        <v>4799</v>
      </c>
      <c r="O2870" s="66" t="s">
        <v>27</v>
      </c>
      <c r="P2870" s="82" t="s">
        <v>10889</v>
      </c>
      <c r="Q2870" s="84" t="s">
        <v>1963</v>
      </c>
      <c r="R2870" s="84" t="s">
        <v>9605</v>
      </c>
      <c r="S2870" s="84">
        <v>0.08</v>
      </c>
      <c r="T2870" s="82" t="s">
        <v>10890</v>
      </c>
      <c r="U2870" s="84"/>
      <c r="V2870" s="54"/>
    </row>
    <row r="2871" spans="1:22" s="11" customFormat="1" ht="45" customHeight="1" x14ac:dyDescent="0.2">
      <c r="A2871" s="66" t="s">
        <v>1963</v>
      </c>
      <c r="B2871" s="66" t="s">
        <v>1155</v>
      </c>
      <c r="C2871" s="66" t="s">
        <v>9605</v>
      </c>
      <c r="D2871" s="66">
        <v>6942421106166</v>
      </c>
      <c r="E2871" s="68" t="s">
        <v>10891</v>
      </c>
      <c r="F2871" s="66" t="s">
        <v>10892</v>
      </c>
      <c r="G2871" s="71">
        <v>2847</v>
      </c>
      <c r="H2871" s="73"/>
      <c r="I2871" s="75">
        <v>0.2</v>
      </c>
      <c r="J2871" s="77"/>
      <c r="K2871" s="66"/>
      <c r="L2871" s="66"/>
      <c r="M2871" s="79" t="str">
        <f>HYPERLINK("http://www.pristavka.com/catalog/Genshin Impact/GEN1242/")</f>
        <v>http://www.pristavka.com/catalog/Genshin Impact/GEN1242/</v>
      </c>
      <c r="N2871" s="71">
        <v>4799</v>
      </c>
      <c r="O2871" s="66" t="s">
        <v>27</v>
      </c>
      <c r="P2871" s="82" t="s">
        <v>10893</v>
      </c>
      <c r="Q2871" s="84" t="s">
        <v>1963</v>
      </c>
      <c r="R2871" s="84" t="s">
        <v>9605</v>
      </c>
      <c r="S2871" s="84">
        <v>0.08</v>
      </c>
      <c r="T2871" s="82" t="s">
        <v>10894</v>
      </c>
      <c r="U2871" s="84"/>
      <c r="V2871" s="54"/>
    </row>
    <row r="2872" spans="1:22" s="11" customFormat="1" ht="45" customHeight="1" x14ac:dyDescent="0.2">
      <c r="A2872" s="66" t="s">
        <v>1963</v>
      </c>
      <c r="B2872" s="66" t="s">
        <v>1155</v>
      </c>
      <c r="C2872" s="66" t="s">
        <v>9605</v>
      </c>
      <c r="D2872" s="66">
        <v>6976525000259</v>
      </c>
      <c r="E2872" s="68" t="s">
        <v>10895</v>
      </c>
      <c r="F2872" s="66" t="s">
        <v>10896</v>
      </c>
      <c r="G2872" s="71">
        <v>6307</v>
      </c>
      <c r="H2872" s="73"/>
      <c r="I2872" s="75">
        <v>0.2</v>
      </c>
      <c r="J2872" s="77"/>
      <c r="K2872" s="66"/>
      <c r="L2872" s="66"/>
      <c r="M2872" s="79" t="str">
        <f>HYPERLINK("http://www.pristavka.com/catalog/Genshin Impact/GEN1095/")</f>
        <v>http://www.pristavka.com/catalog/Genshin Impact/GEN1095/</v>
      </c>
      <c r="N2872" s="71">
        <v>10599</v>
      </c>
      <c r="O2872" s="66" t="s">
        <v>27</v>
      </c>
      <c r="P2872" s="82" t="s">
        <v>10897</v>
      </c>
      <c r="Q2872" s="84" t="s">
        <v>1963</v>
      </c>
      <c r="R2872" s="84" t="s">
        <v>9605</v>
      </c>
      <c r="S2872" s="84">
        <v>0.14499999999999999</v>
      </c>
      <c r="T2872" s="82" t="s">
        <v>10898</v>
      </c>
      <c r="U2872" s="84"/>
      <c r="V2872" s="54"/>
    </row>
    <row r="2873" spans="1:22" s="11" customFormat="1" ht="45" customHeight="1" x14ac:dyDescent="0.2">
      <c r="A2873" s="66" t="s">
        <v>1963</v>
      </c>
      <c r="B2873" s="66" t="s">
        <v>1155</v>
      </c>
      <c r="C2873" s="66" t="s">
        <v>9605</v>
      </c>
      <c r="D2873" s="66">
        <v>6942421101598</v>
      </c>
      <c r="E2873" s="68" t="s">
        <v>10899</v>
      </c>
      <c r="F2873" s="66" t="s">
        <v>10900</v>
      </c>
      <c r="G2873" s="71">
        <v>3771</v>
      </c>
      <c r="H2873" s="73"/>
      <c r="I2873" s="75">
        <v>0.2</v>
      </c>
      <c r="J2873" s="77"/>
      <c r="K2873" s="66"/>
      <c r="L2873" s="66"/>
      <c r="M2873" s="79" t="str">
        <f>HYPERLINK("http://www.pristavka.com/catalog/Genshin Impact/GEN1098/")</f>
        <v>http://www.pristavka.com/catalog/Genshin Impact/GEN1098/</v>
      </c>
      <c r="N2873" s="71">
        <v>6299</v>
      </c>
      <c r="O2873" s="66" t="s">
        <v>27</v>
      </c>
      <c r="P2873" s="82" t="s">
        <v>10901</v>
      </c>
      <c r="Q2873" s="84" t="s">
        <v>1963</v>
      </c>
      <c r="R2873" s="84" t="s">
        <v>9605</v>
      </c>
      <c r="S2873" s="84">
        <v>0.122</v>
      </c>
      <c r="T2873" s="82" t="s">
        <v>10846</v>
      </c>
      <c r="U2873" s="84"/>
      <c r="V2873" s="54"/>
    </row>
    <row r="2874" spans="1:22" s="11" customFormat="1" ht="45" customHeight="1" x14ac:dyDescent="0.2">
      <c r="A2874" s="66" t="s">
        <v>1963</v>
      </c>
      <c r="B2874" s="66" t="s">
        <v>1155</v>
      </c>
      <c r="C2874" s="66" t="s">
        <v>9605</v>
      </c>
      <c r="D2874" s="66">
        <v>6942421142492</v>
      </c>
      <c r="E2874" s="68" t="s">
        <v>10902</v>
      </c>
      <c r="F2874" s="66" t="s">
        <v>10903</v>
      </c>
      <c r="G2874" s="71">
        <v>2847</v>
      </c>
      <c r="H2874" s="73"/>
      <c r="I2874" s="75">
        <v>0.2</v>
      </c>
      <c r="J2874" s="77"/>
      <c r="K2874" s="66"/>
      <c r="L2874" s="66"/>
      <c r="M2874" s="79" t="str">
        <f>HYPERLINK("http://www.pristavka.com/catalog/Genshin Impact/GEN1292/")</f>
        <v>http://www.pristavka.com/catalog/Genshin Impact/GEN1292/</v>
      </c>
      <c r="N2874" s="71">
        <v>4799</v>
      </c>
      <c r="O2874" s="66" t="s">
        <v>27</v>
      </c>
      <c r="P2874" s="82" t="s">
        <v>10904</v>
      </c>
      <c r="Q2874" s="84" t="s">
        <v>1963</v>
      </c>
      <c r="R2874" s="84" t="s">
        <v>9605</v>
      </c>
      <c r="S2874" s="84">
        <v>0.1</v>
      </c>
      <c r="T2874" s="82" t="s">
        <v>10905</v>
      </c>
      <c r="U2874" s="84"/>
      <c r="V2874" s="54"/>
    </row>
    <row r="2875" spans="1:22" s="11" customFormat="1" ht="45" customHeight="1" x14ac:dyDescent="0.2">
      <c r="A2875" s="66" t="s">
        <v>1963</v>
      </c>
      <c r="B2875" s="66" t="s">
        <v>1155</v>
      </c>
      <c r="C2875" s="66" t="s">
        <v>9605</v>
      </c>
      <c r="D2875" s="66">
        <v>6942421132806</v>
      </c>
      <c r="E2875" s="68" t="s">
        <v>10906</v>
      </c>
      <c r="F2875" s="66" t="s">
        <v>10907</v>
      </c>
      <c r="G2875" s="71">
        <v>5356</v>
      </c>
      <c r="H2875" s="73"/>
      <c r="I2875" s="75">
        <v>0.2</v>
      </c>
      <c r="J2875" s="77"/>
      <c r="K2875" s="66"/>
      <c r="L2875" s="66"/>
      <c r="M2875" s="79" t="str">
        <f>HYPERLINK("http://www.pristavka.com/catalog/Genshin Impact/GEN1274/")</f>
        <v>http://www.pristavka.com/catalog/Genshin Impact/GEN1274/</v>
      </c>
      <c r="N2875" s="71">
        <v>8999</v>
      </c>
      <c r="O2875" s="66" t="s">
        <v>27</v>
      </c>
      <c r="P2875" s="82" t="s">
        <v>10908</v>
      </c>
      <c r="Q2875" s="84" t="s">
        <v>1963</v>
      </c>
      <c r="R2875" s="84" t="s">
        <v>9605</v>
      </c>
      <c r="S2875" s="84">
        <v>0.14499999999999999</v>
      </c>
      <c r="T2875" s="82" t="s">
        <v>10905</v>
      </c>
      <c r="U2875" s="84"/>
      <c r="V2875" s="54"/>
    </row>
    <row r="2876" spans="1:22" s="11" customFormat="1" ht="45" customHeight="1" x14ac:dyDescent="0.2">
      <c r="A2876" s="66" t="s">
        <v>1963</v>
      </c>
      <c r="B2876" s="66" t="s">
        <v>1155</v>
      </c>
      <c r="C2876" s="66" t="s">
        <v>9605</v>
      </c>
      <c r="D2876" s="66">
        <v>6942421135302</v>
      </c>
      <c r="E2876" s="68" t="s">
        <v>10909</v>
      </c>
      <c r="F2876" s="66" t="s">
        <v>10910</v>
      </c>
      <c r="G2876" s="71">
        <v>5356</v>
      </c>
      <c r="H2876" s="73"/>
      <c r="I2876" s="75">
        <v>0.2</v>
      </c>
      <c r="J2876" s="77"/>
      <c r="K2876" s="66"/>
      <c r="L2876" s="66"/>
      <c r="M2876" s="79" t="str">
        <f>HYPERLINK("http://www.pristavka.com/catalog/Genshin Impact/GEN1276/")</f>
        <v>http://www.pristavka.com/catalog/Genshin Impact/GEN1276/</v>
      </c>
      <c r="N2876" s="71">
        <v>8999</v>
      </c>
      <c r="O2876" s="66" t="s">
        <v>27</v>
      </c>
      <c r="P2876" s="82" t="s">
        <v>10911</v>
      </c>
      <c r="Q2876" s="84" t="s">
        <v>1963</v>
      </c>
      <c r="R2876" s="84" t="s">
        <v>9605</v>
      </c>
      <c r="S2876" s="84">
        <v>0.14699999999999999</v>
      </c>
      <c r="T2876" s="82" t="s">
        <v>10860</v>
      </c>
      <c r="U2876" s="84"/>
      <c r="V2876" s="54"/>
    </row>
    <row r="2877" spans="1:22" s="11" customFormat="1" ht="45" customHeight="1" x14ac:dyDescent="0.2">
      <c r="A2877" s="66" t="s">
        <v>1963</v>
      </c>
      <c r="B2877" s="66" t="s">
        <v>1155</v>
      </c>
      <c r="C2877" s="66" t="s">
        <v>9605</v>
      </c>
      <c r="D2877" s="66">
        <v>6942421148401</v>
      </c>
      <c r="E2877" s="68" t="s">
        <v>10912</v>
      </c>
      <c r="F2877" s="66" t="s">
        <v>10913</v>
      </c>
      <c r="G2877" s="71">
        <v>5673</v>
      </c>
      <c r="H2877" s="73"/>
      <c r="I2877" s="75">
        <v>0.2</v>
      </c>
      <c r="J2877" s="77"/>
      <c r="K2877" s="66"/>
      <c r="L2877" s="66"/>
      <c r="M2877" s="79" t="str">
        <f>HYPERLINK("http://www.pristavka.com/catalog/Genshin Impact/GEN1375/")</f>
        <v>http://www.pristavka.com/catalog/Genshin Impact/GEN1375/</v>
      </c>
      <c r="N2877" s="71">
        <v>9499</v>
      </c>
      <c r="O2877" s="66" t="s">
        <v>27</v>
      </c>
      <c r="P2877" s="82" t="s">
        <v>10914</v>
      </c>
      <c r="Q2877" s="84" t="s">
        <v>1963</v>
      </c>
      <c r="R2877" s="84" t="s">
        <v>9605</v>
      </c>
      <c r="S2877" s="84">
        <v>0.13200000000000001</v>
      </c>
      <c r="T2877" s="82" t="s">
        <v>10860</v>
      </c>
      <c r="U2877" s="84"/>
      <c r="V2877" s="54"/>
    </row>
    <row r="2878" spans="1:22" s="11" customFormat="1" ht="45" customHeight="1" x14ac:dyDescent="0.2">
      <c r="A2878" s="66" t="s">
        <v>1963</v>
      </c>
      <c r="B2878" s="66" t="s">
        <v>1155</v>
      </c>
      <c r="C2878" s="66" t="s">
        <v>9605</v>
      </c>
      <c r="D2878" s="66">
        <v>6942421101581</v>
      </c>
      <c r="E2878" s="68" t="s">
        <v>10915</v>
      </c>
      <c r="F2878" s="66" t="s">
        <v>10916</v>
      </c>
      <c r="G2878" s="71">
        <v>3164</v>
      </c>
      <c r="H2878" s="73"/>
      <c r="I2878" s="75">
        <v>0.2</v>
      </c>
      <c r="J2878" s="77"/>
      <c r="K2878" s="66"/>
      <c r="L2878" s="66"/>
      <c r="M2878" s="79" t="str">
        <f>HYPERLINK("http://www.pristavka.com/catalog/Genshin Impact/GEN1233/")</f>
        <v>http://www.pristavka.com/catalog/Genshin Impact/GEN1233/</v>
      </c>
      <c r="N2878" s="71">
        <v>5299</v>
      </c>
      <c r="O2878" s="66" t="s">
        <v>27</v>
      </c>
      <c r="P2878" s="82" t="s">
        <v>10917</v>
      </c>
      <c r="Q2878" s="84" t="s">
        <v>1963</v>
      </c>
      <c r="R2878" s="84" t="s">
        <v>9605</v>
      </c>
      <c r="S2878" s="84">
        <v>0.122</v>
      </c>
      <c r="T2878" s="82" t="s">
        <v>10846</v>
      </c>
      <c r="U2878" s="84"/>
      <c r="V2878" s="54"/>
    </row>
    <row r="2879" spans="1:22" s="11" customFormat="1" ht="45" customHeight="1" x14ac:dyDescent="0.2">
      <c r="A2879" s="66" t="s">
        <v>1963</v>
      </c>
      <c r="B2879" s="66" t="s">
        <v>1155</v>
      </c>
      <c r="C2879" s="66" t="s">
        <v>9605</v>
      </c>
      <c r="D2879" s="66">
        <v>6976525004738</v>
      </c>
      <c r="E2879" s="68" t="s">
        <v>10918</v>
      </c>
      <c r="F2879" s="66" t="s">
        <v>10919</v>
      </c>
      <c r="G2879" s="71">
        <v>5356</v>
      </c>
      <c r="H2879" s="73"/>
      <c r="I2879" s="75">
        <v>0.2</v>
      </c>
      <c r="J2879" s="77"/>
      <c r="K2879" s="66"/>
      <c r="L2879" s="66"/>
      <c r="M2879" s="79" t="str">
        <f>HYPERLINK("http://www.pristavka.com/catalog/Genshin Impact/GEN1236/")</f>
        <v>http://www.pristavka.com/catalog/Genshin Impact/GEN1236/</v>
      </c>
      <c r="N2879" s="71">
        <v>8999</v>
      </c>
      <c r="O2879" s="66" t="s">
        <v>27</v>
      </c>
      <c r="P2879" s="82" t="s">
        <v>10920</v>
      </c>
      <c r="Q2879" s="84" t="s">
        <v>1963</v>
      </c>
      <c r="R2879" s="84" t="s">
        <v>9605</v>
      </c>
      <c r="S2879" s="84">
        <v>0.154</v>
      </c>
      <c r="T2879" s="82" t="s">
        <v>10860</v>
      </c>
      <c r="U2879" s="84"/>
      <c r="V2879" s="54"/>
    </row>
    <row r="2880" spans="1:22" s="11" customFormat="1" ht="45" customHeight="1" x14ac:dyDescent="0.2">
      <c r="A2880" s="66" t="s">
        <v>1963</v>
      </c>
      <c r="B2880" s="66" t="s">
        <v>1155</v>
      </c>
      <c r="C2880" s="66" t="s">
        <v>9605</v>
      </c>
      <c r="D2880" s="66">
        <v>6942421102199</v>
      </c>
      <c r="E2880" s="68" t="s">
        <v>10921</v>
      </c>
      <c r="F2880" s="66" t="s">
        <v>10922</v>
      </c>
      <c r="G2880" s="71">
        <v>5673</v>
      </c>
      <c r="H2880" s="73"/>
      <c r="I2880" s="75">
        <v>0.2</v>
      </c>
      <c r="J2880" s="77"/>
      <c r="K2880" s="66"/>
      <c r="L2880" s="66"/>
      <c r="M2880" s="79" t="str">
        <f>HYPERLINK("http://www.pristavka.com/catalog/Genshin Impact/GEN1235/")</f>
        <v>http://www.pristavka.com/catalog/Genshin Impact/GEN1235/</v>
      </c>
      <c r="N2880" s="71">
        <v>9499</v>
      </c>
      <c r="O2880" s="66" t="s">
        <v>27</v>
      </c>
      <c r="P2880" s="82" t="s">
        <v>10923</v>
      </c>
      <c r="Q2880" s="84" t="s">
        <v>1963</v>
      </c>
      <c r="R2880" s="84" t="s">
        <v>9605</v>
      </c>
      <c r="S2880" s="84">
        <v>0.14199999999999999</v>
      </c>
      <c r="T2880" s="82" t="s">
        <v>10860</v>
      </c>
      <c r="U2880" s="84"/>
      <c r="V2880" s="54"/>
    </row>
    <row r="2881" spans="1:22" s="11" customFormat="1" ht="45" customHeight="1" x14ac:dyDescent="0.2">
      <c r="A2881" s="66" t="s">
        <v>1963</v>
      </c>
      <c r="B2881" s="66" t="s">
        <v>1155</v>
      </c>
      <c r="C2881" s="66" t="s">
        <v>9605</v>
      </c>
      <c r="D2881" s="66">
        <v>6942421106111</v>
      </c>
      <c r="E2881" s="68" t="s">
        <v>10924</v>
      </c>
      <c r="F2881" s="66" t="s">
        <v>10925</v>
      </c>
      <c r="G2881" s="71">
        <v>2847</v>
      </c>
      <c r="H2881" s="73"/>
      <c r="I2881" s="75">
        <v>0.2</v>
      </c>
      <c r="J2881" s="77"/>
      <c r="K2881" s="66"/>
      <c r="L2881" s="66"/>
      <c r="M2881" s="79" t="str">
        <f>HYPERLINK("http://www.pristavka.com/catalog/Genshin Impact/GEN1237/")</f>
        <v>http://www.pristavka.com/catalog/Genshin Impact/GEN1237/</v>
      </c>
      <c r="N2881" s="71">
        <v>4799</v>
      </c>
      <c r="O2881" s="66" t="s">
        <v>27</v>
      </c>
      <c r="P2881" s="82" t="s">
        <v>10926</v>
      </c>
      <c r="Q2881" s="84" t="s">
        <v>1963</v>
      </c>
      <c r="R2881" s="84" t="s">
        <v>9605</v>
      </c>
      <c r="S2881" s="84">
        <v>7.9000000000000001E-2</v>
      </c>
      <c r="T2881" s="82" t="s">
        <v>10894</v>
      </c>
      <c r="U2881" s="84"/>
      <c r="V2881" s="54"/>
    </row>
    <row r="2882" spans="1:22" s="11" customFormat="1" ht="45" customHeight="1" x14ac:dyDescent="0.2">
      <c r="A2882" s="66" t="s">
        <v>1963</v>
      </c>
      <c r="B2882" s="66" t="s">
        <v>1155</v>
      </c>
      <c r="C2882" s="66" t="s">
        <v>9605</v>
      </c>
      <c r="D2882" s="66">
        <v>6942421106128</v>
      </c>
      <c r="E2882" s="68" t="s">
        <v>10927</v>
      </c>
      <c r="F2882" s="66" t="s">
        <v>10928</v>
      </c>
      <c r="G2882" s="71">
        <v>2847</v>
      </c>
      <c r="H2882" s="73"/>
      <c r="I2882" s="75">
        <v>0.2</v>
      </c>
      <c r="J2882" s="77"/>
      <c r="K2882" s="66"/>
      <c r="L2882" s="66"/>
      <c r="M2882" s="79" t="str">
        <f>HYPERLINK("http://www.pristavka.com/catalog/Genshin Impact/GEN1238/")</f>
        <v>http://www.pristavka.com/catalog/Genshin Impact/GEN1238/</v>
      </c>
      <c r="N2882" s="71">
        <v>4799</v>
      </c>
      <c r="O2882" s="66" t="s">
        <v>27</v>
      </c>
      <c r="P2882" s="82" t="s">
        <v>10929</v>
      </c>
      <c r="Q2882" s="84" t="s">
        <v>1963</v>
      </c>
      <c r="R2882" s="84" t="s">
        <v>9605</v>
      </c>
      <c r="S2882" s="84">
        <v>0.08</v>
      </c>
      <c r="T2882" s="82" t="s">
        <v>10886</v>
      </c>
      <c r="U2882" s="84"/>
      <c r="V2882" s="54"/>
    </row>
    <row r="2883" spans="1:22" s="11" customFormat="1" ht="45" customHeight="1" x14ac:dyDescent="0.2">
      <c r="A2883" s="66" t="s">
        <v>1963</v>
      </c>
      <c r="B2883" s="66" t="s">
        <v>1155</v>
      </c>
      <c r="C2883" s="66" t="s">
        <v>9605</v>
      </c>
      <c r="D2883" s="66">
        <v>6942421106135</v>
      </c>
      <c r="E2883" s="68" t="s">
        <v>10930</v>
      </c>
      <c r="F2883" s="66" t="s">
        <v>10931</v>
      </c>
      <c r="G2883" s="71">
        <v>2847</v>
      </c>
      <c r="H2883" s="73"/>
      <c r="I2883" s="75">
        <v>0.2</v>
      </c>
      <c r="J2883" s="77"/>
      <c r="K2883" s="66"/>
      <c r="L2883" s="66"/>
      <c r="M2883" s="79" t="str">
        <f>HYPERLINK("http://www.pristavka.com/catalog/Genshin Impact/GEN1239/")</f>
        <v>http://www.pristavka.com/catalog/Genshin Impact/GEN1239/</v>
      </c>
      <c r="N2883" s="71">
        <v>4799</v>
      </c>
      <c r="O2883" s="66" t="s">
        <v>27</v>
      </c>
      <c r="P2883" s="82" t="s">
        <v>10932</v>
      </c>
      <c r="Q2883" s="84" t="s">
        <v>1963</v>
      </c>
      <c r="R2883" s="84" t="s">
        <v>9605</v>
      </c>
      <c r="S2883" s="84">
        <v>0.08</v>
      </c>
      <c r="T2883" s="82" t="s">
        <v>10886</v>
      </c>
      <c r="U2883" s="84"/>
      <c r="V2883" s="54"/>
    </row>
    <row r="2884" spans="1:22" s="11" customFormat="1" ht="45" customHeight="1" x14ac:dyDescent="0.2">
      <c r="A2884" s="66" t="s">
        <v>1963</v>
      </c>
      <c r="B2884" s="66" t="s">
        <v>1155</v>
      </c>
      <c r="C2884" s="66" t="s">
        <v>9605</v>
      </c>
      <c r="D2884" s="66">
        <v>6942421110170</v>
      </c>
      <c r="E2884" s="68" t="s">
        <v>10933</v>
      </c>
      <c r="F2884" s="66" t="s">
        <v>10934</v>
      </c>
      <c r="G2884" s="71">
        <v>3164</v>
      </c>
      <c r="H2884" s="73"/>
      <c r="I2884" s="75">
        <v>0.2</v>
      </c>
      <c r="J2884" s="77"/>
      <c r="K2884" s="66"/>
      <c r="L2884" s="66"/>
      <c r="M2884" s="79" t="str">
        <f>HYPERLINK("http://www.pristavka.com/catalog/Genshin Impact/GEN1234/")</f>
        <v>http://www.pristavka.com/catalog/Genshin Impact/GEN1234/</v>
      </c>
      <c r="N2884" s="71">
        <v>5299</v>
      </c>
      <c r="O2884" s="66" t="s">
        <v>27</v>
      </c>
      <c r="P2884" s="82" t="s">
        <v>10935</v>
      </c>
      <c r="Q2884" s="84" t="s">
        <v>1963</v>
      </c>
      <c r="R2884" s="84" t="s">
        <v>9605</v>
      </c>
      <c r="S2884" s="84">
        <v>0.11799999999999999</v>
      </c>
      <c r="T2884" s="82" t="s">
        <v>10936</v>
      </c>
      <c r="U2884" s="84"/>
      <c r="V2884" s="54"/>
    </row>
    <row r="2885" spans="1:22" s="11" customFormat="1" ht="45" customHeight="1" x14ac:dyDescent="0.2">
      <c r="A2885" s="66" t="s">
        <v>1963</v>
      </c>
      <c r="B2885" s="66" t="s">
        <v>1155</v>
      </c>
      <c r="C2885" s="66" t="s">
        <v>9605</v>
      </c>
      <c r="D2885" s="66">
        <v>6942421142508</v>
      </c>
      <c r="E2885" s="68" t="s">
        <v>10937</v>
      </c>
      <c r="F2885" s="66" t="s">
        <v>10938</v>
      </c>
      <c r="G2885" s="71">
        <v>5673</v>
      </c>
      <c r="H2885" s="73"/>
      <c r="I2885" s="75">
        <v>0.2</v>
      </c>
      <c r="J2885" s="77"/>
      <c r="K2885" s="66"/>
      <c r="L2885" s="66"/>
      <c r="M2885" s="79" t="str">
        <f>HYPERLINK("http://www.pristavka.com/catalog/Genshin Impact/GEN1374/")</f>
        <v>http://www.pristavka.com/catalog/Genshin Impact/GEN1374/</v>
      </c>
      <c r="N2885" s="71">
        <v>9499</v>
      </c>
      <c r="O2885" s="66" t="s">
        <v>27</v>
      </c>
      <c r="P2885" s="82" t="s">
        <v>10939</v>
      </c>
      <c r="Q2885" s="84" t="s">
        <v>1963</v>
      </c>
      <c r="R2885" s="84" t="s">
        <v>9605</v>
      </c>
      <c r="S2885" s="84">
        <v>0.14499999999999999</v>
      </c>
      <c r="T2885" s="82" t="s">
        <v>10872</v>
      </c>
      <c r="U2885" s="84"/>
      <c r="V2885" s="54"/>
    </row>
    <row r="2886" spans="1:22" s="11" customFormat="1" ht="45" customHeight="1" x14ac:dyDescent="0.2">
      <c r="A2886" s="66" t="s">
        <v>1963</v>
      </c>
      <c r="B2886" s="66" t="s">
        <v>1155</v>
      </c>
      <c r="C2886" s="66" t="s">
        <v>9605</v>
      </c>
      <c r="D2886" s="66">
        <v>6975628244522</v>
      </c>
      <c r="E2886" s="68" t="s">
        <v>10940</v>
      </c>
      <c r="F2886" s="66" t="s">
        <v>10941</v>
      </c>
      <c r="G2886" s="71">
        <v>2213</v>
      </c>
      <c r="H2886" s="73"/>
      <c r="I2886" s="75">
        <v>0.2</v>
      </c>
      <c r="J2886" s="77"/>
      <c r="K2886" s="66"/>
      <c r="L2886" s="66"/>
      <c r="M2886" s="79" t="str">
        <f>HYPERLINK("http://www.pristavka.com/catalog/Genshin Impact/GEN497/")</f>
        <v>http://www.pristavka.com/catalog/Genshin Impact/GEN497/</v>
      </c>
      <c r="N2886" s="71">
        <v>3699</v>
      </c>
      <c r="O2886" s="66" t="s">
        <v>28</v>
      </c>
      <c r="P2886" s="82" t="s">
        <v>10942</v>
      </c>
      <c r="Q2886" s="84" t="s">
        <v>1963</v>
      </c>
      <c r="R2886" s="84" t="s">
        <v>9605</v>
      </c>
      <c r="S2886" s="84">
        <v>0.104</v>
      </c>
      <c r="T2886" s="82" t="s">
        <v>10943</v>
      </c>
      <c r="U2886" s="84"/>
      <c r="V2886" s="54"/>
    </row>
    <row r="2887" spans="1:22" s="11" customFormat="1" ht="45" customHeight="1" x14ac:dyDescent="0.2">
      <c r="A2887" s="66" t="s">
        <v>1963</v>
      </c>
      <c r="B2887" s="66" t="s">
        <v>1155</v>
      </c>
      <c r="C2887" s="66" t="s">
        <v>9605</v>
      </c>
      <c r="D2887" s="66">
        <v>6976068141563</v>
      </c>
      <c r="E2887" s="68" t="s">
        <v>10944</v>
      </c>
      <c r="F2887" s="66" t="s">
        <v>10945</v>
      </c>
      <c r="G2887" s="71">
        <v>2689</v>
      </c>
      <c r="H2887" s="73"/>
      <c r="I2887" s="75">
        <v>0.2</v>
      </c>
      <c r="J2887" s="77"/>
      <c r="K2887" s="66"/>
      <c r="L2887" s="66"/>
      <c r="M2887" s="79" t="str">
        <f>HYPERLINK("http://www.pristavka.com/catalog/Genshin Impact/GEN502/")</f>
        <v>http://www.pristavka.com/catalog/Genshin Impact/GEN502/</v>
      </c>
      <c r="N2887" s="71">
        <v>4499</v>
      </c>
      <c r="O2887" s="66" t="s">
        <v>27</v>
      </c>
      <c r="P2887" s="82" t="s">
        <v>10946</v>
      </c>
      <c r="Q2887" s="84" t="s">
        <v>1963</v>
      </c>
      <c r="R2887" s="84" t="s">
        <v>9605</v>
      </c>
      <c r="S2887" s="84">
        <v>0.104</v>
      </c>
      <c r="T2887" s="82" t="s">
        <v>10943</v>
      </c>
      <c r="U2887" s="84"/>
      <c r="V2887" s="54"/>
    </row>
    <row r="2888" spans="1:22" s="11" customFormat="1" ht="45" customHeight="1" x14ac:dyDescent="0.2">
      <c r="A2888" s="66" t="s">
        <v>1963</v>
      </c>
      <c r="B2888" s="66" t="s">
        <v>1155</v>
      </c>
      <c r="C2888" s="66" t="s">
        <v>9605</v>
      </c>
      <c r="D2888" s="66">
        <v>6976068141082</v>
      </c>
      <c r="E2888" s="68" t="s">
        <v>10947</v>
      </c>
      <c r="F2888" s="66" t="s">
        <v>10948</v>
      </c>
      <c r="G2888" s="71">
        <v>2213</v>
      </c>
      <c r="H2888" s="73"/>
      <c r="I2888" s="75">
        <v>0.2</v>
      </c>
      <c r="J2888" s="77"/>
      <c r="K2888" s="66"/>
      <c r="L2888" s="66"/>
      <c r="M2888" s="79" t="str">
        <f>HYPERLINK("http://www.pristavka.com/catalog/Genshin Impact/GEN501/")</f>
        <v>http://www.pristavka.com/catalog/Genshin Impact/GEN501/</v>
      </c>
      <c r="N2888" s="71">
        <v>3699</v>
      </c>
      <c r="O2888" s="66" t="s">
        <v>28</v>
      </c>
      <c r="P2888" s="82" t="s">
        <v>10949</v>
      </c>
      <c r="Q2888" s="84" t="s">
        <v>1963</v>
      </c>
      <c r="R2888" s="84" t="s">
        <v>9605</v>
      </c>
      <c r="S2888" s="84">
        <v>0.104</v>
      </c>
      <c r="T2888" s="82" t="s">
        <v>10943</v>
      </c>
      <c r="U2888" s="84"/>
      <c r="V2888" s="54"/>
    </row>
    <row r="2889" spans="1:22" s="11" customFormat="1" ht="45" customHeight="1" x14ac:dyDescent="0.2">
      <c r="A2889" s="66" t="s">
        <v>1963</v>
      </c>
      <c r="B2889" s="66" t="s">
        <v>1155</v>
      </c>
      <c r="C2889" s="66" t="s">
        <v>9605</v>
      </c>
      <c r="D2889" s="66">
        <v>6976068141075</v>
      </c>
      <c r="E2889" s="68" t="s">
        <v>10950</v>
      </c>
      <c r="F2889" s="66" t="s">
        <v>10951</v>
      </c>
      <c r="G2889" s="71">
        <v>4432</v>
      </c>
      <c r="H2889" s="73"/>
      <c r="I2889" s="75">
        <v>0.2</v>
      </c>
      <c r="J2889" s="77"/>
      <c r="K2889" s="66"/>
      <c r="L2889" s="66"/>
      <c r="M2889" s="79" t="str">
        <f>HYPERLINK("http://www.pristavka.com/catalog/Genshin Impact/GEN505/")</f>
        <v>http://www.pristavka.com/catalog/Genshin Impact/GEN505/</v>
      </c>
      <c r="N2889" s="71">
        <v>7399</v>
      </c>
      <c r="O2889" s="66" t="s">
        <v>27</v>
      </c>
      <c r="P2889" s="82" t="s">
        <v>10952</v>
      </c>
      <c r="Q2889" s="84" t="s">
        <v>1963</v>
      </c>
      <c r="R2889" s="84" t="s">
        <v>9605</v>
      </c>
      <c r="S2889" s="84">
        <v>0.104</v>
      </c>
      <c r="T2889" s="82" t="s">
        <v>10943</v>
      </c>
      <c r="U2889" s="84"/>
      <c r="V2889" s="54"/>
    </row>
    <row r="2890" spans="1:22" s="11" customFormat="1" ht="45" customHeight="1" x14ac:dyDescent="0.2">
      <c r="A2890" s="66" t="s">
        <v>1963</v>
      </c>
      <c r="B2890" s="66" t="s">
        <v>1155</v>
      </c>
      <c r="C2890" s="66" t="s">
        <v>9605</v>
      </c>
      <c r="D2890" s="66">
        <v>6976068141600</v>
      </c>
      <c r="E2890" s="68" t="s">
        <v>10953</v>
      </c>
      <c r="F2890" s="66" t="s">
        <v>10954</v>
      </c>
      <c r="G2890" s="71">
        <v>2213</v>
      </c>
      <c r="H2890" s="73"/>
      <c r="I2890" s="75">
        <v>0.2</v>
      </c>
      <c r="J2890" s="77"/>
      <c r="K2890" s="66"/>
      <c r="L2890" s="66"/>
      <c r="M2890" s="79" t="str">
        <f>HYPERLINK("http://www.pristavka.com/catalog/Genshin Impact/GEN503/")</f>
        <v>http://www.pristavka.com/catalog/Genshin Impact/GEN503/</v>
      </c>
      <c r="N2890" s="71">
        <v>3699</v>
      </c>
      <c r="O2890" s="66" t="s">
        <v>28</v>
      </c>
      <c r="P2890" s="82" t="s">
        <v>10955</v>
      </c>
      <c r="Q2890" s="84" t="s">
        <v>1963</v>
      </c>
      <c r="R2890" s="84" t="s">
        <v>9605</v>
      </c>
      <c r="S2890" s="84">
        <v>0.104</v>
      </c>
      <c r="T2890" s="82" t="s">
        <v>10943</v>
      </c>
      <c r="U2890" s="84"/>
      <c r="V2890" s="54"/>
    </row>
    <row r="2891" spans="1:22" s="11" customFormat="1" ht="45" customHeight="1" x14ac:dyDescent="0.2">
      <c r="A2891" s="66" t="s">
        <v>1963</v>
      </c>
      <c r="B2891" s="66" t="s">
        <v>1155</v>
      </c>
      <c r="C2891" s="66" t="s">
        <v>9605</v>
      </c>
      <c r="D2891" s="66">
        <v>6976525000808</v>
      </c>
      <c r="E2891" s="68" t="s">
        <v>10956</v>
      </c>
      <c r="F2891" s="66" t="s">
        <v>10957</v>
      </c>
      <c r="G2891" s="71">
        <v>6941</v>
      </c>
      <c r="H2891" s="73"/>
      <c r="I2891" s="75">
        <v>0.2</v>
      </c>
      <c r="J2891" s="77"/>
      <c r="K2891" s="66"/>
      <c r="L2891" s="66"/>
      <c r="M2891" s="79" t="str">
        <f>HYPERLINK("http://www.pristavka.com/catalog/Genshin Impact/GEN1136/")</f>
        <v>http://www.pristavka.com/catalog/Genshin Impact/GEN1136/</v>
      </c>
      <c r="N2891" s="71">
        <v>11599</v>
      </c>
      <c r="O2891" s="66" t="s">
        <v>27</v>
      </c>
      <c r="P2891" s="82" t="s">
        <v>10958</v>
      </c>
      <c r="Q2891" s="84" t="s">
        <v>1963</v>
      </c>
      <c r="R2891" s="84" t="s">
        <v>9605</v>
      </c>
      <c r="S2891" s="84">
        <v>0.14399999999999999</v>
      </c>
      <c r="T2891" s="82" t="s">
        <v>10860</v>
      </c>
      <c r="U2891" s="84"/>
      <c r="V2891" s="54"/>
    </row>
    <row r="2892" spans="1:22" s="11" customFormat="1" ht="45" customHeight="1" x14ac:dyDescent="0.2">
      <c r="A2892" s="66" t="s">
        <v>1963</v>
      </c>
      <c r="B2892" s="66" t="s">
        <v>1155</v>
      </c>
      <c r="C2892" s="66" t="s">
        <v>9605</v>
      </c>
      <c r="D2892" s="66">
        <v>6942421158837</v>
      </c>
      <c r="E2892" s="68" t="s">
        <v>10959</v>
      </c>
      <c r="F2892" s="66" t="s">
        <v>10960</v>
      </c>
      <c r="G2892" s="71">
        <v>15815</v>
      </c>
      <c r="H2892" s="73"/>
      <c r="I2892" s="75">
        <v>0.2</v>
      </c>
      <c r="J2892" s="77"/>
      <c r="K2892" s="66"/>
      <c r="L2892" s="66"/>
      <c r="M2892" s="79" t="str">
        <f>HYPERLINK("http://www.pristavka.com/catalog/Genshin Impact/GEN1296/")</f>
        <v>http://www.pristavka.com/catalog/Genshin Impact/GEN1296/</v>
      </c>
      <c r="N2892" s="71">
        <v>26399</v>
      </c>
      <c r="O2892" s="66" t="s">
        <v>27</v>
      </c>
      <c r="P2892" s="82" t="s">
        <v>10961</v>
      </c>
      <c r="Q2892" s="84" t="s">
        <v>1963</v>
      </c>
      <c r="R2892" s="84" t="s">
        <v>9605</v>
      </c>
      <c r="S2892" s="84">
        <v>0.83599999999999997</v>
      </c>
      <c r="T2892" s="82" t="s">
        <v>10962</v>
      </c>
      <c r="U2892" s="84"/>
      <c r="V2892" s="54"/>
    </row>
    <row r="2893" spans="1:22" s="11" customFormat="1" ht="45" customHeight="1" x14ac:dyDescent="0.2">
      <c r="A2893" s="66" t="s">
        <v>1963</v>
      </c>
      <c r="B2893" s="66" t="s">
        <v>1155</v>
      </c>
      <c r="C2893" s="66" t="s">
        <v>9605</v>
      </c>
      <c r="D2893" s="66">
        <v>6942421111245</v>
      </c>
      <c r="E2893" s="68" t="s">
        <v>10963</v>
      </c>
      <c r="F2893" s="66" t="s">
        <v>10964</v>
      </c>
      <c r="G2893" s="71">
        <v>4722</v>
      </c>
      <c r="H2893" s="73"/>
      <c r="I2893" s="75">
        <v>0.2</v>
      </c>
      <c r="J2893" s="77"/>
      <c r="K2893" s="66"/>
      <c r="L2893" s="66"/>
      <c r="M2893" s="79" t="str">
        <f>HYPERLINK("http://www.pristavka.com/catalog/Genshin Impact/GEN1267/")</f>
        <v>http://www.pristavka.com/catalog/Genshin Impact/GEN1267/</v>
      </c>
      <c r="N2893" s="71">
        <v>7899</v>
      </c>
      <c r="O2893" s="66" t="s">
        <v>27</v>
      </c>
      <c r="P2893" s="82" t="s">
        <v>10965</v>
      </c>
      <c r="Q2893" s="84" t="s">
        <v>1963</v>
      </c>
      <c r="R2893" s="84" t="s">
        <v>9605</v>
      </c>
      <c r="S2893" s="84">
        <v>9.6000000000000002E-2</v>
      </c>
      <c r="T2893" s="82" t="s">
        <v>10966</v>
      </c>
      <c r="U2893" s="84"/>
      <c r="V2893" s="54"/>
    </row>
    <row r="2894" spans="1:22" s="11" customFormat="1" ht="45" customHeight="1" x14ac:dyDescent="0.2">
      <c r="A2894" s="66" t="s">
        <v>1963</v>
      </c>
      <c r="B2894" s="66" t="s">
        <v>1155</v>
      </c>
      <c r="C2894" s="66" t="s">
        <v>9605</v>
      </c>
      <c r="D2894" s="66">
        <v>6942421111252</v>
      </c>
      <c r="E2894" s="68" t="s">
        <v>10967</v>
      </c>
      <c r="F2894" s="66" t="s">
        <v>10968</v>
      </c>
      <c r="G2894" s="71">
        <v>4722</v>
      </c>
      <c r="H2894" s="73"/>
      <c r="I2894" s="75">
        <v>0.2</v>
      </c>
      <c r="J2894" s="77"/>
      <c r="K2894" s="66"/>
      <c r="L2894" s="66"/>
      <c r="M2894" s="79" t="str">
        <f>HYPERLINK("http://www.pristavka.com/catalog/Genshin Impact/GEN1268/")</f>
        <v>http://www.pristavka.com/catalog/Genshin Impact/GEN1268/</v>
      </c>
      <c r="N2894" s="71">
        <v>7899</v>
      </c>
      <c r="O2894" s="66" t="s">
        <v>27</v>
      </c>
      <c r="P2894" s="82" t="s">
        <v>10969</v>
      </c>
      <c r="Q2894" s="84" t="s">
        <v>1963</v>
      </c>
      <c r="R2894" s="84" t="s">
        <v>9605</v>
      </c>
      <c r="S2894" s="84">
        <v>9.6000000000000002E-2</v>
      </c>
      <c r="T2894" s="82" t="s">
        <v>10966</v>
      </c>
      <c r="U2894" s="84"/>
      <c r="V2894" s="54"/>
    </row>
    <row r="2895" spans="1:22" s="11" customFormat="1" ht="45" customHeight="1" x14ac:dyDescent="0.2">
      <c r="A2895" s="66" t="s">
        <v>1963</v>
      </c>
      <c r="B2895" s="66" t="s">
        <v>1155</v>
      </c>
      <c r="C2895" s="66" t="s">
        <v>9605</v>
      </c>
      <c r="D2895" s="66">
        <v>6942421111207</v>
      </c>
      <c r="E2895" s="68" t="s">
        <v>10970</v>
      </c>
      <c r="F2895" s="66" t="s">
        <v>10971</v>
      </c>
      <c r="G2895" s="71">
        <v>4722</v>
      </c>
      <c r="H2895" s="73"/>
      <c r="I2895" s="75">
        <v>0.2</v>
      </c>
      <c r="J2895" s="77"/>
      <c r="K2895" s="66"/>
      <c r="L2895" s="66"/>
      <c r="M2895" s="79" t="str">
        <f>HYPERLINK("http://www.pristavka.com/catalog/Genshin Impact/GEN1266/")</f>
        <v>http://www.pristavka.com/catalog/Genshin Impact/GEN1266/</v>
      </c>
      <c r="N2895" s="71">
        <v>7899</v>
      </c>
      <c r="O2895" s="66" t="s">
        <v>27</v>
      </c>
      <c r="P2895" s="82" t="s">
        <v>10972</v>
      </c>
      <c r="Q2895" s="84" t="s">
        <v>1963</v>
      </c>
      <c r="R2895" s="84" t="s">
        <v>9605</v>
      </c>
      <c r="S2895" s="84">
        <v>0.09</v>
      </c>
      <c r="T2895" s="82" t="s">
        <v>10966</v>
      </c>
      <c r="U2895" s="84"/>
      <c r="V2895" s="54"/>
    </row>
    <row r="2896" spans="1:22" s="11" customFormat="1" ht="45" customHeight="1" x14ac:dyDescent="0.2">
      <c r="A2896" s="66" t="s">
        <v>1963</v>
      </c>
      <c r="B2896" s="66" t="s">
        <v>1155</v>
      </c>
      <c r="C2896" s="66" t="s">
        <v>9605</v>
      </c>
      <c r="D2896" s="66">
        <v>6942421120995</v>
      </c>
      <c r="E2896" s="68" t="s">
        <v>10973</v>
      </c>
      <c r="F2896" s="66" t="s">
        <v>10974</v>
      </c>
      <c r="G2896" s="71">
        <v>1579</v>
      </c>
      <c r="H2896" s="73"/>
      <c r="I2896" s="75">
        <v>0.2</v>
      </c>
      <c r="J2896" s="77"/>
      <c r="K2896" s="66"/>
      <c r="L2896" s="66"/>
      <c r="M2896" s="79" t="str">
        <f>HYPERLINK("http://www.pristavka.com/catalog/Genshin Impact/GEN1183/")</f>
        <v>http://www.pristavka.com/catalog/Genshin Impact/GEN1183/</v>
      </c>
      <c r="N2896" s="71">
        <v>2699</v>
      </c>
      <c r="O2896" s="66" t="s">
        <v>27</v>
      </c>
      <c r="P2896" s="82" t="s">
        <v>10975</v>
      </c>
      <c r="Q2896" s="84" t="s">
        <v>1963</v>
      </c>
      <c r="R2896" s="84" t="s">
        <v>9605</v>
      </c>
      <c r="S2896" s="84">
        <v>1.6E-2</v>
      </c>
      <c r="T2896" s="82" t="s">
        <v>10976</v>
      </c>
      <c r="U2896" s="84"/>
      <c r="V2896" s="54"/>
    </row>
    <row r="2897" spans="1:22" s="11" customFormat="1" ht="45" customHeight="1" x14ac:dyDescent="0.2">
      <c r="A2897" s="66" t="s">
        <v>1963</v>
      </c>
      <c r="B2897" s="66" t="s">
        <v>1155</v>
      </c>
      <c r="C2897" s="66" t="s">
        <v>9605</v>
      </c>
      <c r="D2897" s="66">
        <v>6942421120988</v>
      </c>
      <c r="E2897" s="68" t="s">
        <v>10977</v>
      </c>
      <c r="F2897" s="66" t="s">
        <v>10978</v>
      </c>
      <c r="G2897" s="71">
        <v>1579</v>
      </c>
      <c r="H2897" s="73"/>
      <c r="I2897" s="75">
        <v>0.2</v>
      </c>
      <c r="J2897" s="77"/>
      <c r="K2897" s="66"/>
      <c r="L2897" s="66"/>
      <c r="M2897" s="79" t="str">
        <f>HYPERLINK("http://www.pristavka.com/catalog/Genshin Impact/GEN1182/")</f>
        <v>http://www.pristavka.com/catalog/Genshin Impact/GEN1182/</v>
      </c>
      <c r="N2897" s="71">
        <v>2699</v>
      </c>
      <c r="O2897" s="66" t="s">
        <v>27</v>
      </c>
      <c r="P2897" s="82" t="s">
        <v>10979</v>
      </c>
      <c r="Q2897" s="84" t="s">
        <v>1963</v>
      </c>
      <c r="R2897" s="84" t="s">
        <v>9605</v>
      </c>
      <c r="S2897" s="84">
        <v>1.6E-2</v>
      </c>
      <c r="T2897" s="82" t="s">
        <v>10980</v>
      </c>
      <c r="U2897" s="84"/>
      <c r="V2897" s="54"/>
    </row>
    <row r="2898" spans="1:22" s="11" customFormat="1" ht="45" customHeight="1" x14ac:dyDescent="0.2">
      <c r="A2898" s="66" t="s">
        <v>1963</v>
      </c>
      <c r="B2898" s="66" t="s">
        <v>1155</v>
      </c>
      <c r="C2898" s="66" t="s">
        <v>9605</v>
      </c>
      <c r="D2898" s="66">
        <v>6942421112471</v>
      </c>
      <c r="E2898" s="68" t="s">
        <v>10981</v>
      </c>
      <c r="F2898" s="66" t="s">
        <v>10982</v>
      </c>
      <c r="G2898" s="71">
        <v>1579</v>
      </c>
      <c r="H2898" s="73"/>
      <c r="I2898" s="75">
        <v>0.2</v>
      </c>
      <c r="J2898" s="77"/>
      <c r="K2898" s="66"/>
      <c r="L2898" s="66"/>
      <c r="M2898" s="79" t="str">
        <f>HYPERLINK("http://www.pristavka.com/catalog/Genshin Impact/GEN1184/")</f>
        <v>http://www.pristavka.com/catalog/Genshin Impact/GEN1184/</v>
      </c>
      <c r="N2898" s="71">
        <v>2699</v>
      </c>
      <c r="O2898" s="66" t="s">
        <v>27</v>
      </c>
      <c r="P2898" s="82" t="s">
        <v>10983</v>
      </c>
      <c r="Q2898" s="84" t="s">
        <v>1963</v>
      </c>
      <c r="R2898" s="84" t="s">
        <v>9605</v>
      </c>
      <c r="S2898" s="84">
        <v>1.6E-2</v>
      </c>
      <c r="T2898" s="82" t="s">
        <v>10984</v>
      </c>
      <c r="U2898" s="84"/>
      <c r="V2898" s="54"/>
    </row>
    <row r="2899" spans="1:22" s="11" customFormat="1" ht="45" customHeight="1" x14ac:dyDescent="0.2">
      <c r="A2899" s="66" t="s">
        <v>1963</v>
      </c>
      <c r="B2899" s="66" t="s">
        <v>1155</v>
      </c>
      <c r="C2899" s="66" t="s">
        <v>9605</v>
      </c>
      <c r="D2899" s="66">
        <v>6975628240265</v>
      </c>
      <c r="E2899" s="68" t="s">
        <v>10985</v>
      </c>
      <c r="F2899" s="66" t="s">
        <v>10986</v>
      </c>
      <c r="G2899" s="71">
        <v>946</v>
      </c>
      <c r="H2899" s="73"/>
      <c r="I2899" s="75">
        <v>0.2</v>
      </c>
      <c r="J2899" s="77"/>
      <c r="K2899" s="66"/>
      <c r="L2899" s="66"/>
      <c r="M2899" s="79" t="str">
        <f>HYPERLINK("http://www.pristavka.com/catalog/Genshin Impact/GEN378/")</f>
        <v>http://www.pristavka.com/catalog/Genshin Impact/GEN378/</v>
      </c>
      <c r="N2899" s="71">
        <v>1599</v>
      </c>
      <c r="O2899" s="66" t="s">
        <v>27</v>
      </c>
      <c r="P2899" s="82" t="s">
        <v>10987</v>
      </c>
      <c r="Q2899" s="84" t="s">
        <v>1963</v>
      </c>
      <c r="R2899" s="84" t="s">
        <v>9605</v>
      </c>
      <c r="S2899" s="84">
        <v>1.7999999999999999E-2</v>
      </c>
      <c r="T2899" s="82" t="s">
        <v>10183</v>
      </c>
      <c r="U2899" s="84" t="s">
        <v>2255</v>
      </c>
      <c r="V2899" s="54"/>
    </row>
    <row r="2900" spans="1:22" s="11" customFormat="1" ht="45" customHeight="1" x14ac:dyDescent="0.2">
      <c r="A2900" s="66" t="s">
        <v>1963</v>
      </c>
      <c r="B2900" s="66" t="s">
        <v>1155</v>
      </c>
      <c r="C2900" s="66" t="s">
        <v>9605</v>
      </c>
      <c r="D2900" s="66">
        <v>6975628240241</v>
      </c>
      <c r="E2900" s="68" t="s">
        <v>10988</v>
      </c>
      <c r="F2900" s="66" t="s">
        <v>10989</v>
      </c>
      <c r="G2900" s="71">
        <v>946</v>
      </c>
      <c r="H2900" s="73"/>
      <c r="I2900" s="75">
        <v>0.2</v>
      </c>
      <c r="J2900" s="77"/>
      <c r="K2900" s="66"/>
      <c r="L2900" s="66"/>
      <c r="M2900" s="79" t="str">
        <f>HYPERLINK("http://www.pristavka.com/catalog/Genshin Impact/GEN376/")</f>
        <v>http://www.pristavka.com/catalog/Genshin Impact/GEN376/</v>
      </c>
      <c r="N2900" s="71">
        <v>1599</v>
      </c>
      <c r="O2900" s="66" t="s">
        <v>27</v>
      </c>
      <c r="P2900" s="82" t="s">
        <v>10990</v>
      </c>
      <c r="Q2900" s="84" t="s">
        <v>1963</v>
      </c>
      <c r="R2900" s="84" t="s">
        <v>9605</v>
      </c>
      <c r="S2900" s="84">
        <v>1.9E-2</v>
      </c>
      <c r="T2900" s="82" t="s">
        <v>10304</v>
      </c>
      <c r="U2900" s="84" t="s">
        <v>2255</v>
      </c>
      <c r="V2900" s="54"/>
    </row>
    <row r="2901" spans="1:22" s="11" customFormat="1" ht="45" customHeight="1" x14ac:dyDescent="0.2">
      <c r="A2901" s="66" t="s">
        <v>1963</v>
      </c>
      <c r="B2901" s="66" t="s">
        <v>1155</v>
      </c>
      <c r="C2901" s="66" t="s">
        <v>9605</v>
      </c>
      <c r="D2901" s="66">
        <v>6975628240234</v>
      </c>
      <c r="E2901" s="68" t="s">
        <v>10991</v>
      </c>
      <c r="F2901" s="66" t="s">
        <v>10992</v>
      </c>
      <c r="G2901" s="71">
        <v>946</v>
      </c>
      <c r="H2901" s="73"/>
      <c r="I2901" s="75">
        <v>0.2</v>
      </c>
      <c r="J2901" s="77"/>
      <c r="K2901" s="66"/>
      <c r="L2901" s="66"/>
      <c r="M2901" s="79" t="str">
        <f>HYPERLINK("http://www.pristavka.com/catalog/Genshin Impact/GEN735/")</f>
        <v>http://www.pristavka.com/catalog/Genshin Impact/GEN735/</v>
      </c>
      <c r="N2901" s="71">
        <v>1599</v>
      </c>
      <c r="O2901" s="66" t="s">
        <v>28</v>
      </c>
      <c r="P2901" s="82" t="s">
        <v>10993</v>
      </c>
      <c r="Q2901" s="84" t="s">
        <v>1963</v>
      </c>
      <c r="R2901" s="84" t="s">
        <v>9605</v>
      </c>
      <c r="S2901" s="84">
        <v>1.9E-2</v>
      </c>
      <c r="T2901" s="82" t="s">
        <v>10994</v>
      </c>
      <c r="U2901" s="84"/>
      <c r="V2901" s="54"/>
    </row>
    <row r="2902" spans="1:22" s="11" customFormat="1" ht="45" customHeight="1" x14ac:dyDescent="0.2">
      <c r="A2902" s="66" t="s">
        <v>1963</v>
      </c>
      <c r="B2902" s="66" t="s">
        <v>1155</v>
      </c>
      <c r="C2902" s="66" t="s">
        <v>9605</v>
      </c>
      <c r="D2902" s="66">
        <v>6976068149675</v>
      </c>
      <c r="E2902" s="68" t="s">
        <v>10995</v>
      </c>
      <c r="F2902" s="66" t="s">
        <v>10996</v>
      </c>
      <c r="G2902" s="71">
        <v>946</v>
      </c>
      <c r="H2902" s="73"/>
      <c r="I2902" s="75">
        <v>0.2</v>
      </c>
      <c r="J2902" s="77"/>
      <c r="K2902" s="66"/>
      <c r="L2902" s="66"/>
      <c r="M2902" s="79" t="str">
        <f>HYPERLINK("http://www.pristavka.com/catalog/Genshin Impact/GEN967/")</f>
        <v>http://www.pristavka.com/catalog/Genshin Impact/GEN967/</v>
      </c>
      <c r="N2902" s="71">
        <v>1599</v>
      </c>
      <c r="O2902" s="66" t="s">
        <v>27</v>
      </c>
      <c r="P2902" s="82" t="s">
        <v>10997</v>
      </c>
      <c r="Q2902" s="84" t="s">
        <v>1963</v>
      </c>
      <c r="R2902" s="84" t="s">
        <v>9605</v>
      </c>
      <c r="S2902" s="84">
        <v>0.02</v>
      </c>
      <c r="T2902" s="82" t="s">
        <v>10998</v>
      </c>
      <c r="U2902" s="84"/>
      <c r="V2902" s="54"/>
    </row>
    <row r="2903" spans="1:22" s="11" customFormat="1" ht="45" customHeight="1" x14ac:dyDescent="0.2">
      <c r="A2903" s="66" t="s">
        <v>1963</v>
      </c>
      <c r="B2903" s="66" t="s">
        <v>1155</v>
      </c>
      <c r="C2903" s="66" t="s">
        <v>9605</v>
      </c>
      <c r="D2903" s="66">
        <v>6976068149682</v>
      </c>
      <c r="E2903" s="68" t="s">
        <v>10999</v>
      </c>
      <c r="F2903" s="66" t="s">
        <v>11000</v>
      </c>
      <c r="G2903" s="71">
        <v>946</v>
      </c>
      <c r="H2903" s="73"/>
      <c r="I2903" s="75">
        <v>0.2</v>
      </c>
      <c r="J2903" s="77"/>
      <c r="K2903" s="66"/>
      <c r="L2903" s="66"/>
      <c r="M2903" s="79" t="str">
        <f>HYPERLINK("http://www.pristavka.com/catalog/Genshin Impact/GEN966/")</f>
        <v>http://www.pristavka.com/catalog/Genshin Impact/GEN966/</v>
      </c>
      <c r="N2903" s="71">
        <v>1599</v>
      </c>
      <c r="O2903" s="66" t="s">
        <v>27</v>
      </c>
      <c r="P2903" s="82" t="s">
        <v>11001</v>
      </c>
      <c r="Q2903" s="84" t="s">
        <v>1963</v>
      </c>
      <c r="R2903" s="84" t="s">
        <v>9605</v>
      </c>
      <c r="S2903" s="84">
        <v>0.02</v>
      </c>
      <c r="T2903" s="82" t="s">
        <v>11002</v>
      </c>
      <c r="U2903" s="84"/>
      <c r="V2903" s="54"/>
    </row>
    <row r="2904" spans="1:22" s="11" customFormat="1" ht="45" customHeight="1" x14ac:dyDescent="0.2">
      <c r="A2904" s="66" t="s">
        <v>1963</v>
      </c>
      <c r="B2904" s="66" t="s">
        <v>1155</v>
      </c>
      <c r="C2904" s="66" t="s">
        <v>9605</v>
      </c>
      <c r="D2904" s="66">
        <v>6976068149668</v>
      </c>
      <c r="E2904" s="68" t="s">
        <v>11003</v>
      </c>
      <c r="F2904" s="66" t="s">
        <v>11004</v>
      </c>
      <c r="G2904" s="71">
        <v>946</v>
      </c>
      <c r="H2904" s="73"/>
      <c r="I2904" s="75">
        <v>0.2</v>
      </c>
      <c r="J2904" s="77"/>
      <c r="K2904" s="66"/>
      <c r="L2904" s="66"/>
      <c r="M2904" s="79" t="str">
        <f>HYPERLINK("http://www.pristavka.com/catalog/Genshin Impact/GEN965/")</f>
        <v>http://www.pristavka.com/catalog/Genshin Impact/GEN965/</v>
      </c>
      <c r="N2904" s="71">
        <v>1599</v>
      </c>
      <c r="O2904" s="66" t="s">
        <v>28</v>
      </c>
      <c r="P2904" s="82" t="s">
        <v>11005</v>
      </c>
      <c r="Q2904" s="84" t="s">
        <v>1963</v>
      </c>
      <c r="R2904" s="84" t="s">
        <v>9605</v>
      </c>
      <c r="S2904" s="84">
        <v>0.02</v>
      </c>
      <c r="T2904" s="82" t="s">
        <v>11002</v>
      </c>
      <c r="U2904" s="84"/>
      <c r="V2904" s="54"/>
    </row>
    <row r="2905" spans="1:22" s="11" customFormat="1" ht="45" customHeight="1" x14ac:dyDescent="0.2">
      <c r="A2905" s="66" t="s">
        <v>1963</v>
      </c>
      <c r="B2905" s="66" t="s">
        <v>1155</v>
      </c>
      <c r="C2905" s="66" t="s">
        <v>9605</v>
      </c>
      <c r="D2905" s="66">
        <v>6975213681060</v>
      </c>
      <c r="E2905" s="68" t="s">
        <v>11006</v>
      </c>
      <c r="F2905" s="66" t="s">
        <v>11007</v>
      </c>
      <c r="G2905" s="71">
        <v>1579</v>
      </c>
      <c r="H2905" s="73"/>
      <c r="I2905" s="75">
        <v>0.2</v>
      </c>
      <c r="J2905" s="77"/>
      <c r="K2905" s="66"/>
      <c r="L2905" s="66"/>
      <c r="M2905" s="79" t="str">
        <f>HYPERLINK("http://www.pristavka.com/catalog/Genshin Impact/GEN899/")</f>
        <v>http://www.pristavka.com/catalog/Genshin Impact/GEN899/</v>
      </c>
      <c r="N2905" s="71">
        <v>2699</v>
      </c>
      <c r="O2905" s="66" t="s">
        <v>27</v>
      </c>
      <c r="P2905" s="82" t="s">
        <v>11008</v>
      </c>
      <c r="Q2905" s="84" t="s">
        <v>1963</v>
      </c>
      <c r="R2905" s="84" t="s">
        <v>9605</v>
      </c>
      <c r="S2905" s="84">
        <v>0.03</v>
      </c>
      <c r="T2905" s="82" t="s">
        <v>10998</v>
      </c>
      <c r="U2905" s="84"/>
      <c r="V2905" s="54"/>
    </row>
    <row r="2906" spans="1:22" s="11" customFormat="1" ht="45" customHeight="1" x14ac:dyDescent="0.2">
      <c r="A2906" s="66" t="s">
        <v>1963</v>
      </c>
      <c r="B2906" s="66" t="s">
        <v>1155</v>
      </c>
      <c r="C2906" s="66" t="s">
        <v>9605</v>
      </c>
      <c r="D2906" s="66">
        <v>6976068140757</v>
      </c>
      <c r="E2906" s="68" t="s">
        <v>11009</v>
      </c>
      <c r="F2906" s="66" t="s">
        <v>11010</v>
      </c>
      <c r="G2906" s="71">
        <v>1009</v>
      </c>
      <c r="H2906" s="73"/>
      <c r="I2906" s="75">
        <v>0.2</v>
      </c>
      <c r="J2906" s="77"/>
      <c r="K2906" s="66"/>
      <c r="L2906" s="66"/>
      <c r="M2906" s="79" t="str">
        <f>HYPERLINK("http://www.pristavka.com/catalog/Genshin Impact/GEN557/")</f>
        <v>http://www.pristavka.com/catalog/Genshin Impact/GEN557/</v>
      </c>
      <c r="N2906" s="71">
        <v>1699</v>
      </c>
      <c r="O2906" s="66" t="s">
        <v>27</v>
      </c>
      <c r="P2906" s="82" t="s">
        <v>11011</v>
      </c>
      <c r="Q2906" s="84" t="s">
        <v>1963</v>
      </c>
      <c r="R2906" s="84" t="s">
        <v>9605</v>
      </c>
      <c r="S2906" s="84">
        <v>1.9E-2</v>
      </c>
      <c r="T2906" s="82" t="s">
        <v>10183</v>
      </c>
      <c r="U2906" s="84"/>
      <c r="V2906" s="54"/>
    </row>
    <row r="2907" spans="1:22" s="11" customFormat="1" ht="45" customHeight="1" x14ac:dyDescent="0.2">
      <c r="A2907" s="66" t="s">
        <v>1963</v>
      </c>
      <c r="B2907" s="66" t="s">
        <v>1155</v>
      </c>
      <c r="C2907" s="66" t="s">
        <v>9605</v>
      </c>
      <c r="D2907" s="66">
        <v>6976068140726</v>
      </c>
      <c r="E2907" s="68" t="s">
        <v>11012</v>
      </c>
      <c r="F2907" s="66" t="s">
        <v>11013</v>
      </c>
      <c r="G2907" s="71">
        <v>1009</v>
      </c>
      <c r="H2907" s="73"/>
      <c r="I2907" s="75">
        <v>0.2</v>
      </c>
      <c r="J2907" s="77"/>
      <c r="K2907" s="66"/>
      <c r="L2907" s="66"/>
      <c r="M2907" s="79" t="str">
        <f>HYPERLINK("http://www.pristavka.com/catalog/Genshin Impact/GEN554/")</f>
        <v>http://www.pristavka.com/catalog/Genshin Impact/GEN554/</v>
      </c>
      <c r="N2907" s="71">
        <v>1699</v>
      </c>
      <c r="O2907" s="66" t="s">
        <v>28</v>
      </c>
      <c r="P2907" s="82" t="s">
        <v>11014</v>
      </c>
      <c r="Q2907" s="84" t="s">
        <v>1963</v>
      </c>
      <c r="R2907" s="84" t="s">
        <v>9605</v>
      </c>
      <c r="S2907" s="84">
        <v>1.9E-2</v>
      </c>
      <c r="T2907" s="82" t="s">
        <v>10183</v>
      </c>
      <c r="U2907" s="84"/>
      <c r="V2907" s="54"/>
    </row>
    <row r="2908" spans="1:22" s="11" customFormat="1" ht="45" customHeight="1" x14ac:dyDescent="0.2">
      <c r="A2908" s="66" t="s">
        <v>1963</v>
      </c>
      <c r="B2908" s="66" t="s">
        <v>1155</v>
      </c>
      <c r="C2908" s="66" t="s">
        <v>9605</v>
      </c>
      <c r="D2908" s="66">
        <v>6972957482649</v>
      </c>
      <c r="E2908" s="68" t="s">
        <v>11015</v>
      </c>
      <c r="F2908" s="66" t="s">
        <v>11016</v>
      </c>
      <c r="G2908" s="71">
        <v>946</v>
      </c>
      <c r="H2908" s="73"/>
      <c r="I2908" s="75">
        <v>0.2</v>
      </c>
      <c r="J2908" s="77"/>
      <c r="K2908" s="66"/>
      <c r="L2908" s="66"/>
      <c r="M2908" s="79" t="str">
        <f>HYPERLINK("http://www.pristavka.com/catalog/Genshin Impact/GEN80/")</f>
        <v>http://www.pristavka.com/catalog/Genshin Impact/GEN80/</v>
      </c>
      <c r="N2908" s="71">
        <v>1599</v>
      </c>
      <c r="O2908" s="66" t="s">
        <v>27</v>
      </c>
      <c r="P2908" s="82" t="s">
        <v>11017</v>
      </c>
      <c r="Q2908" s="84" t="s">
        <v>1963</v>
      </c>
      <c r="R2908" s="84" t="s">
        <v>9605</v>
      </c>
      <c r="S2908" s="84">
        <v>2.3E-2</v>
      </c>
      <c r="T2908" s="82" t="s">
        <v>10450</v>
      </c>
      <c r="U2908" s="84" t="s">
        <v>2255</v>
      </c>
      <c r="V2908" s="54"/>
    </row>
    <row r="2909" spans="1:22" s="11" customFormat="1" ht="45" customHeight="1" x14ac:dyDescent="0.2">
      <c r="A2909" s="66" t="s">
        <v>1963</v>
      </c>
      <c r="B2909" s="66" t="s">
        <v>1155</v>
      </c>
      <c r="C2909" s="66" t="s">
        <v>9605</v>
      </c>
      <c r="D2909" s="66">
        <v>6972957482656</v>
      </c>
      <c r="E2909" s="68" t="s">
        <v>11018</v>
      </c>
      <c r="F2909" s="66" t="s">
        <v>11019</v>
      </c>
      <c r="G2909" s="71">
        <v>787</v>
      </c>
      <c r="H2909" s="73"/>
      <c r="I2909" s="75">
        <v>0.2</v>
      </c>
      <c r="J2909" s="77"/>
      <c r="K2909" s="66"/>
      <c r="L2909" s="66"/>
      <c r="M2909" s="79" t="str">
        <f>HYPERLINK("http://www.pristavka.com/catalog/Genshin Impact/GEN82/")</f>
        <v>http://www.pristavka.com/catalog/Genshin Impact/GEN82/</v>
      </c>
      <c r="N2909" s="71">
        <v>1399</v>
      </c>
      <c r="O2909" s="66" t="s">
        <v>27</v>
      </c>
      <c r="P2909" s="82" t="s">
        <v>11020</v>
      </c>
      <c r="Q2909" s="84" t="s">
        <v>1963</v>
      </c>
      <c r="R2909" s="84" t="s">
        <v>9605</v>
      </c>
      <c r="S2909" s="84">
        <v>2.3E-2</v>
      </c>
      <c r="T2909" s="82" t="s">
        <v>10450</v>
      </c>
      <c r="U2909" s="84" t="s">
        <v>2255</v>
      </c>
      <c r="V2909" s="54"/>
    </row>
    <row r="2910" spans="1:22" s="11" customFormat="1" ht="45" customHeight="1" x14ac:dyDescent="0.2">
      <c r="A2910" s="66" t="s">
        <v>1963</v>
      </c>
      <c r="B2910" s="66" t="s">
        <v>1155</v>
      </c>
      <c r="C2910" s="66" t="s">
        <v>9605</v>
      </c>
      <c r="D2910" s="66">
        <v>6972957482663</v>
      </c>
      <c r="E2910" s="68" t="s">
        <v>11021</v>
      </c>
      <c r="F2910" s="66" t="s">
        <v>11022</v>
      </c>
      <c r="G2910" s="71">
        <v>787</v>
      </c>
      <c r="H2910" s="73"/>
      <c r="I2910" s="75">
        <v>0.2</v>
      </c>
      <c r="J2910" s="77"/>
      <c r="K2910" s="66"/>
      <c r="L2910" s="66"/>
      <c r="M2910" s="79" t="str">
        <f>HYPERLINK("http://www.pristavka.com/catalog/Genshin Impact/GEN81/")</f>
        <v>http://www.pristavka.com/catalog/Genshin Impact/GEN81/</v>
      </c>
      <c r="N2910" s="71">
        <v>1399</v>
      </c>
      <c r="O2910" s="66" t="s">
        <v>27</v>
      </c>
      <c r="P2910" s="82" t="s">
        <v>11023</v>
      </c>
      <c r="Q2910" s="84" t="s">
        <v>1963</v>
      </c>
      <c r="R2910" s="84" t="s">
        <v>9605</v>
      </c>
      <c r="S2910" s="84">
        <v>2.1999999999999999E-2</v>
      </c>
      <c r="T2910" s="82" t="s">
        <v>10450</v>
      </c>
      <c r="U2910" s="84" t="s">
        <v>2255</v>
      </c>
      <c r="V2910" s="54"/>
    </row>
    <row r="2911" spans="1:22" s="11" customFormat="1" ht="45" customHeight="1" x14ac:dyDescent="0.2">
      <c r="A2911" s="66" t="s">
        <v>1963</v>
      </c>
      <c r="B2911" s="66" t="s">
        <v>1155</v>
      </c>
      <c r="C2911" s="66" t="s">
        <v>9605</v>
      </c>
      <c r="D2911" s="66">
        <v>6974696617450</v>
      </c>
      <c r="E2911" s="68" t="s">
        <v>11024</v>
      </c>
      <c r="F2911" s="66" t="s">
        <v>11025</v>
      </c>
      <c r="G2911" s="71">
        <v>1167</v>
      </c>
      <c r="H2911" s="73"/>
      <c r="I2911" s="75">
        <v>0.2</v>
      </c>
      <c r="J2911" s="77"/>
      <c r="K2911" s="66"/>
      <c r="L2911" s="66"/>
      <c r="M2911" s="79" t="str">
        <f>HYPERLINK("http://www.pristavka.com/catalog/Genshin Impact/GEN136/")</f>
        <v>http://www.pristavka.com/catalog/Genshin Impact/GEN136/</v>
      </c>
      <c r="N2911" s="71">
        <v>1999</v>
      </c>
      <c r="O2911" s="66" t="s">
        <v>27</v>
      </c>
      <c r="P2911" s="82" t="s">
        <v>11026</v>
      </c>
      <c r="Q2911" s="84" t="s">
        <v>1963</v>
      </c>
      <c r="R2911" s="84" t="s">
        <v>9605</v>
      </c>
      <c r="S2911" s="84">
        <v>1.7000000000000001E-2</v>
      </c>
      <c r="T2911" s="82" t="s">
        <v>11027</v>
      </c>
      <c r="U2911" s="84" t="s">
        <v>2255</v>
      </c>
      <c r="V2911" s="54"/>
    </row>
    <row r="2912" spans="1:22" s="11" customFormat="1" ht="45" customHeight="1" x14ac:dyDescent="0.2">
      <c r="A2912" s="66" t="s">
        <v>1963</v>
      </c>
      <c r="B2912" s="66" t="s">
        <v>1155</v>
      </c>
      <c r="C2912" s="66" t="s">
        <v>9605</v>
      </c>
      <c r="D2912" s="66">
        <v>6974096534166</v>
      </c>
      <c r="E2912" s="68" t="s">
        <v>11028</v>
      </c>
      <c r="F2912" s="66" t="s">
        <v>11029</v>
      </c>
      <c r="G2912" s="71">
        <v>946</v>
      </c>
      <c r="H2912" s="73"/>
      <c r="I2912" s="75">
        <v>0.2</v>
      </c>
      <c r="J2912" s="77"/>
      <c r="K2912" s="66"/>
      <c r="L2912" s="66"/>
      <c r="M2912" s="79" t="str">
        <f>HYPERLINK("http://www.pristavka.com/catalog/Genshin Impact/GEN134/")</f>
        <v>http://www.pristavka.com/catalog/Genshin Impact/GEN134/</v>
      </c>
      <c r="N2912" s="71">
        <v>1599</v>
      </c>
      <c r="O2912" s="66" t="s">
        <v>27</v>
      </c>
      <c r="P2912" s="82" t="s">
        <v>11030</v>
      </c>
      <c r="Q2912" s="84" t="s">
        <v>1963</v>
      </c>
      <c r="R2912" s="84" t="s">
        <v>9605</v>
      </c>
      <c r="S2912" s="84">
        <v>1.7000000000000001E-2</v>
      </c>
      <c r="T2912" s="82" t="s">
        <v>11027</v>
      </c>
      <c r="U2912" s="84" t="s">
        <v>2255</v>
      </c>
      <c r="V2912" s="54"/>
    </row>
    <row r="2913" spans="1:22" s="11" customFormat="1" ht="45" customHeight="1" x14ac:dyDescent="0.2">
      <c r="A2913" s="66" t="s">
        <v>1963</v>
      </c>
      <c r="B2913" s="66" t="s">
        <v>1155</v>
      </c>
      <c r="C2913" s="66" t="s">
        <v>9605</v>
      </c>
      <c r="D2913" s="66">
        <v>6942421101758</v>
      </c>
      <c r="E2913" s="68" t="s">
        <v>11031</v>
      </c>
      <c r="F2913" s="66" t="s">
        <v>11032</v>
      </c>
      <c r="G2913" s="71">
        <v>946</v>
      </c>
      <c r="H2913" s="73"/>
      <c r="I2913" s="75">
        <v>0.2</v>
      </c>
      <c r="J2913" s="77"/>
      <c r="K2913" s="66"/>
      <c r="L2913" s="66"/>
      <c r="M2913" s="79" t="str">
        <f>HYPERLINK("http://www.pristavka.com/catalog/Genshin Impact/GEN1002/")</f>
        <v>http://www.pristavka.com/catalog/Genshin Impact/GEN1002/</v>
      </c>
      <c r="N2913" s="71">
        <v>1599</v>
      </c>
      <c r="O2913" s="66" t="s">
        <v>27</v>
      </c>
      <c r="P2913" s="82" t="s">
        <v>11033</v>
      </c>
      <c r="Q2913" s="84" t="s">
        <v>1963</v>
      </c>
      <c r="R2913" s="84" t="s">
        <v>9605</v>
      </c>
      <c r="S2913" s="84">
        <v>0.02</v>
      </c>
      <c r="T2913" s="82" t="s">
        <v>10304</v>
      </c>
      <c r="U2913" s="84"/>
      <c r="V2913" s="54"/>
    </row>
    <row r="2914" spans="1:22" s="11" customFormat="1" ht="45" customHeight="1" x14ac:dyDescent="0.2">
      <c r="A2914" s="66" t="s">
        <v>1963</v>
      </c>
      <c r="B2914" s="66" t="s">
        <v>1155</v>
      </c>
      <c r="C2914" s="66" t="s">
        <v>9605</v>
      </c>
      <c r="D2914" s="66">
        <v>6942421101666</v>
      </c>
      <c r="E2914" s="68" t="s">
        <v>11034</v>
      </c>
      <c r="F2914" s="66" t="s">
        <v>11035</v>
      </c>
      <c r="G2914" s="71">
        <v>946</v>
      </c>
      <c r="H2914" s="73"/>
      <c r="I2914" s="75">
        <v>0.2</v>
      </c>
      <c r="J2914" s="77"/>
      <c r="K2914" s="66"/>
      <c r="L2914" s="66"/>
      <c r="M2914" s="79" t="str">
        <f>HYPERLINK("http://www.pristavka.com/catalog/Genshin Impact/GEN993/")</f>
        <v>http://www.pristavka.com/catalog/Genshin Impact/GEN993/</v>
      </c>
      <c r="N2914" s="71">
        <v>1599</v>
      </c>
      <c r="O2914" s="66" t="s">
        <v>27</v>
      </c>
      <c r="P2914" s="82" t="s">
        <v>11036</v>
      </c>
      <c r="Q2914" s="84" t="s">
        <v>1963</v>
      </c>
      <c r="R2914" s="84" t="s">
        <v>9605</v>
      </c>
      <c r="S2914" s="84">
        <v>0.02</v>
      </c>
      <c r="T2914" s="82" t="s">
        <v>11002</v>
      </c>
      <c r="U2914" s="84"/>
      <c r="V2914" s="54"/>
    </row>
    <row r="2915" spans="1:22" s="11" customFormat="1" ht="45" customHeight="1" x14ac:dyDescent="0.2">
      <c r="A2915" s="66" t="s">
        <v>1963</v>
      </c>
      <c r="B2915" s="66" t="s">
        <v>1155</v>
      </c>
      <c r="C2915" s="66" t="s">
        <v>9605</v>
      </c>
      <c r="D2915" s="66">
        <v>6942421101710</v>
      </c>
      <c r="E2915" s="68" t="s">
        <v>11037</v>
      </c>
      <c r="F2915" s="66" t="s">
        <v>11038</v>
      </c>
      <c r="G2915" s="71">
        <v>946</v>
      </c>
      <c r="H2915" s="73"/>
      <c r="I2915" s="75">
        <v>0.2</v>
      </c>
      <c r="J2915" s="77"/>
      <c r="K2915" s="66"/>
      <c r="L2915" s="66"/>
      <c r="M2915" s="79" t="str">
        <f>HYPERLINK("http://www.pristavka.com/catalog/Genshin Impact/GEN998/")</f>
        <v>http://www.pristavka.com/catalog/Genshin Impact/GEN998/</v>
      </c>
      <c r="N2915" s="71">
        <v>1599</v>
      </c>
      <c r="O2915" s="66" t="s">
        <v>28</v>
      </c>
      <c r="P2915" s="82" t="s">
        <v>11039</v>
      </c>
      <c r="Q2915" s="84" t="s">
        <v>1963</v>
      </c>
      <c r="R2915" s="84" t="s">
        <v>9605</v>
      </c>
      <c r="S2915" s="84">
        <v>0.02</v>
      </c>
      <c r="T2915" s="82" t="s">
        <v>10304</v>
      </c>
      <c r="U2915" s="84"/>
      <c r="V2915" s="54"/>
    </row>
    <row r="2916" spans="1:22" s="11" customFormat="1" ht="45" customHeight="1" x14ac:dyDescent="0.2">
      <c r="A2916" s="66" t="s">
        <v>1963</v>
      </c>
      <c r="B2916" s="66" t="s">
        <v>1155</v>
      </c>
      <c r="C2916" s="66" t="s">
        <v>9605</v>
      </c>
      <c r="D2916" s="66">
        <v>6942421101659</v>
      </c>
      <c r="E2916" s="68" t="s">
        <v>11040</v>
      </c>
      <c r="F2916" s="66" t="s">
        <v>11041</v>
      </c>
      <c r="G2916" s="71">
        <v>946</v>
      </c>
      <c r="H2916" s="73"/>
      <c r="I2916" s="75">
        <v>0.2</v>
      </c>
      <c r="J2916" s="77"/>
      <c r="K2916" s="66"/>
      <c r="L2916" s="66"/>
      <c r="M2916" s="79" t="str">
        <f>HYPERLINK("http://www.pristavka.com/catalog/Genshin Impact/GEN992/")</f>
        <v>http://www.pristavka.com/catalog/Genshin Impact/GEN992/</v>
      </c>
      <c r="N2916" s="71">
        <v>1599</v>
      </c>
      <c r="O2916" s="66" t="s">
        <v>27</v>
      </c>
      <c r="P2916" s="82" t="s">
        <v>11042</v>
      </c>
      <c r="Q2916" s="84" t="s">
        <v>1963</v>
      </c>
      <c r="R2916" s="84" t="s">
        <v>9605</v>
      </c>
      <c r="S2916" s="84">
        <v>0.02</v>
      </c>
      <c r="T2916" s="82" t="s">
        <v>10304</v>
      </c>
      <c r="U2916" s="84"/>
      <c r="V2916" s="54"/>
    </row>
    <row r="2917" spans="1:22" s="11" customFormat="1" ht="45" customHeight="1" x14ac:dyDescent="0.2">
      <c r="A2917" s="66" t="s">
        <v>1963</v>
      </c>
      <c r="B2917" s="66" t="s">
        <v>1155</v>
      </c>
      <c r="C2917" s="66" t="s">
        <v>9605</v>
      </c>
      <c r="D2917" s="66">
        <v>6942421101734</v>
      </c>
      <c r="E2917" s="68" t="s">
        <v>11043</v>
      </c>
      <c r="F2917" s="66" t="s">
        <v>11044</v>
      </c>
      <c r="G2917" s="71">
        <v>946</v>
      </c>
      <c r="H2917" s="73"/>
      <c r="I2917" s="75">
        <v>0.2</v>
      </c>
      <c r="J2917" s="77"/>
      <c r="K2917" s="66"/>
      <c r="L2917" s="66"/>
      <c r="M2917" s="79" t="str">
        <f>HYPERLINK("http://www.pristavka.com/catalog/Genshin Impact/GEN1000/")</f>
        <v>http://www.pristavka.com/catalog/Genshin Impact/GEN1000/</v>
      </c>
      <c r="N2917" s="71">
        <v>1599</v>
      </c>
      <c r="O2917" s="66" t="s">
        <v>27</v>
      </c>
      <c r="P2917" s="82" t="s">
        <v>11045</v>
      </c>
      <c r="Q2917" s="84" t="s">
        <v>1963</v>
      </c>
      <c r="R2917" s="84" t="s">
        <v>9605</v>
      </c>
      <c r="S2917" s="84">
        <v>0.02</v>
      </c>
      <c r="T2917" s="82" t="s">
        <v>10304</v>
      </c>
      <c r="U2917" s="84"/>
      <c r="V2917" s="54"/>
    </row>
    <row r="2918" spans="1:22" s="11" customFormat="1" ht="45" customHeight="1" x14ac:dyDescent="0.2">
      <c r="A2918" s="66" t="s">
        <v>1963</v>
      </c>
      <c r="B2918" s="66" t="s">
        <v>1155</v>
      </c>
      <c r="C2918" s="66" t="s">
        <v>9605</v>
      </c>
      <c r="D2918" s="66">
        <v>6942421101741</v>
      </c>
      <c r="E2918" s="68" t="s">
        <v>11046</v>
      </c>
      <c r="F2918" s="66" t="s">
        <v>11047</v>
      </c>
      <c r="G2918" s="71">
        <v>946</v>
      </c>
      <c r="H2918" s="73"/>
      <c r="I2918" s="75">
        <v>0.2</v>
      </c>
      <c r="J2918" s="77"/>
      <c r="K2918" s="66"/>
      <c r="L2918" s="66"/>
      <c r="M2918" s="79" t="str">
        <f>HYPERLINK("http://www.pristavka.com/catalog/Genshin Impact/GEN1001/")</f>
        <v>http://www.pristavka.com/catalog/Genshin Impact/GEN1001/</v>
      </c>
      <c r="N2918" s="71">
        <v>1599</v>
      </c>
      <c r="O2918" s="66" t="s">
        <v>27</v>
      </c>
      <c r="P2918" s="82" t="s">
        <v>11048</v>
      </c>
      <c r="Q2918" s="84" t="s">
        <v>1963</v>
      </c>
      <c r="R2918" s="84" t="s">
        <v>9605</v>
      </c>
      <c r="S2918" s="84">
        <v>0.02</v>
      </c>
      <c r="T2918" s="82" t="s">
        <v>10304</v>
      </c>
      <c r="U2918" s="84"/>
      <c r="V2918" s="54"/>
    </row>
    <row r="2919" spans="1:22" s="11" customFormat="1" ht="45" customHeight="1" x14ac:dyDescent="0.2">
      <c r="A2919" s="66" t="s">
        <v>1963</v>
      </c>
      <c r="B2919" s="66" t="s">
        <v>1155</v>
      </c>
      <c r="C2919" s="66" t="s">
        <v>9605</v>
      </c>
      <c r="D2919" s="66">
        <v>6942421101673</v>
      </c>
      <c r="E2919" s="68" t="s">
        <v>11049</v>
      </c>
      <c r="F2919" s="66" t="s">
        <v>11050</v>
      </c>
      <c r="G2919" s="71">
        <v>946</v>
      </c>
      <c r="H2919" s="73"/>
      <c r="I2919" s="75">
        <v>0.2</v>
      </c>
      <c r="J2919" s="77"/>
      <c r="K2919" s="66"/>
      <c r="L2919" s="66"/>
      <c r="M2919" s="79" t="str">
        <f>HYPERLINK("http://www.pristavka.com/catalog/Genshin Impact/GEN994/")</f>
        <v>http://www.pristavka.com/catalog/Genshin Impact/GEN994/</v>
      </c>
      <c r="N2919" s="71">
        <v>1599</v>
      </c>
      <c r="O2919" s="66" t="s">
        <v>27</v>
      </c>
      <c r="P2919" s="82" t="s">
        <v>11051</v>
      </c>
      <c r="Q2919" s="84" t="s">
        <v>1963</v>
      </c>
      <c r="R2919" s="84" t="s">
        <v>9605</v>
      </c>
      <c r="S2919" s="84">
        <v>0.02</v>
      </c>
      <c r="T2919" s="82" t="s">
        <v>10304</v>
      </c>
      <c r="U2919" s="84"/>
      <c r="V2919" s="54"/>
    </row>
    <row r="2920" spans="1:22" s="11" customFormat="1" ht="45" customHeight="1" x14ac:dyDescent="0.2">
      <c r="A2920" s="66" t="s">
        <v>1963</v>
      </c>
      <c r="B2920" s="66" t="s">
        <v>1155</v>
      </c>
      <c r="C2920" s="66" t="s">
        <v>9605</v>
      </c>
      <c r="D2920" s="66">
        <v>6942421101727</v>
      </c>
      <c r="E2920" s="68" t="s">
        <v>11052</v>
      </c>
      <c r="F2920" s="66" t="s">
        <v>11053</v>
      </c>
      <c r="G2920" s="71">
        <v>946</v>
      </c>
      <c r="H2920" s="73"/>
      <c r="I2920" s="75">
        <v>0.2</v>
      </c>
      <c r="J2920" s="77"/>
      <c r="K2920" s="66"/>
      <c r="L2920" s="66"/>
      <c r="M2920" s="79" t="str">
        <f>HYPERLINK("http://www.pristavka.com/catalog/Genshin Impact/GEN999/")</f>
        <v>http://www.pristavka.com/catalog/Genshin Impact/GEN999/</v>
      </c>
      <c r="N2920" s="71">
        <v>1599</v>
      </c>
      <c r="O2920" s="66" t="s">
        <v>27</v>
      </c>
      <c r="P2920" s="82" t="s">
        <v>11054</v>
      </c>
      <c r="Q2920" s="84" t="s">
        <v>1963</v>
      </c>
      <c r="R2920" s="84" t="s">
        <v>9605</v>
      </c>
      <c r="S2920" s="84">
        <v>0.02</v>
      </c>
      <c r="T2920" s="82" t="s">
        <v>10304</v>
      </c>
      <c r="U2920" s="84"/>
      <c r="V2920" s="54"/>
    </row>
    <row r="2921" spans="1:22" s="11" customFormat="1" ht="45" customHeight="1" x14ac:dyDescent="0.2">
      <c r="A2921" s="66" t="s">
        <v>1963</v>
      </c>
      <c r="B2921" s="66" t="s">
        <v>1155</v>
      </c>
      <c r="C2921" s="66" t="s">
        <v>9605</v>
      </c>
      <c r="D2921" s="66">
        <v>6942421101697</v>
      </c>
      <c r="E2921" s="68" t="s">
        <v>11055</v>
      </c>
      <c r="F2921" s="66" t="s">
        <v>11056</v>
      </c>
      <c r="G2921" s="71">
        <v>946</v>
      </c>
      <c r="H2921" s="73"/>
      <c r="I2921" s="75">
        <v>0.2</v>
      </c>
      <c r="J2921" s="77"/>
      <c r="K2921" s="66"/>
      <c r="L2921" s="66"/>
      <c r="M2921" s="79" t="str">
        <f>HYPERLINK("http://www.pristavka.com/catalog/Genshin Impact/GEN996/")</f>
        <v>http://www.pristavka.com/catalog/Genshin Impact/GEN996/</v>
      </c>
      <c r="N2921" s="71">
        <v>1599</v>
      </c>
      <c r="O2921" s="66" t="s">
        <v>27</v>
      </c>
      <c r="P2921" s="82" t="s">
        <v>11057</v>
      </c>
      <c r="Q2921" s="84" t="s">
        <v>1963</v>
      </c>
      <c r="R2921" s="84" t="s">
        <v>9605</v>
      </c>
      <c r="S2921" s="84">
        <v>0.02</v>
      </c>
      <c r="T2921" s="82" t="s">
        <v>11002</v>
      </c>
      <c r="U2921" s="84"/>
      <c r="V2921" s="54"/>
    </row>
    <row r="2922" spans="1:22" s="11" customFormat="1" ht="45" customHeight="1" x14ac:dyDescent="0.2">
      <c r="A2922" s="66" t="s">
        <v>1963</v>
      </c>
      <c r="B2922" s="66" t="s">
        <v>1155</v>
      </c>
      <c r="C2922" s="66" t="s">
        <v>9605</v>
      </c>
      <c r="D2922" s="66">
        <v>6942421101703</v>
      </c>
      <c r="E2922" s="68" t="s">
        <v>11058</v>
      </c>
      <c r="F2922" s="66" t="s">
        <v>11059</v>
      </c>
      <c r="G2922" s="71">
        <v>946</v>
      </c>
      <c r="H2922" s="73"/>
      <c r="I2922" s="75">
        <v>0.2</v>
      </c>
      <c r="J2922" s="77"/>
      <c r="K2922" s="66"/>
      <c r="L2922" s="66"/>
      <c r="M2922" s="79" t="str">
        <f>HYPERLINK("http://www.pristavka.com/catalog/Genshin Impact/GEN997/")</f>
        <v>http://www.pristavka.com/catalog/Genshin Impact/GEN997/</v>
      </c>
      <c r="N2922" s="71">
        <v>1599</v>
      </c>
      <c r="O2922" s="66" t="s">
        <v>28</v>
      </c>
      <c r="P2922" s="82" t="s">
        <v>11060</v>
      </c>
      <c r="Q2922" s="84" t="s">
        <v>1963</v>
      </c>
      <c r="R2922" s="84" t="s">
        <v>9605</v>
      </c>
      <c r="S2922" s="84">
        <v>0.02</v>
      </c>
      <c r="T2922" s="82" t="s">
        <v>10304</v>
      </c>
      <c r="U2922" s="84"/>
      <c r="V2922" s="54"/>
    </row>
    <row r="2923" spans="1:22" s="11" customFormat="1" ht="45" customHeight="1" x14ac:dyDescent="0.2">
      <c r="A2923" s="66" t="s">
        <v>1963</v>
      </c>
      <c r="B2923" s="66" t="s">
        <v>1155</v>
      </c>
      <c r="C2923" s="66" t="s">
        <v>9605</v>
      </c>
      <c r="D2923" s="66">
        <v>6974696618341</v>
      </c>
      <c r="E2923" s="68" t="s">
        <v>11061</v>
      </c>
      <c r="F2923" s="66" t="s">
        <v>11062</v>
      </c>
      <c r="G2923" s="71">
        <v>1262</v>
      </c>
      <c r="H2923" s="73"/>
      <c r="I2923" s="75">
        <v>0.2</v>
      </c>
      <c r="J2923" s="77"/>
      <c r="K2923" s="66"/>
      <c r="L2923" s="66"/>
      <c r="M2923" s="79" t="str">
        <f>HYPERLINK("http://www.pristavka.com/catalog/Genshin Impact/GEN151/")</f>
        <v>http://www.pristavka.com/catalog/Genshin Impact/GEN151/</v>
      </c>
      <c r="N2923" s="71">
        <v>2199</v>
      </c>
      <c r="O2923" s="66" t="s">
        <v>27</v>
      </c>
      <c r="P2923" s="82" t="s">
        <v>11063</v>
      </c>
      <c r="Q2923" s="84" t="s">
        <v>1963</v>
      </c>
      <c r="R2923" s="84" t="s">
        <v>9605</v>
      </c>
      <c r="S2923" s="84">
        <v>1.4999999999999999E-2</v>
      </c>
      <c r="T2923" s="82" t="s">
        <v>10446</v>
      </c>
      <c r="U2923" s="84" t="s">
        <v>2255</v>
      </c>
      <c r="V2923" s="54"/>
    </row>
    <row r="2924" spans="1:22" s="11" customFormat="1" ht="45" customHeight="1" x14ac:dyDescent="0.2">
      <c r="A2924" s="66" t="s">
        <v>1963</v>
      </c>
      <c r="B2924" s="66" t="s">
        <v>1155</v>
      </c>
      <c r="C2924" s="66" t="s">
        <v>9605</v>
      </c>
      <c r="D2924" s="66">
        <v>6974096533879</v>
      </c>
      <c r="E2924" s="68" t="s">
        <v>11064</v>
      </c>
      <c r="F2924" s="66" t="s">
        <v>11065</v>
      </c>
      <c r="G2924" s="71">
        <v>1262</v>
      </c>
      <c r="H2924" s="73"/>
      <c r="I2924" s="75">
        <v>0.2</v>
      </c>
      <c r="J2924" s="77"/>
      <c r="K2924" s="66"/>
      <c r="L2924" s="66"/>
      <c r="M2924" s="79" t="str">
        <f>HYPERLINK("http://www.pristavka.com/catalog/Genshin Impact/GEN147/")</f>
        <v>http://www.pristavka.com/catalog/Genshin Impact/GEN147/</v>
      </c>
      <c r="N2924" s="71">
        <v>2199</v>
      </c>
      <c r="O2924" s="66" t="s">
        <v>27</v>
      </c>
      <c r="P2924" s="82" t="s">
        <v>11066</v>
      </c>
      <c r="Q2924" s="84" t="s">
        <v>1963</v>
      </c>
      <c r="R2924" s="84" t="s">
        <v>9605</v>
      </c>
      <c r="S2924" s="84">
        <v>1.4999999999999999E-2</v>
      </c>
      <c r="T2924" s="82" t="s">
        <v>11067</v>
      </c>
      <c r="U2924" s="84" t="s">
        <v>2255</v>
      </c>
      <c r="V2924" s="54"/>
    </row>
    <row r="2925" spans="1:22" s="11" customFormat="1" ht="45" customHeight="1" x14ac:dyDescent="0.2">
      <c r="A2925" s="66" t="s">
        <v>1963</v>
      </c>
      <c r="B2925" s="66" t="s">
        <v>1155</v>
      </c>
      <c r="C2925" s="66" t="s">
        <v>9605</v>
      </c>
      <c r="D2925" s="66">
        <v>6974696613148</v>
      </c>
      <c r="E2925" s="68" t="s">
        <v>11068</v>
      </c>
      <c r="F2925" s="66" t="s">
        <v>11069</v>
      </c>
      <c r="G2925" s="71">
        <v>1262</v>
      </c>
      <c r="H2925" s="73"/>
      <c r="I2925" s="75">
        <v>0.2</v>
      </c>
      <c r="J2925" s="77"/>
      <c r="K2925" s="66"/>
      <c r="L2925" s="66"/>
      <c r="M2925" s="79" t="str">
        <f>HYPERLINK("http://www.pristavka.com/catalog/Genshin Impact/GEN886/")</f>
        <v>http://www.pristavka.com/catalog/Genshin Impact/GEN886/</v>
      </c>
      <c r="N2925" s="71">
        <v>2199</v>
      </c>
      <c r="O2925" s="66" t="s">
        <v>27</v>
      </c>
      <c r="P2925" s="82" t="s">
        <v>11070</v>
      </c>
      <c r="Q2925" s="84" t="s">
        <v>1963</v>
      </c>
      <c r="R2925" s="84" t="s">
        <v>9605</v>
      </c>
      <c r="S2925" s="84">
        <v>1.6E-2</v>
      </c>
      <c r="T2925" s="82" t="s">
        <v>10446</v>
      </c>
      <c r="U2925" s="84"/>
      <c r="V2925" s="54"/>
    </row>
    <row r="2926" spans="1:22" s="11" customFormat="1" ht="45" customHeight="1" x14ac:dyDescent="0.2">
      <c r="A2926" s="66" t="s">
        <v>1963</v>
      </c>
      <c r="B2926" s="66" t="s">
        <v>1155</v>
      </c>
      <c r="C2926" s="66" t="s">
        <v>9605</v>
      </c>
      <c r="D2926" s="66">
        <v>6975628247363</v>
      </c>
      <c r="E2926" s="68" t="s">
        <v>11071</v>
      </c>
      <c r="F2926" s="66" t="s">
        <v>11072</v>
      </c>
      <c r="G2926" s="71">
        <v>946</v>
      </c>
      <c r="H2926" s="73"/>
      <c r="I2926" s="75">
        <v>0.2</v>
      </c>
      <c r="J2926" s="77"/>
      <c r="K2926" s="66"/>
      <c r="L2926" s="66"/>
      <c r="M2926" s="79" t="str">
        <f>HYPERLINK("http://www.pristavka.com/catalog/Genshin Impact/GEN612/")</f>
        <v>http://www.pristavka.com/catalog/Genshin Impact/GEN612/</v>
      </c>
      <c r="N2926" s="71">
        <v>1599</v>
      </c>
      <c r="O2926" s="66" t="s">
        <v>27</v>
      </c>
      <c r="P2926" s="82" t="s">
        <v>11073</v>
      </c>
      <c r="Q2926" s="84" t="s">
        <v>1963</v>
      </c>
      <c r="R2926" s="84" t="s">
        <v>9605</v>
      </c>
      <c r="S2926" s="84">
        <v>1.7999999999999999E-2</v>
      </c>
      <c r="T2926" s="82" t="s">
        <v>10304</v>
      </c>
      <c r="U2926" s="84"/>
      <c r="V2926" s="54"/>
    </row>
    <row r="2927" spans="1:22" s="11" customFormat="1" ht="45" customHeight="1" x14ac:dyDescent="0.2">
      <c r="A2927" s="66" t="s">
        <v>1963</v>
      </c>
      <c r="B2927" s="66" t="s">
        <v>1155</v>
      </c>
      <c r="C2927" s="66" t="s">
        <v>9605</v>
      </c>
      <c r="D2927" s="66">
        <v>6974096537518</v>
      </c>
      <c r="E2927" s="68" t="s">
        <v>11074</v>
      </c>
      <c r="F2927" s="66" t="s">
        <v>11075</v>
      </c>
      <c r="G2927" s="71">
        <v>850</v>
      </c>
      <c r="H2927" s="73"/>
      <c r="I2927" s="75">
        <v>0.2</v>
      </c>
      <c r="J2927" s="77"/>
      <c r="K2927" s="66"/>
      <c r="L2927" s="66"/>
      <c r="M2927" s="79" t="str">
        <f>HYPERLINK("http://www.pristavka.com/catalog/Genshin Impact/GEN212/")</f>
        <v>http://www.pristavka.com/catalog/Genshin Impact/GEN212/</v>
      </c>
      <c r="N2927" s="71">
        <v>1499</v>
      </c>
      <c r="O2927" s="66" t="s">
        <v>27</v>
      </c>
      <c r="P2927" s="82" t="s">
        <v>11076</v>
      </c>
      <c r="Q2927" s="84" t="s">
        <v>1963</v>
      </c>
      <c r="R2927" s="84" t="s">
        <v>9605</v>
      </c>
      <c r="S2927" s="84">
        <v>2.4E-2</v>
      </c>
      <c r="T2927" s="82" t="s">
        <v>10183</v>
      </c>
      <c r="U2927" s="84" t="s">
        <v>2255</v>
      </c>
      <c r="V2927" s="54"/>
    </row>
    <row r="2928" spans="1:22" s="11" customFormat="1" ht="45" customHeight="1" x14ac:dyDescent="0.2">
      <c r="A2928" s="66" t="s">
        <v>1963</v>
      </c>
      <c r="B2928" s="66" t="s">
        <v>1155</v>
      </c>
      <c r="C2928" s="66" t="s">
        <v>9605</v>
      </c>
      <c r="D2928" s="66">
        <v>6976525003700</v>
      </c>
      <c r="E2928" s="68" t="s">
        <v>11077</v>
      </c>
      <c r="F2928" s="66" t="s">
        <v>11078</v>
      </c>
      <c r="G2928" s="71">
        <v>1104</v>
      </c>
      <c r="H2928" s="73"/>
      <c r="I2928" s="75">
        <v>0.2</v>
      </c>
      <c r="J2928" s="77"/>
      <c r="K2928" s="66"/>
      <c r="L2928" s="66"/>
      <c r="M2928" s="79" t="str">
        <f>HYPERLINK("http://www.pristavka.com/catalog/Genshin Impact/GEN983/")</f>
        <v>http://www.pristavka.com/catalog/Genshin Impact/GEN983/</v>
      </c>
      <c r="N2928" s="71">
        <v>1899</v>
      </c>
      <c r="O2928" s="66" t="s">
        <v>27</v>
      </c>
      <c r="P2928" s="82" t="s">
        <v>11079</v>
      </c>
      <c r="Q2928" s="84" t="s">
        <v>1963</v>
      </c>
      <c r="R2928" s="84" t="s">
        <v>9605</v>
      </c>
      <c r="S2928" s="84">
        <v>0.02</v>
      </c>
      <c r="T2928" s="82" t="s">
        <v>11002</v>
      </c>
      <c r="U2928" s="84"/>
      <c r="V2928" s="54"/>
    </row>
    <row r="2929" spans="1:22" s="11" customFormat="1" ht="45" customHeight="1" x14ac:dyDescent="0.2">
      <c r="A2929" s="66" t="s">
        <v>1963</v>
      </c>
      <c r="B2929" s="66" t="s">
        <v>1155</v>
      </c>
      <c r="C2929" s="66" t="s">
        <v>9605</v>
      </c>
      <c r="D2929" s="66">
        <v>6974696616590</v>
      </c>
      <c r="E2929" s="68" t="s">
        <v>11080</v>
      </c>
      <c r="F2929" s="66" t="s">
        <v>11081</v>
      </c>
      <c r="G2929" s="71">
        <v>946</v>
      </c>
      <c r="H2929" s="73"/>
      <c r="I2929" s="75">
        <v>0.2</v>
      </c>
      <c r="J2929" s="77"/>
      <c r="K2929" s="66"/>
      <c r="L2929" s="66"/>
      <c r="M2929" s="79" t="str">
        <f>HYPERLINK("http://www.pristavka.com/catalog/Genshin Impact/GEN218/")</f>
        <v>http://www.pristavka.com/catalog/Genshin Impact/GEN218/</v>
      </c>
      <c r="N2929" s="71">
        <v>1599</v>
      </c>
      <c r="O2929" s="66" t="s">
        <v>28</v>
      </c>
      <c r="P2929" s="82" t="s">
        <v>11082</v>
      </c>
      <c r="Q2929" s="84" t="s">
        <v>1963</v>
      </c>
      <c r="R2929" s="84" t="s">
        <v>9605</v>
      </c>
      <c r="S2929" s="84">
        <v>1.4999999999999999E-2</v>
      </c>
      <c r="T2929" s="82" t="s">
        <v>10450</v>
      </c>
      <c r="U2929" s="84" t="s">
        <v>2255</v>
      </c>
      <c r="V2929" s="54"/>
    </row>
    <row r="2930" spans="1:22" s="11" customFormat="1" ht="45" customHeight="1" x14ac:dyDescent="0.2">
      <c r="A2930" s="66" t="s">
        <v>1963</v>
      </c>
      <c r="B2930" s="66" t="s">
        <v>1155</v>
      </c>
      <c r="C2930" s="66" t="s">
        <v>9605</v>
      </c>
      <c r="D2930" s="66">
        <v>6976525003694</v>
      </c>
      <c r="E2930" s="68" t="s">
        <v>11083</v>
      </c>
      <c r="F2930" s="66" t="s">
        <v>11084</v>
      </c>
      <c r="G2930" s="71">
        <v>1104</v>
      </c>
      <c r="H2930" s="73"/>
      <c r="I2930" s="75">
        <v>0.2</v>
      </c>
      <c r="J2930" s="77"/>
      <c r="K2930" s="66"/>
      <c r="L2930" s="66"/>
      <c r="M2930" s="79" t="str">
        <f>HYPERLINK("http://www.pristavka.com/catalog/Genshin Impact/GEN982/")</f>
        <v>http://www.pristavka.com/catalog/Genshin Impact/GEN982/</v>
      </c>
      <c r="N2930" s="71">
        <v>1899</v>
      </c>
      <c r="O2930" s="66" t="s">
        <v>27</v>
      </c>
      <c r="P2930" s="82" t="s">
        <v>11085</v>
      </c>
      <c r="Q2930" s="84" t="s">
        <v>1963</v>
      </c>
      <c r="R2930" s="84" t="s">
        <v>9605</v>
      </c>
      <c r="S2930" s="84">
        <v>0.02</v>
      </c>
      <c r="T2930" s="82" t="s">
        <v>10304</v>
      </c>
      <c r="U2930" s="84"/>
      <c r="V2930" s="54"/>
    </row>
    <row r="2931" spans="1:22" s="11" customFormat="1" ht="45" customHeight="1" x14ac:dyDescent="0.2">
      <c r="A2931" s="66" t="s">
        <v>1963</v>
      </c>
      <c r="B2931" s="66" t="s">
        <v>1155</v>
      </c>
      <c r="C2931" s="66" t="s">
        <v>9605</v>
      </c>
      <c r="D2931" s="66">
        <v>6976525003687</v>
      </c>
      <c r="E2931" s="68" t="s">
        <v>11086</v>
      </c>
      <c r="F2931" s="66" t="s">
        <v>11087</v>
      </c>
      <c r="G2931" s="71">
        <v>1104</v>
      </c>
      <c r="H2931" s="73"/>
      <c r="I2931" s="75">
        <v>0.2</v>
      </c>
      <c r="J2931" s="77"/>
      <c r="K2931" s="66"/>
      <c r="L2931" s="66"/>
      <c r="M2931" s="79" t="str">
        <f>HYPERLINK("http://www.pristavka.com/catalog/Genshin Impact/GEN981/")</f>
        <v>http://www.pristavka.com/catalog/Genshin Impact/GEN981/</v>
      </c>
      <c r="N2931" s="71">
        <v>1899</v>
      </c>
      <c r="O2931" s="66" t="s">
        <v>27</v>
      </c>
      <c r="P2931" s="82" t="s">
        <v>11088</v>
      </c>
      <c r="Q2931" s="84" t="s">
        <v>1963</v>
      </c>
      <c r="R2931" s="84" t="s">
        <v>9605</v>
      </c>
      <c r="S2931" s="84">
        <v>0.02</v>
      </c>
      <c r="T2931" s="82" t="s">
        <v>10304</v>
      </c>
      <c r="U2931" s="84"/>
      <c r="V2931" s="54"/>
    </row>
    <row r="2932" spans="1:22" s="11" customFormat="1" ht="45" customHeight="1" x14ac:dyDescent="0.2">
      <c r="A2932" s="66" t="s">
        <v>1963</v>
      </c>
      <c r="B2932" s="66" t="s">
        <v>1155</v>
      </c>
      <c r="C2932" s="66" t="s">
        <v>9605</v>
      </c>
      <c r="D2932" s="66">
        <v>6972957488214</v>
      </c>
      <c r="E2932" s="68" t="s">
        <v>11089</v>
      </c>
      <c r="F2932" s="66" t="s">
        <v>11090</v>
      </c>
      <c r="G2932" s="71">
        <v>946</v>
      </c>
      <c r="H2932" s="73"/>
      <c r="I2932" s="75">
        <v>0.2</v>
      </c>
      <c r="J2932" s="77"/>
      <c r="K2932" s="66"/>
      <c r="L2932" s="66"/>
      <c r="M2932" s="79" t="str">
        <f>HYPERLINK("http://www.pristavka.com/catalog/Genshin Impact/GEN205/")</f>
        <v>http://www.pristavka.com/catalog/Genshin Impact/GEN205/</v>
      </c>
      <c r="N2932" s="71">
        <v>1599</v>
      </c>
      <c r="O2932" s="66" t="s">
        <v>27</v>
      </c>
      <c r="P2932" s="82" t="s">
        <v>11091</v>
      </c>
      <c r="Q2932" s="84" t="s">
        <v>1963</v>
      </c>
      <c r="R2932" s="84" t="s">
        <v>9605</v>
      </c>
      <c r="S2932" s="84">
        <v>1.7000000000000001E-2</v>
      </c>
      <c r="T2932" s="82" t="s">
        <v>10450</v>
      </c>
      <c r="U2932" s="84" t="s">
        <v>2255</v>
      </c>
      <c r="V2932" s="54"/>
    </row>
    <row r="2933" spans="1:22" s="11" customFormat="1" ht="45" customHeight="1" x14ac:dyDescent="0.2">
      <c r="A2933" s="66" t="s">
        <v>1963</v>
      </c>
      <c r="B2933" s="66" t="s">
        <v>1155</v>
      </c>
      <c r="C2933" s="66" t="s">
        <v>9605</v>
      </c>
      <c r="D2933" s="66">
        <v>6975213680384</v>
      </c>
      <c r="E2933" s="68" t="s">
        <v>11092</v>
      </c>
      <c r="F2933" s="66" t="s">
        <v>11093</v>
      </c>
      <c r="G2933" s="71">
        <v>1104</v>
      </c>
      <c r="H2933" s="73"/>
      <c r="I2933" s="75">
        <v>0.2</v>
      </c>
      <c r="J2933" s="77"/>
      <c r="K2933" s="66"/>
      <c r="L2933" s="66"/>
      <c r="M2933" s="79" t="str">
        <f>HYPERLINK("http://www.pristavka.com/catalog/Genshin Impact/GEN897/")</f>
        <v>http://www.pristavka.com/catalog/Genshin Impact/GEN897/</v>
      </c>
      <c r="N2933" s="71">
        <v>1899</v>
      </c>
      <c r="O2933" s="66" t="s">
        <v>27</v>
      </c>
      <c r="P2933" s="82" t="s">
        <v>11094</v>
      </c>
      <c r="Q2933" s="84" t="s">
        <v>1963</v>
      </c>
      <c r="R2933" s="84" t="s">
        <v>9605</v>
      </c>
      <c r="S2933" s="84">
        <v>0.02</v>
      </c>
      <c r="T2933" s="82" t="s">
        <v>10304</v>
      </c>
      <c r="U2933" s="84"/>
      <c r="V2933" s="54"/>
    </row>
    <row r="2934" spans="1:22" s="11" customFormat="1" ht="45" customHeight="1" x14ac:dyDescent="0.2">
      <c r="A2934" s="66" t="s">
        <v>1963</v>
      </c>
      <c r="B2934" s="66" t="s">
        <v>1155</v>
      </c>
      <c r="C2934" s="66" t="s">
        <v>9605</v>
      </c>
      <c r="D2934" s="66">
        <v>6975628247349</v>
      </c>
      <c r="E2934" s="68" t="s">
        <v>11095</v>
      </c>
      <c r="F2934" s="66" t="s">
        <v>11096</v>
      </c>
      <c r="G2934" s="71">
        <v>946</v>
      </c>
      <c r="H2934" s="73"/>
      <c r="I2934" s="75">
        <v>0.2</v>
      </c>
      <c r="J2934" s="77"/>
      <c r="K2934" s="66"/>
      <c r="L2934" s="66"/>
      <c r="M2934" s="79" t="str">
        <f>HYPERLINK("http://www.pristavka.com/catalog/Genshin Impact/GEN608/")</f>
        <v>http://www.pristavka.com/catalog/Genshin Impact/GEN608/</v>
      </c>
      <c r="N2934" s="71">
        <v>1599</v>
      </c>
      <c r="O2934" s="66" t="s">
        <v>27</v>
      </c>
      <c r="P2934" s="82" t="s">
        <v>11097</v>
      </c>
      <c r="Q2934" s="84" t="s">
        <v>1963</v>
      </c>
      <c r="R2934" s="84" t="s">
        <v>9605</v>
      </c>
      <c r="S2934" s="84">
        <v>1.9E-2</v>
      </c>
      <c r="T2934" s="82" t="s">
        <v>10304</v>
      </c>
      <c r="U2934" s="84"/>
      <c r="V2934" s="54"/>
    </row>
    <row r="2935" spans="1:22" s="11" customFormat="1" ht="45" customHeight="1" x14ac:dyDescent="0.2">
      <c r="A2935" s="66" t="s">
        <v>1963</v>
      </c>
      <c r="B2935" s="66" t="s">
        <v>1155</v>
      </c>
      <c r="C2935" s="66" t="s">
        <v>9605</v>
      </c>
      <c r="D2935" s="66">
        <v>6976068141198</v>
      </c>
      <c r="E2935" s="68" t="s">
        <v>11098</v>
      </c>
      <c r="F2935" s="66" t="s">
        <v>11099</v>
      </c>
      <c r="G2935" s="71">
        <v>946</v>
      </c>
      <c r="H2935" s="73"/>
      <c r="I2935" s="75">
        <v>0.2</v>
      </c>
      <c r="J2935" s="77"/>
      <c r="K2935" s="66"/>
      <c r="L2935" s="66"/>
      <c r="M2935" s="79" t="str">
        <f>HYPERLINK("http://www.pristavka.com/catalog/Genshin Impact/GEN618/")</f>
        <v>http://www.pristavka.com/catalog/Genshin Impact/GEN618/</v>
      </c>
      <c r="N2935" s="71">
        <v>1599</v>
      </c>
      <c r="O2935" s="66" t="s">
        <v>27</v>
      </c>
      <c r="P2935" s="82" t="s">
        <v>11100</v>
      </c>
      <c r="Q2935" s="84" t="s">
        <v>1963</v>
      </c>
      <c r="R2935" s="84" t="s">
        <v>9605</v>
      </c>
      <c r="S2935" s="84">
        <v>1.9E-2</v>
      </c>
      <c r="T2935" s="82" t="s">
        <v>10304</v>
      </c>
      <c r="U2935" s="84"/>
      <c r="V2935" s="54"/>
    </row>
    <row r="2936" spans="1:22" s="11" customFormat="1" ht="45" customHeight="1" x14ac:dyDescent="0.2">
      <c r="A2936" s="66" t="s">
        <v>1963</v>
      </c>
      <c r="B2936" s="66" t="s">
        <v>1155</v>
      </c>
      <c r="C2936" s="66" t="s">
        <v>9605</v>
      </c>
      <c r="D2936" s="66">
        <v>6975628247356</v>
      </c>
      <c r="E2936" s="68" t="s">
        <v>11101</v>
      </c>
      <c r="F2936" s="66" t="s">
        <v>11102</v>
      </c>
      <c r="G2936" s="71">
        <v>946</v>
      </c>
      <c r="H2936" s="73"/>
      <c r="I2936" s="75">
        <v>0.2</v>
      </c>
      <c r="J2936" s="77"/>
      <c r="K2936" s="66"/>
      <c r="L2936" s="66"/>
      <c r="M2936" s="79" t="str">
        <f>HYPERLINK("http://www.pristavka.com/catalog/Genshin Impact/GEN609/")</f>
        <v>http://www.pristavka.com/catalog/Genshin Impact/GEN609/</v>
      </c>
      <c r="N2936" s="71">
        <v>1599</v>
      </c>
      <c r="O2936" s="66" t="s">
        <v>27</v>
      </c>
      <c r="P2936" s="82" t="s">
        <v>11103</v>
      </c>
      <c r="Q2936" s="84" t="s">
        <v>1963</v>
      </c>
      <c r="R2936" s="84" t="s">
        <v>9605</v>
      </c>
      <c r="S2936" s="84">
        <v>1.7999999999999999E-2</v>
      </c>
      <c r="T2936" s="82" t="s">
        <v>10304</v>
      </c>
      <c r="U2936" s="84"/>
      <c r="V2936" s="54"/>
    </row>
    <row r="2937" spans="1:22" s="11" customFormat="1" ht="45" customHeight="1" x14ac:dyDescent="0.2">
      <c r="A2937" s="66" t="s">
        <v>1963</v>
      </c>
      <c r="B2937" s="66" t="s">
        <v>1155</v>
      </c>
      <c r="C2937" s="66" t="s">
        <v>9605</v>
      </c>
      <c r="D2937" s="66">
        <v>6975628248414</v>
      </c>
      <c r="E2937" s="68" t="s">
        <v>11104</v>
      </c>
      <c r="F2937" s="66" t="s">
        <v>11105</v>
      </c>
      <c r="G2937" s="71">
        <v>946</v>
      </c>
      <c r="H2937" s="73"/>
      <c r="I2937" s="75">
        <v>0.2</v>
      </c>
      <c r="J2937" s="77"/>
      <c r="K2937" s="66"/>
      <c r="L2937" s="66"/>
      <c r="M2937" s="79" t="str">
        <f>HYPERLINK("http://www.pristavka.com/catalog/Genshin Impact/GEN616/")</f>
        <v>http://www.pristavka.com/catalog/Genshin Impact/GEN616/</v>
      </c>
      <c r="N2937" s="71">
        <v>1599</v>
      </c>
      <c r="O2937" s="66" t="s">
        <v>27</v>
      </c>
      <c r="P2937" s="82" t="s">
        <v>11106</v>
      </c>
      <c r="Q2937" s="84" t="s">
        <v>1963</v>
      </c>
      <c r="R2937" s="84" t="s">
        <v>9605</v>
      </c>
      <c r="S2937" s="84">
        <v>1.7999999999999999E-2</v>
      </c>
      <c r="T2937" s="82" t="s">
        <v>10304</v>
      </c>
      <c r="U2937" s="84"/>
      <c r="V2937" s="54"/>
    </row>
    <row r="2938" spans="1:22" s="11" customFormat="1" ht="45" customHeight="1" x14ac:dyDescent="0.2">
      <c r="A2938" s="66" t="s">
        <v>1963</v>
      </c>
      <c r="B2938" s="66" t="s">
        <v>1155</v>
      </c>
      <c r="C2938" s="66" t="s">
        <v>9605</v>
      </c>
      <c r="D2938" s="66">
        <v>6975628248438</v>
      </c>
      <c r="E2938" s="68" t="s">
        <v>11107</v>
      </c>
      <c r="F2938" s="66" t="s">
        <v>11108</v>
      </c>
      <c r="G2938" s="71">
        <v>946</v>
      </c>
      <c r="H2938" s="73"/>
      <c r="I2938" s="75">
        <v>0.2</v>
      </c>
      <c r="J2938" s="77"/>
      <c r="K2938" s="66"/>
      <c r="L2938" s="66"/>
      <c r="M2938" s="79" t="str">
        <f>HYPERLINK("http://www.pristavka.com/catalog/Genshin Impact/GEN606/")</f>
        <v>http://www.pristavka.com/catalog/Genshin Impact/GEN606/</v>
      </c>
      <c r="N2938" s="71">
        <v>1599</v>
      </c>
      <c r="O2938" s="66" t="s">
        <v>27</v>
      </c>
      <c r="P2938" s="82" t="s">
        <v>11109</v>
      </c>
      <c r="Q2938" s="84" t="s">
        <v>1963</v>
      </c>
      <c r="R2938" s="84" t="s">
        <v>9605</v>
      </c>
      <c r="S2938" s="84">
        <v>1.9E-2</v>
      </c>
      <c r="T2938" s="82" t="s">
        <v>10304</v>
      </c>
      <c r="U2938" s="84"/>
      <c r="V2938" s="54"/>
    </row>
    <row r="2939" spans="1:22" s="11" customFormat="1" ht="45" customHeight="1" x14ac:dyDescent="0.2">
      <c r="A2939" s="66" t="s">
        <v>1963</v>
      </c>
      <c r="B2939" s="66" t="s">
        <v>1155</v>
      </c>
      <c r="C2939" s="66" t="s">
        <v>9605</v>
      </c>
      <c r="D2939" s="66">
        <v>6975628248391</v>
      </c>
      <c r="E2939" s="68" t="s">
        <v>11110</v>
      </c>
      <c r="F2939" s="66" t="s">
        <v>11111</v>
      </c>
      <c r="G2939" s="71">
        <v>946</v>
      </c>
      <c r="H2939" s="73"/>
      <c r="I2939" s="75">
        <v>0.2</v>
      </c>
      <c r="J2939" s="77"/>
      <c r="K2939" s="66"/>
      <c r="L2939" s="66"/>
      <c r="M2939" s="79" t="str">
        <f>HYPERLINK("http://www.pristavka.com/catalog/Genshin Impact/GEN613/")</f>
        <v>http://www.pristavka.com/catalog/Genshin Impact/GEN613/</v>
      </c>
      <c r="N2939" s="71">
        <v>1599</v>
      </c>
      <c r="O2939" s="66" t="s">
        <v>27</v>
      </c>
      <c r="P2939" s="82" t="s">
        <v>11112</v>
      </c>
      <c r="Q2939" s="84" t="s">
        <v>1963</v>
      </c>
      <c r="R2939" s="84" t="s">
        <v>9605</v>
      </c>
      <c r="S2939" s="84">
        <v>1.7999999999999999E-2</v>
      </c>
      <c r="T2939" s="82" t="s">
        <v>10304</v>
      </c>
      <c r="U2939" s="84"/>
      <c r="V2939" s="54"/>
    </row>
    <row r="2940" spans="1:22" s="11" customFormat="1" ht="45" customHeight="1" x14ac:dyDescent="0.2">
      <c r="A2940" s="66" t="s">
        <v>1963</v>
      </c>
      <c r="B2940" s="66" t="s">
        <v>1155</v>
      </c>
      <c r="C2940" s="66" t="s">
        <v>9605</v>
      </c>
      <c r="D2940" s="66">
        <v>6976068141204</v>
      </c>
      <c r="E2940" s="68" t="s">
        <v>11113</v>
      </c>
      <c r="F2940" s="66" t="s">
        <v>11114</v>
      </c>
      <c r="G2940" s="71">
        <v>946</v>
      </c>
      <c r="H2940" s="73"/>
      <c r="I2940" s="75">
        <v>0.2</v>
      </c>
      <c r="J2940" s="77"/>
      <c r="K2940" s="66"/>
      <c r="L2940" s="66"/>
      <c r="M2940" s="79" t="str">
        <f>HYPERLINK("http://www.pristavka.com/catalog/Genshin Impact/GEN623/")</f>
        <v>http://www.pristavka.com/catalog/Genshin Impact/GEN623/</v>
      </c>
      <c r="N2940" s="71">
        <v>1599</v>
      </c>
      <c r="O2940" s="66" t="s">
        <v>27</v>
      </c>
      <c r="P2940" s="82" t="s">
        <v>11115</v>
      </c>
      <c r="Q2940" s="84" t="s">
        <v>1963</v>
      </c>
      <c r="R2940" s="84" t="s">
        <v>9605</v>
      </c>
      <c r="S2940" s="84">
        <v>1.9E-2</v>
      </c>
      <c r="T2940" s="82" t="s">
        <v>10304</v>
      </c>
      <c r="U2940" s="84"/>
      <c r="V2940" s="54"/>
    </row>
    <row r="2941" spans="1:22" s="11" customFormat="1" ht="45" customHeight="1" x14ac:dyDescent="0.2">
      <c r="A2941" s="66" t="s">
        <v>1963</v>
      </c>
      <c r="B2941" s="66" t="s">
        <v>1155</v>
      </c>
      <c r="C2941" s="66" t="s">
        <v>9605</v>
      </c>
      <c r="D2941" s="66">
        <v>6975628247325</v>
      </c>
      <c r="E2941" s="68" t="s">
        <v>11116</v>
      </c>
      <c r="F2941" s="66" t="s">
        <v>11117</v>
      </c>
      <c r="G2941" s="71">
        <v>946</v>
      </c>
      <c r="H2941" s="73"/>
      <c r="I2941" s="75">
        <v>0.2</v>
      </c>
      <c r="J2941" s="77"/>
      <c r="K2941" s="66"/>
      <c r="L2941" s="66"/>
      <c r="M2941" s="79" t="str">
        <f>HYPERLINK("http://www.pristavka.com/catalog/Genshin Impact/GEN611/")</f>
        <v>http://www.pristavka.com/catalog/Genshin Impact/GEN611/</v>
      </c>
      <c r="N2941" s="71">
        <v>1599</v>
      </c>
      <c r="O2941" s="66" t="s">
        <v>27</v>
      </c>
      <c r="P2941" s="82" t="s">
        <v>11118</v>
      </c>
      <c r="Q2941" s="84" t="s">
        <v>1963</v>
      </c>
      <c r="R2941" s="84" t="s">
        <v>9605</v>
      </c>
      <c r="S2941" s="84">
        <v>1.7999999999999999E-2</v>
      </c>
      <c r="T2941" s="82" t="s">
        <v>10304</v>
      </c>
      <c r="U2941" s="84"/>
      <c r="V2941" s="54"/>
    </row>
    <row r="2942" spans="1:22" s="11" customFormat="1" ht="45" customHeight="1" x14ac:dyDescent="0.2">
      <c r="A2942" s="66" t="s">
        <v>1963</v>
      </c>
      <c r="B2942" s="66" t="s">
        <v>1155</v>
      </c>
      <c r="C2942" s="66" t="s">
        <v>9605</v>
      </c>
      <c r="D2942" s="66">
        <v>6976068141174</v>
      </c>
      <c r="E2942" s="68" t="s">
        <v>11119</v>
      </c>
      <c r="F2942" s="66" t="s">
        <v>11120</v>
      </c>
      <c r="G2942" s="71">
        <v>946</v>
      </c>
      <c r="H2942" s="73"/>
      <c r="I2942" s="75">
        <v>0.2</v>
      </c>
      <c r="J2942" s="77"/>
      <c r="K2942" s="66"/>
      <c r="L2942" s="66"/>
      <c r="M2942" s="79" t="str">
        <f>HYPERLINK("http://www.pristavka.com/catalog/Genshin Impact/GEN621/")</f>
        <v>http://www.pristavka.com/catalog/Genshin Impact/GEN621/</v>
      </c>
      <c r="N2942" s="71">
        <v>1599</v>
      </c>
      <c r="O2942" s="66" t="s">
        <v>27</v>
      </c>
      <c r="P2942" s="82" t="s">
        <v>11121</v>
      </c>
      <c r="Q2942" s="84" t="s">
        <v>1963</v>
      </c>
      <c r="R2942" s="84" t="s">
        <v>9605</v>
      </c>
      <c r="S2942" s="84">
        <v>1.9E-2</v>
      </c>
      <c r="T2942" s="82" t="s">
        <v>10304</v>
      </c>
      <c r="U2942" s="84"/>
      <c r="V2942" s="54"/>
    </row>
    <row r="2943" spans="1:22" s="11" customFormat="1" ht="45" customHeight="1" x14ac:dyDescent="0.2">
      <c r="A2943" s="66" t="s">
        <v>1963</v>
      </c>
      <c r="B2943" s="66" t="s">
        <v>1155</v>
      </c>
      <c r="C2943" s="66" t="s">
        <v>9605</v>
      </c>
      <c r="D2943" s="66">
        <v>6976068141167</v>
      </c>
      <c r="E2943" s="68" t="s">
        <v>11122</v>
      </c>
      <c r="F2943" s="66" t="s">
        <v>11123</v>
      </c>
      <c r="G2943" s="71">
        <v>946</v>
      </c>
      <c r="H2943" s="73"/>
      <c r="I2943" s="75">
        <v>0.2</v>
      </c>
      <c r="J2943" s="77"/>
      <c r="K2943" s="66"/>
      <c r="L2943" s="66"/>
      <c r="M2943" s="79" t="str">
        <f>HYPERLINK("http://www.pristavka.com/catalog/Genshin Impact/GEN620/")</f>
        <v>http://www.pristavka.com/catalog/Genshin Impact/GEN620/</v>
      </c>
      <c r="N2943" s="71">
        <v>1599</v>
      </c>
      <c r="O2943" s="66" t="s">
        <v>27</v>
      </c>
      <c r="P2943" s="82" t="s">
        <v>11124</v>
      </c>
      <c r="Q2943" s="84" t="s">
        <v>1963</v>
      </c>
      <c r="R2943" s="84" t="s">
        <v>9605</v>
      </c>
      <c r="S2943" s="84">
        <v>1.9E-2</v>
      </c>
      <c r="T2943" s="82" t="s">
        <v>10304</v>
      </c>
      <c r="U2943" s="84"/>
      <c r="V2943" s="54"/>
    </row>
    <row r="2944" spans="1:22" s="11" customFormat="1" ht="45" customHeight="1" x14ac:dyDescent="0.2">
      <c r="A2944" s="66" t="s">
        <v>1963</v>
      </c>
      <c r="B2944" s="66" t="s">
        <v>1155</v>
      </c>
      <c r="C2944" s="66" t="s">
        <v>9605</v>
      </c>
      <c r="D2944" s="66">
        <v>6976068141181</v>
      </c>
      <c r="E2944" s="68" t="s">
        <v>11125</v>
      </c>
      <c r="F2944" s="66" t="s">
        <v>11126</v>
      </c>
      <c r="G2944" s="71">
        <v>946</v>
      </c>
      <c r="H2944" s="73"/>
      <c r="I2944" s="75">
        <v>0.2</v>
      </c>
      <c r="J2944" s="77"/>
      <c r="K2944" s="66"/>
      <c r="L2944" s="66"/>
      <c r="M2944" s="79" t="str">
        <f>HYPERLINK("http://www.pristavka.com/catalog/Genshin Impact/GEN622/")</f>
        <v>http://www.pristavka.com/catalog/Genshin Impact/GEN622/</v>
      </c>
      <c r="N2944" s="71">
        <v>1599</v>
      </c>
      <c r="O2944" s="66" t="s">
        <v>27</v>
      </c>
      <c r="P2944" s="82" t="s">
        <v>11127</v>
      </c>
      <c r="Q2944" s="84" t="s">
        <v>1963</v>
      </c>
      <c r="R2944" s="84" t="s">
        <v>9605</v>
      </c>
      <c r="S2944" s="84">
        <v>1.9E-2</v>
      </c>
      <c r="T2944" s="82" t="s">
        <v>10304</v>
      </c>
      <c r="U2944" s="84"/>
      <c r="V2944" s="54"/>
    </row>
    <row r="2945" spans="1:22" s="11" customFormat="1" ht="45" customHeight="1" x14ac:dyDescent="0.2">
      <c r="A2945" s="66" t="s">
        <v>1963</v>
      </c>
      <c r="B2945" s="66" t="s">
        <v>1155</v>
      </c>
      <c r="C2945" s="66" t="s">
        <v>9605</v>
      </c>
      <c r="D2945" s="66">
        <v>6976068141150</v>
      </c>
      <c r="E2945" s="68" t="s">
        <v>11128</v>
      </c>
      <c r="F2945" s="66" t="s">
        <v>11129</v>
      </c>
      <c r="G2945" s="71">
        <v>946</v>
      </c>
      <c r="H2945" s="73"/>
      <c r="I2945" s="75">
        <v>0.2</v>
      </c>
      <c r="J2945" s="77"/>
      <c r="K2945" s="66"/>
      <c r="L2945" s="66"/>
      <c r="M2945" s="79" t="str">
        <f>HYPERLINK("http://www.pristavka.com/catalog/Genshin Impact/GEN619/")</f>
        <v>http://www.pristavka.com/catalog/Genshin Impact/GEN619/</v>
      </c>
      <c r="N2945" s="71">
        <v>1599</v>
      </c>
      <c r="O2945" s="66" t="s">
        <v>27</v>
      </c>
      <c r="P2945" s="82" t="s">
        <v>11130</v>
      </c>
      <c r="Q2945" s="84" t="s">
        <v>1963</v>
      </c>
      <c r="R2945" s="84" t="s">
        <v>9605</v>
      </c>
      <c r="S2945" s="84">
        <v>1.9E-2</v>
      </c>
      <c r="T2945" s="82" t="s">
        <v>10304</v>
      </c>
      <c r="U2945" s="84"/>
      <c r="V2945" s="54"/>
    </row>
    <row r="2946" spans="1:22" s="11" customFormat="1" ht="45" customHeight="1" x14ac:dyDescent="0.2">
      <c r="A2946" s="66" t="s">
        <v>1963</v>
      </c>
      <c r="B2946" s="66" t="s">
        <v>1155</v>
      </c>
      <c r="C2946" s="66" t="s">
        <v>9605</v>
      </c>
      <c r="D2946" s="66">
        <v>6974696616088</v>
      </c>
      <c r="E2946" s="68" t="s">
        <v>11131</v>
      </c>
      <c r="F2946" s="66" t="s">
        <v>11132</v>
      </c>
      <c r="G2946" s="71">
        <v>946</v>
      </c>
      <c r="H2946" s="73"/>
      <c r="I2946" s="75">
        <v>0.2</v>
      </c>
      <c r="J2946" s="77"/>
      <c r="K2946" s="66"/>
      <c r="L2946" s="66"/>
      <c r="M2946" s="79" t="str">
        <f>HYPERLINK("http://www.pristavka.com/catalog/Genshin Impact/GEN657/")</f>
        <v>http://www.pristavka.com/catalog/Genshin Impact/GEN657/</v>
      </c>
      <c r="N2946" s="71">
        <v>1599</v>
      </c>
      <c r="O2946" s="66" t="s">
        <v>27</v>
      </c>
      <c r="P2946" s="82" t="s">
        <v>11133</v>
      </c>
      <c r="Q2946" s="84" t="s">
        <v>1963</v>
      </c>
      <c r="R2946" s="84" t="s">
        <v>9605</v>
      </c>
      <c r="S2946" s="84">
        <v>1.7000000000000001E-2</v>
      </c>
      <c r="T2946" s="82" t="s">
        <v>10304</v>
      </c>
      <c r="U2946" s="84"/>
      <c r="V2946" s="54"/>
    </row>
    <row r="2947" spans="1:22" s="11" customFormat="1" ht="45" customHeight="1" x14ac:dyDescent="0.2">
      <c r="A2947" s="66" t="s">
        <v>1963</v>
      </c>
      <c r="B2947" s="66" t="s">
        <v>1155</v>
      </c>
      <c r="C2947" s="66" t="s">
        <v>9605</v>
      </c>
      <c r="D2947" s="66">
        <v>6974096532513</v>
      </c>
      <c r="E2947" s="68" t="s">
        <v>11134</v>
      </c>
      <c r="F2947" s="66" t="s">
        <v>11135</v>
      </c>
      <c r="G2947" s="71">
        <v>1104</v>
      </c>
      <c r="H2947" s="73"/>
      <c r="I2947" s="75">
        <v>0.2</v>
      </c>
      <c r="J2947" s="77"/>
      <c r="K2947" s="66"/>
      <c r="L2947" s="66"/>
      <c r="M2947" s="79" t="str">
        <f>HYPERLINK("http://www.pristavka.com/catalog/Genshin Impact/GEN548/")</f>
        <v>http://www.pristavka.com/catalog/Genshin Impact/GEN548/</v>
      </c>
      <c r="N2947" s="71">
        <v>1899</v>
      </c>
      <c r="O2947" s="66" t="s">
        <v>27</v>
      </c>
      <c r="P2947" s="82" t="s">
        <v>11136</v>
      </c>
      <c r="Q2947" s="84" t="s">
        <v>1963</v>
      </c>
      <c r="R2947" s="84" t="s">
        <v>9605</v>
      </c>
      <c r="S2947" s="84">
        <v>1.9E-2</v>
      </c>
      <c r="T2947" s="82" t="s">
        <v>10183</v>
      </c>
      <c r="U2947" s="84"/>
      <c r="V2947" s="54"/>
    </row>
    <row r="2948" spans="1:22" s="11" customFormat="1" ht="45" customHeight="1" x14ac:dyDescent="0.2">
      <c r="A2948" s="66" t="s">
        <v>1963</v>
      </c>
      <c r="B2948" s="66" t="s">
        <v>1155</v>
      </c>
      <c r="C2948" s="66" t="s">
        <v>9605</v>
      </c>
      <c r="D2948" s="66">
        <v>6972957488078</v>
      </c>
      <c r="E2948" s="68" t="s">
        <v>11137</v>
      </c>
      <c r="F2948" s="66" t="s">
        <v>11138</v>
      </c>
      <c r="G2948" s="71">
        <v>1104</v>
      </c>
      <c r="H2948" s="73"/>
      <c r="I2948" s="75">
        <v>0.2</v>
      </c>
      <c r="J2948" s="77"/>
      <c r="K2948" s="66"/>
      <c r="L2948" s="66"/>
      <c r="M2948" s="79" t="str">
        <f>HYPERLINK("http://www.pristavka.com/catalog/Genshin Impact/GEN114/")</f>
        <v>http://www.pristavka.com/catalog/Genshin Impact/GEN114/</v>
      </c>
      <c r="N2948" s="71">
        <v>1899</v>
      </c>
      <c r="O2948" s="66" t="s">
        <v>27</v>
      </c>
      <c r="P2948" s="82" t="s">
        <v>11139</v>
      </c>
      <c r="Q2948" s="84" t="s">
        <v>1963</v>
      </c>
      <c r="R2948" s="84" t="s">
        <v>9605</v>
      </c>
      <c r="S2948" s="84">
        <v>2.4E-2</v>
      </c>
      <c r="T2948" s="82" t="s">
        <v>9688</v>
      </c>
      <c r="U2948" s="84" t="s">
        <v>2255</v>
      </c>
      <c r="V2948" s="54"/>
    </row>
    <row r="2949" spans="1:22" s="11" customFormat="1" ht="45" customHeight="1" x14ac:dyDescent="0.2">
      <c r="A2949" s="66" t="s">
        <v>1963</v>
      </c>
      <c r="B2949" s="66" t="s">
        <v>1155</v>
      </c>
      <c r="C2949" s="66" t="s">
        <v>9605</v>
      </c>
      <c r="D2949" s="66">
        <v>6974096537136</v>
      </c>
      <c r="E2949" s="68" t="s">
        <v>11140</v>
      </c>
      <c r="F2949" s="66" t="s">
        <v>11141</v>
      </c>
      <c r="G2949" s="71">
        <v>946</v>
      </c>
      <c r="H2949" s="73"/>
      <c r="I2949" s="75">
        <v>0.2</v>
      </c>
      <c r="J2949" s="77"/>
      <c r="K2949" s="66"/>
      <c r="L2949" s="66"/>
      <c r="M2949" s="79" t="str">
        <f>HYPERLINK("http://www.pristavka.com/catalog/Genshin Impact/GEN306/")</f>
        <v>http://www.pristavka.com/catalog/Genshin Impact/GEN306/</v>
      </c>
      <c r="N2949" s="71">
        <v>1599</v>
      </c>
      <c r="O2949" s="66" t="s">
        <v>27</v>
      </c>
      <c r="P2949" s="82" t="s">
        <v>11142</v>
      </c>
      <c r="Q2949" s="84" t="s">
        <v>1963</v>
      </c>
      <c r="R2949" s="84" t="s">
        <v>9605</v>
      </c>
      <c r="S2949" s="84">
        <v>1.7999999999999999E-2</v>
      </c>
      <c r="T2949" s="82" t="s">
        <v>10183</v>
      </c>
      <c r="U2949" s="84" t="s">
        <v>2255</v>
      </c>
      <c r="V2949" s="54"/>
    </row>
    <row r="2950" spans="1:22" s="11" customFormat="1" ht="45" customHeight="1" x14ac:dyDescent="0.2">
      <c r="A2950" s="66" t="s">
        <v>1963</v>
      </c>
      <c r="B2950" s="66" t="s">
        <v>1155</v>
      </c>
      <c r="C2950" s="66" t="s">
        <v>9605</v>
      </c>
      <c r="D2950" s="66">
        <v>6974096537129</v>
      </c>
      <c r="E2950" s="68" t="s">
        <v>11143</v>
      </c>
      <c r="F2950" s="66" t="s">
        <v>11144</v>
      </c>
      <c r="G2950" s="71">
        <v>946</v>
      </c>
      <c r="H2950" s="73"/>
      <c r="I2950" s="75">
        <v>0.2</v>
      </c>
      <c r="J2950" s="77"/>
      <c r="K2950" s="66"/>
      <c r="L2950" s="66"/>
      <c r="M2950" s="79" t="str">
        <f>HYPERLINK("http://www.pristavka.com/catalog/Genshin Impact/GEN305/")</f>
        <v>http://www.pristavka.com/catalog/Genshin Impact/GEN305/</v>
      </c>
      <c r="N2950" s="71">
        <v>1599</v>
      </c>
      <c r="O2950" s="66" t="s">
        <v>27</v>
      </c>
      <c r="P2950" s="82" t="s">
        <v>11145</v>
      </c>
      <c r="Q2950" s="84" t="s">
        <v>1963</v>
      </c>
      <c r="R2950" s="84" t="s">
        <v>9605</v>
      </c>
      <c r="S2950" s="84">
        <v>1.6E-2</v>
      </c>
      <c r="T2950" s="82" t="s">
        <v>10450</v>
      </c>
      <c r="U2950" s="84" t="s">
        <v>2255</v>
      </c>
      <c r="V2950" s="54"/>
    </row>
    <row r="2951" spans="1:22" s="11" customFormat="1" ht="45" customHeight="1" x14ac:dyDescent="0.2">
      <c r="A2951" s="66" t="s">
        <v>1963</v>
      </c>
      <c r="B2951" s="66" t="s">
        <v>1155</v>
      </c>
      <c r="C2951" s="66" t="s">
        <v>9605</v>
      </c>
      <c r="D2951" s="66">
        <v>6974096537105</v>
      </c>
      <c r="E2951" s="68" t="s">
        <v>11146</v>
      </c>
      <c r="F2951" s="66" t="s">
        <v>11147</v>
      </c>
      <c r="G2951" s="71">
        <v>946</v>
      </c>
      <c r="H2951" s="73"/>
      <c r="I2951" s="75">
        <v>0.2</v>
      </c>
      <c r="J2951" s="77"/>
      <c r="K2951" s="66"/>
      <c r="L2951" s="66"/>
      <c r="M2951" s="79" t="str">
        <f>HYPERLINK("http://www.pristavka.com/catalog/Genshin Impact/GEN303/")</f>
        <v>http://www.pristavka.com/catalog/Genshin Impact/GEN303/</v>
      </c>
      <c r="N2951" s="71">
        <v>1599</v>
      </c>
      <c r="O2951" s="66" t="s">
        <v>27</v>
      </c>
      <c r="P2951" s="82" t="s">
        <v>11148</v>
      </c>
      <c r="Q2951" s="84" t="s">
        <v>1963</v>
      </c>
      <c r="R2951" s="84" t="s">
        <v>9605</v>
      </c>
      <c r="S2951" s="84">
        <v>1.6E-2</v>
      </c>
      <c r="T2951" s="82" t="s">
        <v>10450</v>
      </c>
      <c r="U2951" s="84" t="s">
        <v>2255</v>
      </c>
      <c r="V2951" s="54"/>
    </row>
    <row r="2952" spans="1:22" s="11" customFormat="1" ht="45" customHeight="1" x14ac:dyDescent="0.2">
      <c r="A2952" s="66" t="s">
        <v>1963</v>
      </c>
      <c r="B2952" s="66" t="s">
        <v>1155</v>
      </c>
      <c r="C2952" s="66" t="s">
        <v>9605</v>
      </c>
      <c r="D2952" s="66">
        <v>6974096538683</v>
      </c>
      <c r="E2952" s="68" t="s">
        <v>11149</v>
      </c>
      <c r="F2952" s="66" t="s">
        <v>11150</v>
      </c>
      <c r="G2952" s="71">
        <v>787</v>
      </c>
      <c r="H2952" s="73"/>
      <c r="I2952" s="75">
        <v>0.2</v>
      </c>
      <c r="J2952" s="77"/>
      <c r="K2952" s="66"/>
      <c r="L2952" s="66"/>
      <c r="M2952" s="79" t="str">
        <f>HYPERLINK("http://www.pristavka.com/catalog/Genshin Impact/GEN324/")</f>
        <v>http://www.pristavka.com/catalog/Genshin Impact/GEN324/</v>
      </c>
      <c r="N2952" s="71">
        <v>1399</v>
      </c>
      <c r="O2952" s="66" t="s">
        <v>28</v>
      </c>
      <c r="P2952" s="82" t="s">
        <v>11151</v>
      </c>
      <c r="Q2952" s="84" t="s">
        <v>1963</v>
      </c>
      <c r="R2952" s="84" t="s">
        <v>9605</v>
      </c>
      <c r="S2952" s="84">
        <v>1.4999999999999999E-2</v>
      </c>
      <c r="T2952" s="82" t="s">
        <v>11152</v>
      </c>
      <c r="U2952" s="84" t="s">
        <v>2255</v>
      </c>
      <c r="V2952" s="54"/>
    </row>
    <row r="2953" spans="1:22" s="11" customFormat="1" ht="45" customHeight="1" x14ac:dyDescent="0.2">
      <c r="A2953" s="66" t="s">
        <v>1963</v>
      </c>
      <c r="B2953" s="66" t="s">
        <v>1155</v>
      </c>
      <c r="C2953" s="66" t="s">
        <v>9605</v>
      </c>
      <c r="D2953" s="66">
        <v>6974096538676</v>
      </c>
      <c r="E2953" s="68" t="s">
        <v>11153</v>
      </c>
      <c r="F2953" s="66" t="s">
        <v>11154</v>
      </c>
      <c r="G2953" s="71">
        <v>787</v>
      </c>
      <c r="H2953" s="73"/>
      <c r="I2953" s="75">
        <v>0.2</v>
      </c>
      <c r="J2953" s="77"/>
      <c r="K2953" s="66"/>
      <c r="L2953" s="66"/>
      <c r="M2953" s="79" t="str">
        <f>HYPERLINK("http://www.pristavka.com/catalog/Genshin Impact/GEN321/")</f>
        <v>http://www.pristavka.com/catalog/Genshin Impact/GEN321/</v>
      </c>
      <c r="N2953" s="71">
        <v>1399</v>
      </c>
      <c r="O2953" s="66" t="s">
        <v>27</v>
      </c>
      <c r="P2953" s="82" t="s">
        <v>11155</v>
      </c>
      <c r="Q2953" s="84" t="s">
        <v>1963</v>
      </c>
      <c r="R2953" s="84" t="s">
        <v>9605</v>
      </c>
      <c r="S2953" s="84">
        <v>1.4999999999999999E-2</v>
      </c>
      <c r="T2953" s="82" t="s">
        <v>11152</v>
      </c>
      <c r="U2953" s="84" t="s">
        <v>2255</v>
      </c>
      <c r="V2953" s="54"/>
    </row>
    <row r="2954" spans="1:22" s="11" customFormat="1" ht="45" customHeight="1" x14ac:dyDescent="0.2">
      <c r="A2954" s="66" t="s">
        <v>1963</v>
      </c>
      <c r="B2954" s="66" t="s">
        <v>1155</v>
      </c>
      <c r="C2954" s="66" t="s">
        <v>9605</v>
      </c>
      <c r="D2954" s="66">
        <v>6976068146315</v>
      </c>
      <c r="E2954" s="68" t="s">
        <v>11156</v>
      </c>
      <c r="F2954" s="66" t="s">
        <v>11157</v>
      </c>
      <c r="G2954" s="71">
        <v>1104</v>
      </c>
      <c r="H2954" s="73"/>
      <c r="I2954" s="75">
        <v>0.2</v>
      </c>
      <c r="J2954" s="77"/>
      <c r="K2954" s="66"/>
      <c r="L2954" s="66"/>
      <c r="M2954" s="79" t="str">
        <f>HYPERLINK("http://www.pristavka.com/catalog/Genshin Impact/GEN902/")</f>
        <v>http://www.pristavka.com/catalog/Genshin Impact/GEN902/</v>
      </c>
      <c r="N2954" s="71">
        <v>1899</v>
      </c>
      <c r="O2954" s="66" t="s">
        <v>27</v>
      </c>
      <c r="P2954" s="82" t="s">
        <v>11158</v>
      </c>
      <c r="Q2954" s="84" t="s">
        <v>1963</v>
      </c>
      <c r="R2954" s="84" t="s">
        <v>9605</v>
      </c>
      <c r="S2954" s="84">
        <v>0.02</v>
      </c>
      <c r="T2954" s="82" t="s">
        <v>11002</v>
      </c>
      <c r="U2954" s="84"/>
      <c r="V2954" s="54"/>
    </row>
    <row r="2955" spans="1:22" s="11" customFormat="1" ht="45" customHeight="1" x14ac:dyDescent="0.2">
      <c r="A2955" s="66" t="s">
        <v>1963</v>
      </c>
      <c r="B2955" s="66" t="s">
        <v>1155</v>
      </c>
      <c r="C2955" s="66" t="s">
        <v>9605</v>
      </c>
      <c r="D2955" s="66">
        <v>6976068146339</v>
      </c>
      <c r="E2955" s="68" t="s">
        <v>11159</v>
      </c>
      <c r="F2955" s="66" t="s">
        <v>11160</v>
      </c>
      <c r="G2955" s="71">
        <v>1104</v>
      </c>
      <c r="H2955" s="73"/>
      <c r="I2955" s="75">
        <v>0.2</v>
      </c>
      <c r="J2955" s="77"/>
      <c r="K2955" s="66"/>
      <c r="L2955" s="66"/>
      <c r="M2955" s="79" t="str">
        <f>HYPERLINK("http://www.pristavka.com/catalog/Genshin Impact/GEN904/")</f>
        <v>http://www.pristavka.com/catalog/Genshin Impact/GEN904/</v>
      </c>
      <c r="N2955" s="71">
        <v>1899</v>
      </c>
      <c r="O2955" s="66" t="s">
        <v>27</v>
      </c>
      <c r="P2955" s="82" t="s">
        <v>11161</v>
      </c>
      <c r="Q2955" s="84" t="s">
        <v>1963</v>
      </c>
      <c r="R2955" s="84" t="s">
        <v>9605</v>
      </c>
      <c r="S2955" s="84">
        <v>0.02</v>
      </c>
      <c r="T2955" s="82" t="s">
        <v>10304</v>
      </c>
      <c r="U2955" s="84"/>
      <c r="V2955" s="54"/>
    </row>
    <row r="2956" spans="1:22" s="11" customFormat="1" ht="45" customHeight="1" x14ac:dyDescent="0.2">
      <c r="A2956" s="66" t="s">
        <v>1963</v>
      </c>
      <c r="B2956" s="66" t="s">
        <v>1155</v>
      </c>
      <c r="C2956" s="66" t="s">
        <v>9605</v>
      </c>
      <c r="D2956" s="66">
        <v>6976068146322</v>
      </c>
      <c r="E2956" s="68" t="s">
        <v>11162</v>
      </c>
      <c r="F2956" s="66" t="s">
        <v>11163</v>
      </c>
      <c r="G2956" s="71">
        <v>1104</v>
      </c>
      <c r="H2956" s="73"/>
      <c r="I2956" s="75">
        <v>0.2</v>
      </c>
      <c r="J2956" s="77"/>
      <c r="K2956" s="66"/>
      <c r="L2956" s="66"/>
      <c r="M2956" s="79" t="str">
        <f>HYPERLINK("http://www.pristavka.com/catalog/Genshin Impact/GEN903/")</f>
        <v>http://www.pristavka.com/catalog/Genshin Impact/GEN903/</v>
      </c>
      <c r="N2956" s="71">
        <v>1899</v>
      </c>
      <c r="O2956" s="66" t="s">
        <v>27</v>
      </c>
      <c r="P2956" s="82" t="s">
        <v>11164</v>
      </c>
      <c r="Q2956" s="84" t="s">
        <v>1963</v>
      </c>
      <c r="R2956" s="84" t="s">
        <v>9605</v>
      </c>
      <c r="S2956" s="84">
        <v>0.02</v>
      </c>
      <c r="T2956" s="82" t="s">
        <v>10304</v>
      </c>
      <c r="U2956" s="84"/>
      <c r="V2956" s="54"/>
    </row>
    <row r="2957" spans="1:22" s="11" customFormat="1" ht="45" customHeight="1" x14ac:dyDescent="0.2">
      <c r="A2957" s="66" t="s">
        <v>1963</v>
      </c>
      <c r="B2957" s="66" t="s">
        <v>1155</v>
      </c>
      <c r="C2957" s="66" t="s">
        <v>9605</v>
      </c>
      <c r="D2957" s="66">
        <v>6942421136064</v>
      </c>
      <c r="E2957" s="68" t="s">
        <v>11165</v>
      </c>
      <c r="F2957" s="66" t="s">
        <v>11166</v>
      </c>
      <c r="G2957" s="71">
        <v>1453</v>
      </c>
      <c r="H2957" s="73"/>
      <c r="I2957" s="75">
        <v>0.2</v>
      </c>
      <c r="J2957" s="77"/>
      <c r="K2957" s="66"/>
      <c r="L2957" s="66"/>
      <c r="M2957" s="79" t="str">
        <f>HYPERLINK("http://www.pristavka.com/catalog/Genshin Impact/GEN1249/")</f>
        <v>http://www.pristavka.com/catalog/Genshin Impact/GEN1249/</v>
      </c>
      <c r="N2957" s="71">
        <v>2499</v>
      </c>
      <c r="O2957" s="66" t="s">
        <v>27</v>
      </c>
      <c r="P2957" s="82" t="s">
        <v>11167</v>
      </c>
      <c r="Q2957" s="84" t="s">
        <v>1963</v>
      </c>
      <c r="R2957" s="84" t="s">
        <v>9605</v>
      </c>
      <c r="S2957" s="84">
        <v>1.6E-2</v>
      </c>
      <c r="T2957" s="82" t="s">
        <v>11168</v>
      </c>
      <c r="U2957" s="84"/>
      <c r="V2957" s="54"/>
    </row>
    <row r="2958" spans="1:22" s="11" customFormat="1" ht="45" customHeight="1" x14ac:dyDescent="0.2">
      <c r="A2958" s="66" t="s">
        <v>1963</v>
      </c>
      <c r="B2958" s="66" t="s">
        <v>1155</v>
      </c>
      <c r="C2958" s="66" t="s">
        <v>9605</v>
      </c>
      <c r="D2958" s="66">
        <v>6942421136040</v>
      </c>
      <c r="E2958" s="68" t="s">
        <v>11169</v>
      </c>
      <c r="F2958" s="66" t="s">
        <v>11170</v>
      </c>
      <c r="G2958" s="71">
        <v>1453</v>
      </c>
      <c r="H2958" s="73"/>
      <c r="I2958" s="75">
        <v>0.2</v>
      </c>
      <c r="J2958" s="77"/>
      <c r="K2958" s="66"/>
      <c r="L2958" s="66"/>
      <c r="M2958" s="79" t="str">
        <f>HYPERLINK("http://www.pristavka.com/catalog/Genshin Impact/GEN1248/")</f>
        <v>http://www.pristavka.com/catalog/Genshin Impact/GEN1248/</v>
      </c>
      <c r="N2958" s="71">
        <v>2499</v>
      </c>
      <c r="O2958" s="66" t="s">
        <v>27</v>
      </c>
      <c r="P2958" s="82" t="s">
        <v>11171</v>
      </c>
      <c r="Q2958" s="84" t="s">
        <v>1963</v>
      </c>
      <c r="R2958" s="84" t="s">
        <v>9605</v>
      </c>
      <c r="S2958" s="84">
        <v>1.4999999999999999E-2</v>
      </c>
      <c r="T2958" s="82" t="s">
        <v>9772</v>
      </c>
      <c r="U2958" s="84"/>
      <c r="V2958" s="54"/>
    </row>
    <row r="2959" spans="1:22" s="11" customFormat="1" ht="45" customHeight="1" x14ac:dyDescent="0.2">
      <c r="A2959" s="66" t="s">
        <v>1963</v>
      </c>
      <c r="B2959" s="66" t="s">
        <v>1155</v>
      </c>
      <c r="C2959" s="66" t="s">
        <v>9605</v>
      </c>
      <c r="D2959" s="66">
        <v>6942421136057</v>
      </c>
      <c r="E2959" s="68" t="s">
        <v>11172</v>
      </c>
      <c r="F2959" s="66" t="s">
        <v>11173</v>
      </c>
      <c r="G2959" s="71">
        <v>1453</v>
      </c>
      <c r="H2959" s="73"/>
      <c r="I2959" s="75">
        <v>0.2</v>
      </c>
      <c r="J2959" s="77"/>
      <c r="K2959" s="66"/>
      <c r="L2959" s="66"/>
      <c r="M2959" s="79" t="str">
        <f>HYPERLINK("http://www.pristavka.com/catalog/Genshin Impact/GEN1247/")</f>
        <v>http://www.pristavka.com/catalog/Genshin Impact/GEN1247/</v>
      </c>
      <c r="N2959" s="71">
        <v>2499</v>
      </c>
      <c r="O2959" s="66" t="s">
        <v>27</v>
      </c>
      <c r="P2959" s="82" t="s">
        <v>11174</v>
      </c>
      <c r="Q2959" s="84" t="s">
        <v>1963</v>
      </c>
      <c r="R2959" s="84" t="s">
        <v>9605</v>
      </c>
      <c r="S2959" s="84">
        <v>1.6E-2</v>
      </c>
      <c r="T2959" s="82" t="s">
        <v>11175</v>
      </c>
      <c r="U2959" s="84"/>
      <c r="V2959" s="54"/>
    </row>
    <row r="2960" spans="1:22" s="11" customFormat="1" ht="45" customHeight="1" x14ac:dyDescent="0.2">
      <c r="A2960" s="66" t="s">
        <v>1963</v>
      </c>
      <c r="B2960" s="66" t="s">
        <v>1155</v>
      </c>
      <c r="C2960" s="66" t="s">
        <v>9605</v>
      </c>
      <c r="D2960" s="66">
        <v>6942421148128</v>
      </c>
      <c r="E2960" s="68" t="s">
        <v>11176</v>
      </c>
      <c r="F2960" s="66" t="s">
        <v>11177</v>
      </c>
      <c r="G2960" s="71">
        <v>1358</v>
      </c>
      <c r="H2960" s="73"/>
      <c r="I2960" s="75">
        <v>0.2</v>
      </c>
      <c r="J2960" s="77"/>
      <c r="K2960" s="66"/>
      <c r="L2960" s="66"/>
      <c r="M2960" s="79" t="str">
        <f>HYPERLINK("http://www.pristavka.com/catalog/Genshin Impact/GEN1334/")</f>
        <v>http://www.pristavka.com/catalog/Genshin Impact/GEN1334/</v>
      </c>
      <c r="N2960" s="71">
        <v>2299</v>
      </c>
      <c r="O2960" s="66" t="s">
        <v>27</v>
      </c>
      <c r="P2960" s="82" t="s">
        <v>11178</v>
      </c>
      <c r="Q2960" s="84" t="s">
        <v>1963</v>
      </c>
      <c r="R2960" s="84" t="s">
        <v>9605</v>
      </c>
      <c r="S2960" s="84">
        <v>0.02</v>
      </c>
      <c r="T2960" s="82" t="s">
        <v>11179</v>
      </c>
      <c r="U2960" s="84"/>
      <c r="V2960" s="54"/>
    </row>
    <row r="2961" spans="1:22" s="11" customFormat="1" ht="45" customHeight="1" x14ac:dyDescent="0.2">
      <c r="A2961" s="66" t="s">
        <v>1963</v>
      </c>
      <c r="B2961" s="66" t="s">
        <v>1155</v>
      </c>
      <c r="C2961" s="66" t="s">
        <v>9605</v>
      </c>
      <c r="D2961" s="66">
        <v>6942421148173</v>
      </c>
      <c r="E2961" s="68" t="s">
        <v>11180</v>
      </c>
      <c r="F2961" s="66" t="s">
        <v>11181</v>
      </c>
      <c r="G2961" s="71">
        <v>1358</v>
      </c>
      <c r="H2961" s="73"/>
      <c r="I2961" s="75">
        <v>0.2</v>
      </c>
      <c r="J2961" s="77"/>
      <c r="K2961" s="66"/>
      <c r="L2961" s="66"/>
      <c r="M2961" s="79" t="str">
        <f>HYPERLINK("http://www.pristavka.com/catalog/Genshin Impact/GEN1339/")</f>
        <v>http://www.pristavka.com/catalog/Genshin Impact/GEN1339/</v>
      </c>
      <c r="N2961" s="71">
        <v>2299</v>
      </c>
      <c r="O2961" s="66" t="s">
        <v>27</v>
      </c>
      <c r="P2961" s="82" t="s">
        <v>11182</v>
      </c>
      <c r="Q2961" s="84" t="s">
        <v>1963</v>
      </c>
      <c r="R2961" s="84" t="s">
        <v>9605</v>
      </c>
      <c r="S2961" s="84">
        <v>0.02</v>
      </c>
      <c r="T2961" s="82" t="s">
        <v>11183</v>
      </c>
      <c r="U2961" s="84"/>
      <c r="V2961" s="54"/>
    </row>
    <row r="2962" spans="1:22" s="11" customFormat="1" ht="45" customHeight="1" x14ac:dyDescent="0.2">
      <c r="A2962" s="66" t="s">
        <v>1963</v>
      </c>
      <c r="B2962" s="66" t="s">
        <v>1155</v>
      </c>
      <c r="C2962" s="66" t="s">
        <v>9605</v>
      </c>
      <c r="D2962" s="66">
        <v>6942421148159</v>
      </c>
      <c r="E2962" s="68" t="s">
        <v>11184</v>
      </c>
      <c r="F2962" s="66" t="s">
        <v>11185</v>
      </c>
      <c r="G2962" s="71">
        <v>1358</v>
      </c>
      <c r="H2962" s="73"/>
      <c r="I2962" s="75">
        <v>0.2</v>
      </c>
      <c r="J2962" s="77"/>
      <c r="K2962" s="66"/>
      <c r="L2962" s="66"/>
      <c r="M2962" s="79" t="str">
        <f>HYPERLINK("http://www.pristavka.com/catalog/Genshin Impact/GEN1337/")</f>
        <v>http://www.pristavka.com/catalog/Genshin Impact/GEN1337/</v>
      </c>
      <c r="N2962" s="71">
        <v>2299</v>
      </c>
      <c r="O2962" s="66" t="s">
        <v>27</v>
      </c>
      <c r="P2962" s="82" t="s">
        <v>11186</v>
      </c>
      <c r="Q2962" s="84" t="s">
        <v>1963</v>
      </c>
      <c r="R2962" s="84" t="s">
        <v>9605</v>
      </c>
      <c r="S2962" s="84">
        <v>0.02</v>
      </c>
      <c r="T2962" s="82" t="s">
        <v>11179</v>
      </c>
      <c r="U2962" s="84"/>
      <c r="V2962" s="54"/>
    </row>
    <row r="2963" spans="1:22" s="11" customFormat="1" ht="45" customHeight="1" x14ac:dyDescent="0.2">
      <c r="A2963" s="66" t="s">
        <v>1963</v>
      </c>
      <c r="B2963" s="66" t="s">
        <v>1155</v>
      </c>
      <c r="C2963" s="66" t="s">
        <v>9605</v>
      </c>
      <c r="D2963" s="66">
        <v>6942421148142</v>
      </c>
      <c r="E2963" s="68" t="s">
        <v>11187</v>
      </c>
      <c r="F2963" s="66" t="s">
        <v>11188</v>
      </c>
      <c r="G2963" s="71">
        <v>1358</v>
      </c>
      <c r="H2963" s="73"/>
      <c r="I2963" s="75">
        <v>0.2</v>
      </c>
      <c r="J2963" s="77"/>
      <c r="K2963" s="66"/>
      <c r="L2963" s="66"/>
      <c r="M2963" s="79" t="str">
        <f>HYPERLINK("http://www.pristavka.com/catalog/Genshin Impact/GEN1336/")</f>
        <v>http://www.pristavka.com/catalog/Genshin Impact/GEN1336/</v>
      </c>
      <c r="N2963" s="71">
        <v>2299</v>
      </c>
      <c r="O2963" s="66" t="s">
        <v>27</v>
      </c>
      <c r="P2963" s="82" t="s">
        <v>11189</v>
      </c>
      <c r="Q2963" s="84" t="s">
        <v>1963</v>
      </c>
      <c r="R2963" s="84" t="s">
        <v>9605</v>
      </c>
      <c r="S2963" s="84">
        <v>2.1999999999999999E-2</v>
      </c>
      <c r="T2963" s="82" t="s">
        <v>11190</v>
      </c>
      <c r="U2963" s="84"/>
      <c r="V2963" s="54"/>
    </row>
    <row r="2964" spans="1:22" s="11" customFormat="1" ht="45" customHeight="1" x14ac:dyDescent="0.2">
      <c r="A2964" s="66" t="s">
        <v>1963</v>
      </c>
      <c r="B2964" s="66" t="s">
        <v>1155</v>
      </c>
      <c r="C2964" s="66" t="s">
        <v>9605</v>
      </c>
      <c r="D2964" s="66">
        <v>6942421148166</v>
      </c>
      <c r="E2964" s="68" t="s">
        <v>11191</v>
      </c>
      <c r="F2964" s="66" t="s">
        <v>11192</v>
      </c>
      <c r="G2964" s="71">
        <v>1358</v>
      </c>
      <c r="H2964" s="73"/>
      <c r="I2964" s="75">
        <v>0.2</v>
      </c>
      <c r="J2964" s="77"/>
      <c r="K2964" s="66"/>
      <c r="L2964" s="66"/>
      <c r="M2964" s="79" t="str">
        <f>HYPERLINK("http://www.pristavka.com/catalog/Genshin Impact/GEN1338/")</f>
        <v>http://www.pristavka.com/catalog/Genshin Impact/GEN1338/</v>
      </c>
      <c r="N2964" s="71">
        <v>2299</v>
      </c>
      <c r="O2964" s="66" t="s">
        <v>27</v>
      </c>
      <c r="P2964" s="82" t="s">
        <v>11193</v>
      </c>
      <c r="Q2964" s="84" t="s">
        <v>1963</v>
      </c>
      <c r="R2964" s="84" t="s">
        <v>9605</v>
      </c>
      <c r="S2964" s="84">
        <v>0.02</v>
      </c>
      <c r="T2964" s="82" t="s">
        <v>11179</v>
      </c>
      <c r="U2964" s="84"/>
      <c r="V2964" s="54"/>
    </row>
    <row r="2965" spans="1:22" s="11" customFormat="1" ht="45" customHeight="1" x14ac:dyDescent="0.2">
      <c r="A2965" s="66" t="s">
        <v>1963</v>
      </c>
      <c r="B2965" s="66" t="s">
        <v>1155</v>
      </c>
      <c r="C2965" s="66" t="s">
        <v>9605</v>
      </c>
      <c r="D2965" s="66">
        <v>6942421148135</v>
      </c>
      <c r="E2965" s="68" t="s">
        <v>11194</v>
      </c>
      <c r="F2965" s="66" t="s">
        <v>11195</v>
      </c>
      <c r="G2965" s="71">
        <v>1358</v>
      </c>
      <c r="H2965" s="73"/>
      <c r="I2965" s="75">
        <v>0.2</v>
      </c>
      <c r="J2965" s="77"/>
      <c r="K2965" s="66"/>
      <c r="L2965" s="66"/>
      <c r="M2965" s="79" t="str">
        <f>HYPERLINK("http://www.pristavka.com/catalog/Genshin Impact/GEN1335/")</f>
        <v>http://www.pristavka.com/catalog/Genshin Impact/GEN1335/</v>
      </c>
      <c r="N2965" s="71">
        <v>2299</v>
      </c>
      <c r="O2965" s="66" t="s">
        <v>27</v>
      </c>
      <c r="P2965" s="82" t="s">
        <v>11196</v>
      </c>
      <c r="Q2965" s="84" t="s">
        <v>1963</v>
      </c>
      <c r="R2965" s="84" t="s">
        <v>9605</v>
      </c>
      <c r="S2965" s="84">
        <v>0.02</v>
      </c>
      <c r="T2965" s="82" t="s">
        <v>9702</v>
      </c>
      <c r="U2965" s="84"/>
      <c r="V2965" s="54"/>
    </row>
    <row r="2966" spans="1:22" s="11" customFormat="1" ht="45" customHeight="1" x14ac:dyDescent="0.2">
      <c r="A2966" s="66" t="s">
        <v>1963</v>
      </c>
      <c r="B2966" s="66" t="s">
        <v>1155</v>
      </c>
      <c r="C2966" s="66" t="s">
        <v>9605</v>
      </c>
      <c r="D2966" s="66">
        <v>6976068146148</v>
      </c>
      <c r="E2966" s="68" t="s">
        <v>11197</v>
      </c>
      <c r="F2966" s="66" t="s">
        <v>11198</v>
      </c>
      <c r="G2966" s="71">
        <v>1674</v>
      </c>
      <c r="H2966" s="73"/>
      <c r="I2966" s="75">
        <v>0.2</v>
      </c>
      <c r="J2966" s="77"/>
      <c r="K2966" s="66"/>
      <c r="L2966" s="66"/>
      <c r="M2966" s="79" t="str">
        <f>HYPERLINK("http://www.pristavka.com/catalog/Genshin Impact/GEN1085/")</f>
        <v>http://www.pristavka.com/catalog/Genshin Impact/GEN1085/</v>
      </c>
      <c r="N2966" s="71">
        <v>2799</v>
      </c>
      <c r="O2966" s="66" t="s">
        <v>27</v>
      </c>
      <c r="P2966" s="82" t="s">
        <v>11199</v>
      </c>
      <c r="Q2966" s="84" t="s">
        <v>1963</v>
      </c>
      <c r="R2966" s="84" t="s">
        <v>9605</v>
      </c>
      <c r="S2966" s="84">
        <v>2.5000000000000001E-2</v>
      </c>
      <c r="T2966" s="82" t="s">
        <v>11200</v>
      </c>
      <c r="U2966" s="84"/>
      <c r="V2966" s="54"/>
    </row>
    <row r="2967" spans="1:22" s="11" customFormat="1" ht="45" customHeight="1" x14ac:dyDescent="0.2">
      <c r="A2967" s="66" t="s">
        <v>1963</v>
      </c>
      <c r="B2967" s="66" t="s">
        <v>1155</v>
      </c>
      <c r="C2967" s="66" t="s">
        <v>9605</v>
      </c>
      <c r="D2967" s="66">
        <v>6976525001959</v>
      </c>
      <c r="E2967" s="68" t="s">
        <v>11201</v>
      </c>
      <c r="F2967" s="66" t="s">
        <v>11202</v>
      </c>
      <c r="G2967" s="71">
        <v>1262</v>
      </c>
      <c r="H2967" s="73"/>
      <c r="I2967" s="75">
        <v>0.2</v>
      </c>
      <c r="J2967" s="77"/>
      <c r="K2967" s="66"/>
      <c r="L2967" s="66"/>
      <c r="M2967" s="79" t="str">
        <f>HYPERLINK("http://www.pristavka.com/catalog/Genshin Impact/GEN1072/")</f>
        <v>http://www.pristavka.com/catalog/Genshin Impact/GEN1072/</v>
      </c>
      <c r="N2967" s="71">
        <v>2199</v>
      </c>
      <c r="O2967" s="66" t="s">
        <v>28</v>
      </c>
      <c r="P2967" s="82" t="s">
        <v>11203</v>
      </c>
      <c r="Q2967" s="84" t="s">
        <v>1963</v>
      </c>
      <c r="R2967" s="84" t="s">
        <v>9605</v>
      </c>
      <c r="S2967" s="84">
        <v>0.02</v>
      </c>
      <c r="T2967" s="82" t="s">
        <v>11204</v>
      </c>
      <c r="U2967" s="84"/>
      <c r="V2967" s="54"/>
    </row>
    <row r="2968" spans="1:22" s="11" customFormat="1" ht="45" customHeight="1" x14ac:dyDescent="0.2">
      <c r="A2968" s="66" t="s">
        <v>1963</v>
      </c>
      <c r="B2968" s="66" t="s">
        <v>1155</v>
      </c>
      <c r="C2968" s="66" t="s">
        <v>9605</v>
      </c>
      <c r="D2968" s="66">
        <v>6976525001935</v>
      </c>
      <c r="E2968" s="68" t="s">
        <v>11205</v>
      </c>
      <c r="F2968" s="66" t="s">
        <v>11206</v>
      </c>
      <c r="G2968" s="71">
        <v>1262</v>
      </c>
      <c r="H2968" s="73"/>
      <c r="I2968" s="75">
        <v>0.2</v>
      </c>
      <c r="J2968" s="77"/>
      <c r="K2968" s="66"/>
      <c r="L2968" s="66"/>
      <c r="M2968" s="79" t="str">
        <f>HYPERLINK("http://www.pristavka.com/catalog/Genshin Impact/GEN1071/")</f>
        <v>http://www.pristavka.com/catalog/Genshin Impact/GEN1071/</v>
      </c>
      <c r="N2968" s="71">
        <v>2199</v>
      </c>
      <c r="O2968" s="66" t="s">
        <v>27</v>
      </c>
      <c r="P2968" s="82" t="s">
        <v>11207</v>
      </c>
      <c r="Q2968" s="84" t="s">
        <v>1963</v>
      </c>
      <c r="R2968" s="84" t="s">
        <v>9605</v>
      </c>
      <c r="S2968" s="84">
        <v>1.7000000000000001E-2</v>
      </c>
      <c r="T2968" s="82" t="s">
        <v>11208</v>
      </c>
      <c r="U2968" s="84"/>
      <c r="V2968" s="54"/>
    </row>
    <row r="2969" spans="1:22" s="11" customFormat="1" ht="45" customHeight="1" x14ac:dyDescent="0.2">
      <c r="A2969" s="66" t="s">
        <v>1963</v>
      </c>
      <c r="B2969" s="66" t="s">
        <v>1155</v>
      </c>
      <c r="C2969" s="66" t="s">
        <v>9605</v>
      </c>
      <c r="D2969" s="66">
        <v>6974696616163</v>
      </c>
      <c r="E2969" s="68" t="s">
        <v>11209</v>
      </c>
      <c r="F2969" s="66" t="s">
        <v>11210</v>
      </c>
      <c r="G2969" s="71">
        <v>1262</v>
      </c>
      <c r="H2969" s="73"/>
      <c r="I2969" s="75">
        <v>0.2</v>
      </c>
      <c r="J2969" s="77"/>
      <c r="K2969" s="66"/>
      <c r="L2969" s="66"/>
      <c r="M2969" s="79" t="str">
        <f>HYPERLINK("http://www.pristavka.com/catalog/Genshin Impact/GEN346/")</f>
        <v>http://www.pristavka.com/catalog/Genshin Impact/GEN346/</v>
      </c>
      <c r="N2969" s="71">
        <v>2199</v>
      </c>
      <c r="O2969" s="66" t="s">
        <v>27</v>
      </c>
      <c r="P2969" s="82" t="s">
        <v>11211</v>
      </c>
      <c r="Q2969" s="84" t="s">
        <v>1963</v>
      </c>
      <c r="R2969" s="84" t="s">
        <v>9605</v>
      </c>
      <c r="S2969" s="84">
        <v>2.4E-2</v>
      </c>
      <c r="T2969" s="82" t="s">
        <v>9688</v>
      </c>
      <c r="U2969" s="84" t="s">
        <v>2255</v>
      </c>
      <c r="V2969" s="54"/>
    </row>
    <row r="2970" spans="1:22" s="11" customFormat="1" ht="45" customHeight="1" x14ac:dyDescent="0.2">
      <c r="A2970" s="66" t="s">
        <v>1963</v>
      </c>
      <c r="B2970" s="66" t="s">
        <v>1155</v>
      </c>
      <c r="C2970" s="66" t="s">
        <v>9605</v>
      </c>
      <c r="D2970" s="66">
        <v>6942421106296</v>
      </c>
      <c r="E2970" s="68" t="s">
        <v>11212</v>
      </c>
      <c r="F2970" s="66" t="s">
        <v>11213</v>
      </c>
      <c r="G2970" s="71">
        <v>1801</v>
      </c>
      <c r="H2970" s="73"/>
      <c r="I2970" s="75">
        <v>0.2</v>
      </c>
      <c r="J2970" s="77"/>
      <c r="K2970" s="66"/>
      <c r="L2970" s="66"/>
      <c r="M2970" s="79" t="str">
        <f>HYPERLINK("http://www.pristavka.com/catalog/Genshin Impact/GEN1084/")</f>
        <v>http://www.pristavka.com/catalog/Genshin Impact/GEN1084/</v>
      </c>
      <c r="N2970" s="71">
        <v>3099</v>
      </c>
      <c r="O2970" s="66" t="s">
        <v>27</v>
      </c>
      <c r="P2970" s="82" t="s">
        <v>11214</v>
      </c>
      <c r="Q2970" s="84" t="s">
        <v>1963</v>
      </c>
      <c r="R2970" s="84" t="s">
        <v>9605</v>
      </c>
      <c r="S2970" s="84">
        <v>1.6E-2</v>
      </c>
      <c r="T2970" s="82" t="s">
        <v>10980</v>
      </c>
      <c r="U2970" s="84"/>
      <c r="V2970" s="54"/>
    </row>
    <row r="2971" spans="1:22" s="11" customFormat="1" ht="45" customHeight="1" x14ac:dyDescent="0.2">
      <c r="A2971" s="66" t="s">
        <v>1963</v>
      </c>
      <c r="B2971" s="66" t="s">
        <v>1155</v>
      </c>
      <c r="C2971" s="66" t="s">
        <v>9605</v>
      </c>
      <c r="D2971" s="66">
        <v>6976068146070</v>
      </c>
      <c r="E2971" s="68" t="s">
        <v>11215</v>
      </c>
      <c r="F2971" s="66" t="s">
        <v>11216</v>
      </c>
      <c r="G2971" s="71">
        <v>1548</v>
      </c>
      <c r="H2971" s="73"/>
      <c r="I2971" s="75">
        <v>0.2</v>
      </c>
      <c r="J2971" s="77"/>
      <c r="K2971" s="66"/>
      <c r="L2971" s="66"/>
      <c r="M2971" s="79" t="str">
        <f>HYPERLINK("http://www.pristavka.com/catalog/Genshin Impact/GEN1082/")</f>
        <v>http://www.pristavka.com/catalog/Genshin Impact/GEN1082/</v>
      </c>
      <c r="N2971" s="71">
        <v>2599</v>
      </c>
      <c r="O2971" s="66" t="s">
        <v>27</v>
      </c>
      <c r="P2971" s="82" t="s">
        <v>11217</v>
      </c>
      <c r="Q2971" s="84" t="s">
        <v>1963</v>
      </c>
      <c r="R2971" s="84" t="s">
        <v>9605</v>
      </c>
      <c r="S2971" s="84">
        <v>1.6E-2</v>
      </c>
      <c r="T2971" s="82" t="s">
        <v>10304</v>
      </c>
      <c r="U2971" s="84"/>
      <c r="V2971" s="54"/>
    </row>
    <row r="2972" spans="1:22" s="11" customFormat="1" ht="45" customHeight="1" x14ac:dyDescent="0.2">
      <c r="A2972" s="66" t="s">
        <v>1963</v>
      </c>
      <c r="B2972" s="66" t="s">
        <v>1155</v>
      </c>
      <c r="C2972" s="66" t="s">
        <v>9605</v>
      </c>
      <c r="D2972" s="66">
        <v>6976068146049</v>
      </c>
      <c r="E2972" s="68" t="s">
        <v>11218</v>
      </c>
      <c r="F2972" s="66" t="s">
        <v>11219</v>
      </c>
      <c r="G2972" s="71">
        <v>1548</v>
      </c>
      <c r="H2972" s="73"/>
      <c r="I2972" s="75">
        <v>0.2</v>
      </c>
      <c r="J2972" s="77"/>
      <c r="K2972" s="66"/>
      <c r="L2972" s="66"/>
      <c r="M2972" s="79" t="str">
        <f>HYPERLINK("http://www.pristavka.com/catalog/Genshin Impact/GEN1081/")</f>
        <v>http://www.pristavka.com/catalog/Genshin Impact/GEN1081/</v>
      </c>
      <c r="N2972" s="71">
        <v>2599</v>
      </c>
      <c r="O2972" s="66" t="s">
        <v>27</v>
      </c>
      <c r="P2972" s="82" t="s">
        <v>11220</v>
      </c>
      <c r="Q2972" s="84" t="s">
        <v>1963</v>
      </c>
      <c r="R2972" s="84" t="s">
        <v>9605</v>
      </c>
      <c r="S2972" s="84">
        <v>0.02</v>
      </c>
      <c r="T2972" s="82" t="s">
        <v>11190</v>
      </c>
      <c r="U2972" s="84"/>
      <c r="V2972" s="54"/>
    </row>
    <row r="2973" spans="1:22" s="11" customFormat="1" ht="45" customHeight="1" x14ac:dyDescent="0.2">
      <c r="A2973" s="66" t="s">
        <v>1963</v>
      </c>
      <c r="B2973" s="66" t="s">
        <v>1155</v>
      </c>
      <c r="C2973" s="66" t="s">
        <v>9605</v>
      </c>
      <c r="D2973" s="66">
        <v>6942421107460</v>
      </c>
      <c r="E2973" s="68" t="s">
        <v>11221</v>
      </c>
      <c r="F2973" s="66" t="s">
        <v>11222</v>
      </c>
      <c r="G2973" s="71">
        <v>1326</v>
      </c>
      <c r="H2973" s="73"/>
      <c r="I2973" s="75">
        <v>0.2</v>
      </c>
      <c r="J2973" s="77"/>
      <c r="K2973" s="66"/>
      <c r="L2973" s="66"/>
      <c r="M2973" s="79" t="str">
        <f>HYPERLINK("http://www.pristavka.com/catalog/Genshin Impact/GEN1083/")</f>
        <v>http://www.pristavka.com/catalog/Genshin Impact/GEN1083/</v>
      </c>
      <c r="N2973" s="71">
        <v>2299</v>
      </c>
      <c r="O2973" s="66" t="s">
        <v>27</v>
      </c>
      <c r="P2973" s="82" t="s">
        <v>11223</v>
      </c>
      <c r="Q2973" s="84" t="s">
        <v>1963</v>
      </c>
      <c r="R2973" s="84" t="s">
        <v>9605</v>
      </c>
      <c r="S2973" s="84">
        <v>1.9E-2</v>
      </c>
      <c r="T2973" s="82" t="s">
        <v>11224</v>
      </c>
      <c r="U2973" s="84"/>
      <c r="V2973" s="54"/>
    </row>
    <row r="2974" spans="1:22" s="11" customFormat="1" ht="45" customHeight="1" x14ac:dyDescent="0.2">
      <c r="A2974" s="66" t="s">
        <v>1963</v>
      </c>
      <c r="B2974" s="66" t="s">
        <v>1155</v>
      </c>
      <c r="C2974" s="66" t="s">
        <v>9605</v>
      </c>
      <c r="D2974" s="66">
        <v>6942421134176</v>
      </c>
      <c r="E2974" s="68" t="s">
        <v>11225</v>
      </c>
      <c r="F2974" s="66" t="s">
        <v>11226</v>
      </c>
      <c r="G2974" s="71">
        <v>1643</v>
      </c>
      <c r="H2974" s="73"/>
      <c r="I2974" s="75">
        <v>0.2</v>
      </c>
      <c r="J2974" s="77"/>
      <c r="K2974" s="66"/>
      <c r="L2974" s="66"/>
      <c r="M2974" s="79" t="str">
        <f>HYPERLINK("http://www.pristavka.com/catalog/Genshin Impact/GEN1288/")</f>
        <v>http://www.pristavka.com/catalog/Genshin Impact/GEN1288/</v>
      </c>
      <c r="N2974" s="71">
        <v>2799</v>
      </c>
      <c r="O2974" s="66" t="s">
        <v>27</v>
      </c>
      <c r="P2974" s="82" t="s">
        <v>11227</v>
      </c>
      <c r="Q2974" s="84" t="s">
        <v>1963</v>
      </c>
      <c r="R2974" s="84" t="s">
        <v>9605</v>
      </c>
      <c r="S2974" s="84">
        <v>2.7E-2</v>
      </c>
      <c r="T2974" s="82" t="s">
        <v>11228</v>
      </c>
      <c r="U2974" s="84"/>
      <c r="V2974" s="54"/>
    </row>
    <row r="2975" spans="1:22" s="11" customFormat="1" ht="45" customHeight="1" x14ac:dyDescent="0.2">
      <c r="A2975" s="66" t="s">
        <v>1963</v>
      </c>
      <c r="B2975" s="66" t="s">
        <v>1155</v>
      </c>
      <c r="C2975" s="66" t="s">
        <v>9605</v>
      </c>
      <c r="D2975" s="66">
        <v>6942421134183</v>
      </c>
      <c r="E2975" s="68" t="s">
        <v>11229</v>
      </c>
      <c r="F2975" s="66" t="s">
        <v>11230</v>
      </c>
      <c r="G2975" s="71">
        <v>1643</v>
      </c>
      <c r="H2975" s="73"/>
      <c r="I2975" s="75">
        <v>0.2</v>
      </c>
      <c r="J2975" s="77"/>
      <c r="K2975" s="66"/>
      <c r="L2975" s="66"/>
      <c r="M2975" s="79" t="str">
        <f>HYPERLINK("http://www.pristavka.com/catalog/Genshin Impact/GEN1289/")</f>
        <v>http://www.pristavka.com/catalog/Genshin Impact/GEN1289/</v>
      </c>
      <c r="N2975" s="71">
        <v>2799</v>
      </c>
      <c r="O2975" s="66" t="s">
        <v>27</v>
      </c>
      <c r="P2975" s="82" t="s">
        <v>11231</v>
      </c>
      <c r="Q2975" s="84" t="s">
        <v>1963</v>
      </c>
      <c r="R2975" s="84" t="s">
        <v>9605</v>
      </c>
      <c r="S2975" s="84">
        <v>2.5999999999999999E-2</v>
      </c>
      <c r="T2975" s="82" t="s">
        <v>11232</v>
      </c>
      <c r="U2975" s="84"/>
      <c r="V2975" s="54"/>
    </row>
    <row r="2976" spans="1:22" s="11" customFormat="1" ht="45" customHeight="1" x14ac:dyDescent="0.2">
      <c r="A2976" s="66" t="s">
        <v>1963</v>
      </c>
      <c r="B2976" s="66" t="s">
        <v>1155</v>
      </c>
      <c r="C2976" s="66" t="s">
        <v>9605</v>
      </c>
      <c r="D2976" s="66">
        <v>6942421114161</v>
      </c>
      <c r="E2976" s="68" t="s">
        <v>11233</v>
      </c>
      <c r="F2976" s="66" t="s">
        <v>11234</v>
      </c>
      <c r="G2976" s="71">
        <v>1801</v>
      </c>
      <c r="H2976" s="73"/>
      <c r="I2976" s="75">
        <v>0.2</v>
      </c>
      <c r="J2976" s="77"/>
      <c r="K2976" s="66"/>
      <c r="L2976" s="66"/>
      <c r="M2976" s="79" t="str">
        <f>HYPERLINK("http://www.pristavka.com/catalog/Genshin Impact/GEN1141/")</f>
        <v>http://www.pristavka.com/catalog/Genshin Impact/GEN1141/</v>
      </c>
      <c r="N2976" s="71">
        <v>3099</v>
      </c>
      <c r="O2976" s="66" t="s">
        <v>27</v>
      </c>
      <c r="P2976" s="82" t="s">
        <v>11235</v>
      </c>
      <c r="Q2976" s="84" t="s">
        <v>1963</v>
      </c>
      <c r="R2976" s="84" t="s">
        <v>9605</v>
      </c>
      <c r="S2976" s="84">
        <v>0.02</v>
      </c>
      <c r="T2976" s="82" t="s">
        <v>11179</v>
      </c>
      <c r="U2976" s="84"/>
      <c r="V2976" s="54"/>
    </row>
    <row r="2977" spans="1:22" s="11" customFormat="1" ht="45" customHeight="1" x14ac:dyDescent="0.2">
      <c r="A2977" s="66" t="s">
        <v>1963</v>
      </c>
      <c r="B2977" s="66" t="s">
        <v>1155</v>
      </c>
      <c r="C2977" s="66" t="s">
        <v>9605</v>
      </c>
      <c r="D2977" s="66">
        <v>6942421104704</v>
      </c>
      <c r="E2977" s="68" t="s">
        <v>11236</v>
      </c>
      <c r="F2977" s="66" t="s">
        <v>11237</v>
      </c>
      <c r="G2977" s="71">
        <v>1326</v>
      </c>
      <c r="H2977" s="73"/>
      <c r="I2977" s="75">
        <v>0.2</v>
      </c>
      <c r="J2977" s="77"/>
      <c r="K2977" s="66"/>
      <c r="L2977" s="66"/>
      <c r="M2977" s="79" t="str">
        <f>HYPERLINK("http://www.pristavka.com/catalog/Genshin Impact/GEN1078/")</f>
        <v>http://www.pristavka.com/catalog/Genshin Impact/GEN1078/</v>
      </c>
      <c r="N2977" s="71">
        <v>2299</v>
      </c>
      <c r="O2977" s="66" t="s">
        <v>27</v>
      </c>
      <c r="P2977" s="82" t="s">
        <v>11238</v>
      </c>
      <c r="Q2977" s="84" t="s">
        <v>1963</v>
      </c>
      <c r="R2977" s="84" t="s">
        <v>9605</v>
      </c>
      <c r="S2977" s="84">
        <v>2.5000000000000001E-2</v>
      </c>
      <c r="T2977" s="82" t="s">
        <v>10304</v>
      </c>
      <c r="U2977" s="84"/>
      <c r="V2977" s="54"/>
    </row>
    <row r="2978" spans="1:22" s="11" customFormat="1" ht="45" customHeight="1" x14ac:dyDescent="0.2">
      <c r="A2978" s="66" t="s">
        <v>1963</v>
      </c>
      <c r="B2978" s="66" t="s">
        <v>1155</v>
      </c>
      <c r="C2978" s="66" t="s">
        <v>9605</v>
      </c>
      <c r="D2978" s="66">
        <v>6942421104735</v>
      </c>
      <c r="E2978" s="68" t="s">
        <v>11239</v>
      </c>
      <c r="F2978" s="66" t="s">
        <v>11240</v>
      </c>
      <c r="G2978" s="71">
        <v>1326</v>
      </c>
      <c r="H2978" s="73"/>
      <c r="I2978" s="75">
        <v>0.2</v>
      </c>
      <c r="J2978" s="77"/>
      <c r="K2978" s="66"/>
      <c r="L2978" s="66"/>
      <c r="M2978" s="79" t="str">
        <f>HYPERLINK("http://www.pristavka.com/catalog/Genshin Impact/GEN1077/")</f>
        <v>http://www.pristavka.com/catalog/Genshin Impact/GEN1077/</v>
      </c>
      <c r="N2978" s="71">
        <v>2299</v>
      </c>
      <c r="O2978" s="66" t="s">
        <v>27</v>
      </c>
      <c r="P2978" s="82" t="s">
        <v>11241</v>
      </c>
      <c r="Q2978" s="84" t="s">
        <v>1963</v>
      </c>
      <c r="R2978" s="84" t="s">
        <v>9605</v>
      </c>
      <c r="S2978" s="84">
        <v>2.4E-2</v>
      </c>
      <c r="T2978" s="82" t="s">
        <v>11224</v>
      </c>
      <c r="U2978" s="84"/>
      <c r="V2978" s="54"/>
    </row>
    <row r="2979" spans="1:22" s="11" customFormat="1" ht="45" customHeight="1" x14ac:dyDescent="0.2">
      <c r="A2979" s="66" t="s">
        <v>1963</v>
      </c>
      <c r="B2979" s="66" t="s">
        <v>1155</v>
      </c>
      <c r="C2979" s="66" t="s">
        <v>9605</v>
      </c>
      <c r="D2979" s="66">
        <v>6942421101505</v>
      </c>
      <c r="E2979" s="68" t="s">
        <v>11242</v>
      </c>
      <c r="F2979" s="66" t="s">
        <v>11243</v>
      </c>
      <c r="G2979" s="71">
        <v>1326</v>
      </c>
      <c r="H2979" s="73"/>
      <c r="I2979" s="75">
        <v>0.2</v>
      </c>
      <c r="J2979" s="77"/>
      <c r="K2979" s="66"/>
      <c r="L2979" s="66"/>
      <c r="M2979" s="79" t="str">
        <f>HYPERLINK("http://www.pristavka.com/catalog/Genshin Impact/GEN1076/")</f>
        <v>http://www.pristavka.com/catalog/Genshin Impact/GEN1076/</v>
      </c>
      <c r="N2979" s="71">
        <v>2299</v>
      </c>
      <c r="O2979" s="66" t="s">
        <v>27</v>
      </c>
      <c r="P2979" s="82" t="s">
        <v>11244</v>
      </c>
      <c r="Q2979" s="84" t="s">
        <v>1963</v>
      </c>
      <c r="R2979" s="84" t="s">
        <v>9605</v>
      </c>
      <c r="S2979" s="84">
        <v>2.5000000000000001E-2</v>
      </c>
      <c r="T2979" s="82" t="s">
        <v>11183</v>
      </c>
      <c r="U2979" s="84"/>
      <c r="V2979" s="54"/>
    </row>
    <row r="2980" spans="1:22" s="11" customFormat="1" ht="45" customHeight="1" x14ac:dyDescent="0.2">
      <c r="A2980" s="66" t="s">
        <v>1963</v>
      </c>
      <c r="B2980" s="66" t="s">
        <v>1155</v>
      </c>
      <c r="C2980" s="66" t="s">
        <v>9605</v>
      </c>
      <c r="D2980" s="66">
        <v>6976525004066</v>
      </c>
      <c r="E2980" s="68" t="s">
        <v>11245</v>
      </c>
      <c r="F2980" s="66" t="s">
        <v>11246</v>
      </c>
      <c r="G2980" s="71">
        <v>1421</v>
      </c>
      <c r="H2980" s="73"/>
      <c r="I2980" s="75">
        <v>0.2</v>
      </c>
      <c r="J2980" s="77"/>
      <c r="K2980" s="66"/>
      <c r="L2980" s="66"/>
      <c r="M2980" s="79" t="str">
        <f>HYPERLINK("http://www.pristavka.com/catalog/Genshin Impact/GEN1074/")</f>
        <v>http://www.pristavka.com/catalog/Genshin Impact/GEN1074/</v>
      </c>
      <c r="N2980" s="71">
        <v>2399</v>
      </c>
      <c r="O2980" s="66" t="s">
        <v>27</v>
      </c>
      <c r="P2980" s="82" t="s">
        <v>11247</v>
      </c>
      <c r="Q2980" s="84" t="s">
        <v>1963</v>
      </c>
      <c r="R2980" s="84" t="s">
        <v>9605</v>
      </c>
      <c r="S2980" s="84">
        <v>2.5000000000000001E-2</v>
      </c>
      <c r="T2980" s="82" t="s">
        <v>11183</v>
      </c>
      <c r="U2980" s="84"/>
      <c r="V2980" s="54"/>
    </row>
    <row r="2981" spans="1:22" s="11" customFormat="1" ht="45" customHeight="1" x14ac:dyDescent="0.2">
      <c r="A2981" s="66" t="s">
        <v>1963</v>
      </c>
      <c r="B2981" s="66" t="s">
        <v>1155</v>
      </c>
      <c r="C2981" s="66" t="s">
        <v>9605</v>
      </c>
      <c r="D2981" s="66">
        <v>6942421104698</v>
      </c>
      <c r="E2981" s="68" t="s">
        <v>11248</v>
      </c>
      <c r="F2981" s="66" t="s">
        <v>11249</v>
      </c>
      <c r="G2981" s="71">
        <v>1326</v>
      </c>
      <c r="H2981" s="73"/>
      <c r="I2981" s="75">
        <v>0.2</v>
      </c>
      <c r="J2981" s="77"/>
      <c r="K2981" s="66"/>
      <c r="L2981" s="66"/>
      <c r="M2981" s="79" t="str">
        <f>HYPERLINK("http://www.pristavka.com/catalog/Genshin Impact/GEN1073/")</f>
        <v>http://www.pristavka.com/catalog/Genshin Impact/GEN1073/</v>
      </c>
      <c r="N2981" s="71">
        <v>2299</v>
      </c>
      <c r="O2981" s="66" t="s">
        <v>27</v>
      </c>
      <c r="P2981" s="82" t="s">
        <v>11250</v>
      </c>
      <c r="Q2981" s="84" t="s">
        <v>1963</v>
      </c>
      <c r="R2981" s="84" t="s">
        <v>9605</v>
      </c>
      <c r="S2981" s="84">
        <v>2.5000000000000001E-2</v>
      </c>
      <c r="T2981" s="82" t="s">
        <v>11183</v>
      </c>
      <c r="U2981" s="84"/>
      <c r="V2981" s="54"/>
    </row>
    <row r="2982" spans="1:22" s="11" customFormat="1" ht="45" customHeight="1" x14ac:dyDescent="0.2">
      <c r="A2982" s="66" t="s">
        <v>1963</v>
      </c>
      <c r="B2982" s="66" t="s">
        <v>1155</v>
      </c>
      <c r="C2982" s="66" t="s">
        <v>9605</v>
      </c>
      <c r="D2982" s="66">
        <v>6976525005469</v>
      </c>
      <c r="E2982" s="68" t="s">
        <v>11251</v>
      </c>
      <c r="F2982" s="66" t="s">
        <v>11252</v>
      </c>
      <c r="G2982" s="71">
        <v>1421</v>
      </c>
      <c r="H2982" s="73"/>
      <c r="I2982" s="75">
        <v>0.2</v>
      </c>
      <c r="J2982" s="77"/>
      <c r="K2982" s="66"/>
      <c r="L2982" s="66"/>
      <c r="M2982" s="79" t="str">
        <f>HYPERLINK("http://www.pristavka.com/catalog/Genshin Impact/GEN1075/")</f>
        <v>http://www.pristavka.com/catalog/Genshin Impact/GEN1075/</v>
      </c>
      <c r="N2982" s="71">
        <v>2399</v>
      </c>
      <c r="O2982" s="66" t="s">
        <v>27</v>
      </c>
      <c r="P2982" s="82" t="s">
        <v>11253</v>
      </c>
      <c r="Q2982" s="84" t="s">
        <v>1963</v>
      </c>
      <c r="R2982" s="84" t="s">
        <v>9605</v>
      </c>
      <c r="S2982" s="84">
        <v>2.5000000000000001E-2</v>
      </c>
      <c r="T2982" s="82" t="s">
        <v>11183</v>
      </c>
      <c r="U2982" s="84"/>
      <c r="V2982" s="54"/>
    </row>
    <row r="2983" spans="1:22" s="11" customFormat="1" ht="45" customHeight="1" x14ac:dyDescent="0.2">
      <c r="A2983" s="66" t="s">
        <v>1963</v>
      </c>
      <c r="B2983" s="66" t="s">
        <v>1155</v>
      </c>
      <c r="C2983" s="66" t="s">
        <v>9605</v>
      </c>
      <c r="D2983" s="66">
        <v>6942421104032</v>
      </c>
      <c r="E2983" s="68" t="s">
        <v>11254</v>
      </c>
      <c r="F2983" s="66" t="s">
        <v>11255</v>
      </c>
      <c r="G2983" s="71">
        <v>1516</v>
      </c>
      <c r="H2983" s="73"/>
      <c r="I2983" s="75">
        <v>0.2</v>
      </c>
      <c r="J2983" s="77"/>
      <c r="K2983" s="66"/>
      <c r="L2983" s="66"/>
      <c r="M2983" s="79" t="str">
        <f>HYPERLINK("http://www.pristavka.com/catalog/Genshin Impact/GEN1135/")</f>
        <v>http://www.pristavka.com/catalog/Genshin Impact/GEN1135/</v>
      </c>
      <c r="N2983" s="71">
        <v>2599</v>
      </c>
      <c r="O2983" s="66" t="s">
        <v>27</v>
      </c>
      <c r="P2983" s="82" t="s">
        <v>11256</v>
      </c>
      <c r="Q2983" s="84" t="s">
        <v>1963</v>
      </c>
      <c r="R2983" s="84" t="s">
        <v>9605</v>
      </c>
      <c r="S2983" s="84">
        <v>0.02</v>
      </c>
      <c r="T2983" s="82" t="s">
        <v>11179</v>
      </c>
      <c r="U2983" s="84"/>
      <c r="V2983" s="54"/>
    </row>
    <row r="2984" spans="1:22" s="11" customFormat="1" ht="45" customHeight="1" x14ac:dyDescent="0.2">
      <c r="A2984" s="66" t="s">
        <v>1963</v>
      </c>
      <c r="B2984" s="66" t="s">
        <v>1155</v>
      </c>
      <c r="C2984" s="66" t="s">
        <v>9605</v>
      </c>
      <c r="D2984" s="66">
        <v>6942421110026</v>
      </c>
      <c r="E2984" s="68" t="s">
        <v>11257</v>
      </c>
      <c r="F2984" s="66" t="s">
        <v>11258</v>
      </c>
      <c r="G2984" s="71">
        <v>1262</v>
      </c>
      <c r="H2984" s="73"/>
      <c r="I2984" s="75">
        <v>0.2</v>
      </c>
      <c r="J2984" s="77"/>
      <c r="K2984" s="66"/>
      <c r="L2984" s="66"/>
      <c r="M2984" s="79" t="str">
        <f>HYPERLINK("http://www.pristavka.com/catalog/Genshin Impact/GEN1068/")</f>
        <v>http://www.pristavka.com/catalog/Genshin Impact/GEN1068/</v>
      </c>
      <c r="N2984" s="71">
        <v>2199</v>
      </c>
      <c r="O2984" s="66" t="s">
        <v>27</v>
      </c>
      <c r="P2984" s="82" t="s">
        <v>11259</v>
      </c>
      <c r="Q2984" s="84" t="s">
        <v>1963</v>
      </c>
      <c r="R2984" s="84" t="s">
        <v>9605</v>
      </c>
      <c r="S2984" s="84">
        <v>2.4E-2</v>
      </c>
      <c r="T2984" s="82" t="s">
        <v>11224</v>
      </c>
      <c r="U2984" s="84"/>
      <c r="V2984" s="54"/>
    </row>
    <row r="2985" spans="1:22" s="11" customFormat="1" ht="45" customHeight="1" x14ac:dyDescent="0.2">
      <c r="A2985" s="66" t="s">
        <v>1963</v>
      </c>
      <c r="B2985" s="66" t="s">
        <v>1155</v>
      </c>
      <c r="C2985" s="66" t="s">
        <v>9605</v>
      </c>
      <c r="D2985" s="66">
        <v>6976068143369</v>
      </c>
      <c r="E2985" s="68" t="s">
        <v>11260</v>
      </c>
      <c r="F2985" s="66" t="s">
        <v>11261</v>
      </c>
      <c r="G2985" s="71">
        <v>1326</v>
      </c>
      <c r="H2985" s="73"/>
      <c r="I2985" s="75">
        <v>0.2</v>
      </c>
      <c r="J2985" s="77"/>
      <c r="K2985" s="66"/>
      <c r="L2985" s="66"/>
      <c r="M2985" s="79" t="str">
        <f>HYPERLINK("http://www.pristavka.com/catalog/Genshin Impact/GEN1079/")</f>
        <v>http://www.pristavka.com/catalog/Genshin Impact/GEN1079/</v>
      </c>
      <c r="N2985" s="71">
        <v>2299</v>
      </c>
      <c r="O2985" s="66" t="s">
        <v>27</v>
      </c>
      <c r="P2985" s="82" t="s">
        <v>11262</v>
      </c>
      <c r="Q2985" s="84" t="s">
        <v>1963</v>
      </c>
      <c r="R2985" s="84" t="s">
        <v>9605</v>
      </c>
      <c r="S2985" s="84">
        <v>1.9E-2</v>
      </c>
      <c r="T2985" s="82" t="s">
        <v>11224</v>
      </c>
      <c r="U2985" s="84"/>
      <c r="V2985" s="54"/>
    </row>
    <row r="2986" spans="1:22" s="11" customFormat="1" ht="45" customHeight="1" x14ac:dyDescent="0.2">
      <c r="A2986" s="66" t="s">
        <v>1963</v>
      </c>
      <c r="B2986" s="66" t="s">
        <v>1155</v>
      </c>
      <c r="C2986" s="66" t="s">
        <v>9605</v>
      </c>
      <c r="D2986" s="66">
        <v>6942421110019</v>
      </c>
      <c r="E2986" s="68" t="s">
        <v>11263</v>
      </c>
      <c r="F2986" s="66" t="s">
        <v>11264</v>
      </c>
      <c r="G2986" s="71">
        <v>1262</v>
      </c>
      <c r="H2986" s="73"/>
      <c r="I2986" s="75">
        <v>0.2</v>
      </c>
      <c r="J2986" s="77"/>
      <c r="K2986" s="66"/>
      <c r="L2986" s="66"/>
      <c r="M2986" s="79" t="str">
        <f>HYPERLINK("http://www.pristavka.com/catalog/Genshin Impact/GEN1067/")</f>
        <v>http://www.pristavka.com/catalog/Genshin Impact/GEN1067/</v>
      </c>
      <c r="N2986" s="71">
        <v>2199</v>
      </c>
      <c r="O2986" s="66" t="s">
        <v>27</v>
      </c>
      <c r="P2986" s="82" t="s">
        <v>11265</v>
      </c>
      <c r="Q2986" s="84" t="s">
        <v>1963</v>
      </c>
      <c r="R2986" s="84" t="s">
        <v>9605</v>
      </c>
      <c r="S2986" s="84">
        <v>2.4E-2</v>
      </c>
      <c r="T2986" s="82" t="s">
        <v>11224</v>
      </c>
      <c r="U2986" s="84"/>
      <c r="V2986" s="54"/>
    </row>
    <row r="2987" spans="1:22" s="11" customFormat="1" ht="45" customHeight="1" x14ac:dyDescent="0.2">
      <c r="A2987" s="66" t="s">
        <v>1963</v>
      </c>
      <c r="B2987" s="66" t="s">
        <v>1155</v>
      </c>
      <c r="C2987" s="66" t="s">
        <v>9605</v>
      </c>
      <c r="D2987" s="66">
        <v>6942421114246</v>
      </c>
      <c r="E2987" s="68" t="s">
        <v>11266</v>
      </c>
      <c r="F2987" s="66" t="s">
        <v>11267</v>
      </c>
      <c r="G2987" s="71">
        <v>1801</v>
      </c>
      <c r="H2987" s="73"/>
      <c r="I2987" s="75">
        <v>0.2</v>
      </c>
      <c r="J2987" s="77"/>
      <c r="K2987" s="66"/>
      <c r="L2987" s="66"/>
      <c r="M2987" s="79" t="str">
        <f>HYPERLINK("http://www.pristavka.com/catalog/Genshin Impact/GEN1143/")</f>
        <v>http://www.pristavka.com/catalog/Genshin Impact/GEN1143/</v>
      </c>
      <c r="N2987" s="71">
        <v>3099</v>
      </c>
      <c r="O2987" s="66" t="s">
        <v>27</v>
      </c>
      <c r="P2987" s="82" t="s">
        <v>11268</v>
      </c>
      <c r="Q2987" s="84" t="s">
        <v>1963</v>
      </c>
      <c r="R2987" s="84" t="s">
        <v>9605</v>
      </c>
      <c r="S2987" s="84">
        <v>0.02</v>
      </c>
      <c r="T2987" s="82" t="s">
        <v>11179</v>
      </c>
      <c r="U2987" s="84"/>
      <c r="V2987" s="54"/>
    </row>
    <row r="2988" spans="1:22" s="11" customFormat="1" ht="45" customHeight="1" x14ac:dyDescent="0.2">
      <c r="A2988" s="66" t="s">
        <v>1963</v>
      </c>
      <c r="B2988" s="66" t="s">
        <v>1155</v>
      </c>
      <c r="C2988" s="66" t="s">
        <v>9605</v>
      </c>
      <c r="D2988" s="66">
        <v>6942421105831</v>
      </c>
      <c r="E2988" s="68" t="s">
        <v>11269</v>
      </c>
      <c r="F2988" s="66" t="s">
        <v>11270</v>
      </c>
      <c r="G2988" s="71">
        <v>1674</v>
      </c>
      <c r="H2988" s="73"/>
      <c r="I2988" s="75">
        <v>0.2</v>
      </c>
      <c r="J2988" s="77"/>
      <c r="K2988" s="66"/>
      <c r="L2988" s="66"/>
      <c r="M2988" s="79" t="str">
        <f>HYPERLINK("http://www.pristavka.com/catalog/Genshin Impact/GEN1090/")</f>
        <v>http://www.pristavka.com/catalog/Genshin Impact/GEN1090/</v>
      </c>
      <c r="N2988" s="71">
        <v>2799</v>
      </c>
      <c r="O2988" s="66" t="s">
        <v>27</v>
      </c>
      <c r="P2988" s="82" t="s">
        <v>11271</v>
      </c>
      <c r="Q2988" s="84" t="s">
        <v>1963</v>
      </c>
      <c r="R2988" s="84" t="s">
        <v>9605</v>
      </c>
      <c r="S2988" s="84">
        <v>2.4E-2</v>
      </c>
      <c r="T2988" s="82" t="s">
        <v>11272</v>
      </c>
      <c r="U2988" s="84"/>
      <c r="V2988" s="54"/>
    </row>
    <row r="2989" spans="1:22" s="11" customFormat="1" ht="45" customHeight="1" x14ac:dyDescent="0.2">
      <c r="A2989" s="66" t="s">
        <v>1963</v>
      </c>
      <c r="B2989" s="66" t="s">
        <v>1155</v>
      </c>
      <c r="C2989" s="66" t="s">
        <v>9605</v>
      </c>
      <c r="D2989" s="66">
        <v>6942421105862</v>
      </c>
      <c r="E2989" s="68" t="s">
        <v>11273</v>
      </c>
      <c r="F2989" s="66" t="s">
        <v>11274</v>
      </c>
      <c r="G2989" s="71">
        <v>1674</v>
      </c>
      <c r="H2989" s="73"/>
      <c r="I2989" s="75">
        <v>0.2</v>
      </c>
      <c r="J2989" s="77"/>
      <c r="K2989" s="66"/>
      <c r="L2989" s="66"/>
      <c r="M2989" s="79" t="str">
        <f>HYPERLINK("http://www.pristavka.com/catalog/Genshin Impact/GEN1091/")</f>
        <v>http://www.pristavka.com/catalog/Genshin Impact/GEN1091/</v>
      </c>
      <c r="N2989" s="71">
        <v>2799</v>
      </c>
      <c r="O2989" s="66" t="s">
        <v>27</v>
      </c>
      <c r="P2989" s="82" t="s">
        <v>11275</v>
      </c>
      <c r="Q2989" s="84" t="s">
        <v>1963</v>
      </c>
      <c r="R2989" s="84" t="s">
        <v>9605</v>
      </c>
      <c r="S2989" s="84">
        <v>2.5000000000000001E-2</v>
      </c>
      <c r="T2989" s="82" t="s">
        <v>11276</v>
      </c>
      <c r="U2989" s="84"/>
      <c r="V2989" s="54"/>
    </row>
    <row r="2990" spans="1:22" s="11" customFormat="1" ht="45" customHeight="1" x14ac:dyDescent="0.2">
      <c r="A2990" s="66" t="s">
        <v>1963</v>
      </c>
      <c r="B2990" s="66" t="s">
        <v>1155</v>
      </c>
      <c r="C2990" s="66" t="s">
        <v>9605</v>
      </c>
      <c r="D2990" s="66">
        <v>6942421105879</v>
      </c>
      <c r="E2990" s="68" t="s">
        <v>11277</v>
      </c>
      <c r="F2990" s="66" t="s">
        <v>11278</v>
      </c>
      <c r="G2990" s="71">
        <v>1674</v>
      </c>
      <c r="H2990" s="73"/>
      <c r="I2990" s="75">
        <v>0.2</v>
      </c>
      <c r="J2990" s="77"/>
      <c r="K2990" s="66"/>
      <c r="L2990" s="66"/>
      <c r="M2990" s="79" t="str">
        <f>HYPERLINK("http://www.pristavka.com/catalog/Genshin Impact/GEN1092/")</f>
        <v>http://www.pristavka.com/catalog/Genshin Impact/GEN1092/</v>
      </c>
      <c r="N2990" s="71">
        <v>2799</v>
      </c>
      <c r="O2990" s="66" t="s">
        <v>27</v>
      </c>
      <c r="P2990" s="82" t="s">
        <v>11279</v>
      </c>
      <c r="Q2990" s="84" t="s">
        <v>1963</v>
      </c>
      <c r="R2990" s="84" t="s">
        <v>9605</v>
      </c>
      <c r="S2990" s="84">
        <v>0.02</v>
      </c>
      <c r="T2990" s="82" t="s">
        <v>11276</v>
      </c>
      <c r="U2990" s="84"/>
      <c r="V2990" s="54"/>
    </row>
    <row r="2991" spans="1:22" s="11" customFormat="1" ht="45" customHeight="1" x14ac:dyDescent="0.2">
      <c r="A2991" s="66" t="s">
        <v>1963</v>
      </c>
      <c r="B2991" s="66" t="s">
        <v>1155</v>
      </c>
      <c r="C2991" s="66" t="s">
        <v>9605</v>
      </c>
      <c r="D2991" s="66">
        <v>6942421103998</v>
      </c>
      <c r="E2991" s="68" t="s">
        <v>11280</v>
      </c>
      <c r="F2991" s="66" t="s">
        <v>11281</v>
      </c>
      <c r="G2991" s="71">
        <v>1516</v>
      </c>
      <c r="H2991" s="73"/>
      <c r="I2991" s="75">
        <v>0.2</v>
      </c>
      <c r="J2991" s="77"/>
      <c r="K2991" s="66"/>
      <c r="L2991" s="66"/>
      <c r="M2991" s="79" t="str">
        <f>HYPERLINK("http://www.pristavka.com/catalog/Genshin Impact/GEN1132/")</f>
        <v>http://www.pristavka.com/catalog/Genshin Impact/GEN1132/</v>
      </c>
      <c r="N2991" s="71">
        <v>2599</v>
      </c>
      <c r="O2991" s="66" t="s">
        <v>27</v>
      </c>
      <c r="P2991" s="82" t="s">
        <v>11282</v>
      </c>
      <c r="Q2991" s="84" t="s">
        <v>1963</v>
      </c>
      <c r="R2991" s="84" t="s">
        <v>9605</v>
      </c>
      <c r="S2991" s="84">
        <v>0.02</v>
      </c>
      <c r="T2991" s="82" t="s">
        <v>11179</v>
      </c>
      <c r="U2991" s="84"/>
      <c r="V2991" s="54"/>
    </row>
    <row r="2992" spans="1:22" s="11" customFormat="1" ht="45" customHeight="1" x14ac:dyDescent="0.2">
      <c r="A2992" s="66" t="s">
        <v>1963</v>
      </c>
      <c r="B2992" s="66" t="s">
        <v>1155</v>
      </c>
      <c r="C2992" s="66" t="s">
        <v>9605</v>
      </c>
      <c r="D2992" s="66">
        <v>6942421138082</v>
      </c>
      <c r="E2992" s="68" t="s">
        <v>11283</v>
      </c>
      <c r="F2992" s="66" t="s">
        <v>11284</v>
      </c>
      <c r="G2992" s="71">
        <v>1358</v>
      </c>
      <c r="H2992" s="73"/>
      <c r="I2992" s="75">
        <v>0.2</v>
      </c>
      <c r="J2992" s="77"/>
      <c r="K2992" s="66"/>
      <c r="L2992" s="66"/>
      <c r="M2992" s="79" t="str">
        <f>HYPERLINK("http://www.pristavka.com/catalog/Genshin Impact/GEN1272/")</f>
        <v>http://www.pristavka.com/catalog/Genshin Impact/GEN1272/</v>
      </c>
      <c r="N2992" s="71">
        <v>2299</v>
      </c>
      <c r="O2992" s="66" t="s">
        <v>27</v>
      </c>
      <c r="P2992" s="82" t="s">
        <v>11285</v>
      </c>
      <c r="Q2992" s="84" t="s">
        <v>1963</v>
      </c>
      <c r="R2992" s="84" t="s">
        <v>9605</v>
      </c>
      <c r="S2992" s="84">
        <v>1.7999999999999999E-2</v>
      </c>
      <c r="T2992" s="82" t="s">
        <v>11002</v>
      </c>
      <c r="U2992" s="84"/>
      <c r="V2992" s="54"/>
    </row>
    <row r="2993" spans="1:22" s="11" customFormat="1" ht="45" customHeight="1" x14ac:dyDescent="0.2">
      <c r="A2993" s="66" t="s">
        <v>1963</v>
      </c>
      <c r="B2993" s="66" t="s">
        <v>1155</v>
      </c>
      <c r="C2993" s="66" t="s">
        <v>9605</v>
      </c>
      <c r="D2993" s="66">
        <v>6942421133520</v>
      </c>
      <c r="E2993" s="68" t="s">
        <v>11286</v>
      </c>
      <c r="F2993" s="66" t="s">
        <v>11287</v>
      </c>
      <c r="G2993" s="71">
        <v>1167</v>
      </c>
      <c r="H2993" s="73"/>
      <c r="I2993" s="75">
        <v>0.2</v>
      </c>
      <c r="J2993" s="77"/>
      <c r="K2993" s="66"/>
      <c r="L2993" s="66"/>
      <c r="M2993" s="79" t="str">
        <f>HYPERLINK("http://www.pristavka.com/catalog/Genshin Impact/GEN1244/")</f>
        <v>http://www.pristavka.com/catalog/Genshin Impact/GEN1244/</v>
      </c>
      <c r="N2993" s="71">
        <v>1999</v>
      </c>
      <c r="O2993" s="66" t="s">
        <v>27</v>
      </c>
      <c r="P2993" s="82" t="s">
        <v>11288</v>
      </c>
      <c r="Q2993" s="84" t="s">
        <v>1963</v>
      </c>
      <c r="R2993" s="84" t="s">
        <v>9605</v>
      </c>
      <c r="S2993" s="84">
        <v>1.7000000000000001E-2</v>
      </c>
      <c r="T2993" s="82" t="s">
        <v>11289</v>
      </c>
      <c r="U2993" s="84"/>
      <c r="V2993" s="54"/>
    </row>
    <row r="2994" spans="1:22" s="11" customFormat="1" ht="45" customHeight="1" x14ac:dyDescent="0.2">
      <c r="A2994" s="66" t="s">
        <v>1963</v>
      </c>
      <c r="B2994" s="66" t="s">
        <v>1155</v>
      </c>
      <c r="C2994" s="66" t="s">
        <v>9605</v>
      </c>
      <c r="D2994" s="66">
        <v>6942421133513</v>
      </c>
      <c r="E2994" s="68" t="s">
        <v>11290</v>
      </c>
      <c r="F2994" s="66" t="s">
        <v>11291</v>
      </c>
      <c r="G2994" s="71">
        <v>1167</v>
      </c>
      <c r="H2994" s="73"/>
      <c r="I2994" s="75">
        <v>0.2</v>
      </c>
      <c r="J2994" s="77"/>
      <c r="K2994" s="66"/>
      <c r="L2994" s="66"/>
      <c r="M2994" s="79" t="str">
        <f>HYPERLINK("http://www.pristavka.com/catalog/Genshin Impact/GEN1243/")</f>
        <v>http://www.pristavka.com/catalog/Genshin Impact/GEN1243/</v>
      </c>
      <c r="N2994" s="71">
        <v>1999</v>
      </c>
      <c r="O2994" s="66" t="s">
        <v>27</v>
      </c>
      <c r="P2994" s="82" t="s">
        <v>11292</v>
      </c>
      <c r="Q2994" s="84" t="s">
        <v>1963</v>
      </c>
      <c r="R2994" s="84" t="s">
        <v>9605</v>
      </c>
      <c r="S2994" s="84">
        <v>1.7999999999999999E-2</v>
      </c>
      <c r="T2994" s="82" t="s">
        <v>10304</v>
      </c>
      <c r="U2994" s="84"/>
      <c r="V2994" s="54"/>
    </row>
    <row r="2995" spans="1:22" s="11" customFormat="1" ht="45" customHeight="1" x14ac:dyDescent="0.2">
      <c r="A2995" s="66" t="s">
        <v>1963</v>
      </c>
      <c r="B2995" s="66" t="s">
        <v>1155</v>
      </c>
      <c r="C2995" s="66" t="s">
        <v>9605</v>
      </c>
      <c r="D2995" s="66">
        <v>6942421107651</v>
      </c>
      <c r="E2995" s="68" t="s">
        <v>11293</v>
      </c>
      <c r="F2995" s="66" t="s">
        <v>11294</v>
      </c>
      <c r="G2995" s="71">
        <v>1167</v>
      </c>
      <c r="H2995" s="73"/>
      <c r="I2995" s="75">
        <v>0.2</v>
      </c>
      <c r="J2995" s="77"/>
      <c r="K2995" s="66"/>
      <c r="L2995" s="66"/>
      <c r="M2995" s="79" t="str">
        <f>HYPERLINK("http://www.pristavka.com/catalog/Genshin Impact/GEN1245/")</f>
        <v>http://www.pristavka.com/catalog/Genshin Impact/GEN1245/</v>
      </c>
      <c r="N2995" s="71">
        <v>1999</v>
      </c>
      <c r="O2995" s="66" t="s">
        <v>27</v>
      </c>
      <c r="P2995" s="82" t="s">
        <v>11295</v>
      </c>
      <c r="Q2995" s="84" t="s">
        <v>1963</v>
      </c>
      <c r="R2995" s="84" t="s">
        <v>9605</v>
      </c>
      <c r="S2995" s="84">
        <v>1.7000000000000001E-2</v>
      </c>
      <c r="T2995" s="82" t="s">
        <v>11296</v>
      </c>
      <c r="U2995" s="84"/>
      <c r="V2995" s="54"/>
    </row>
    <row r="2996" spans="1:22" s="11" customFormat="1" ht="45" customHeight="1" x14ac:dyDescent="0.2">
      <c r="A2996" s="66" t="s">
        <v>1963</v>
      </c>
      <c r="B2996" s="66" t="s">
        <v>1155</v>
      </c>
      <c r="C2996" s="66" t="s">
        <v>9605</v>
      </c>
      <c r="D2996" s="66">
        <v>6942421107668</v>
      </c>
      <c r="E2996" s="68" t="s">
        <v>11297</v>
      </c>
      <c r="F2996" s="66" t="s">
        <v>11298</v>
      </c>
      <c r="G2996" s="71">
        <v>1167</v>
      </c>
      <c r="H2996" s="73"/>
      <c r="I2996" s="75">
        <v>0.2</v>
      </c>
      <c r="J2996" s="77"/>
      <c r="K2996" s="66"/>
      <c r="L2996" s="66"/>
      <c r="M2996" s="79" t="str">
        <f>HYPERLINK("http://www.pristavka.com/catalog/Genshin Impact/GEN1246/")</f>
        <v>http://www.pristavka.com/catalog/Genshin Impact/GEN1246/</v>
      </c>
      <c r="N2996" s="71">
        <v>1999</v>
      </c>
      <c r="O2996" s="66" t="s">
        <v>27</v>
      </c>
      <c r="P2996" s="82" t="s">
        <v>11299</v>
      </c>
      <c r="Q2996" s="84" t="s">
        <v>1963</v>
      </c>
      <c r="R2996" s="84" t="s">
        <v>9605</v>
      </c>
      <c r="S2996" s="84">
        <v>1.7000000000000001E-2</v>
      </c>
      <c r="T2996" s="82" t="s">
        <v>11289</v>
      </c>
      <c r="U2996" s="84"/>
      <c r="V2996" s="54"/>
    </row>
    <row r="2997" spans="1:22" s="11" customFormat="1" ht="45" customHeight="1" x14ac:dyDescent="0.2">
      <c r="A2997" s="66" t="s">
        <v>1963</v>
      </c>
      <c r="B2997" s="66" t="s">
        <v>1155</v>
      </c>
      <c r="C2997" s="66" t="s">
        <v>9605</v>
      </c>
      <c r="D2997" s="66">
        <v>6942421141259</v>
      </c>
      <c r="E2997" s="68" t="s">
        <v>11300</v>
      </c>
      <c r="F2997" s="66" t="s">
        <v>11301</v>
      </c>
      <c r="G2997" s="71">
        <v>3164</v>
      </c>
      <c r="H2997" s="73"/>
      <c r="I2997" s="75">
        <v>0.2</v>
      </c>
      <c r="J2997" s="77"/>
      <c r="K2997" s="66"/>
      <c r="L2997" s="66"/>
      <c r="M2997" s="79" t="str">
        <f>HYPERLINK("http://www.pristavka.com/catalog/Genshin Impact/GEN1329/")</f>
        <v>http://www.pristavka.com/catalog/Genshin Impact/GEN1329/</v>
      </c>
      <c r="N2997" s="71">
        <v>5299</v>
      </c>
      <c r="O2997" s="66" t="s">
        <v>27</v>
      </c>
      <c r="P2997" s="82" t="s">
        <v>11302</v>
      </c>
      <c r="Q2997" s="84" t="s">
        <v>1963</v>
      </c>
      <c r="R2997" s="84" t="s">
        <v>9605</v>
      </c>
      <c r="S2997" s="84">
        <v>1.6E-2</v>
      </c>
      <c r="T2997" s="82" t="s">
        <v>11303</v>
      </c>
      <c r="U2997" s="84"/>
      <c r="V2997" s="54"/>
    </row>
    <row r="2998" spans="1:22" s="11" customFormat="1" ht="45" customHeight="1" x14ac:dyDescent="0.2">
      <c r="A2998" s="66" t="s">
        <v>1963</v>
      </c>
      <c r="B2998" s="66" t="s">
        <v>1155</v>
      </c>
      <c r="C2998" s="66" t="s">
        <v>9605</v>
      </c>
      <c r="D2998" s="66">
        <v>6942421104018</v>
      </c>
      <c r="E2998" s="68" t="s">
        <v>11304</v>
      </c>
      <c r="F2998" s="66" t="s">
        <v>11305</v>
      </c>
      <c r="G2998" s="71">
        <v>1516</v>
      </c>
      <c r="H2998" s="73"/>
      <c r="I2998" s="75">
        <v>0.2</v>
      </c>
      <c r="J2998" s="77"/>
      <c r="K2998" s="66"/>
      <c r="L2998" s="66"/>
      <c r="M2998" s="79" t="str">
        <f>HYPERLINK("http://www.pristavka.com/catalog/Genshin Impact/GEN1134/")</f>
        <v>http://www.pristavka.com/catalog/Genshin Impact/GEN1134/</v>
      </c>
      <c r="N2998" s="71">
        <v>2599</v>
      </c>
      <c r="O2998" s="66" t="s">
        <v>27</v>
      </c>
      <c r="P2998" s="82" t="s">
        <v>11306</v>
      </c>
      <c r="Q2998" s="84" t="s">
        <v>1963</v>
      </c>
      <c r="R2998" s="84" t="s">
        <v>9605</v>
      </c>
      <c r="S2998" s="84">
        <v>0.02</v>
      </c>
      <c r="T2998" s="82" t="s">
        <v>10304</v>
      </c>
      <c r="U2998" s="84"/>
      <c r="V2998" s="54"/>
    </row>
    <row r="2999" spans="1:22" s="11" customFormat="1" ht="45" customHeight="1" x14ac:dyDescent="0.2">
      <c r="A2999" s="66" t="s">
        <v>1963</v>
      </c>
      <c r="B2999" s="66" t="s">
        <v>1155</v>
      </c>
      <c r="C2999" s="66" t="s">
        <v>9605</v>
      </c>
      <c r="D2999" s="66">
        <v>6942421141143</v>
      </c>
      <c r="E2999" s="68" t="s">
        <v>11307</v>
      </c>
      <c r="F2999" s="66" t="s">
        <v>11308</v>
      </c>
      <c r="G2999" s="71">
        <v>2530</v>
      </c>
      <c r="H2999" s="73"/>
      <c r="I2999" s="75">
        <v>0.2</v>
      </c>
      <c r="J2999" s="77"/>
      <c r="K2999" s="66"/>
      <c r="L2999" s="66"/>
      <c r="M2999" s="79" t="str">
        <f>HYPERLINK("http://www.pristavka.com/catalog/Genshin Impact/GEN1322/")</f>
        <v>http://www.pristavka.com/catalog/Genshin Impact/GEN1322/</v>
      </c>
      <c r="N2999" s="71">
        <v>4299</v>
      </c>
      <c r="O2999" s="66" t="s">
        <v>27</v>
      </c>
      <c r="P2999" s="82" t="s">
        <v>11309</v>
      </c>
      <c r="Q2999" s="84" t="s">
        <v>1963</v>
      </c>
      <c r="R2999" s="84" t="s">
        <v>9605</v>
      </c>
      <c r="S2999" s="84">
        <v>3.5000000000000003E-2</v>
      </c>
      <c r="T2999" s="82" t="s">
        <v>9900</v>
      </c>
      <c r="U2999" s="84"/>
      <c r="V2999" s="54"/>
    </row>
    <row r="3000" spans="1:22" s="11" customFormat="1" ht="45" customHeight="1" x14ac:dyDescent="0.2">
      <c r="A3000" s="66" t="s">
        <v>1963</v>
      </c>
      <c r="B3000" s="66" t="s">
        <v>1155</v>
      </c>
      <c r="C3000" s="66" t="s">
        <v>9605</v>
      </c>
      <c r="D3000" s="66">
        <v>6942421141150</v>
      </c>
      <c r="E3000" s="68" t="s">
        <v>11310</v>
      </c>
      <c r="F3000" s="66" t="s">
        <v>11311</v>
      </c>
      <c r="G3000" s="71">
        <v>2530</v>
      </c>
      <c r="H3000" s="73"/>
      <c r="I3000" s="75">
        <v>0.2</v>
      </c>
      <c r="J3000" s="77"/>
      <c r="K3000" s="66"/>
      <c r="L3000" s="66"/>
      <c r="M3000" s="79" t="str">
        <f>HYPERLINK("http://www.pristavka.com/catalog/Genshin Impact/GEN1323/")</f>
        <v>http://www.pristavka.com/catalog/Genshin Impact/GEN1323/</v>
      </c>
      <c r="N3000" s="71">
        <v>4299</v>
      </c>
      <c r="O3000" s="66" t="s">
        <v>27</v>
      </c>
      <c r="P3000" s="82" t="s">
        <v>11312</v>
      </c>
      <c r="Q3000" s="84" t="s">
        <v>1963</v>
      </c>
      <c r="R3000" s="84" t="s">
        <v>9605</v>
      </c>
      <c r="S3000" s="84">
        <v>3.5000000000000003E-2</v>
      </c>
      <c r="T3000" s="82" t="s">
        <v>9900</v>
      </c>
      <c r="U3000" s="84"/>
      <c r="V3000" s="54"/>
    </row>
    <row r="3001" spans="1:22" s="11" customFormat="1" ht="45" customHeight="1" x14ac:dyDescent="0.2">
      <c r="A3001" s="66" t="s">
        <v>1963</v>
      </c>
      <c r="B3001" s="66" t="s">
        <v>1155</v>
      </c>
      <c r="C3001" s="66" t="s">
        <v>9605</v>
      </c>
      <c r="D3001" s="66">
        <v>6942421141136</v>
      </c>
      <c r="E3001" s="68" t="s">
        <v>11313</v>
      </c>
      <c r="F3001" s="66" t="s">
        <v>11314</v>
      </c>
      <c r="G3001" s="71">
        <v>2530</v>
      </c>
      <c r="H3001" s="73"/>
      <c r="I3001" s="75">
        <v>0.2</v>
      </c>
      <c r="J3001" s="77"/>
      <c r="K3001" s="66"/>
      <c r="L3001" s="66"/>
      <c r="M3001" s="79" t="str">
        <f>HYPERLINK("http://www.pristavka.com/catalog/Genshin Impact/GEN1321/")</f>
        <v>http://www.pristavka.com/catalog/Genshin Impact/GEN1321/</v>
      </c>
      <c r="N3001" s="71">
        <v>4299</v>
      </c>
      <c r="O3001" s="66" t="s">
        <v>27</v>
      </c>
      <c r="P3001" s="82" t="s">
        <v>11315</v>
      </c>
      <c r="Q3001" s="84" t="s">
        <v>1963</v>
      </c>
      <c r="R3001" s="84" t="s">
        <v>9605</v>
      </c>
      <c r="S3001" s="84">
        <v>3.5999999999999997E-2</v>
      </c>
      <c r="T3001" s="82" t="s">
        <v>11316</v>
      </c>
      <c r="U3001" s="84"/>
      <c r="V3001" s="54"/>
    </row>
    <row r="3002" spans="1:22" s="11" customFormat="1" ht="45" customHeight="1" x14ac:dyDescent="0.2">
      <c r="A3002" s="66" t="s">
        <v>1963</v>
      </c>
      <c r="B3002" s="66" t="s">
        <v>1155</v>
      </c>
      <c r="C3002" s="66" t="s">
        <v>9605</v>
      </c>
      <c r="D3002" s="66">
        <v>6942421114215</v>
      </c>
      <c r="E3002" s="68" t="s">
        <v>11317</v>
      </c>
      <c r="F3002" s="66" t="s">
        <v>11318</v>
      </c>
      <c r="G3002" s="71">
        <v>1801</v>
      </c>
      <c r="H3002" s="73"/>
      <c r="I3002" s="75">
        <v>0.2</v>
      </c>
      <c r="J3002" s="77"/>
      <c r="K3002" s="66"/>
      <c r="L3002" s="66"/>
      <c r="M3002" s="79" t="str">
        <f>HYPERLINK("http://www.pristavka.com/catalog/Genshin Impact/GEN1142/")</f>
        <v>http://www.pristavka.com/catalog/Genshin Impact/GEN1142/</v>
      </c>
      <c r="N3002" s="71">
        <v>3099</v>
      </c>
      <c r="O3002" s="66" t="s">
        <v>27</v>
      </c>
      <c r="P3002" s="82" t="s">
        <v>11319</v>
      </c>
      <c r="Q3002" s="84" t="s">
        <v>1963</v>
      </c>
      <c r="R3002" s="84" t="s">
        <v>9605</v>
      </c>
      <c r="S3002" s="84">
        <v>1.9E-2</v>
      </c>
      <c r="T3002" s="82" t="s">
        <v>11224</v>
      </c>
      <c r="U3002" s="84"/>
      <c r="V3002" s="54"/>
    </row>
    <row r="3003" spans="1:22" s="11" customFormat="1" ht="45" customHeight="1" x14ac:dyDescent="0.2">
      <c r="A3003" s="66" t="s">
        <v>1963</v>
      </c>
      <c r="B3003" s="66" t="s">
        <v>1155</v>
      </c>
      <c r="C3003" s="66" t="s">
        <v>9605</v>
      </c>
      <c r="D3003" s="66">
        <v>6942421139652</v>
      </c>
      <c r="E3003" s="68" t="s">
        <v>11320</v>
      </c>
      <c r="F3003" s="66" t="s">
        <v>11321</v>
      </c>
      <c r="G3003" s="71">
        <v>1358</v>
      </c>
      <c r="H3003" s="73"/>
      <c r="I3003" s="75">
        <v>0.2</v>
      </c>
      <c r="J3003" s="77"/>
      <c r="K3003" s="66"/>
      <c r="L3003" s="66"/>
      <c r="M3003" s="79" t="str">
        <f>HYPERLINK("http://www.pristavka.com/catalog/Genshin Impact/GEN1278/")</f>
        <v>http://www.pristavka.com/catalog/Genshin Impact/GEN1278/</v>
      </c>
      <c r="N3003" s="71">
        <v>2299</v>
      </c>
      <c r="O3003" s="66" t="s">
        <v>27</v>
      </c>
      <c r="P3003" s="82" t="s">
        <v>11322</v>
      </c>
      <c r="Q3003" s="84" t="s">
        <v>1963</v>
      </c>
      <c r="R3003" s="84" t="s">
        <v>9605</v>
      </c>
      <c r="S3003" s="84">
        <v>1.7000000000000001E-2</v>
      </c>
      <c r="T3003" s="82" t="s">
        <v>11208</v>
      </c>
      <c r="U3003" s="84"/>
      <c r="V3003" s="54"/>
    </row>
    <row r="3004" spans="1:22" s="11" customFormat="1" ht="45" customHeight="1" x14ac:dyDescent="0.2">
      <c r="A3004" s="66" t="s">
        <v>1963</v>
      </c>
      <c r="B3004" s="66" t="s">
        <v>1155</v>
      </c>
      <c r="C3004" s="66" t="s">
        <v>9605</v>
      </c>
      <c r="D3004" s="66">
        <v>6942421139621</v>
      </c>
      <c r="E3004" s="68" t="s">
        <v>11323</v>
      </c>
      <c r="F3004" s="66" t="s">
        <v>11324</v>
      </c>
      <c r="G3004" s="71">
        <v>1358</v>
      </c>
      <c r="H3004" s="73"/>
      <c r="I3004" s="75">
        <v>0.2</v>
      </c>
      <c r="J3004" s="77"/>
      <c r="K3004" s="66"/>
      <c r="L3004" s="66"/>
      <c r="M3004" s="79" t="str">
        <f>HYPERLINK("http://www.pristavka.com/catalog/Genshin Impact/GEN1277/")</f>
        <v>http://www.pristavka.com/catalog/Genshin Impact/GEN1277/</v>
      </c>
      <c r="N3004" s="71">
        <v>2299</v>
      </c>
      <c r="O3004" s="66" t="s">
        <v>27</v>
      </c>
      <c r="P3004" s="82" t="s">
        <v>11325</v>
      </c>
      <c r="Q3004" s="84" t="s">
        <v>1963</v>
      </c>
      <c r="R3004" s="84" t="s">
        <v>9605</v>
      </c>
      <c r="S3004" s="84">
        <v>1.4999999999999999E-2</v>
      </c>
      <c r="T3004" s="82" t="s">
        <v>11183</v>
      </c>
      <c r="U3004" s="84"/>
      <c r="V3004" s="54"/>
    </row>
    <row r="3005" spans="1:22" s="11" customFormat="1" ht="45" customHeight="1" x14ac:dyDescent="0.2">
      <c r="A3005" s="66" t="s">
        <v>1963</v>
      </c>
      <c r="B3005" s="66" t="s">
        <v>1155</v>
      </c>
      <c r="C3005" s="66" t="s">
        <v>9605</v>
      </c>
      <c r="D3005" s="66">
        <v>6942421111672</v>
      </c>
      <c r="E3005" s="68" t="s">
        <v>11326</v>
      </c>
      <c r="F3005" s="66" t="s">
        <v>11327</v>
      </c>
      <c r="G3005" s="71">
        <v>1262</v>
      </c>
      <c r="H3005" s="73"/>
      <c r="I3005" s="75">
        <v>0.2</v>
      </c>
      <c r="J3005" s="77"/>
      <c r="K3005" s="66"/>
      <c r="L3005" s="66"/>
      <c r="M3005" s="79" t="str">
        <f>HYPERLINK("http://www.pristavka.com/catalog/Genshin Impact/GEN1150/")</f>
        <v>http://www.pristavka.com/catalog/Genshin Impact/GEN1150/</v>
      </c>
      <c r="N3005" s="71">
        <v>2199</v>
      </c>
      <c r="O3005" s="66" t="s">
        <v>28</v>
      </c>
      <c r="P3005" s="82" t="s">
        <v>11328</v>
      </c>
      <c r="Q3005" s="84" t="s">
        <v>1963</v>
      </c>
      <c r="R3005" s="84" t="s">
        <v>9605</v>
      </c>
      <c r="S3005" s="84">
        <v>1.7000000000000001E-2</v>
      </c>
      <c r="T3005" s="82" t="s">
        <v>11175</v>
      </c>
      <c r="U3005" s="84"/>
      <c r="V3005" s="54"/>
    </row>
    <row r="3006" spans="1:22" s="11" customFormat="1" ht="45" customHeight="1" x14ac:dyDescent="0.2">
      <c r="A3006" s="66" t="s">
        <v>1963</v>
      </c>
      <c r="B3006" s="66" t="s">
        <v>1155</v>
      </c>
      <c r="C3006" s="66" t="s">
        <v>9605</v>
      </c>
      <c r="D3006" s="66">
        <v>6942421111566</v>
      </c>
      <c r="E3006" s="68" t="s">
        <v>11329</v>
      </c>
      <c r="F3006" s="66" t="s">
        <v>11330</v>
      </c>
      <c r="G3006" s="71">
        <v>1262</v>
      </c>
      <c r="H3006" s="73"/>
      <c r="I3006" s="75">
        <v>0.2</v>
      </c>
      <c r="J3006" s="77"/>
      <c r="K3006" s="66"/>
      <c r="L3006" s="66"/>
      <c r="M3006" s="79" t="str">
        <f>HYPERLINK("http://www.pristavka.com/catalog/Genshin Impact/GEN1151/")</f>
        <v>http://www.pristavka.com/catalog/Genshin Impact/GEN1151/</v>
      </c>
      <c r="N3006" s="71">
        <v>2199</v>
      </c>
      <c r="O3006" s="66" t="s">
        <v>27</v>
      </c>
      <c r="P3006" s="82" t="s">
        <v>11331</v>
      </c>
      <c r="Q3006" s="84" t="s">
        <v>1963</v>
      </c>
      <c r="R3006" s="84" t="s">
        <v>9605</v>
      </c>
      <c r="S3006" s="84">
        <v>1.4999999999999999E-2</v>
      </c>
      <c r="T3006" s="82" t="s">
        <v>11332</v>
      </c>
      <c r="U3006" s="84"/>
      <c r="V3006" s="54"/>
    </row>
    <row r="3007" spans="1:22" s="11" customFormat="1" ht="45" customHeight="1" x14ac:dyDescent="0.2">
      <c r="A3007" s="66" t="s">
        <v>1963</v>
      </c>
      <c r="B3007" s="66" t="s">
        <v>1155</v>
      </c>
      <c r="C3007" s="66" t="s">
        <v>9605</v>
      </c>
      <c r="D3007" s="66">
        <v>6942421101550</v>
      </c>
      <c r="E3007" s="68" t="s">
        <v>11333</v>
      </c>
      <c r="F3007" s="66" t="s">
        <v>11334</v>
      </c>
      <c r="G3007" s="71">
        <v>1262</v>
      </c>
      <c r="H3007" s="73"/>
      <c r="I3007" s="75">
        <v>0.2</v>
      </c>
      <c r="J3007" s="77"/>
      <c r="K3007" s="66"/>
      <c r="L3007" s="66"/>
      <c r="M3007" s="79" t="str">
        <f>HYPERLINK("http://www.pristavka.com/catalog/Genshin Impact/GEN1080/")</f>
        <v>http://www.pristavka.com/catalog/Genshin Impact/GEN1080/</v>
      </c>
      <c r="N3007" s="71">
        <v>2199</v>
      </c>
      <c r="O3007" s="66" t="s">
        <v>27</v>
      </c>
      <c r="P3007" s="82" t="s">
        <v>11335</v>
      </c>
      <c r="Q3007" s="84" t="s">
        <v>1963</v>
      </c>
      <c r="R3007" s="84" t="s">
        <v>9605</v>
      </c>
      <c r="S3007" s="84">
        <v>0.02</v>
      </c>
      <c r="T3007" s="82" t="s">
        <v>10304</v>
      </c>
      <c r="U3007" s="84"/>
      <c r="V3007" s="54"/>
    </row>
    <row r="3008" spans="1:22" s="11" customFormat="1" ht="45" customHeight="1" x14ac:dyDescent="0.2">
      <c r="A3008" s="66" t="s">
        <v>1963</v>
      </c>
      <c r="B3008" s="66" t="s">
        <v>1155</v>
      </c>
      <c r="C3008" s="66" t="s">
        <v>9605</v>
      </c>
      <c r="D3008" s="66">
        <v>6942421102571</v>
      </c>
      <c r="E3008" s="68" t="s">
        <v>11336</v>
      </c>
      <c r="F3008" s="66" t="s">
        <v>11337</v>
      </c>
      <c r="G3008" s="71">
        <v>1262</v>
      </c>
      <c r="H3008" s="73"/>
      <c r="I3008" s="75">
        <v>0.2</v>
      </c>
      <c r="J3008" s="77"/>
      <c r="K3008" s="66"/>
      <c r="L3008" s="66"/>
      <c r="M3008" s="79" t="str">
        <f>HYPERLINK("http://www.pristavka.com/catalog/Genshin Impact/GEN1069/")</f>
        <v>http://www.pristavka.com/catalog/Genshin Impact/GEN1069/</v>
      </c>
      <c r="N3008" s="71">
        <v>2199</v>
      </c>
      <c r="O3008" s="66" t="s">
        <v>27</v>
      </c>
      <c r="P3008" s="82" t="s">
        <v>11338</v>
      </c>
      <c r="Q3008" s="84" t="s">
        <v>1963</v>
      </c>
      <c r="R3008" s="84" t="s">
        <v>9605</v>
      </c>
      <c r="S3008" s="84">
        <v>1.4999999999999999E-2</v>
      </c>
      <c r="T3008" s="82" t="s">
        <v>11179</v>
      </c>
      <c r="U3008" s="84"/>
      <c r="V3008" s="54"/>
    </row>
    <row r="3009" spans="1:22" s="11" customFormat="1" ht="45" customHeight="1" x14ac:dyDescent="0.2">
      <c r="A3009" s="66" t="s">
        <v>1963</v>
      </c>
      <c r="B3009" s="66" t="s">
        <v>1155</v>
      </c>
      <c r="C3009" s="66" t="s">
        <v>9605</v>
      </c>
      <c r="D3009" s="66">
        <v>6942421102267</v>
      </c>
      <c r="E3009" s="68" t="s">
        <v>11339</v>
      </c>
      <c r="F3009" s="66" t="s">
        <v>11340</v>
      </c>
      <c r="G3009" s="71">
        <v>1674</v>
      </c>
      <c r="H3009" s="73"/>
      <c r="I3009" s="75">
        <v>0.2</v>
      </c>
      <c r="J3009" s="77"/>
      <c r="K3009" s="66"/>
      <c r="L3009" s="66"/>
      <c r="M3009" s="79" t="str">
        <f>HYPERLINK("http://www.pristavka.com/catalog/Genshin Impact/GEN1088/")</f>
        <v>http://www.pristavka.com/catalog/Genshin Impact/GEN1088/</v>
      </c>
      <c r="N3009" s="71">
        <v>2799</v>
      </c>
      <c r="O3009" s="66" t="s">
        <v>27</v>
      </c>
      <c r="P3009" s="82" t="s">
        <v>11341</v>
      </c>
      <c r="Q3009" s="84" t="s">
        <v>1963</v>
      </c>
      <c r="R3009" s="84" t="s">
        <v>9605</v>
      </c>
      <c r="S3009" s="84">
        <v>2.4E-2</v>
      </c>
      <c r="T3009" s="82" t="s">
        <v>11342</v>
      </c>
      <c r="U3009" s="84"/>
      <c r="V3009" s="54"/>
    </row>
    <row r="3010" spans="1:22" s="11" customFormat="1" ht="45" customHeight="1" x14ac:dyDescent="0.2">
      <c r="A3010" s="66" t="s">
        <v>1963</v>
      </c>
      <c r="B3010" s="66" t="s">
        <v>1155</v>
      </c>
      <c r="C3010" s="66" t="s">
        <v>9605</v>
      </c>
      <c r="D3010" s="66">
        <v>6942421102243</v>
      </c>
      <c r="E3010" s="68" t="s">
        <v>11343</v>
      </c>
      <c r="F3010" s="66" t="s">
        <v>11344</v>
      </c>
      <c r="G3010" s="71">
        <v>1674</v>
      </c>
      <c r="H3010" s="73"/>
      <c r="I3010" s="75">
        <v>0.2</v>
      </c>
      <c r="J3010" s="77"/>
      <c r="K3010" s="66"/>
      <c r="L3010" s="66"/>
      <c r="M3010" s="79" t="str">
        <f>HYPERLINK("http://www.pristavka.com/catalog/Genshin Impact/GEN1086/")</f>
        <v>http://www.pristavka.com/catalog/Genshin Impact/GEN1086/</v>
      </c>
      <c r="N3010" s="71">
        <v>2799</v>
      </c>
      <c r="O3010" s="66" t="s">
        <v>27</v>
      </c>
      <c r="P3010" s="82" t="s">
        <v>11345</v>
      </c>
      <c r="Q3010" s="84" t="s">
        <v>1963</v>
      </c>
      <c r="R3010" s="84" t="s">
        <v>9605</v>
      </c>
      <c r="S3010" s="84">
        <v>2.5000000000000001E-2</v>
      </c>
      <c r="T3010" s="82" t="s">
        <v>11200</v>
      </c>
      <c r="U3010" s="84"/>
      <c r="V3010" s="54"/>
    </row>
    <row r="3011" spans="1:22" s="11" customFormat="1" ht="45" customHeight="1" x14ac:dyDescent="0.2">
      <c r="A3011" s="66" t="s">
        <v>1963</v>
      </c>
      <c r="B3011" s="66" t="s">
        <v>1155</v>
      </c>
      <c r="C3011" s="66" t="s">
        <v>9605</v>
      </c>
      <c r="D3011" s="66">
        <v>6942421102250</v>
      </c>
      <c r="E3011" s="68" t="s">
        <v>11346</v>
      </c>
      <c r="F3011" s="66" t="s">
        <v>11347</v>
      </c>
      <c r="G3011" s="71">
        <v>1674</v>
      </c>
      <c r="H3011" s="73"/>
      <c r="I3011" s="75">
        <v>0.2</v>
      </c>
      <c r="J3011" s="77"/>
      <c r="K3011" s="66"/>
      <c r="L3011" s="66"/>
      <c r="M3011" s="79" t="str">
        <f>HYPERLINK("http://www.pristavka.com/catalog/Genshin Impact/GEN1087/")</f>
        <v>http://www.pristavka.com/catalog/Genshin Impact/GEN1087/</v>
      </c>
      <c r="N3011" s="71">
        <v>2799</v>
      </c>
      <c r="O3011" s="66" t="s">
        <v>27</v>
      </c>
      <c r="P3011" s="82" t="s">
        <v>11348</v>
      </c>
      <c r="Q3011" s="84" t="s">
        <v>1963</v>
      </c>
      <c r="R3011" s="84" t="s">
        <v>9605</v>
      </c>
      <c r="S3011" s="84">
        <v>2.5000000000000001E-2</v>
      </c>
      <c r="T3011" s="82" t="s">
        <v>11200</v>
      </c>
      <c r="U3011" s="84"/>
      <c r="V3011" s="54"/>
    </row>
    <row r="3012" spans="1:22" s="11" customFormat="1" ht="45" customHeight="1" x14ac:dyDescent="0.2">
      <c r="A3012" s="66" t="s">
        <v>1963</v>
      </c>
      <c r="B3012" s="66" t="s">
        <v>1155</v>
      </c>
      <c r="C3012" s="66" t="s">
        <v>9605</v>
      </c>
      <c r="D3012" s="66">
        <v>6942421102298</v>
      </c>
      <c r="E3012" s="68" t="s">
        <v>11349</v>
      </c>
      <c r="F3012" s="66" t="s">
        <v>11350</v>
      </c>
      <c r="G3012" s="71">
        <v>1674</v>
      </c>
      <c r="H3012" s="73"/>
      <c r="I3012" s="75">
        <v>0.2</v>
      </c>
      <c r="J3012" s="77"/>
      <c r="K3012" s="66"/>
      <c r="L3012" s="66"/>
      <c r="M3012" s="79" t="str">
        <f>HYPERLINK("http://www.pristavka.com/catalog/Genshin Impact/GEN1089/")</f>
        <v>http://www.pristavka.com/catalog/Genshin Impact/GEN1089/</v>
      </c>
      <c r="N3012" s="71">
        <v>2799</v>
      </c>
      <c r="O3012" s="66" t="s">
        <v>27</v>
      </c>
      <c r="P3012" s="82" t="s">
        <v>11351</v>
      </c>
      <c r="Q3012" s="84" t="s">
        <v>1963</v>
      </c>
      <c r="R3012" s="84" t="s">
        <v>9605</v>
      </c>
      <c r="S3012" s="84">
        <v>2.4E-2</v>
      </c>
      <c r="T3012" s="82" t="s">
        <v>11352</v>
      </c>
      <c r="U3012" s="84"/>
      <c r="V3012" s="54"/>
    </row>
    <row r="3013" spans="1:22" s="11" customFormat="1" ht="45" customHeight="1" x14ac:dyDescent="0.2">
      <c r="A3013" s="66" t="s">
        <v>1963</v>
      </c>
      <c r="B3013" s="66" t="s">
        <v>1155</v>
      </c>
      <c r="C3013" s="66" t="s">
        <v>9605</v>
      </c>
      <c r="D3013" s="66">
        <v>6942421111573</v>
      </c>
      <c r="E3013" s="68" t="s">
        <v>11353</v>
      </c>
      <c r="F3013" s="66" t="s">
        <v>11354</v>
      </c>
      <c r="G3013" s="71">
        <v>1262</v>
      </c>
      <c r="H3013" s="73"/>
      <c r="I3013" s="75">
        <v>0.2</v>
      </c>
      <c r="J3013" s="77"/>
      <c r="K3013" s="66"/>
      <c r="L3013" s="66"/>
      <c r="M3013" s="79" t="str">
        <f>HYPERLINK("http://www.pristavka.com/catalog/Genshin Impact/GEN1152/")</f>
        <v>http://www.pristavka.com/catalog/Genshin Impact/GEN1152/</v>
      </c>
      <c r="N3013" s="71">
        <v>2199</v>
      </c>
      <c r="O3013" s="66" t="s">
        <v>27</v>
      </c>
      <c r="P3013" s="82" t="s">
        <v>11355</v>
      </c>
      <c r="Q3013" s="84" t="s">
        <v>1963</v>
      </c>
      <c r="R3013" s="84" t="s">
        <v>9605</v>
      </c>
      <c r="S3013" s="84">
        <v>1.4999999999999999E-2</v>
      </c>
      <c r="T3013" s="82" t="s">
        <v>11332</v>
      </c>
      <c r="U3013" s="84"/>
      <c r="V3013" s="54"/>
    </row>
    <row r="3014" spans="1:22" s="11" customFormat="1" ht="45" customHeight="1" x14ac:dyDescent="0.2">
      <c r="A3014" s="66" t="s">
        <v>1963</v>
      </c>
      <c r="B3014" s="66" t="s">
        <v>1155</v>
      </c>
      <c r="C3014" s="66" t="s">
        <v>9605</v>
      </c>
      <c r="D3014" s="66">
        <v>6942421120827</v>
      </c>
      <c r="E3014" s="68" t="s">
        <v>11356</v>
      </c>
      <c r="F3014" s="66" t="s">
        <v>11357</v>
      </c>
      <c r="G3014" s="71">
        <v>1516</v>
      </c>
      <c r="H3014" s="73"/>
      <c r="I3014" s="75">
        <v>0.2</v>
      </c>
      <c r="J3014" s="77"/>
      <c r="K3014" s="66"/>
      <c r="L3014" s="66"/>
      <c r="M3014" s="79" t="str">
        <f>HYPERLINK("http://www.pristavka.com/catalog/Genshin Impact/GEN1156/")</f>
        <v>http://www.pristavka.com/catalog/Genshin Impact/GEN1156/</v>
      </c>
      <c r="N3014" s="71">
        <v>2599</v>
      </c>
      <c r="O3014" s="66" t="s">
        <v>27</v>
      </c>
      <c r="P3014" s="82" t="s">
        <v>11358</v>
      </c>
      <c r="Q3014" s="84" t="s">
        <v>1963</v>
      </c>
      <c r="R3014" s="84" t="s">
        <v>9605</v>
      </c>
      <c r="S3014" s="84">
        <v>2.4E-2</v>
      </c>
      <c r="T3014" s="82" t="s">
        <v>11183</v>
      </c>
      <c r="U3014" s="84"/>
      <c r="V3014" s="54"/>
    </row>
    <row r="3015" spans="1:22" s="11" customFormat="1" ht="45" customHeight="1" x14ac:dyDescent="0.2">
      <c r="A3015" s="66" t="s">
        <v>1963</v>
      </c>
      <c r="B3015" s="66" t="s">
        <v>1155</v>
      </c>
      <c r="C3015" s="66" t="s">
        <v>9605</v>
      </c>
      <c r="D3015" s="66">
        <v>6942421104001</v>
      </c>
      <c r="E3015" s="68" t="s">
        <v>11359</v>
      </c>
      <c r="F3015" s="66" t="s">
        <v>11360</v>
      </c>
      <c r="G3015" s="71">
        <v>1516</v>
      </c>
      <c r="H3015" s="73"/>
      <c r="I3015" s="75">
        <v>0.2</v>
      </c>
      <c r="J3015" s="77"/>
      <c r="K3015" s="66"/>
      <c r="L3015" s="66"/>
      <c r="M3015" s="79" t="str">
        <f>HYPERLINK("http://www.pristavka.com/catalog/Genshin Impact/GEN1133/")</f>
        <v>http://www.pristavka.com/catalog/Genshin Impact/GEN1133/</v>
      </c>
      <c r="N3015" s="71">
        <v>2599</v>
      </c>
      <c r="O3015" s="66" t="s">
        <v>27</v>
      </c>
      <c r="P3015" s="82" t="s">
        <v>11361</v>
      </c>
      <c r="Q3015" s="84" t="s">
        <v>1963</v>
      </c>
      <c r="R3015" s="84" t="s">
        <v>9605</v>
      </c>
      <c r="S3015" s="84">
        <v>0.02</v>
      </c>
      <c r="T3015" s="82" t="s">
        <v>11179</v>
      </c>
      <c r="U3015" s="84"/>
      <c r="V3015" s="54"/>
    </row>
    <row r="3016" spans="1:22" s="11" customFormat="1" ht="45" customHeight="1" x14ac:dyDescent="0.2">
      <c r="A3016" s="66" t="s">
        <v>1963</v>
      </c>
      <c r="B3016" s="66" t="s">
        <v>1155</v>
      </c>
      <c r="C3016" s="66" t="s">
        <v>9605</v>
      </c>
      <c r="D3016" s="66">
        <v>6942421149651</v>
      </c>
      <c r="E3016" s="68" t="s">
        <v>11362</v>
      </c>
      <c r="F3016" s="66" t="s">
        <v>11363</v>
      </c>
      <c r="G3016" s="71">
        <v>1104</v>
      </c>
      <c r="H3016" s="73"/>
      <c r="I3016" s="75">
        <v>0.2</v>
      </c>
      <c r="J3016" s="77"/>
      <c r="K3016" s="66"/>
      <c r="L3016" s="66"/>
      <c r="M3016" s="79" t="str">
        <f>HYPERLINK("http://www.pristavka.com/catalog/Genshin Impact/GEN1344/")</f>
        <v>http://www.pristavka.com/catalog/Genshin Impact/GEN1344/</v>
      </c>
      <c r="N3016" s="71">
        <v>1899</v>
      </c>
      <c r="O3016" s="66" t="s">
        <v>27</v>
      </c>
      <c r="P3016" s="82" t="s">
        <v>11364</v>
      </c>
      <c r="Q3016" s="84" t="s">
        <v>1963</v>
      </c>
      <c r="R3016" s="84" t="s">
        <v>9605</v>
      </c>
      <c r="S3016" s="84">
        <v>1.7999999999999999E-2</v>
      </c>
      <c r="T3016" s="82" t="s">
        <v>11190</v>
      </c>
      <c r="U3016" s="84"/>
      <c r="V3016" s="54"/>
    </row>
    <row r="3017" spans="1:22" s="11" customFormat="1" ht="45" customHeight="1" x14ac:dyDescent="0.2">
      <c r="A3017" s="66" t="s">
        <v>1963</v>
      </c>
      <c r="B3017" s="66" t="s">
        <v>1155</v>
      </c>
      <c r="C3017" s="66" t="s">
        <v>9605</v>
      </c>
      <c r="D3017" s="66">
        <v>6976068142119</v>
      </c>
      <c r="E3017" s="68" t="s">
        <v>11365</v>
      </c>
      <c r="F3017" s="66" t="s">
        <v>11366</v>
      </c>
      <c r="G3017" s="71">
        <v>1072</v>
      </c>
      <c r="H3017" s="73"/>
      <c r="I3017" s="75">
        <v>0.2</v>
      </c>
      <c r="J3017" s="77"/>
      <c r="K3017" s="66"/>
      <c r="L3017" s="66"/>
      <c r="M3017" s="79" t="str">
        <f>HYPERLINK("http://www.pristavka.com/catalog/Genshin Impact/GEN887/")</f>
        <v>http://www.pristavka.com/catalog/Genshin Impact/GEN887/</v>
      </c>
      <c r="N3017" s="71">
        <v>1799</v>
      </c>
      <c r="O3017" s="66" t="s">
        <v>27</v>
      </c>
      <c r="P3017" s="82" t="s">
        <v>11367</v>
      </c>
      <c r="Q3017" s="84" t="s">
        <v>1963</v>
      </c>
      <c r="R3017" s="84" t="s">
        <v>9605</v>
      </c>
      <c r="S3017" s="84">
        <v>0.02</v>
      </c>
      <c r="T3017" s="82" t="s">
        <v>10304</v>
      </c>
      <c r="U3017" s="84"/>
      <c r="V3017" s="54"/>
    </row>
    <row r="3018" spans="1:22" s="11" customFormat="1" ht="45" customHeight="1" x14ac:dyDescent="0.2">
      <c r="A3018" s="66" t="s">
        <v>1963</v>
      </c>
      <c r="B3018" s="66" t="s">
        <v>1155</v>
      </c>
      <c r="C3018" s="66" t="s">
        <v>9605</v>
      </c>
      <c r="D3018" s="66">
        <v>6942421156222</v>
      </c>
      <c r="E3018" s="68" t="s">
        <v>11368</v>
      </c>
      <c r="F3018" s="66" t="s">
        <v>11369</v>
      </c>
      <c r="G3018" s="71">
        <v>1262</v>
      </c>
      <c r="H3018" s="73"/>
      <c r="I3018" s="75">
        <v>0.2</v>
      </c>
      <c r="J3018" s="77"/>
      <c r="K3018" s="66"/>
      <c r="L3018" s="66"/>
      <c r="M3018" s="79" t="str">
        <f>HYPERLINK("http://www.pristavka.com/catalog/Genshin Impact/GEN1397/")</f>
        <v>http://www.pristavka.com/catalog/Genshin Impact/GEN1397/</v>
      </c>
      <c r="N3018" s="71">
        <v>2199</v>
      </c>
      <c r="O3018" s="66" t="s">
        <v>27</v>
      </c>
      <c r="P3018" s="82" t="s">
        <v>11370</v>
      </c>
      <c r="Q3018" s="84" t="s">
        <v>1963</v>
      </c>
      <c r="R3018" s="84" t="s">
        <v>9605</v>
      </c>
      <c r="S3018" s="84">
        <v>1.7000000000000001E-2</v>
      </c>
      <c r="T3018" s="82" t="s">
        <v>11002</v>
      </c>
      <c r="U3018" s="84"/>
      <c r="V3018" s="54"/>
    </row>
    <row r="3019" spans="1:22" s="11" customFormat="1" ht="45" customHeight="1" x14ac:dyDescent="0.2">
      <c r="A3019" s="66" t="s">
        <v>1963</v>
      </c>
      <c r="B3019" s="66" t="s">
        <v>1155</v>
      </c>
      <c r="C3019" s="66" t="s">
        <v>9605</v>
      </c>
      <c r="D3019" s="66">
        <v>6942421138303</v>
      </c>
      <c r="E3019" s="68" t="s">
        <v>11371</v>
      </c>
      <c r="F3019" s="66" t="s">
        <v>11372</v>
      </c>
      <c r="G3019" s="71">
        <v>1643</v>
      </c>
      <c r="H3019" s="73"/>
      <c r="I3019" s="75">
        <v>0.2</v>
      </c>
      <c r="J3019" s="77"/>
      <c r="K3019" s="66"/>
      <c r="L3019" s="66"/>
      <c r="M3019" s="79" t="str">
        <f>HYPERLINK("http://www.pristavka.com/catalog/Genshin Impact/GEN1348/")</f>
        <v>http://www.pristavka.com/catalog/Genshin Impact/GEN1348/</v>
      </c>
      <c r="N3019" s="71">
        <v>2799</v>
      </c>
      <c r="O3019" s="66" t="s">
        <v>28</v>
      </c>
      <c r="P3019" s="82" t="s">
        <v>11373</v>
      </c>
      <c r="Q3019" s="84" t="s">
        <v>1963</v>
      </c>
      <c r="R3019" s="84" t="s">
        <v>9605</v>
      </c>
      <c r="S3019" s="84">
        <v>2.5000000000000001E-2</v>
      </c>
      <c r="T3019" s="82" t="s">
        <v>11183</v>
      </c>
      <c r="U3019" s="84"/>
      <c r="V3019" s="54"/>
    </row>
    <row r="3020" spans="1:22" s="11" customFormat="1" ht="45" customHeight="1" x14ac:dyDescent="0.2">
      <c r="A3020" s="66" t="s">
        <v>1963</v>
      </c>
      <c r="B3020" s="66" t="s">
        <v>1155</v>
      </c>
      <c r="C3020" s="66" t="s">
        <v>9605</v>
      </c>
      <c r="D3020" s="66">
        <v>6942421157670</v>
      </c>
      <c r="E3020" s="68" t="s">
        <v>11374</v>
      </c>
      <c r="F3020" s="66" t="s">
        <v>11375</v>
      </c>
      <c r="G3020" s="71">
        <v>1262</v>
      </c>
      <c r="H3020" s="73"/>
      <c r="I3020" s="75">
        <v>0.2</v>
      </c>
      <c r="J3020" s="77"/>
      <c r="K3020" s="66"/>
      <c r="L3020" s="66"/>
      <c r="M3020" s="79" t="str">
        <f>HYPERLINK("http://www.pristavka.com/catalog/Genshin Impact/GEN1385/")</f>
        <v>http://www.pristavka.com/catalog/Genshin Impact/GEN1385/</v>
      </c>
      <c r="N3020" s="71">
        <v>2199</v>
      </c>
      <c r="O3020" s="66" t="s">
        <v>27</v>
      </c>
      <c r="P3020" s="82" t="s">
        <v>11376</v>
      </c>
      <c r="Q3020" s="84" t="s">
        <v>1963</v>
      </c>
      <c r="R3020" s="84" t="s">
        <v>9605</v>
      </c>
      <c r="S3020" s="84">
        <v>1.4999999999999999E-2</v>
      </c>
      <c r="T3020" s="82" t="s">
        <v>11204</v>
      </c>
      <c r="U3020" s="84"/>
      <c r="V3020" s="54"/>
    </row>
    <row r="3021" spans="1:22" s="11" customFormat="1" ht="45" customHeight="1" x14ac:dyDescent="0.2">
      <c r="A3021" s="66" t="s">
        <v>1963</v>
      </c>
      <c r="B3021" s="66" t="s">
        <v>1155</v>
      </c>
      <c r="C3021" s="66" t="s">
        <v>9605</v>
      </c>
      <c r="D3021" s="66">
        <v>6942421157700</v>
      </c>
      <c r="E3021" s="68" t="s">
        <v>11377</v>
      </c>
      <c r="F3021" s="66" t="s">
        <v>11378</v>
      </c>
      <c r="G3021" s="71">
        <v>3164</v>
      </c>
      <c r="H3021" s="73"/>
      <c r="I3021" s="75">
        <v>0.2</v>
      </c>
      <c r="J3021" s="77"/>
      <c r="K3021" s="66"/>
      <c r="L3021" s="66"/>
      <c r="M3021" s="79" t="str">
        <f>HYPERLINK("http://www.pristavka.com/catalog/Genshin Impact/GEN1387/")</f>
        <v>http://www.pristavka.com/catalog/Genshin Impact/GEN1387/</v>
      </c>
      <c r="N3021" s="71">
        <v>5299</v>
      </c>
      <c r="O3021" s="66" t="s">
        <v>27</v>
      </c>
      <c r="P3021" s="82" t="s">
        <v>11379</v>
      </c>
      <c r="Q3021" s="84" t="s">
        <v>1963</v>
      </c>
      <c r="R3021" s="84" t="s">
        <v>9605</v>
      </c>
      <c r="S3021" s="84">
        <v>4.3999999999999997E-2</v>
      </c>
      <c r="T3021" s="82" t="s">
        <v>11380</v>
      </c>
      <c r="U3021" s="84"/>
      <c r="V3021" s="54"/>
    </row>
    <row r="3022" spans="1:22" s="11" customFormat="1" ht="45" customHeight="1" x14ac:dyDescent="0.2">
      <c r="A3022" s="66" t="s">
        <v>1963</v>
      </c>
      <c r="B3022" s="66" t="s">
        <v>1155</v>
      </c>
      <c r="C3022" s="66" t="s">
        <v>9605</v>
      </c>
      <c r="D3022" s="66">
        <v>6942421153764</v>
      </c>
      <c r="E3022" s="68" t="s">
        <v>11381</v>
      </c>
      <c r="F3022" s="66" t="s">
        <v>11382</v>
      </c>
      <c r="G3022" s="71">
        <v>1199</v>
      </c>
      <c r="H3022" s="73"/>
      <c r="I3022" s="75">
        <v>0.2</v>
      </c>
      <c r="J3022" s="77"/>
      <c r="K3022" s="66"/>
      <c r="L3022" s="66"/>
      <c r="M3022" s="79" t="str">
        <f>HYPERLINK("http://www.pristavka.com/catalog/Genshin Impact/GEN1373/")</f>
        <v>http://www.pristavka.com/catalog/Genshin Impact/GEN1373/</v>
      </c>
      <c r="N3022" s="71">
        <v>2099</v>
      </c>
      <c r="O3022" s="66" t="s">
        <v>27</v>
      </c>
      <c r="P3022" s="82" t="s">
        <v>11383</v>
      </c>
      <c r="Q3022" s="84" t="s">
        <v>1963</v>
      </c>
      <c r="R3022" s="84" t="s">
        <v>9605</v>
      </c>
      <c r="S3022" s="84">
        <v>2.5999999999999999E-2</v>
      </c>
      <c r="T3022" s="82" t="s">
        <v>11384</v>
      </c>
      <c r="U3022" s="84"/>
      <c r="V3022" s="54"/>
    </row>
    <row r="3023" spans="1:22" s="11" customFormat="1" ht="45" customHeight="1" x14ac:dyDescent="0.2">
      <c r="A3023" s="66" t="s">
        <v>1963</v>
      </c>
      <c r="B3023" s="66" t="s">
        <v>1155</v>
      </c>
      <c r="C3023" s="66" t="s">
        <v>9605</v>
      </c>
      <c r="D3023" s="66">
        <v>6942421147077</v>
      </c>
      <c r="E3023" s="68" t="s">
        <v>11385</v>
      </c>
      <c r="F3023" s="66" t="s">
        <v>11386</v>
      </c>
      <c r="G3023" s="71">
        <v>1199</v>
      </c>
      <c r="H3023" s="73"/>
      <c r="I3023" s="75">
        <v>0.2</v>
      </c>
      <c r="J3023" s="77"/>
      <c r="K3023" s="66"/>
      <c r="L3023" s="66"/>
      <c r="M3023" s="79" t="str">
        <f>HYPERLINK("http://www.pristavka.com/catalog/Genshin Impact/GEN1371/")</f>
        <v>http://www.pristavka.com/catalog/Genshin Impact/GEN1371/</v>
      </c>
      <c r="N3023" s="71">
        <v>2099</v>
      </c>
      <c r="O3023" s="66" t="s">
        <v>27</v>
      </c>
      <c r="P3023" s="82" t="s">
        <v>11387</v>
      </c>
      <c r="Q3023" s="84" t="s">
        <v>1963</v>
      </c>
      <c r="R3023" s="84"/>
      <c r="S3023" s="84">
        <v>0.03</v>
      </c>
      <c r="T3023" s="82" t="s">
        <v>11388</v>
      </c>
      <c r="U3023" s="84"/>
      <c r="V3023" s="54"/>
    </row>
    <row r="3024" spans="1:22" s="11" customFormat="1" ht="45" customHeight="1" x14ac:dyDescent="0.2">
      <c r="A3024" s="66" t="s">
        <v>1963</v>
      </c>
      <c r="B3024" s="66" t="s">
        <v>1155</v>
      </c>
      <c r="C3024" s="66" t="s">
        <v>9605</v>
      </c>
      <c r="D3024" s="66">
        <v>6942421156291</v>
      </c>
      <c r="E3024" s="68" t="s">
        <v>11389</v>
      </c>
      <c r="F3024" s="66" t="s">
        <v>11390</v>
      </c>
      <c r="G3024" s="71">
        <v>1262</v>
      </c>
      <c r="H3024" s="73"/>
      <c r="I3024" s="75">
        <v>0.2</v>
      </c>
      <c r="J3024" s="77"/>
      <c r="K3024" s="66"/>
      <c r="L3024" s="66"/>
      <c r="M3024" s="79" t="str">
        <f>HYPERLINK("http://www.pristavka.com/catalog/Genshin Impact/GEN1402/")</f>
        <v>http://www.pristavka.com/catalog/Genshin Impact/GEN1402/</v>
      </c>
      <c r="N3024" s="71">
        <v>2199</v>
      </c>
      <c r="O3024" s="66" t="s">
        <v>27</v>
      </c>
      <c r="P3024" s="82" t="s">
        <v>11391</v>
      </c>
      <c r="Q3024" s="84" t="s">
        <v>1963</v>
      </c>
      <c r="R3024" s="84" t="s">
        <v>9605</v>
      </c>
      <c r="S3024" s="84">
        <v>1.7000000000000001E-2</v>
      </c>
      <c r="T3024" s="82" t="s">
        <v>11183</v>
      </c>
      <c r="U3024" s="84"/>
      <c r="V3024" s="54"/>
    </row>
    <row r="3025" spans="1:22" s="11" customFormat="1" ht="45" customHeight="1" x14ac:dyDescent="0.2">
      <c r="A3025" s="66" t="s">
        <v>1963</v>
      </c>
      <c r="B3025" s="66" t="s">
        <v>1155</v>
      </c>
      <c r="C3025" s="66" t="s">
        <v>9605</v>
      </c>
      <c r="D3025" s="66">
        <v>6942421156239</v>
      </c>
      <c r="E3025" s="68" t="s">
        <v>11392</v>
      </c>
      <c r="F3025" s="66" t="s">
        <v>11393</v>
      </c>
      <c r="G3025" s="71">
        <v>1262</v>
      </c>
      <c r="H3025" s="73"/>
      <c r="I3025" s="75">
        <v>0.2</v>
      </c>
      <c r="J3025" s="77"/>
      <c r="K3025" s="66"/>
      <c r="L3025" s="66"/>
      <c r="M3025" s="79" t="str">
        <f>HYPERLINK("http://www.pristavka.com/catalog/Genshin Impact/GEN1398/")</f>
        <v>http://www.pristavka.com/catalog/Genshin Impact/GEN1398/</v>
      </c>
      <c r="N3025" s="71">
        <v>2199</v>
      </c>
      <c r="O3025" s="66" t="s">
        <v>27</v>
      </c>
      <c r="P3025" s="82" t="s">
        <v>11394</v>
      </c>
      <c r="Q3025" s="84" t="s">
        <v>1963</v>
      </c>
      <c r="R3025" s="84" t="s">
        <v>9605</v>
      </c>
      <c r="S3025" s="84">
        <v>1.7999999999999999E-2</v>
      </c>
      <c r="T3025" s="82" t="s">
        <v>11002</v>
      </c>
      <c r="U3025" s="84"/>
      <c r="V3025" s="54"/>
    </row>
    <row r="3026" spans="1:22" s="11" customFormat="1" ht="45" customHeight="1" x14ac:dyDescent="0.2">
      <c r="A3026" s="66" t="s">
        <v>1963</v>
      </c>
      <c r="B3026" s="66" t="s">
        <v>1155</v>
      </c>
      <c r="C3026" s="66" t="s">
        <v>9605</v>
      </c>
      <c r="D3026" s="66">
        <v>6942421149316</v>
      </c>
      <c r="E3026" s="68" t="s">
        <v>11395</v>
      </c>
      <c r="F3026" s="66" t="s">
        <v>11396</v>
      </c>
      <c r="G3026" s="71">
        <v>5356</v>
      </c>
      <c r="H3026" s="73"/>
      <c r="I3026" s="75">
        <v>0.2</v>
      </c>
      <c r="J3026" s="77"/>
      <c r="K3026" s="66"/>
      <c r="L3026" s="66"/>
      <c r="M3026" s="79" t="str">
        <f>HYPERLINK("http://www.pristavka.com/catalog/Genshin Impact/GEN1411/")</f>
        <v>http://www.pristavka.com/catalog/Genshin Impact/GEN1411/</v>
      </c>
      <c r="N3026" s="71">
        <v>8999</v>
      </c>
      <c r="O3026" s="66" t="s">
        <v>27</v>
      </c>
      <c r="P3026" s="82" t="s">
        <v>11397</v>
      </c>
      <c r="Q3026" s="84" t="s">
        <v>1963</v>
      </c>
      <c r="R3026" s="84" t="s">
        <v>9605</v>
      </c>
      <c r="S3026" s="84">
        <v>3.7999999999999999E-2</v>
      </c>
      <c r="T3026" s="82" t="s">
        <v>11398</v>
      </c>
      <c r="U3026" s="84"/>
      <c r="V3026" s="54"/>
    </row>
    <row r="3027" spans="1:22" s="11" customFormat="1" ht="45" customHeight="1" x14ac:dyDescent="0.2">
      <c r="A3027" s="66" t="s">
        <v>1963</v>
      </c>
      <c r="B3027" s="66" t="s">
        <v>1155</v>
      </c>
      <c r="C3027" s="66" t="s">
        <v>9605</v>
      </c>
      <c r="D3027" s="66">
        <v>6942421156253</v>
      </c>
      <c r="E3027" s="68" t="s">
        <v>11399</v>
      </c>
      <c r="F3027" s="66" t="s">
        <v>11400</v>
      </c>
      <c r="G3027" s="71">
        <v>1262</v>
      </c>
      <c r="H3027" s="73"/>
      <c r="I3027" s="75">
        <v>0.2</v>
      </c>
      <c r="J3027" s="77"/>
      <c r="K3027" s="66"/>
      <c r="L3027" s="66"/>
      <c r="M3027" s="79" t="str">
        <f>HYPERLINK("http://www.pristavka.com/catalog/Genshin Impact/GEN1400/")</f>
        <v>http://www.pristavka.com/catalog/Genshin Impact/GEN1400/</v>
      </c>
      <c r="N3027" s="71">
        <v>2199</v>
      </c>
      <c r="O3027" s="66" t="s">
        <v>27</v>
      </c>
      <c r="P3027" s="82" t="s">
        <v>11401</v>
      </c>
      <c r="Q3027" s="84" t="s">
        <v>1963</v>
      </c>
      <c r="R3027" s="84" t="s">
        <v>9605</v>
      </c>
      <c r="S3027" s="84">
        <v>1.7999999999999999E-2</v>
      </c>
      <c r="T3027" s="82" t="s">
        <v>11002</v>
      </c>
      <c r="U3027" s="84"/>
      <c r="V3027" s="54"/>
    </row>
    <row r="3028" spans="1:22" s="11" customFormat="1" ht="45" customHeight="1" x14ac:dyDescent="0.2">
      <c r="A3028" s="66" t="s">
        <v>1963</v>
      </c>
      <c r="B3028" s="66" t="s">
        <v>1155</v>
      </c>
      <c r="C3028" s="66" t="s">
        <v>9605</v>
      </c>
      <c r="D3028" s="66">
        <v>6942421148418</v>
      </c>
      <c r="E3028" s="68" t="s">
        <v>11402</v>
      </c>
      <c r="F3028" s="66" t="s">
        <v>11403</v>
      </c>
      <c r="G3028" s="71">
        <v>1199</v>
      </c>
      <c r="H3028" s="73"/>
      <c r="I3028" s="75">
        <v>0.2</v>
      </c>
      <c r="J3028" s="77"/>
      <c r="K3028" s="66"/>
      <c r="L3028" s="66"/>
      <c r="M3028" s="79" t="str">
        <f>HYPERLINK("http://www.pristavka.com/catalog/Genshin Impact/GEN1377/")</f>
        <v>http://www.pristavka.com/catalog/Genshin Impact/GEN1377/</v>
      </c>
      <c r="N3028" s="71">
        <v>2099</v>
      </c>
      <c r="O3028" s="66" t="s">
        <v>27</v>
      </c>
      <c r="P3028" s="82" t="s">
        <v>11404</v>
      </c>
      <c r="Q3028" s="84" t="s">
        <v>1963</v>
      </c>
      <c r="R3028" s="84" t="s">
        <v>9605</v>
      </c>
      <c r="S3028" s="84">
        <v>1.7999999999999999E-2</v>
      </c>
      <c r="T3028" s="82" t="s">
        <v>9702</v>
      </c>
      <c r="U3028" s="84"/>
      <c r="V3028" s="54"/>
    </row>
    <row r="3029" spans="1:22" s="11" customFormat="1" ht="45" customHeight="1" x14ac:dyDescent="0.2">
      <c r="A3029" s="66" t="s">
        <v>1963</v>
      </c>
      <c r="B3029" s="66" t="s">
        <v>1155</v>
      </c>
      <c r="C3029" s="66" t="s">
        <v>9605</v>
      </c>
      <c r="D3029" s="66">
        <v>6942421156147</v>
      </c>
      <c r="E3029" s="68" t="s">
        <v>11405</v>
      </c>
      <c r="F3029" s="66" t="s">
        <v>11406</v>
      </c>
      <c r="G3029" s="71">
        <v>1199</v>
      </c>
      <c r="H3029" s="73"/>
      <c r="I3029" s="75">
        <v>0.2</v>
      </c>
      <c r="J3029" s="77"/>
      <c r="K3029" s="66"/>
      <c r="L3029" s="66"/>
      <c r="M3029" s="79" t="str">
        <f>HYPERLINK("http://www.pristavka.com/catalog/Genshin Impact/GEN1393/")</f>
        <v>http://www.pristavka.com/catalog/Genshin Impact/GEN1393/</v>
      </c>
      <c r="N3029" s="71">
        <v>2099</v>
      </c>
      <c r="O3029" s="66" t="s">
        <v>27</v>
      </c>
      <c r="P3029" s="82" t="s">
        <v>11407</v>
      </c>
      <c r="Q3029" s="84" t="s">
        <v>1963</v>
      </c>
      <c r="R3029" s="84" t="s">
        <v>9605</v>
      </c>
      <c r="S3029" s="84">
        <v>1.4999999999999999E-2</v>
      </c>
      <c r="T3029" s="82" t="s">
        <v>11179</v>
      </c>
      <c r="U3029" s="84"/>
      <c r="V3029" s="54"/>
    </row>
    <row r="3030" spans="1:22" s="11" customFormat="1" ht="45" customHeight="1" x14ac:dyDescent="0.2">
      <c r="A3030" s="66" t="s">
        <v>1963</v>
      </c>
      <c r="B3030" s="66" t="s">
        <v>1155</v>
      </c>
      <c r="C3030" s="66" t="s">
        <v>9605</v>
      </c>
      <c r="D3030" s="66">
        <v>6942421148432</v>
      </c>
      <c r="E3030" s="68" t="s">
        <v>11408</v>
      </c>
      <c r="F3030" s="66" t="s">
        <v>11409</v>
      </c>
      <c r="G3030" s="71">
        <v>1199</v>
      </c>
      <c r="H3030" s="73"/>
      <c r="I3030" s="75">
        <v>0.2</v>
      </c>
      <c r="J3030" s="77"/>
      <c r="K3030" s="66"/>
      <c r="L3030" s="66"/>
      <c r="M3030" s="79" t="str">
        <f>HYPERLINK("http://www.pristavka.com/catalog/Genshin Impact/GEN1379/")</f>
        <v>http://www.pristavka.com/catalog/Genshin Impact/GEN1379/</v>
      </c>
      <c r="N3030" s="71">
        <v>2099</v>
      </c>
      <c r="O3030" s="66" t="s">
        <v>27</v>
      </c>
      <c r="P3030" s="82" t="s">
        <v>11410</v>
      </c>
      <c r="Q3030" s="84" t="s">
        <v>1963</v>
      </c>
      <c r="R3030" s="84" t="s">
        <v>9605</v>
      </c>
      <c r="S3030" s="84">
        <v>1.7000000000000001E-2</v>
      </c>
      <c r="T3030" s="82" t="s">
        <v>11183</v>
      </c>
      <c r="U3030" s="84"/>
      <c r="V3030" s="54"/>
    </row>
    <row r="3031" spans="1:22" s="11" customFormat="1" ht="45" customHeight="1" x14ac:dyDescent="0.2">
      <c r="A3031" s="66" t="s">
        <v>1963</v>
      </c>
      <c r="B3031" s="66" t="s">
        <v>1155</v>
      </c>
      <c r="C3031" s="66" t="s">
        <v>9605</v>
      </c>
      <c r="D3031" s="66">
        <v>6942421157694</v>
      </c>
      <c r="E3031" s="68" t="s">
        <v>11411</v>
      </c>
      <c r="F3031" s="66" t="s">
        <v>11412</v>
      </c>
      <c r="G3031" s="71">
        <v>1262</v>
      </c>
      <c r="H3031" s="73"/>
      <c r="I3031" s="75">
        <v>0.2</v>
      </c>
      <c r="J3031" s="77"/>
      <c r="K3031" s="66"/>
      <c r="L3031" s="66"/>
      <c r="M3031" s="79" t="str">
        <f>HYPERLINK("http://www.pristavka.com/catalog/Genshin Impact/GEN1386/")</f>
        <v>http://www.pristavka.com/catalog/Genshin Impact/GEN1386/</v>
      </c>
      <c r="N3031" s="71">
        <v>2199</v>
      </c>
      <c r="O3031" s="66" t="s">
        <v>27</v>
      </c>
      <c r="P3031" s="82" t="s">
        <v>11413</v>
      </c>
      <c r="Q3031" s="84" t="s">
        <v>1963</v>
      </c>
      <c r="R3031" s="84" t="s">
        <v>9605</v>
      </c>
      <c r="S3031" s="84">
        <v>1.6E-2</v>
      </c>
      <c r="T3031" s="82" t="s">
        <v>9702</v>
      </c>
      <c r="U3031" s="84"/>
      <c r="V3031" s="54"/>
    </row>
    <row r="3032" spans="1:22" s="11" customFormat="1" ht="45" customHeight="1" x14ac:dyDescent="0.2">
      <c r="A3032" s="66" t="s">
        <v>1963</v>
      </c>
      <c r="B3032" s="66" t="s">
        <v>1155</v>
      </c>
      <c r="C3032" s="66" t="s">
        <v>9605</v>
      </c>
      <c r="D3032" s="66">
        <v>6942421157724</v>
      </c>
      <c r="E3032" s="68" t="s">
        <v>11414</v>
      </c>
      <c r="F3032" s="66" t="s">
        <v>11415</v>
      </c>
      <c r="G3032" s="71">
        <v>3164</v>
      </c>
      <c r="H3032" s="73"/>
      <c r="I3032" s="75">
        <v>0.2</v>
      </c>
      <c r="J3032" s="77"/>
      <c r="K3032" s="66"/>
      <c r="L3032" s="66"/>
      <c r="M3032" s="79" t="str">
        <f>HYPERLINK("http://www.pristavka.com/catalog/Genshin Impact/GEN1389/")</f>
        <v>http://www.pristavka.com/catalog/Genshin Impact/GEN1389/</v>
      </c>
      <c r="N3032" s="71">
        <v>5299</v>
      </c>
      <c r="O3032" s="66" t="s">
        <v>27</v>
      </c>
      <c r="P3032" s="82" t="s">
        <v>11416</v>
      </c>
      <c r="Q3032" s="84" t="s">
        <v>1963</v>
      </c>
      <c r="R3032" s="84" t="s">
        <v>9605</v>
      </c>
      <c r="S3032" s="84">
        <v>4.2999999999999997E-2</v>
      </c>
      <c r="T3032" s="82" t="s">
        <v>11417</v>
      </c>
      <c r="U3032" s="84"/>
      <c r="V3032" s="54"/>
    </row>
    <row r="3033" spans="1:22" s="11" customFormat="1" ht="45" customHeight="1" x14ac:dyDescent="0.2">
      <c r="A3033" s="66" t="s">
        <v>1963</v>
      </c>
      <c r="B3033" s="66" t="s">
        <v>1155</v>
      </c>
      <c r="C3033" s="66" t="s">
        <v>9605</v>
      </c>
      <c r="D3033" s="66">
        <v>6942421153740</v>
      </c>
      <c r="E3033" s="68" t="s">
        <v>11418</v>
      </c>
      <c r="F3033" s="66" t="s">
        <v>11419</v>
      </c>
      <c r="G3033" s="71">
        <v>1199</v>
      </c>
      <c r="H3033" s="73"/>
      <c r="I3033" s="75">
        <v>0.2</v>
      </c>
      <c r="J3033" s="77"/>
      <c r="K3033" s="66"/>
      <c r="L3033" s="66"/>
      <c r="M3033" s="79" t="str">
        <f>HYPERLINK("http://www.pristavka.com/catalog/Genshin Impact/GEN1372/")</f>
        <v>http://www.pristavka.com/catalog/Genshin Impact/GEN1372/</v>
      </c>
      <c r="N3033" s="71">
        <v>2099</v>
      </c>
      <c r="O3033" s="66" t="s">
        <v>27</v>
      </c>
      <c r="P3033" s="82" t="s">
        <v>11420</v>
      </c>
      <c r="Q3033" s="84" t="s">
        <v>1963</v>
      </c>
      <c r="R3033" s="84"/>
      <c r="S3033" s="84">
        <v>2.5999999999999999E-2</v>
      </c>
      <c r="T3033" s="82" t="s">
        <v>11190</v>
      </c>
      <c r="U3033" s="84"/>
      <c r="V3033" s="54"/>
    </row>
    <row r="3034" spans="1:22" s="11" customFormat="1" ht="45" customHeight="1" x14ac:dyDescent="0.2">
      <c r="A3034" s="66" t="s">
        <v>1963</v>
      </c>
      <c r="B3034" s="66" t="s">
        <v>1155</v>
      </c>
      <c r="C3034" s="66" t="s">
        <v>9605</v>
      </c>
      <c r="D3034" s="66">
        <v>6942421156277</v>
      </c>
      <c r="E3034" s="68" t="s">
        <v>11421</v>
      </c>
      <c r="F3034" s="66" t="s">
        <v>11422</v>
      </c>
      <c r="G3034" s="71">
        <v>1262</v>
      </c>
      <c r="H3034" s="73"/>
      <c r="I3034" s="75">
        <v>0.2</v>
      </c>
      <c r="J3034" s="77"/>
      <c r="K3034" s="66"/>
      <c r="L3034" s="66"/>
      <c r="M3034" s="79" t="str">
        <f>HYPERLINK("http://www.pristavka.com/catalog/Genshin Impact/GEN1401/")</f>
        <v>http://www.pristavka.com/catalog/Genshin Impact/GEN1401/</v>
      </c>
      <c r="N3034" s="71">
        <v>2199</v>
      </c>
      <c r="O3034" s="66" t="s">
        <v>27</v>
      </c>
      <c r="P3034" s="82" t="s">
        <v>11423</v>
      </c>
      <c r="Q3034" s="84" t="s">
        <v>1963</v>
      </c>
      <c r="R3034" s="84" t="s">
        <v>9605</v>
      </c>
      <c r="S3034" s="84">
        <v>1.7999999999999999E-2</v>
      </c>
      <c r="T3034" s="82" t="s">
        <v>9702</v>
      </c>
      <c r="U3034" s="84"/>
      <c r="V3034" s="54"/>
    </row>
    <row r="3035" spans="1:22" s="11" customFormat="1" ht="45" customHeight="1" x14ac:dyDescent="0.2">
      <c r="A3035" s="66" t="s">
        <v>1963</v>
      </c>
      <c r="B3035" s="66" t="s">
        <v>1155</v>
      </c>
      <c r="C3035" s="66" t="s">
        <v>9605</v>
      </c>
      <c r="D3035" s="66">
        <v>6942421142546</v>
      </c>
      <c r="E3035" s="68" t="s">
        <v>11424</v>
      </c>
      <c r="F3035" s="66" t="s">
        <v>11425</v>
      </c>
      <c r="G3035" s="71">
        <v>1579</v>
      </c>
      <c r="H3035" s="73"/>
      <c r="I3035" s="75">
        <v>0.2</v>
      </c>
      <c r="J3035" s="77"/>
      <c r="K3035" s="66"/>
      <c r="L3035" s="66"/>
      <c r="M3035" s="79" t="str">
        <f>HYPERLINK("http://www.pristavka.com/catalog/Genshin Impact/GEN1294/")</f>
        <v>http://www.pristavka.com/catalog/Genshin Impact/GEN1294/</v>
      </c>
      <c r="N3035" s="71">
        <v>2699</v>
      </c>
      <c r="O3035" s="66" t="s">
        <v>27</v>
      </c>
      <c r="P3035" s="82" t="s">
        <v>11426</v>
      </c>
      <c r="Q3035" s="84" t="s">
        <v>1963</v>
      </c>
      <c r="R3035" s="84" t="s">
        <v>9605</v>
      </c>
      <c r="S3035" s="84">
        <v>2.3E-2</v>
      </c>
      <c r="T3035" s="82" t="s">
        <v>11427</v>
      </c>
      <c r="U3035" s="84"/>
      <c r="V3035" s="54"/>
    </row>
    <row r="3036" spans="1:22" s="11" customFormat="1" ht="45" customHeight="1" x14ac:dyDescent="0.2">
      <c r="A3036" s="66" t="s">
        <v>1963</v>
      </c>
      <c r="B3036" s="66" t="s">
        <v>1155</v>
      </c>
      <c r="C3036" s="66" t="s">
        <v>9605</v>
      </c>
      <c r="D3036" s="66">
        <v>6942421148517</v>
      </c>
      <c r="E3036" s="68" t="s">
        <v>11428</v>
      </c>
      <c r="F3036" s="66" t="s">
        <v>11429</v>
      </c>
      <c r="G3036" s="71">
        <v>1358</v>
      </c>
      <c r="H3036" s="73"/>
      <c r="I3036" s="75">
        <v>0.2</v>
      </c>
      <c r="J3036" s="77"/>
      <c r="K3036" s="66"/>
      <c r="L3036" s="66"/>
      <c r="M3036" s="79" t="str">
        <f>HYPERLINK("http://www.pristavka.com/catalog/Genshin Impact/GEN1333/")</f>
        <v>http://www.pristavka.com/catalog/Genshin Impact/GEN1333/</v>
      </c>
      <c r="N3036" s="71">
        <v>2299</v>
      </c>
      <c r="O3036" s="66" t="s">
        <v>27</v>
      </c>
      <c r="P3036" s="82" t="s">
        <v>11430</v>
      </c>
      <c r="Q3036" s="84" t="s">
        <v>1963</v>
      </c>
      <c r="R3036" s="84" t="s">
        <v>9605</v>
      </c>
      <c r="S3036" s="84">
        <v>1.4999999999999999E-2</v>
      </c>
      <c r="T3036" s="82" t="s">
        <v>11183</v>
      </c>
      <c r="U3036" s="84"/>
      <c r="V3036" s="54"/>
    </row>
    <row r="3037" spans="1:22" s="11" customFormat="1" ht="45" customHeight="1" x14ac:dyDescent="0.2">
      <c r="A3037" s="66" t="s">
        <v>1963</v>
      </c>
      <c r="B3037" s="66" t="s">
        <v>1155</v>
      </c>
      <c r="C3037" s="66" t="s">
        <v>9605</v>
      </c>
      <c r="D3037" s="66">
        <v>6942421149590</v>
      </c>
      <c r="E3037" s="68" t="s">
        <v>11431</v>
      </c>
      <c r="F3037" s="66" t="s">
        <v>11432</v>
      </c>
      <c r="G3037" s="71">
        <v>1104</v>
      </c>
      <c r="H3037" s="73"/>
      <c r="I3037" s="75">
        <v>0.2</v>
      </c>
      <c r="J3037" s="77"/>
      <c r="K3037" s="66"/>
      <c r="L3037" s="66"/>
      <c r="M3037" s="79" t="str">
        <f>HYPERLINK("http://www.pristavka.com/catalog/Genshin Impact/GEN1343/")</f>
        <v>http://www.pristavka.com/catalog/Genshin Impact/GEN1343/</v>
      </c>
      <c r="N3037" s="71">
        <v>1899</v>
      </c>
      <c r="O3037" s="66" t="s">
        <v>27</v>
      </c>
      <c r="P3037" s="82" t="s">
        <v>11433</v>
      </c>
      <c r="Q3037" s="84" t="s">
        <v>1963</v>
      </c>
      <c r="R3037" s="84" t="s">
        <v>9605</v>
      </c>
      <c r="S3037" s="84">
        <v>0.02</v>
      </c>
      <c r="T3037" s="82" t="s">
        <v>11179</v>
      </c>
      <c r="U3037" s="84"/>
      <c r="V3037" s="54"/>
    </row>
    <row r="3038" spans="1:22" s="11" customFormat="1" ht="45" customHeight="1" x14ac:dyDescent="0.2">
      <c r="A3038" s="66" t="s">
        <v>1963</v>
      </c>
      <c r="B3038" s="66" t="s">
        <v>1155</v>
      </c>
      <c r="C3038" s="66" t="s">
        <v>9605</v>
      </c>
      <c r="D3038" s="66">
        <v>6942421156208</v>
      </c>
      <c r="E3038" s="68" t="s">
        <v>11434</v>
      </c>
      <c r="F3038" s="66" t="s">
        <v>11435</v>
      </c>
      <c r="G3038" s="71">
        <v>1262</v>
      </c>
      <c r="H3038" s="73"/>
      <c r="I3038" s="75">
        <v>0.2</v>
      </c>
      <c r="J3038" s="77"/>
      <c r="K3038" s="66"/>
      <c r="L3038" s="66"/>
      <c r="M3038" s="79" t="str">
        <f>HYPERLINK("http://www.pristavka.com/catalog/Genshin Impact/GEN1395/")</f>
        <v>http://www.pristavka.com/catalog/Genshin Impact/GEN1395/</v>
      </c>
      <c r="N3038" s="71">
        <v>2199</v>
      </c>
      <c r="O3038" s="66" t="s">
        <v>27</v>
      </c>
      <c r="P3038" s="82" t="s">
        <v>11436</v>
      </c>
      <c r="Q3038" s="84" t="s">
        <v>1963</v>
      </c>
      <c r="R3038" s="84" t="s">
        <v>9605</v>
      </c>
      <c r="S3038" s="84">
        <v>1.4999999999999999E-2</v>
      </c>
      <c r="T3038" s="82" t="s">
        <v>11183</v>
      </c>
      <c r="U3038" s="84"/>
      <c r="V3038" s="54"/>
    </row>
    <row r="3039" spans="1:22" s="11" customFormat="1" ht="45" customHeight="1" x14ac:dyDescent="0.2">
      <c r="A3039" s="66" t="s">
        <v>1963</v>
      </c>
      <c r="B3039" s="66" t="s">
        <v>1155</v>
      </c>
      <c r="C3039" s="66" t="s">
        <v>9605</v>
      </c>
      <c r="D3039" s="66">
        <v>6942421148494</v>
      </c>
      <c r="E3039" s="68" t="s">
        <v>11437</v>
      </c>
      <c r="F3039" s="66" t="s">
        <v>11438</v>
      </c>
      <c r="G3039" s="71">
        <v>1358</v>
      </c>
      <c r="H3039" s="73"/>
      <c r="I3039" s="75">
        <v>0.2</v>
      </c>
      <c r="J3039" s="77"/>
      <c r="K3039" s="66"/>
      <c r="L3039" s="66"/>
      <c r="M3039" s="79" t="str">
        <f>HYPERLINK("http://www.pristavka.com/catalog/Genshin Impact/GEN1331/")</f>
        <v>http://www.pristavka.com/catalog/Genshin Impact/GEN1331/</v>
      </c>
      <c r="N3039" s="71">
        <v>2299</v>
      </c>
      <c r="O3039" s="66" t="s">
        <v>27</v>
      </c>
      <c r="P3039" s="82" t="s">
        <v>11439</v>
      </c>
      <c r="Q3039" s="84" t="s">
        <v>1963</v>
      </c>
      <c r="R3039" s="84" t="s">
        <v>9605</v>
      </c>
      <c r="S3039" s="84">
        <v>1.4999999999999999E-2</v>
      </c>
      <c r="T3039" s="82" t="s">
        <v>11183</v>
      </c>
      <c r="U3039" s="84"/>
      <c r="V3039" s="54"/>
    </row>
    <row r="3040" spans="1:22" s="11" customFormat="1" ht="45" customHeight="1" x14ac:dyDescent="0.2">
      <c r="A3040" s="66" t="s">
        <v>1963</v>
      </c>
      <c r="B3040" s="66" t="s">
        <v>1155</v>
      </c>
      <c r="C3040" s="66" t="s">
        <v>9605</v>
      </c>
      <c r="D3040" s="66">
        <v>6942421149576</v>
      </c>
      <c r="E3040" s="68" t="s">
        <v>11440</v>
      </c>
      <c r="F3040" s="66" t="s">
        <v>11441</v>
      </c>
      <c r="G3040" s="71">
        <v>1104</v>
      </c>
      <c r="H3040" s="73"/>
      <c r="I3040" s="75">
        <v>0.2</v>
      </c>
      <c r="J3040" s="77"/>
      <c r="K3040" s="66"/>
      <c r="L3040" s="66"/>
      <c r="M3040" s="79" t="str">
        <f>HYPERLINK("http://www.pristavka.com/catalog/Genshin Impact/GEN1341/")</f>
        <v>http://www.pristavka.com/catalog/Genshin Impact/GEN1341/</v>
      </c>
      <c r="N3040" s="71">
        <v>1899</v>
      </c>
      <c r="O3040" s="66" t="s">
        <v>27</v>
      </c>
      <c r="P3040" s="82" t="s">
        <v>11442</v>
      </c>
      <c r="Q3040" s="84" t="s">
        <v>1963</v>
      </c>
      <c r="R3040" s="84" t="s">
        <v>9605</v>
      </c>
      <c r="S3040" s="84">
        <v>1.4999999999999999E-2</v>
      </c>
      <c r="T3040" s="82" t="s">
        <v>11179</v>
      </c>
      <c r="U3040" s="84"/>
      <c r="V3040" s="54"/>
    </row>
    <row r="3041" spans="1:22" s="11" customFormat="1" ht="45" customHeight="1" x14ac:dyDescent="0.2">
      <c r="A3041" s="66" t="s">
        <v>1963</v>
      </c>
      <c r="B3041" s="66" t="s">
        <v>1155</v>
      </c>
      <c r="C3041" s="66" t="s">
        <v>9605</v>
      </c>
      <c r="D3041" s="66">
        <v>6942421111559</v>
      </c>
      <c r="E3041" s="68" t="s">
        <v>11443</v>
      </c>
      <c r="F3041" s="66" t="s">
        <v>11444</v>
      </c>
      <c r="G3041" s="71">
        <v>1072</v>
      </c>
      <c r="H3041" s="73"/>
      <c r="I3041" s="75">
        <v>0.2</v>
      </c>
      <c r="J3041" s="77"/>
      <c r="K3041" s="66"/>
      <c r="L3041" s="66"/>
      <c r="M3041" s="79" t="str">
        <f>HYPERLINK("http://www.pristavka.com/catalog/Genshin Impact/GEN1181/")</f>
        <v>http://www.pristavka.com/catalog/Genshin Impact/GEN1181/</v>
      </c>
      <c r="N3041" s="71">
        <v>1799</v>
      </c>
      <c r="O3041" s="66" t="s">
        <v>27</v>
      </c>
      <c r="P3041" s="82" t="s">
        <v>11445</v>
      </c>
      <c r="Q3041" s="84" t="s">
        <v>1963</v>
      </c>
      <c r="R3041" s="84" t="s">
        <v>9605</v>
      </c>
      <c r="S3041" s="84">
        <v>1.7000000000000001E-2</v>
      </c>
      <c r="T3041" s="82" t="s">
        <v>11332</v>
      </c>
      <c r="U3041" s="84"/>
      <c r="V3041" s="54"/>
    </row>
    <row r="3042" spans="1:22" s="11" customFormat="1" ht="45" customHeight="1" x14ac:dyDescent="0.2">
      <c r="A3042" s="66" t="s">
        <v>1963</v>
      </c>
      <c r="B3042" s="66" t="s">
        <v>1155</v>
      </c>
      <c r="C3042" s="66" t="s">
        <v>9605</v>
      </c>
      <c r="D3042" s="66">
        <v>6942421102281</v>
      </c>
      <c r="E3042" s="68" t="s">
        <v>11446</v>
      </c>
      <c r="F3042" s="66" t="s">
        <v>11447</v>
      </c>
      <c r="G3042" s="71">
        <v>1358</v>
      </c>
      <c r="H3042" s="73"/>
      <c r="I3042" s="75">
        <v>0.2</v>
      </c>
      <c r="J3042" s="77"/>
      <c r="K3042" s="66"/>
      <c r="L3042" s="66"/>
      <c r="M3042" s="79" t="str">
        <f>HYPERLINK("http://www.pristavka.com/catalog/Genshin Impact/GEN1195/")</f>
        <v>http://www.pristavka.com/catalog/Genshin Impact/GEN1195/</v>
      </c>
      <c r="N3042" s="71">
        <v>2299</v>
      </c>
      <c r="O3042" s="66" t="s">
        <v>27</v>
      </c>
      <c r="P3042" s="82" t="s">
        <v>11448</v>
      </c>
      <c r="Q3042" s="84" t="s">
        <v>1963</v>
      </c>
      <c r="R3042" s="84" t="s">
        <v>9605</v>
      </c>
      <c r="S3042" s="84">
        <v>2.4E-2</v>
      </c>
      <c r="T3042" s="82" t="s">
        <v>11449</v>
      </c>
      <c r="U3042" s="84"/>
      <c r="V3042" s="54"/>
    </row>
    <row r="3043" spans="1:22" s="11" customFormat="1" ht="45" customHeight="1" x14ac:dyDescent="0.2">
      <c r="A3043" s="66" t="s">
        <v>1963</v>
      </c>
      <c r="B3043" s="66" t="s">
        <v>1155</v>
      </c>
      <c r="C3043" s="66" t="s">
        <v>9605</v>
      </c>
      <c r="D3043" s="66">
        <v>6975628244966</v>
      </c>
      <c r="E3043" s="68" t="s">
        <v>11450</v>
      </c>
      <c r="F3043" s="66" t="s">
        <v>11451</v>
      </c>
      <c r="G3043" s="71">
        <v>1009</v>
      </c>
      <c r="H3043" s="73"/>
      <c r="I3043" s="75">
        <v>0.2</v>
      </c>
      <c r="J3043" s="77"/>
      <c r="K3043" s="66"/>
      <c r="L3043" s="66"/>
      <c r="M3043" s="79" t="str">
        <f>HYPERLINK("http://www.pristavka.com/catalog/Genshin Impact/GEN668/")</f>
        <v>http://www.pristavka.com/catalog/Genshin Impact/GEN668/</v>
      </c>
      <c r="N3043" s="71">
        <v>1699</v>
      </c>
      <c r="O3043" s="66" t="s">
        <v>27</v>
      </c>
      <c r="P3043" s="82" t="s">
        <v>11452</v>
      </c>
      <c r="Q3043" s="84" t="s">
        <v>1963</v>
      </c>
      <c r="R3043" s="84" t="s">
        <v>9605</v>
      </c>
      <c r="S3043" s="84">
        <v>1.9E-2</v>
      </c>
      <c r="T3043" s="82" t="s">
        <v>10994</v>
      </c>
      <c r="U3043" s="84"/>
      <c r="V3043" s="54"/>
    </row>
    <row r="3044" spans="1:22" s="11" customFormat="1" ht="45" customHeight="1" x14ac:dyDescent="0.2">
      <c r="A3044" s="66" t="s">
        <v>1963</v>
      </c>
      <c r="B3044" s="66" t="s">
        <v>1155</v>
      </c>
      <c r="C3044" s="66" t="s">
        <v>9605</v>
      </c>
      <c r="D3044" s="66">
        <v>6942421148487</v>
      </c>
      <c r="E3044" s="68" t="s">
        <v>11453</v>
      </c>
      <c r="F3044" s="66" t="s">
        <v>11454</v>
      </c>
      <c r="G3044" s="71">
        <v>1358</v>
      </c>
      <c r="H3044" s="73"/>
      <c r="I3044" s="75">
        <v>0.2</v>
      </c>
      <c r="J3044" s="77"/>
      <c r="K3044" s="66"/>
      <c r="L3044" s="66"/>
      <c r="M3044" s="79" t="str">
        <f>HYPERLINK("http://www.pristavka.com/catalog/Genshin Impact/GEN1330/")</f>
        <v>http://www.pristavka.com/catalog/Genshin Impact/GEN1330/</v>
      </c>
      <c r="N3044" s="71">
        <v>2299</v>
      </c>
      <c r="O3044" s="66" t="s">
        <v>27</v>
      </c>
      <c r="P3044" s="82" t="s">
        <v>11455</v>
      </c>
      <c r="Q3044" s="84" t="s">
        <v>1963</v>
      </c>
      <c r="R3044" s="84" t="s">
        <v>9605</v>
      </c>
      <c r="S3044" s="84">
        <v>1.7000000000000001E-2</v>
      </c>
      <c r="T3044" s="82" t="s">
        <v>11002</v>
      </c>
      <c r="U3044" s="84"/>
      <c r="V3044" s="54"/>
    </row>
    <row r="3045" spans="1:22" s="11" customFormat="1" ht="45" customHeight="1" x14ac:dyDescent="0.2">
      <c r="A3045" s="66" t="s">
        <v>1963</v>
      </c>
      <c r="B3045" s="66" t="s">
        <v>1155</v>
      </c>
      <c r="C3045" s="66" t="s">
        <v>9605</v>
      </c>
      <c r="D3045" s="66">
        <v>6942421149583</v>
      </c>
      <c r="E3045" s="68" t="s">
        <v>11456</v>
      </c>
      <c r="F3045" s="66" t="s">
        <v>11457</v>
      </c>
      <c r="G3045" s="71">
        <v>1104</v>
      </c>
      <c r="H3045" s="73"/>
      <c r="I3045" s="75">
        <v>0.2</v>
      </c>
      <c r="J3045" s="77"/>
      <c r="K3045" s="66"/>
      <c r="L3045" s="66"/>
      <c r="M3045" s="79" t="str">
        <f>HYPERLINK("http://www.pristavka.com/catalog/Genshin Impact/GEN1342/")</f>
        <v>http://www.pristavka.com/catalog/Genshin Impact/GEN1342/</v>
      </c>
      <c r="N3045" s="71">
        <v>1899</v>
      </c>
      <c r="O3045" s="66" t="s">
        <v>27</v>
      </c>
      <c r="P3045" s="82" t="s">
        <v>11458</v>
      </c>
      <c r="Q3045" s="84" t="s">
        <v>1963</v>
      </c>
      <c r="R3045" s="84" t="s">
        <v>9605</v>
      </c>
      <c r="S3045" s="84">
        <v>1.7999999999999999E-2</v>
      </c>
      <c r="T3045" s="82" t="s">
        <v>11208</v>
      </c>
      <c r="U3045" s="84"/>
      <c r="V3045" s="54"/>
    </row>
    <row r="3046" spans="1:22" s="11" customFormat="1" ht="45" customHeight="1" x14ac:dyDescent="0.2">
      <c r="A3046" s="66" t="s">
        <v>1963</v>
      </c>
      <c r="B3046" s="66" t="s">
        <v>1155</v>
      </c>
      <c r="C3046" s="66" t="s">
        <v>9605</v>
      </c>
      <c r="D3046" s="66">
        <v>6942421149668</v>
      </c>
      <c r="E3046" s="68" t="s">
        <v>11459</v>
      </c>
      <c r="F3046" s="66" t="s">
        <v>11460</v>
      </c>
      <c r="G3046" s="71">
        <v>1104</v>
      </c>
      <c r="H3046" s="73"/>
      <c r="I3046" s="75">
        <v>0.2</v>
      </c>
      <c r="J3046" s="77"/>
      <c r="K3046" s="66"/>
      <c r="L3046" s="66"/>
      <c r="M3046" s="79" t="str">
        <f>HYPERLINK("http://www.pristavka.com/catalog/Genshin Impact/GEN1345/")</f>
        <v>http://www.pristavka.com/catalog/Genshin Impact/GEN1345/</v>
      </c>
      <c r="N3046" s="71">
        <v>1899</v>
      </c>
      <c r="O3046" s="66" t="s">
        <v>27</v>
      </c>
      <c r="P3046" s="82" t="s">
        <v>11461</v>
      </c>
      <c r="Q3046" s="84" t="s">
        <v>1963</v>
      </c>
      <c r="R3046" s="84" t="s">
        <v>9605</v>
      </c>
      <c r="S3046" s="84">
        <v>1.7000000000000001E-2</v>
      </c>
      <c r="T3046" s="82" t="s">
        <v>11002</v>
      </c>
      <c r="U3046" s="84"/>
      <c r="V3046" s="54"/>
    </row>
    <row r="3047" spans="1:22" s="11" customFormat="1" ht="45" customHeight="1" x14ac:dyDescent="0.2">
      <c r="A3047" s="66" t="s">
        <v>1963</v>
      </c>
      <c r="B3047" s="66" t="s">
        <v>1155</v>
      </c>
      <c r="C3047" s="66" t="s">
        <v>9605</v>
      </c>
      <c r="D3047" s="66">
        <v>6942421142539</v>
      </c>
      <c r="E3047" s="68" t="s">
        <v>11462</v>
      </c>
      <c r="F3047" s="66" t="s">
        <v>11463</v>
      </c>
      <c r="G3047" s="71">
        <v>1579</v>
      </c>
      <c r="H3047" s="73"/>
      <c r="I3047" s="75">
        <v>0.2</v>
      </c>
      <c r="J3047" s="77"/>
      <c r="K3047" s="66"/>
      <c r="L3047" s="66"/>
      <c r="M3047" s="79" t="str">
        <f>HYPERLINK("http://www.pristavka.com/catalog/Genshin Impact/GEN1293/")</f>
        <v>http://www.pristavka.com/catalog/Genshin Impact/GEN1293/</v>
      </c>
      <c r="N3047" s="71">
        <v>2699</v>
      </c>
      <c r="O3047" s="66" t="s">
        <v>27</v>
      </c>
      <c r="P3047" s="82" t="s">
        <v>11464</v>
      </c>
      <c r="Q3047" s="84" t="s">
        <v>1963</v>
      </c>
      <c r="R3047" s="84" t="s">
        <v>9605</v>
      </c>
      <c r="S3047" s="84">
        <v>2.5000000000000001E-2</v>
      </c>
      <c r="T3047" s="82" t="s">
        <v>11200</v>
      </c>
      <c r="U3047" s="84"/>
      <c r="V3047" s="54"/>
    </row>
    <row r="3048" spans="1:22" s="11" customFormat="1" ht="45" customHeight="1" x14ac:dyDescent="0.2">
      <c r="A3048" s="66" t="s">
        <v>1963</v>
      </c>
      <c r="B3048" s="66" t="s">
        <v>1155</v>
      </c>
      <c r="C3048" s="66" t="s">
        <v>9605</v>
      </c>
      <c r="D3048" s="66">
        <v>6942421156215</v>
      </c>
      <c r="E3048" s="68" t="s">
        <v>11465</v>
      </c>
      <c r="F3048" s="66" t="s">
        <v>11466</v>
      </c>
      <c r="G3048" s="71">
        <v>1262</v>
      </c>
      <c r="H3048" s="73"/>
      <c r="I3048" s="75">
        <v>0.2</v>
      </c>
      <c r="J3048" s="77"/>
      <c r="K3048" s="66"/>
      <c r="L3048" s="66"/>
      <c r="M3048" s="79" t="str">
        <f>HYPERLINK("http://www.pristavka.com/catalog/Genshin Impact/GEN1396/")</f>
        <v>http://www.pristavka.com/catalog/Genshin Impact/GEN1396/</v>
      </c>
      <c r="N3048" s="71">
        <v>2199</v>
      </c>
      <c r="O3048" s="66" t="s">
        <v>27</v>
      </c>
      <c r="P3048" s="82" t="s">
        <v>11467</v>
      </c>
      <c r="Q3048" s="84" t="s">
        <v>1963</v>
      </c>
      <c r="R3048" s="84" t="s">
        <v>9605</v>
      </c>
      <c r="S3048" s="84">
        <v>1.4999999999999999E-2</v>
      </c>
      <c r="T3048" s="82" t="s">
        <v>11183</v>
      </c>
      <c r="U3048" s="84"/>
      <c r="V3048" s="54"/>
    </row>
    <row r="3049" spans="1:22" s="11" customFormat="1" ht="45" customHeight="1" x14ac:dyDescent="0.2">
      <c r="A3049" s="66" t="s">
        <v>1963</v>
      </c>
      <c r="B3049" s="66" t="s">
        <v>1155</v>
      </c>
      <c r="C3049" s="66" t="s">
        <v>9605</v>
      </c>
      <c r="D3049" s="66">
        <v>6942421130048</v>
      </c>
      <c r="E3049" s="68" t="s">
        <v>11468</v>
      </c>
      <c r="F3049" s="66" t="s">
        <v>11469</v>
      </c>
      <c r="G3049" s="71">
        <v>1453</v>
      </c>
      <c r="H3049" s="73"/>
      <c r="I3049" s="75">
        <v>0.2</v>
      </c>
      <c r="J3049" s="77"/>
      <c r="K3049" s="66"/>
      <c r="L3049" s="66"/>
      <c r="M3049" s="79" t="str">
        <f>HYPERLINK("http://www.pristavka.com/catalog/Genshin Impact/GEN1192/")</f>
        <v>http://www.pristavka.com/catalog/Genshin Impact/GEN1192/</v>
      </c>
      <c r="N3049" s="71">
        <v>2499</v>
      </c>
      <c r="O3049" s="66" t="s">
        <v>27</v>
      </c>
      <c r="P3049" s="82" t="s">
        <v>11470</v>
      </c>
      <c r="Q3049" s="84" t="s">
        <v>1963</v>
      </c>
      <c r="R3049" s="84" t="s">
        <v>9605</v>
      </c>
      <c r="S3049" s="84">
        <v>2.5000000000000001E-2</v>
      </c>
      <c r="T3049" s="82" t="s">
        <v>11276</v>
      </c>
      <c r="U3049" s="84"/>
      <c r="V3049" s="54"/>
    </row>
    <row r="3050" spans="1:22" s="11" customFormat="1" ht="45" customHeight="1" x14ac:dyDescent="0.2">
      <c r="A3050" s="66" t="s">
        <v>1963</v>
      </c>
      <c r="B3050" s="66" t="s">
        <v>1155</v>
      </c>
      <c r="C3050" s="66" t="s">
        <v>9605</v>
      </c>
      <c r="D3050" s="66">
        <v>6942421156178</v>
      </c>
      <c r="E3050" s="68" t="s">
        <v>11471</v>
      </c>
      <c r="F3050" s="66" t="s">
        <v>11472</v>
      </c>
      <c r="G3050" s="71">
        <v>1262</v>
      </c>
      <c r="H3050" s="73"/>
      <c r="I3050" s="75">
        <v>0.2</v>
      </c>
      <c r="J3050" s="77"/>
      <c r="K3050" s="66"/>
      <c r="L3050" s="66"/>
      <c r="M3050" s="79" t="str">
        <f>HYPERLINK("http://www.pristavka.com/catalog/Genshin Impact/GEN1394/")</f>
        <v>http://www.pristavka.com/catalog/Genshin Impact/GEN1394/</v>
      </c>
      <c r="N3050" s="71">
        <v>2199</v>
      </c>
      <c r="O3050" s="66" t="s">
        <v>27</v>
      </c>
      <c r="P3050" s="82" t="s">
        <v>11473</v>
      </c>
      <c r="Q3050" s="84" t="s">
        <v>1963</v>
      </c>
      <c r="R3050" s="84" t="s">
        <v>9605</v>
      </c>
      <c r="S3050" s="84">
        <v>1.7999999999999999E-2</v>
      </c>
      <c r="T3050" s="82" t="s">
        <v>11002</v>
      </c>
      <c r="U3050" s="84"/>
      <c r="V3050" s="54"/>
    </row>
    <row r="3051" spans="1:22" s="11" customFormat="1" ht="45" customHeight="1" x14ac:dyDescent="0.2">
      <c r="A3051" s="66" t="s">
        <v>1963</v>
      </c>
      <c r="B3051" s="66" t="s">
        <v>1155</v>
      </c>
      <c r="C3051" s="66" t="s">
        <v>9605</v>
      </c>
      <c r="D3051" s="66">
        <v>6942421156246</v>
      </c>
      <c r="E3051" s="68" t="s">
        <v>11474</v>
      </c>
      <c r="F3051" s="66" t="s">
        <v>11475</v>
      </c>
      <c r="G3051" s="71">
        <v>1262</v>
      </c>
      <c r="H3051" s="73"/>
      <c r="I3051" s="75">
        <v>0.2</v>
      </c>
      <c r="J3051" s="77"/>
      <c r="K3051" s="66"/>
      <c r="L3051" s="66"/>
      <c r="M3051" s="79" t="str">
        <f>HYPERLINK("http://www.pristavka.com/catalog/Genshin Impact/GEN1399/")</f>
        <v>http://www.pristavka.com/catalog/Genshin Impact/GEN1399/</v>
      </c>
      <c r="N3051" s="71">
        <v>2199</v>
      </c>
      <c r="O3051" s="66" t="s">
        <v>27</v>
      </c>
      <c r="P3051" s="82" t="s">
        <v>11476</v>
      </c>
      <c r="Q3051" s="84" t="s">
        <v>1963</v>
      </c>
      <c r="R3051" s="84" t="s">
        <v>9605</v>
      </c>
      <c r="S3051" s="84">
        <v>1.7000000000000001E-2</v>
      </c>
      <c r="T3051" s="82" t="s">
        <v>11183</v>
      </c>
      <c r="U3051" s="84"/>
      <c r="V3051" s="54"/>
    </row>
    <row r="3052" spans="1:22" s="11" customFormat="1" ht="45" customHeight="1" x14ac:dyDescent="0.2">
      <c r="A3052" s="66" t="s">
        <v>1963</v>
      </c>
      <c r="B3052" s="66" t="s">
        <v>1155</v>
      </c>
      <c r="C3052" s="66" t="s">
        <v>9605</v>
      </c>
      <c r="D3052" s="66">
        <v>6942421148500</v>
      </c>
      <c r="E3052" s="68" t="s">
        <v>11477</v>
      </c>
      <c r="F3052" s="66" t="s">
        <v>11478</v>
      </c>
      <c r="G3052" s="71">
        <v>1358</v>
      </c>
      <c r="H3052" s="73"/>
      <c r="I3052" s="75">
        <v>0.2</v>
      </c>
      <c r="J3052" s="77"/>
      <c r="K3052" s="66"/>
      <c r="L3052" s="66"/>
      <c r="M3052" s="79" t="str">
        <f>HYPERLINK("http://www.pristavka.com/catalog/Genshin Impact/GEN1332/")</f>
        <v>http://www.pristavka.com/catalog/Genshin Impact/GEN1332/</v>
      </c>
      <c r="N3052" s="71">
        <v>2299</v>
      </c>
      <c r="O3052" s="66" t="s">
        <v>27</v>
      </c>
      <c r="P3052" s="82" t="s">
        <v>11479</v>
      </c>
      <c r="Q3052" s="84" t="s">
        <v>1963</v>
      </c>
      <c r="R3052" s="84" t="s">
        <v>9605</v>
      </c>
      <c r="S3052" s="84">
        <v>1.7999999999999999E-2</v>
      </c>
      <c r="T3052" s="82" t="s">
        <v>11002</v>
      </c>
      <c r="U3052" s="84"/>
      <c r="V3052" s="54"/>
    </row>
    <row r="3053" spans="1:22" s="11" customFormat="1" ht="45" customHeight="1" x14ac:dyDescent="0.2">
      <c r="A3053" s="66" t="s">
        <v>1963</v>
      </c>
      <c r="B3053" s="66" t="s">
        <v>1155</v>
      </c>
      <c r="C3053" s="66" t="s">
        <v>9605</v>
      </c>
      <c r="D3053" s="66">
        <v>6942421149538</v>
      </c>
      <c r="E3053" s="68" t="s">
        <v>11480</v>
      </c>
      <c r="F3053" s="66" t="s">
        <v>11481</v>
      </c>
      <c r="G3053" s="71">
        <v>1104</v>
      </c>
      <c r="H3053" s="73"/>
      <c r="I3053" s="75">
        <v>0.2</v>
      </c>
      <c r="J3053" s="77"/>
      <c r="K3053" s="66"/>
      <c r="L3053" s="66"/>
      <c r="M3053" s="79" t="str">
        <f>HYPERLINK("http://www.pristavka.com/catalog/Genshin Impact/GEN1340/")</f>
        <v>http://www.pristavka.com/catalog/Genshin Impact/GEN1340/</v>
      </c>
      <c r="N3053" s="71">
        <v>1899</v>
      </c>
      <c r="O3053" s="66" t="s">
        <v>27</v>
      </c>
      <c r="P3053" s="82" t="s">
        <v>11482</v>
      </c>
      <c r="Q3053" s="84" t="s">
        <v>1963</v>
      </c>
      <c r="R3053" s="84" t="s">
        <v>9605</v>
      </c>
      <c r="S3053" s="84">
        <v>1.6E-2</v>
      </c>
      <c r="T3053" s="82" t="s">
        <v>11483</v>
      </c>
      <c r="U3053" s="84"/>
      <c r="V3053" s="54"/>
    </row>
    <row r="3054" spans="1:22" s="11" customFormat="1" ht="45" customHeight="1" x14ac:dyDescent="0.2">
      <c r="A3054" s="66" t="s">
        <v>1963</v>
      </c>
      <c r="B3054" s="66" t="s">
        <v>1155</v>
      </c>
      <c r="C3054" s="66" t="s">
        <v>9605</v>
      </c>
      <c r="D3054" s="66">
        <v>6942421102274</v>
      </c>
      <c r="E3054" s="68" t="s">
        <v>11484</v>
      </c>
      <c r="F3054" s="66" t="s">
        <v>11485</v>
      </c>
      <c r="G3054" s="71">
        <v>1358</v>
      </c>
      <c r="H3054" s="73"/>
      <c r="I3054" s="75">
        <v>0.2</v>
      </c>
      <c r="J3054" s="77"/>
      <c r="K3054" s="66"/>
      <c r="L3054" s="66"/>
      <c r="M3054" s="79" t="str">
        <f>HYPERLINK("http://www.pristavka.com/catalog/Genshin Impact/GEN1194/")</f>
        <v>http://www.pristavka.com/catalog/Genshin Impact/GEN1194/</v>
      </c>
      <c r="N3054" s="71">
        <v>2299</v>
      </c>
      <c r="O3054" s="66" t="s">
        <v>27</v>
      </c>
      <c r="P3054" s="82" t="s">
        <v>11486</v>
      </c>
      <c r="Q3054" s="84" t="s">
        <v>1963</v>
      </c>
      <c r="R3054" s="84" t="s">
        <v>9605</v>
      </c>
      <c r="S3054" s="84">
        <v>2.4E-2</v>
      </c>
      <c r="T3054" s="82" t="s">
        <v>11427</v>
      </c>
      <c r="U3054" s="84"/>
      <c r="V3054" s="54"/>
    </row>
    <row r="3055" spans="1:22" s="11" customFormat="1" ht="45" customHeight="1" x14ac:dyDescent="0.2">
      <c r="A3055" s="66" t="s">
        <v>1963</v>
      </c>
      <c r="B3055" s="66" t="s">
        <v>1155</v>
      </c>
      <c r="C3055" s="66" t="s">
        <v>9605</v>
      </c>
      <c r="D3055" s="66">
        <v>6942421130062</v>
      </c>
      <c r="E3055" s="68" t="s">
        <v>11487</v>
      </c>
      <c r="F3055" s="66" t="s">
        <v>11488</v>
      </c>
      <c r="G3055" s="71">
        <v>1453</v>
      </c>
      <c r="H3055" s="73"/>
      <c r="I3055" s="75">
        <v>0.2</v>
      </c>
      <c r="J3055" s="77"/>
      <c r="K3055" s="66"/>
      <c r="L3055" s="66"/>
      <c r="M3055" s="79" t="str">
        <f>HYPERLINK("http://www.pristavka.com/catalog/Genshin Impact/GEN1193/")</f>
        <v>http://www.pristavka.com/catalog/Genshin Impact/GEN1193/</v>
      </c>
      <c r="N3055" s="71">
        <v>2499</v>
      </c>
      <c r="O3055" s="66" t="s">
        <v>27</v>
      </c>
      <c r="P3055" s="82" t="s">
        <v>11489</v>
      </c>
      <c r="Q3055" s="84" t="s">
        <v>1963</v>
      </c>
      <c r="R3055" s="84" t="s">
        <v>9605</v>
      </c>
      <c r="S3055" s="84">
        <v>2.5000000000000001E-2</v>
      </c>
      <c r="T3055" s="82" t="s">
        <v>10998</v>
      </c>
      <c r="U3055" s="84"/>
      <c r="V3055" s="54"/>
    </row>
    <row r="3056" spans="1:22" s="11" customFormat="1" ht="45" customHeight="1" x14ac:dyDescent="0.2">
      <c r="A3056" s="66" t="s">
        <v>1963</v>
      </c>
      <c r="B3056" s="66" t="s">
        <v>1155</v>
      </c>
      <c r="C3056" s="66" t="s">
        <v>9605</v>
      </c>
      <c r="D3056" s="66">
        <v>6942421156130</v>
      </c>
      <c r="E3056" s="68" t="s">
        <v>11490</v>
      </c>
      <c r="F3056" s="66" t="s">
        <v>11491</v>
      </c>
      <c r="G3056" s="71">
        <v>1199</v>
      </c>
      <c r="H3056" s="73"/>
      <c r="I3056" s="75">
        <v>0.2</v>
      </c>
      <c r="J3056" s="77"/>
      <c r="K3056" s="66"/>
      <c r="L3056" s="66"/>
      <c r="M3056" s="79" t="str">
        <f>HYPERLINK("http://www.pristavka.com/catalog/Genshin Impact/GEN1392/")</f>
        <v>http://www.pristavka.com/catalog/Genshin Impact/GEN1392/</v>
      </c>
      <c r="N3056" s="71">
        <v>2099</v>
      </c>
      <c r="O3056" s="66" t="s">
        <v>27</v>
      </c>
      <c r="P3056" s="82" t="s">
        <v>11492</v>
      </c>
      <c r="Q3056" s="84" t="s">
        <v>1963</v>
      </c>
      <c r="R3056" s="84" t="s">
        <v>9605</v>
      </c>
      <c r="S3056" s="84">
        <v>1.7999999999999999E-2</v>
      </c>
      <c r="T3056" s="82" t="s">
        <v>11002</v>
      </c>
      <c r="U3056" s="84"/>
      <c r="V3056" s="54"/>
    </row>
    <row r="3057" spans="1:22" s="11" customFormat="1" ht="45" customHeight="1" x14ac:dyDescent="0.2">
      <c r="A3057" s="66" t="s">
        <v>1963</v>
      </c>
      <c r="B3057" s="66" t="s">
        <v>1155</v>
      </c>
      <c r="C3057" s="66" t="s">
        <v>9605</v>
      </c>
      <c r="D3057" s="66">
        <v>6942421154983</v>
      </c>
      <c r="E3057" s="68" t="s">
        <v>11493</v>
      </c>
      <c r="F3057" s="66" t="s">
        <v>11494</v>
      </c>
      <c r="G3057" s="71">
        <v>1199</v>
      </c>
      <c r="H3057" s="73"/>
      <c r="I3057" s="75">
        <v>0.2</v>
      </c>
      <c r="J3057" s="77"/>
      <c r="K3057" s="66"/>
      <c r="L3057" s="66"/>
      <c r="M3057" s="79" t="str">
        <f>HYPERLINK("http://www.pristavka.com/catalog/Genshin Impact/GEN1383/")</f>
        <v>http://www.pristavka.com/catalog/Genshin Impact/GEN1383/</v>
      </c>
      <c r="N3057" s="71">
        <v>2099</v>
      </c>
      <c r="O3057" s="66" t="s">
        <v>27</v>
      </c>
      <c r="P3057" s="82" t="s">
        <v>11495</v>
      </c>
      <c r="Q3057" s="84" t="s">
        <v>1963</v>
      </c>
      <c r="R3057" s="84" t="s">
        <v>9605</v>
      </c>
      <c r="S3057" s="84">
        <v>3.2000000000000001E-2</v>
      </c>
      <c r="T3057" s="82" t="s">
        <v>11002</v>
      </c>
      <c r="U3057" s="84"/>
      <c r="V3057" s="54"/>
    </row>
    <row r="3058" spans="1:22" s="11" customFormat="1" ht="45" customHeight="1" x14ac:dyDescent="0.2">
      <c r="A3058" s="66" t="s">
        <v>1963</v>
      </c>
      <c r="B3058" s="66" t="s">
        <v>1155</v>
      </c>
      <c r="C3058" s="66" t="s">
        <v>9605</v>
      </c>
      <c r="D3058" s="66">
        <v>6942421108641</v>
      </c>
      <c r="E3058" s="68" t="s">
        <v>11496</v>
      </c>
      <c r="F3058" s="66" t="s">
        <v>11497</v>
      </c>
      <c r="G3058" s="71">
        <v>1262</v>
      </c>
      <c r="H3058" s="73"/>
      <c r="I3058" s="75">
        <v>0.2</v>
      </c>
      <c r="J3058" s="77"/>
      <c r="K3058" s="66"/>
      <c r="L3058" s="66"/>
      <c r="M3058" s="79" t="str">
        <f>HYPERLINK("http://www.pristavka.com/catalog/Genshin Impact/GEN1185/")</f>
        <v>http://www.pristavka.com/catalog/Genshin Impact/GEN1185/</v>
      </c>
      <c r="N3058" s="71">
        <v>2199</v>
      </c>
      <c r="O3058" s="66" t="s">
        <v>27</v>
      </c>
      <c r="P3058" s="82" t="s">
        <v>11498</v>
      </c>
      <c r="Q3058" s="84" t="s">
        <v>1963</v>
      </c>
      <c r="R3058" s="84" t="s">
        <v>9605</v>
      </c>
      <c r="S3058" s="84">
        <v>2.5999999999999999E-2</v>
      </c>
      <c r="T3058" s="82" t="s">
        <v>11228</v>
      </c>
      <c r="U3058" s="84"/>
      <c r="V3058" s="54"/>
    </row>
    <row r="3059" spans="1:22" s="11" customFormat="1" ht="45" customHeight="1" x14ac:dyDescent="0.2">
      <c r="A3059" s="66" t="s">
        <v>1963</v>
      </c>
      <c r="B3059" s="66" t="s">
        <v>1155</v>
      </c>
      <c r="C3059" s="66" t="s">
        <v>9605</v>
      </c>
      <c r="D3059" s="66">
        <v>6976525000150</v>
      </c>
      <c r="E3059" s="68" t="s">
        <v>11499</v>
      </c>
      <c r="F3059" s="66" t="s">
        <v>11500</v>
      </c>
      <c r="G3059" s="71">
        <v>946</v>
      </c>
      <c r="H3059" s="73"/>
      <c r="I3059" s="75">
        <v>0.2</v>
      </c>
      <c r="J3059" s="77"/>
      <c r="K3059" s="66"/>
      <c r="L3059" s="66"/>
      <c r="M3059" s="79" t="str">
        <f>HYPERLINK("http://www.pristavka.com/catalog/Genshin Impact/GEN948/")</f>
        <v>http://www.pristavka.com/catalog/Genshin Impact/GEN948/</v>
      </c>
      <c r="N3059" s="71">
        <v>1599</v>
      </c>
      <c r="O3059" s="66" t="s">
        <v>27</v>
      </c>
      <c r="P3059" s="82" t="s">
        <v>11501</v>
      </c>
      <c r="Q3059" s="84" t="s">
        <v>1963</v>
      </c>
      <c r="R3059" s="84" t="s">
        <v>9605</v>
      </c>
      <c r="S3059" s="84">
        <v>0.02</v>
      </c>
      <c r="T3059" s="82" t="s">
        <v>10304</v>
      </c>
      <c r="U3059" s="84"/>
      <c r="V3059" s="54"/>
    </row>
    <row r="3060" spans="1:22" s="11" customFormat="1" ht="45" customHeight="1" x14ac:dyDescent="0.2">
      <c r="A3060" s="66" t="s">
        <v>1963</v>
      </c>
      <c r="B3060" s="66" t="s">
        <v>1155</v>
      </c>
      <c r="C3060" s="66" t="s">
        <v>9605</v>
      </c>
      <c r="D3060" s="66">
        <v>6976525000129</v>
      </c>
      <c r="E3060" s="68" t="s">
        <v>11502</v>
      </c>
      <c r="F3060" s="66" t="s">
        <v>11503</v>
      </c>
      <c r="G3060" s="71">
        <v>946</v>
      </c>
      <c r="H3060" s="73"/>
      <c r="I3060" s="75">
        <v>0.2</v>
      </c>
      <c r="J3060" s="77"/>
      <c r="K3060" s="66"/>
      <c r="L3060" s="66"/>
      <c r="M3060" s="79" t="str">
        <f>HYPERLINK("http://www.pristavka.com/catalog/Genshin Impact/GEN945/")</f>
        <v>http://www.pristavka.com/catalog/Genshin Impact/GEN945/</v>
      </c>
      <c r="N3060" s="71">
        <v>1599</v>
      </c>
      <c r="O3060" s="66" t="s">
        <v>28</v>
      </c>
      <c r="P3060" s="82" t="s">
        <v>11504</v>
      </c>
      <c r="Q3060" s="84" t="s">
        <v>1963</v>
      </c>
      <c r="R3060" s="84" t="s">
        <v>9605</v>
      </c>
      <c r="S3060" s="84">
        <v>0.02</v>
      </c>
      <c r="T3060" s="82" t="s">
        <v>10304</v>
      </c>
      <c r="U3060" s="84"/>
      <c r="V3060" s="54"/>
    </row>
    <row r="3061" spans="1:22" s="11" customFormat="1" ht="45" customHeight="1" x14ac:dyDescent="0.2">
      <c r="A3061" s="66" t="s">
        <v>1963</v>
      </c>
      <c r="B3061" s="66" t="s">
        <v>1155</v>
      </c>
      <c r="C3061" s="66" t="s">
        <v>9605</v>
      </c>
      <c r="D3061" s="66">
        <v>6976525000167</v>
      </c>
      <c r="E3061" s="68" t="s">
        <v>11505</v>
      </c>
      <c r="F3061" s="66" t="s">
        <v>11506</v>
      </c>
      <c r="G3061" s="71">
        <v>946</v>
      </c>
      <c r="H3061" s="73"/>
      <c r="I3061" s="75">
        <v>0.2</v>
      </c>
      <c r="J3061" s="77"/>
      <c r="K3061" s="66"/>
      <c r="L3061" s="66"/>
      <c r="M3061" s="79" t="str">
        <f>HYPERLINK("http://www.pristavka.com/catalog/Genshin Impact/GEN949/")</f>
        <v>http://www.pristavka.com/catalog/Genshin Impact/GEN949/</v>
      </c>
      <c r="N3061" s="71">
        <v>1599</v>
      </c>
      <c r="O3061" s="66" t="s">
        <v>27</v>
      </c>
      <c r="P3061" s="82" t="s">
        <v>11507</v>
      </c>
      <c r="Q3061" s="84" t="s">
        <v>1963</v>
      </c>
      <c r="R3061" s="84" t="s">
        <v>9605</v>
      </c>
      <c r="S3061" s="84">
        <v>2.5000000000000001E-2</v>
      </c>
      <c r="T3061" s="82" t="s">
        <v>11002</v>
      </c>
      <c r="U3061" s="84"/>
      <c r="V3061" s="54"/>
    </row>
    <row r="3062" spans="1:22" s="11" customFormat="1" ht="45" customHeight="1" x14ac:dyDescent="0.2">
      <c r="A3062" s="66" t="s">
        <v>1963</v>
      </c>
      <c r="B3062" s="66" t="s">
        <v>1155</v>
      </c>
      <c r="C3062" s="66" t="s">
        <v>9605</v>
      </c>
      <c r="D3062" s="66">
        <v>6976525000143</v>
      </c>
      <c r="E3062" s="68" t="s">
        <v>11508</v>
      </c>
      <c r="F3062" s="66" t="s">
        <v>11509</v>
      </c>
      <c r="G3062" s="71">
        <v>946</v>
      </c>
      <c r="H3062" s="73"/>
      <c r="I3062" s="75">
        <v>0.2</v>
      </c>
      <c r="J3062" s="77"/>
      <c r="K3062" s="66"/>
      <c r="L3062" s="66"/>
      <c r="M3062" s="79" t="str">
        <f>HYPERLINK("http://www.pristavka.com/catalog/Genshin Impact/GEN947/")</f>
        <v>http://www.pristavka.com/catalog/Genshin Impact/GEN947/</v>
      </c>
      <c r="N3062" s="71">
        <v>1599</v>
      </c>
      <c r="O3062" s="66" t="s">
        <v>27</v>
      </c>
      <c r="P3062" s="82" t="s">
        <v>11510</v>
      </c>
      <c r="Q3062" s="84" t="s">
        <v>1963</v>
      </c>
      <c r="R3062" s="84" t="s">
        <v>9605</v>
      </c>
      <c r="S3062" s="84">
        <v>0.02</v>
      </c>
      <c r="T3062" s="82" t="s">
        <v>10304</v>
      </c>
      <c r="U3062" s="84"/>
      <c r="V3062" s="54"/>
    </row>
    <row r="3063" spans="1:22" s="11" customFormat="1" ht="45" customHeight="1" x14ac:dyDescent="0.2">
      <c r="A3063" s="66" t="s">
        <v>1963</v>
      </c>
      <c r="B3063" s="66" t="s">
        <v>1155</v>
      </c>
      <c r="C3063" s="66" t="s">
        <v>9605</v>
      </c>
      <c r="D3063" s="66">
        <v>6976525000136</v>
      </c>
      <c r="E3063" s="68" t="s">
        <v>11511</v>
      </c>
      <c r="F3063" s="66" t="s">
        <v>11512</v>
      </c>
      <c r="G3063" s="71">
        <v>946</v>
      </c>
      <c r="H3063" s="73"/>
      <c r="I3063" s="75">
        <v>0.2</v>
      </c>
      <c r="J3063" s="77"/>
      <c r="K3063" s="66"/>
      <c r="L3063" s="66"/>
      <c r="M3063" s="79" t="str">
        <f>HYPERLINK("http://www.pristavka.com/catalog/Genshin Impact/GEN946/")</f>
        <v>http://www.pristavka.com/catalog/Genshin Impact/GEN946/</v>
      </c>
      <c r="N3063" s="71">
        <v>1599</v>
      </c>
      <c r="O3063" s="66" t="s">
        <v>27</v>
      </c>
      <c r="P3063" s="82" t="s">
        <v>11513</v>
      </c>
      <c r="Q3063" s="84" t="s">
        <v>1963</v>
      </c>
      <c r="R3063" s="84" t="s">
        <v>9605</v>
      </c>
      <c r="S3063" s="84">
        <v>0.02</v>
      </c>
      <c r="T3063" s="82" t="s">
        <v>11002</v>
      </c>
      <c r="U3063" s="84"/>
      <c r="V3063" s="54"/>
    </row>
    <row r="3064" spans="1:22" s="11" customFormat="1" ht="45" customHeight="1" x14ac:dyDescent="0.2">
      <c r="A3064" s="66" t="s">
        <v>1963</v>
      </c>
      <c r="B3064" s="66" t="s">
        <v>1155</v>
      </c>
      <c r="C3064" s="66" t="s">
        <v>9605</v>
      </c>
      <c r="D3064" s="66">
        <v>6976525000112</v>
      </c>
      <c r="E3064" s="68" t="s">
        <v>11514</v>
      </c>
      <c r="F3064" s="66" t="s">
        <v>11515</v>
      </c>
      <c r="G3064" s="71">
        <v>946</v>
      </c>
      <c r="H3064" s="73"/>
      <c r="I3064" s="75">
        <v>0.2</v>
      </c>
      <c r="J3064" s="77"/>
      <c r="K3064" s="66"/>
      <c r="L3064" s="66"/>
      <c r="M3064" s="79" t="str">
        <f>HYPERLINK("http://www.pristavka.com/catalog/Genshin Impact/GEN944/")</f>
        <v>http://www.pristavka.com/catalog/Genshin Impact/GEN944/</v>
      </c>
      <c r="N3064" s="71">
        <v>1599</v>
      </c>
      <c r="O3064" s="66" t="s">
        <v>27</v>
      </c>
      <c r="P3064" s="82" t="s">
        <v>11516</v>
      </c>
      <c r="Q3064" s="84" t="s">
        <v>1963</v>
      </c>
      <c r="R3064" s="84" t="s">
        <v>9605</v>
      </c>
      <c r="S3064" s="84">
        <v>0.02</v>
      </c>
      <c r="T3064" s="82" t="s">
        <v>11002</v>
      </c>
      <c r="U3064" s="84"/>
      <c r="V3064" s="54"/>
    </row>
    <row r="3065" spans="1:22" s="11" customFormat="1" ht="45" customHeight="1" x14ac:dyDescent="0.2">
      <c r="A3065" s="66" t="s">
        <v>1963</v>
      </c>
      <c r="B3065" s="66" t="s">
        <v>1155</v>
      </c>
      <c r="C3065" s="66" t="s">
        <v>9605</v>
      </c>
      <c r="D3065" s="66">
        <v>6975213688373</v>
      </c>
      <c r="E3065" s="68" t="s">
        <v>11517</v>
      </c>
      <c r="F3065" s="66" t="s">
        <v>11518</v>
      </c>
      <c r="G3065" s="71">
        <v>1262</v>
      </c>
      <c r="H3065" s="73"/>
      <c r="I3065" s="75">
        <v>0.2</v>
      </c>
      <c r="J3065" s="77"/>
      <c r="K3065" s="66"/>
      <c r="L3065" s="66"/>
      <c r="M3065" s="79" t="str">
        <f>HYPERLINK("http://www.pristavka.com/catalog/Genshin Impact/GEN402/")</f>
        <v>http://www.pristavka.com/catalog/Genshin Impact/GEN402/</v>
      </c>
      <c r="N3065" s="71">
        <v>2199</v>
      </c>
      <c r="O3065" s="66" t="s">
        <v>27</v>
      </c>
      <c r="P3065" s="82" t="s">
        <v>11519</v>
      </c>
      <c r="Q3065" s="84" t="s">
        <v>1963</v>
      </c>
      <c r="R3065" s="84" t="s">
        <v>9605</v>
      </c>
      <c r="S3065" s="84">
        <v>1.7999999999999999E-2</v>
      </c>
      <c r="T3065" s="82" t="s">
        <v>10526</v>
      </c>
      <c r="U3065" s="84" t="s">
        <v>2255</v>
      </c>
      <c r="V3065" s="54"/>
    </row>
    <row r="3066" spans="1:22" s="11" customFormat="1" ht="45" customHeight="1" x14ac:dyDescent="0.2">
      <c r="A3066" s="66" t="s">
        <v>1963</v>
      </c>
      <c r="B3066" s="66" t="s">
        <v>1155</v>
      </c>
      <c r="C3066" s="66" t="s">
        <v>9605</v>
      </c>
      <c r="D3066" s="66">
        <v>6975628244997</v>
      </c>
      <c r="E3066" s="68" t="s">
        <v>11520</v>
      </c>
      <c r="F3066" s="66" t="s">
        <v>11521</v>
      </c>
      <c r="G3066" s="71">
        <v>946</v>
      </c>
      <c r="H3066" s="73"/>
      <c r="I3066" s="75">
        <v>0.2</v>
      </c>
      <c r="J3066" s="77"/>
      <c r="K3066" s="66"/>
      <c r="L3066" s="66"/>
      <c r="M3066" s="79" t="str">
        <f>HYPERLINK("http://www.pristavka.com/catalog/Genshin Impact/GEN671/")</f>
        <v>http://www.pristavka.com/catalog/Genshin Impact/GEN671/</v>
      </c>
      <c r="N3066" s="71">
        <v>1599</v>
      </c>
      <c r="O3066" s="66" t="s">
        <v>27</v>
      </c>
      <c r="P3066" s="82" t="s">
        <v>11522</v>
      </c>
      <c r="Q3066" s="84" t="s">
        <v>1963</v>
      </c>
      <c r="R3066" s="84" t="s">
        <v>9605</v>
      </c>
      <c r="S3066" s="84">
        <v>1.9E-2</v>
      </c>
      <c r="T3066" s="82" t="s">
        <v>10994</v>
      </c>
      <c r="U3066" s="84"/>
      <c r="V3066" s="54"/>
    </row>
    <row r="3067" spans="1:22" s="11" customFormat="1" ht="45" customHeight="1" x14ac:dyDescent="0.2">
      <c r="A3067" s="66" t="s">
        <v>1963</v>
      </c>
      <c r="B3067" s="66" t="s">
        <v>1155</v>
      </c>
      <c r="C3067" s="66" t="s">
        <v>9605</v>
      </c>
      <c r="D3067" s="66">
        <v>6975628246120</v>
      </c>
      <c r="E3067" s="68" t="s">
        <v>11523</v>
      </c>
      <c r="F3067" s="66" t="s">
        <v>11524</v>
      </c>
      <c r="G3067" s="71">
        <v>1896</v>
      </c>
      <c r="H3067" s="73"/>
      <c r="I3067" s="75">
        <v>0.2</v>
      </c>
      <c r="J3067" s="77"/>
      <c r="K3067" s="66"/>
      <c r="L3067" s="66"/>
      <c r="M3067" s="79" t="str">
        <f>HYPERLINK("http://www.pristavka.com/catalog/Genshin Impact/GEN759/")</f>
        <v>http://www.pristavka.com/catalog/Genshin Impact/GEN759/</v>
      </c>
      <c r="N3067" s="71">
        <v>3199</v>
      </c>
      <c r="O3067" s="66" t="s">
        <v>27</v>
      </c>
      <c r="P3067" s="82" t="s">
        <v>11525</v>
      </c>
      <c r="Q3067" s="84" t="s">
        <v>1963</v>
      </c>
      <c r="R3067" s="84" t="s">
        <v>9605</v>
      </c>
      <c r="S3067" s="84">
        <v>7.0000000000000001E-3</v>
      </c>
      <c r="T3067" s="82" t="s">
        <v>10311</v>
      </c>
      <c r="U3067" s="84"/>
      <c r="V3067" s="54"/>
    </row>
    <row r="3068" spans="1:22" s="11" customFormat="1" ht="45" customHeight="1" x14ac:dyDescent="0.2">
      <c r="A3068" s="66" t="s">
        <v>1963</v>
      </c>
      <c r="B3068" s="66" t="s">
        <v>1155</v>
      </c>
      <c r="C3068" s="66" t="s">
        <v>9605</v>
      </c>
      <c r="D3068" s="66">
        <v>6975628246113</v>
      </c>
      <c r="E3068" s="68" t="s">
        <v>11526</v>
      </c>
      <c r="F3068" s="66" t="s">
        <v>11527</v>
      </c>
      <c r="G3068" s="71">
        <v>1896</v>
      </c>
      <c r="H3068" s="73"/>
      <c r="I3068" s="75">
        <v>0.2</v>
      </c>
      <c r="J3068" s="77"/>
      <c r="K3068" s="66"/>
      <c r="L3068" s="66"/>
      <c r="M3068" s="79" t="str">
        <f>HYPERLINK("http://www.pristavka.com/catalog/Genshin Impact/GEN758/")</f>
        <v>http://www.pristavka.com/catalog/Genshin Impact/GEN758/</v>
      </c>
      <c r="N3068" s="71">
        <v>3199</v>
      </c>
      <c r="O3068" s="66" t="s">
        <v>27</v>
      </c>
      <c r="P3068" s="82" t="s">
        <v>11528</v>
      </c>
      <c r="Q3068" s="84" t="s">
        <v>1963</v>
      </c>
      <c r="R3068" s="84" t="s">
        <v>9605</v>
      </c>
      <c r="S3068" s="84">
        <v>8.0000000000000002E-3</v>
      </c>
      <c r="T3068" s="82" t="s">
        <v>10311</v>
      </c>
      <c r="U3068" s="84"/>
      <c r="V3068" s="54"/>
    </row>
    <row r="3069" spans="1:22" s="11" customFormat="1" ht="45" customHeight="1" x14ac:dyDescent="0.2">
      <c r="A3069" s="66" t="s">
        <v>1963</v>
      </c>
      <c r="B3069" s="66" t="s">
        <v>1155</v>
      </c>
      <c r="C3069" s="66" t="s">
        <v>9605</v>
      </c>
      <c r="D3069" s="66">
        <v>6974696616064</v>
      </c>
      <c r="E3069" s="68" t="s">
        <v>11529</v>
      </c>
      <c r="F3069" s="66" t="s">
        <v>11530</v>
      </c>
      <c r="G3069" s="71">
        <v>1262</v>
      </c>
      <c r="H3069" s="73"/>
      <c r="I3069" s="75">
        <v>0.2</v>
      </c>
      <c r="J3069" s="77"/>
      <c r="K3069" s="66"/>
      <c r="L3069" s="66"/>
      <c r="M3069" s="79" t="str">
        <f>HYPERLINK("http://www.pristavka.com/catalog/Genshin Impact/GEN655/")</f>
        <v>http://www.pristavka.com/catalog/Genshin Impact/GEN655/</v>
      </c>
      <c r="N3069" s="71">
        <v>2199</v>
      </c>
      <c r="O3069" s="66" t="s">
        <v>27</v>
      </c>
      <c r="P3069" s="82" t="s">
        <v>11531</v>
      </c>
      <c r="Q3069" s="84" t="s">
        <v>1963</v>
      </c>
      <c r="R3069" s="84" t="s">
        <v>9605</v>
      </c>
      <c r="S3069" s="84">
        <v>1.9E-2</v>
      </c>
      <c r="T3069" s="82" t="s">
        <v>10304</v>
      </c>
      <c r="U3069" s="84"/>
      <c r="V3069" s="54"/>
    </row>
    <row r="3070" spans="1:22" s="11" customFormat="1" ht="45" customHeight="1" x14ac:dyDescent="0.2">
      <c r="A3070" s="66" t="s">
        <v>1963</v>
      </c>
      <c r="B3070" s="66" t="s">
        <v>1155</v>
      </c>
      <c r="C3070" s="66" t="s">
        <v>9605</v>
      </c>
      <c r="D3070" s="66">
        <v>6974096538102</v>
      </c>
      <c r="E3070" s="68" t="s">
        <v>11532</v>
      </c>
      <c r="F3070" s="66" t="s">
        <v>11533</v>
      </c>
      <c r="G3070" s="71">
        <v>1104</v>
      </c>
      <c r="H3070" s="73"/>
      <c r="I3070" s="75">
        <v>0.2</v>
      </c>
      <c r="J3070" s="77"/>
      <c r="K3070" s="66"/>
      <c r="L3070" s="66"/>
      <c r="M3070" s="79" t="str">
        <f>HYPERLINK("http://www.pristavka.com/catalog/Genshin Impact/GEN115/")</f>
        <v>http://www.pristavka.com/catalog/Genshin Impact/GEN115/</v>
      </c>
      <c r="N3070" s="71">
        <v>1899</v>
      </c>
      <c r="O3070" s="66" t="s">
        <v>28</v>
      </c>
      <c r="P3070" s="82" t="s">
        <v>11534</v>
      </c>
      <c r="Q3070" s="84" t="s">
        <v>1963</v>
      </c>
      <c r="R3070" s="84" t="s">
        <v>9605</v>
      </c>
      <c r="S3070" s="84">
        <v>2.1999999999999999E-2</v>
      </c>
      <c r="T3070" s="82" t="s">
        <v>10450</v>
      </c>
      <c r="U3070" s="84" t="s">
        <v>2255</v>
      </c>
      <c r="V3070" s="54"/>
    </row>
    <row r="3071" spans="1:22" s="11" customFormat="1" ht="45" customHeight="1" x14ac:dyDescent="0.2">
      <c r="A3071" s="66" t="s">
        <v>1963</v>
      </c>
      <c r="B3071" s="66" t="s">
        <v>1155</v>
      </c>
      <c r="C3071" s="66" t="s">
        <v>9605</v>
      </c>
      <c r="D3071" s="66">
        <v>6974696611847</v>
      </c>
      <c r="E3071" s="68" t="s">
        <v>11535</v>
      </c>
      <c r="F3071" s="66" t="s">
        <v>11536</v>
      </c>
      <c r="G3071" s="71">
        <v>1104</v>
      </c>
      <c r="H3071" s="73"/>
      <c r="I3071" s="75">
        <v>0.2</v>
      </c>
      <c r="J3071" s="77"/>
      <c r="K3071" s="66"/>
      <c r="L3071" s="66"/>
      <c r="M3071" s="79" t="str">
        <f>HYPERLINK("http://www.pristavka.com/catalog/Genshin Impact/GEN121/")</f>
        <v>http://www.pristavka.com/catalog/Genshin Impact/GEN121/</v>
      </c>
      <c r="N3071" s="71">
        <v>1899</v>
      </c>
      <c r="O3071" s="66" t="s">
        <v>28</v>
      </c>
      <c r="P3071" s="82" t="s">
        <v>11537</v>
      </c>
      <c r="Q3071" s="84" t="s">
        <v>1963</v>
      </c>
      <c r="R3071" s="84" t="s">
        <v>9605</v>
      </c>
      <c r="S3071" s="84">
        <v>2.4E-2</v>
      </c>
      <c r="T3071" s="82" t="s">
        <v>10183</v>
      </c>
      <c r="U3071" s="84" t="s">
        <v>2255</v>
      </c>
      <c r="V3071" s="54"/>
    </row>
    <row r="3072" spans="1:22" s="11" customFormat="1" ht="45" customHeight="1" x14ac:dyDescent="0.2">
      <c r="A3072" s="66" t="s">
        <v>1963</v>
      </c>
      <c r="B3072" s="66" t="s">
        <v>1155</v>
      </c>
      <c r="C3072" s="66" t="s">
        <v>9605</v>
      </c>
      <c r="D3072" s="66">
        <v>6974696610819</v>
      </c>
      <c r="E3072" s="68" t="s">
        <v>11538</v>
      </c>
      <c r="F3072" s="66" t="s">
        <v>11539</v>
      </c>
      <c r="G3072" s="71">
        <v>850</v>
      </c>
      <c r="H3072" s="73"/>
      <c r="I3072" s="75">
        <v>0.2</v>
      </c>
      <c r="J3072" s="77"/>
      <c r="K3072" s="66"/>
      <c r="L3072" s="66"/>
      <c r="M3072" s="79" t="str">
        <f>HYPERLINK("http://www.pristavka.com/catalog/Genshin Impact/GEN118/")</f>
        <v>http://www.pristavka.com/catalog/Genshin Impact/GEN118/</v>
      </c>
      <c r="N3072" s="71">
        <v>1499</v>
      </c>
      <c r="O3072" s="66" t="s">
        <v>27</v>
      </c>
      <c r="P3072" s="82" t="s">
        <v>11540</v>
      </c>
      <c r="Q3072" s="84" t="s">
        <v>1963</v>
      </c>
      <c r="R3072" s="84" t="s">
        <v>9605</v>
      </c>
      <c r="S3072" s="84">
        <v>2.4E-2</v>
      </c>
      <c r="T3072" s="82" t="s">
        <v>10183</v>
      </c>
      <c r="U3072" s="84" t="s">
        <v>2255</v>
      </c>
      <c r="V3072" s="54"/>
    </row>
    <row r="3073" spans="1:22" s="11" customFormat="1" ht="45" customHeight="1" x14ac:dyDescent="0.2">
      <c r="A3073" s="66" t="s">
        <v>1963</v>
      </c>
      <c r="B3073" s="66" t="s">
        <v>1155</v>
      </c>
      <c r="C3073" s="66" t="s">
        <v>9605</v>
      </c>
      <c r="D3073" s="66">
        <v>6975213689615</v>
      </c>
      <c r="E3073" s="68" t="s">
        <v>11541</v>
      </c>
      <c r="F3073" s="66" t="s">
        <v>11542</v>
      </c>
      <c r="G3073" s="71">
        <v>850</v>
      </c>
      <c r="H3073" s="73"/>
      <c r="I3073" s="75">
        <v>0.2</v>
      </c>
      <c r="J3073" s="77"/>
      <c r="K3073" s="66"/>
      <c r="L3073" s="66"/>
      <c r="M3073" s="79" t="str">
        <f>HYPERLINK("http://www.pristavka.com/catalog/Genshin Impact/GEN124/")</f>
        <v>http://www.pristavka.com/catalog/Genshin Impact/GEN124/</v>
      </c>
      <c r="N3073" s="71">
        <v>1499</v>
      </c>
      <c r="O3073" s="66" t="s">
        <v>28</v>
      </c>
      <c r="P3073" s="82" t="s">
        <v>11543</v>
      </c>
      <c r="Q3073" s="84" t="s">
        <v>1963</v>
      </c>
      <c r="R3073" s="84" t="s">
        <v>9605</v>
      </c>
      <c r="S3073" s="84">
        <v>2.4E-2</v>
      </c>
      <c r="T3073" s="82" t="s">
        <v>10183</v>
      </c>
      <c r="U3073" s="84" t="s">
        <v>2255</v>
      </c>
      <c r="V3073" s="54"/>
    </row>
    <row r="3074" spans="1:22" s="11" customFormat="1" ht="45" customHeight="1" x14ac:dyDescent="0.2">
      <c r="A3074" s="66" t="s">
        <v>1963</v>
      </c>
      <c r="B3074" s="66" t="s">
        <v>1155</v>
      </c>
      <c r="C3074" s="66" t="s">
        <v>9605</v>
      </c>
      <c r="D3074" s="66">
        <v>6974696618488</v>
      </c>
      <c r="E3074" s="68" t="s">
        <v>11544</v>
      </c>
      <c r="F3074" s="66" t="s">
        <v>11545</v>
      </c>
      <c r="G3074" s="71">
        <v>1104</v>
      </c>
      <c r="H3074" s="73"/>
      <c r="I3074" s="75">
        <v>0.2</v>
      </c>
      <c r="J3074" s="77"/>
      <c r="K3074" s="66"/>
      <c r="L3074" s="66"/>
      <c r="M3074" s="79" t="str">
        <f>HYPERLINK("http://www.pristavka.com/catalog/Genshin Impact/GEN123/")</f>
        <v>http://www.pristavka.com/catalog/Genshin Impact/GEN123/</v>
      </c>
      <c r="N3074" s="71">
        <v>1899</v>
      </c>
      <c r="O3074" s="66" t="s">
        <v>28</v>
      </c>
      <c r="P3074" s="82" t="s">
        <v>11546</v>
      </c>
      <c r="Q3074" s="84" t="s">
        <v>1963</v>
      </c>
      <c r="R3074" s="84" t="s">
        <v>9605</v>
      </c>
      <c r="S3074" s="84">
        <v>2.4E-2</v>
      </c>
      <c r="T3074" s="82" t="s">
        <v>10450</v>
      </c>
      <c r="U3074" s="84" t="s">
        <v>2255</v>
      </c>
      <c r="V3074" s="54"/>
    </row>
    <row r="3075" spans="1:22" s="11" customFormat="1" ht="45" customHeight="1" x14ac:dyDescent="0.2">
      <c r="A3075" s="66" t="s">
        <v>1963</v>
      </c>
      <c r="B3075" s="66" t="s">
        <v>1155</v>
      </c>
      <c r="C3075" s="66" t="s">
        <v>9605</v>
      </c>
      <c r="D3075" s="66">
        <v>6974696613810</v>
      </c>
      <c r="E3075" s="68" t="s">
        <v>11547</v>
      </c>
      <c r="F3075" s="66" t="s">
        <v>11548</v>
      </c>
      <c r="G3075" s="71">
        <v>1009</v>
      </c>
      <c r="H3075" s="73"/>
      <c r="I3075" s="75">
        <v>0.2</v>
      </c>
      <c r="J3075" s="77"/>
      <c r="K3075" s="66"/>
      <c r="L3075" s="66"/>
      <c r="M3075" s="79" t="str">
        <f>HYPERLINK("http://www.pristavka.com/catalog/Genshin Impact/GEN479/")</f>
        <v>http://www.pristavka.com/catalog/Genshin Impact/GEN479/</v>
      </c>
      <c r="N3075" s="71">
        <v>1699</v>
      </c>
      <c r="O3075" s="66" t="s">
        <v>27</v>
      </c>
      <c r="P3075" s="82" t="s">
        <v>11549</v>
      </c>
      <c r="Q3075" s="84" t="s">
        <v>1963</v>
      </c>
      <c r="R3075" s="84" t="s">
        <v>9605</v>
      </c>
      <c r="S3075" s="84">
        <v>2.5999999999999999E-2</v>
      </c>
      <c r="T3075" s="82" t="s">
        <v>10183</v>
      </c>
      <c r="U3075" s="84"/>
      <c r="V3075" s="54"/>
    </row>
    <row r="3076" spans="1:22" s="11" customFormat="1" ht="45" customHeight="1" x14ac:dyDescent="0.2">
      <c r="A3076" s="66" t="s">
        <v>1963</v>
      </c>
      <c r="B3076" s="66" t="s">
        <v>1155</v>
      </c>
      <c r="C3076" s="66" t="s">
        <v>9605</v>
      </c>
      <c r="D3076" s="66">
        <v>6975213680117</v>
      </c>
      <c r="E3076" s="68" t="s">
        <v>11550</v>
      </c>
      <c r="F3076" s="66" t="s">
        <v>11551</v>
      </c>
      <c r="G3076" s="71">
        <v>1009</v>
      </c>
      <c r="H3076" s="73"/>
      <c r="I3076" s="75">
        <v>0.2</v>
      </c>
      <c r="J3076" s="77"/>
      <c r="K3076" s="66"/>
      <c r="L3076" s="66"/>
      <c r="M3076" s="79" t="str">
        <f>HYPERLINK("http://www.pristavka.com/catalog/Genshin Impact/GEN480/")</f>
        <v>http://www.pristavka.com/catalog/Genshin Impact/GEN480/</v>
      </c>
      <c r="N3076" s="71">
        <v>1699</v>
      </c>
      <c r="O3076" s="66" t="s">
        <v>27</v>
      </c>
      <c r="P3076" s="82" t="s">
        <v>11552</v>
      </c>
      <c r="Q3076" s="84" t="s">
        <v>1963</v>
      </c>
      <c r="R3076" s="84" t="s">
        <v>9605</v>
      </c>
      <c r="S3076" s="84">
        <v>2.5999999999999999E-2</v>
      </c>
      <c r="T3076" s="82" t="s">
        <v>10183</v>
      </c>
      <c r="U3076" s="84"/>
      <c r="V3076" s="54"/>
    </row>
    <row r="3077" spans="1:22" s="11" customFormat="1" ht="45" customHeight="1" x14ac:dyDescent="0.2">
      <c r="A3077" s="66" t="s">
        <v>1963</v>
      </c>
      <c r="B3077" s="66" t="s">
        <v>1155</v>
      </c>
      <c r="C3077" s="66" t="s">
        <v>9605</v>
      </c>
      <c r="D3077" s="66">
        <v>6975213689592</v>
      </c>
      <c r="E3077" s="68" t="s">
        <v>11553</v>
      </c>
      <c r="F3077" s="66" t="s">
        <v>11554</v>
      </c>
      <c r="G3077" s="71">
        <v>1009</v>
      </c>
      <c r="H3077" s="73"/>
      <c r="I3077" s="75">
        <v>0.2</v>
      </c>
      <c r="J3077" s="77"/>
      <c r="K3077" s="66"/>
      <c r="L3077" s="66"/>
      <c r="M3077" s="79" t="str">
        <f>HYPERLINK("http://www.pristavka.com/catalog/Genshin Impact/GEN481/")</f>
        <v>http://www.pristavka.com/catalog/Genshin Impact/GEN481/</v>
      </c>
      <c r="N3077" s="71">
        <v>1699</v>
      </c>
      <c r="O3077" s="66" t="s">
        <v>27</v>
      </c>
      <c r="P3077" s="82" t="s">
        <v>11555</v>
      </c>
      <c r="Q3077" s="84" t="s">
        <v>1963</v>
      </c>
      <c r="R3077" s="84" t="s">
        <v>9605</v>
      </c>
      <c r="S3077" s="84">
        <v>2.5999999999999999E-2</v>
      </c>
      <c r="T3077" s="82" t="s">
        <v>10183</v>
      </c>
      <c r="U3077" s="84"/>
      <c r="V3077" s="54"/>
    </row>
    <row r="3078" spans="1:22" s="11" customFormat="1" ht="45" customHeight="1" x14ac:dyDescent="0.2">
      <c r="A3078" s="66" t="s">
        <v>1963</v>
      </c>
      <c r="B3078" s="66" t="s">
        <v>1155</v>
      </c>
      <c r="C3078" s="66" t="s">
        <v>9605</v>
      </c>
      <c r="D3078" s="66">
        <v>6974696612509</v>
      </c>
      <c r="E3078" s="68" t="s">
        <v>11556</v>
      </c>
      <c r="F3078" s="66" t="s">
        <v>11557</v>
      </c>
      <c r="G3078" s="71">
        <v>1009</v>
      </c>
      <c r="H3078" s="73"/>
      <c r="I3078" s="75">
        <v>0.2</v>
      </c>
      <c r="J3078" s="77"/>
      <c r="K3078" s="66"/>
      <c r="L3078" s="66"/>
      <c r="M3078" s="79" t="str">
        <f>HYPERLINK("http://www.pristavka.com/catalog/Genshin Impact/GEN478/")</f>
        <v>http://www.pristavka.com/catalog/Genshin Impact/GEN478/</v>
      </c>
      <c r="N3078" s="71">
        <v>1699</v>
      </c>
      <c r="O3078" s="66" t="s">
        <v>27</v>
      </c>
      <c r="P3078" s="82" t="s">
        <v>11558</v>
      </c>
      <c r="Q3078" s="84" t="s">
        <v>1963</v>
      </c>
      <c r="R3078" s="84" t="s">
        <v>9605</v>
      </c>
      <c r="S3078" s="84">
        <v>2.5999999999999999E-2</v>
      </c>
      <c r="T3078" s="82" t="s">
        <v>10183</v>
      </c>
      <c r="U3078" s="84"/>
      <c r="V3078" s="54"/>
    </row>
    <row r="3079" spans="1:22" s="11" customFormat="1" ht="45" customHeight="1" x14ac:dyDescent="0.2">
      <c r="A3079" s="66" t="s">
        <v>1963</v>
      </c>
      <c r="B3079" s="66" t="s">
        <v>1155</v>
      </c>
      <c r="C3079" s="66" t="s">
        <v>9605</v>
      </c>
      <c r="D3079" s="66">
        <v>6942421148609</v>
      </c>
      <c r="E3079" s="68" t="s">
        <v>11559</v>
      </c>
      <c r="F3079" s="66" t="s">
        <v>11560</v>
      </c>
      <c r="G3079" s="71">
        <v>1579</v>
      </c>
      <c r="H3079" s="73"/>
      <c r="I3079" s="75">
        <v>0.2</v>
      </c>
      <c r="J3079" s="77"/>
      <c r="K3079" s="66"/>
      <c r="L3079" s="66"/>
      <c r="M3079" s="79" t="str">
        <f>HYPERLINK("http://www.pristavka.com/catalog/Genshin Impact/GEN1427/")</f>
        <v>http://www.pristavka.com/catalog/Genshin Impact/GEN1427/</v>
      </c>
      <c r="N3079" s="71">
        <v>2699</v>
      </c>
      <c r="O3079" s="66" t="s">
        <v>27</v>
      </c>
      <c r="P3079" s="82" t="s">
        <v>11561</v>
      </c>
      <c r="Q3079" s="84" t="s">
        <v>1963</v>
      </c>
      <c r="R3079" s="84" t="s">
        <v>9605</v>
      </c>
      <c r="S3079" s="84">
        <v>2.8000000000000001E-2</v>
      </c>
      <c r="T3079" s="82" t="s">
        <v>11562</v>
      </c>
      <c r="U3079" s="84"/>
      <c r="V3079" s="54"/>
    </row>
    <row r="3080" spans="1:22" s="11" customFormat="1" ht="45" customHeight="1" x14ac:dyDescent="0.2">
      <c r="A3080" s="66" t="s">
        <v>1963</v>
      </c>
      <c r="B3080" s="66" t="s">
        <v>1155</v>
      </c>
      <c r="C3080" s="66" t="s">
        <v>9605</v>
      </c>
      <c r="D3080" s="66">
        <v>6975628244911</v>
      </c>
      <c r="E3080" s="68" t="s">
        <v>11563</v>
      </c>
      <c r="F3080" s="66" t="s">
        <v>11564</v>
      </c>
      <c r="G3080" s="71">
        <v>946</v>
      </c>
      <c r="H3080" s="73"/>
      <c r="I3080" s="75">
        <v>0.2</v>
      </c>
      <c r="J3080" s="77"/>
      <c r="K3080" s="66"/>
      <c r="L3080" s="66"/>
      <c r="M3080" s="79" t="str">
        <f>HYPERLINK("http://www.pristavka.com/catalog/Genshin Impact/GEN663/")</f>
        <v>http://www.pristavka.com/catalog/Genshin Impact/GEN663/</v>
      </c>
      <c r="N3080" s="71">
        <v>1599</v>
      </c>
      <c r="O3080" s="66" t="s">
        <v>27</v>
      </c>
      <c r="P3080" s="82" t="s">
        <v>11565</v>
      </c>
      <c r="Q3080" s="84" t="s">
        <v>1963</v>
      </c>
      <c r="R3080" s="84" t="s">
        <v>9605</v>
      </c>
      <c r="S3080" s="84">
        <v>1.7999999999999999E-2</v>
      </c>
      <c r="T3080" s="82" t="s">
        <v>10304</v>
      </c>
      <c r="U3080" s="84"/>
      <c r="V3080" s="54"/>
    </row>
    <row r="3081" spans="1:22" s="11" customFormat="1" ht="45" customHeight="1" x14ac:dyDescent="0.2">
      <c r="A3081" s="66" t="s">
        <v>1963</v>
      </c>
      <c r="B3081" s="66" t="s">
        <v>1155</v>
      </c>
      <c r="C3081" s="66" t="s">
        <v>9605</v>
      </c>
      <c r="D3081" s="66">
        <v>6975628244980</v>
      </c>
      <c r="E3081" s="68" t="s">
        <v>11566</v>
      </c>
      <c r="F3081" s="66" t="s">
        <v>11567</v>
      </c>
      <c r="G3081" s="71">
        <v>946</v>
      </c>
      <c r="H3081" s="73"/>
      <c r="I3081" s="75">
        <v>0.2</v>
      </c>
      <c r="J3081" s="77"/>
      <c r="K3081" s="66"/>
      <c r="L3081" s="66"/>
      <c r="M3081" s="79" t="str">
        <f>HYPERLINK("http://www.pristavka.com/catalog/Genshin Impact/GEN670/")</f>
        <v>http://www.pristavka.com/catalog/Genshin Impact/GEN670/</v>
      </c>
      <c r="N3081" s="71">
        <v>1599</v>
      </c>
      <c r="O3081" s="66" t="s">
        <v>28</v>
      </c>
      <c r="P3081" s="82" t="s">
        <v>11568</v>
      </c>
      <c r="Q3081" s="84" t="s">
        <v>1963</v>
      </c>
      <c r="R3081" s="84" t="s">
        <v>9605</v>
      </c>
      <c r="S3081" s="84">
        <v>1.9E-2</v>
      </c>
      <c r="T3081" s="82" t="s">
        <v>10994</v>
      </c>
      <c r="U3081" s="84"/>
      <c r="V3081" s="54"/>
    </row>
    <row r="3082" spans="1:22" s="11" customFormat="1" ht="45" customHeight="1" x14ac:dyDescent="0.2">
      <c r="A3082" s="66" t="s">
        <v>1963</v>
      </c>
      <c r="B3082" s="66" t="s">
        <v>1155</v>
      </c>
      <c r="C3082" s="66" t="s">
        <v>9605</v>
      </c>
      <c r="D3082" s="66">
        <v>6974696616095</v>
      </c>
      <c r="E3082" s="68" t="s">
        <v>11569</v>
      </c>
      <c r="F3082" s="66" t="s">
        <v>11570</v>
      </c>
      <c r="G3082" s="71">
        <v>946</v>
      </c>
      <c r="H3082" s="73"/>
      <c r="I3082" s="75">
        <v>0.2</v>
      </c>
      <c r="J3082" s="77"/>
      <c r="K3082" s="66"/>
      <c r="L3082" s="66"/>
      <c r="M3082" s="79" t="str">
        <f>HYPERLINK("http://www.pristavka.com/catalog/Genshin Impact/GEN658/")</f>
        <v>http://www.pristavka.com/catalog/Genshin Impact/GEN658/</v>
      </c>
      <c r="N3082" s="71">
        <v>1599</v>
      </c>
      <c r="O3082" s="66" t="s">
        <v>27</v>
      </c>
      <c r="P3082" s="82" t="s">
        <v>11571</v>
      </c>
      <c r="Q3082" s="84" t="s">
        <v>1963</v>
      </c>
      <c r="R3082" s="84" t="s">
        <v>9605</v>
      </c>
      <c r="S3082" s="84">
        <v>1.7999999999999999E-2</v>
      </c>
      <c r="T3082" s="82" t="s">
        <v>10304</v>
      </c>
      <c r="U3082" s="84"/>
      <c r="V3082" s="54"/>
    </row>
    <row r="3083" spans="1:22" s="11" customFormat="1" ht="45" customHeight="1" x14ac:dyDescent="0.2">
      <c r="A3083" s="66" t="s">
        <v>1963</v>
      </c>
      <c r="B3083" s="66" t="s">
        <v>1155</v>
      </c>
      <c r="C3083" s="66" t="s">
        <v>9605</v>
      </c>
      <c r="D3083" s="66">
        <v>6975628245024</v>
      </c>
      <c r="E3083" s="68" t="s">
        <v>11572</v>
      </c>
      <c r="F3083" s="66" t="s">
        <v>11573</v>
      </c>
      <c r="G3083" s="71">
        <v>946</v>
      </c>
      <c r="H3083" s="73"/>
      <c r="I3083" s="75">
        <v>0.2</v>
      </c>
      <c r="J3083" s="77"/>
      <c r="K3083" s="66"/>
      <c r="L3083" s="66"/>
      <c r="M3083" s="79" t="str">
        <f>HYPERLINK("http://www.pristavka.com/catalog/Genshin Impact/GEN674/")</f>
        <v>http://www.pristavka.com/catalog/Genshin Impact/GEN674/</v>
      </c>
      <c r="N3083" s="71">
        <v>1599</v>
      </c>
      <c r="O3083" s="66" t="s">
        <v>27</v>
      </c>
      <c r="P3083" s="82" t="s">
        <v>11574</v>
      </c>
      <c r="Q3083" s="84" t="s">
        <v>1963</v>
      </c>
      <c r="R3083" s="84" t="s">
        <v>9605</v>
      </c>
      <c r="S3083" s="84">
        <v>1.7999999999999999E-2</v>
      </c>
      <c r="T3083" s="82" t="s">
        <v>10994</v>
      </c>
      <c r="U3083" s="84"/>
      <c r="V3083" s="54"/>
    </row>
    <row r="3084" spans="1:22" s="11" customFormat="1" ht="45" customHeight="1" x14ac:dyDescent="0.2">
      <c r="A3084" s="66" t="s">
        <v>1963</v>
      </c>
      <c r="B3084" s="66" t="s">
        <v>1155</v>
      </c>
      <c r="C3084" s="66" t="s">
        <v>9605</v>
      </c>
      <c r="D3084" s="66">
        <v>6972957482847</v>
      </c>
      <c r="E3084" s="68" t="s">
        <v>11575</v>
      </c>
      <c r="F3084" s="66" t="s">
        <v>11576</v>
      </c>
      <c r="G3084" s="71">
        <v>787</v>
      </c>
      <c r="H3084" s="73"/>
      <c r="I3084" s="75">
        <v>0.2</v>
      </c>
      <c r="J3084" s="77"/>
      <c r="K3084" s="66"/>
      <c r="L3084" s="66"/>
      <c r="M3084" s="79" t="str">
        <f>HYPERLINK("http://www.pristavka.com/catalog/Genshin Impact/GEN103/")</f>
        <v>http://www.pristavka.com/catalog/Genshin Impact/GEN103/</v>
      </c>
      <c r="N3084" s="71">
        <v>1399</v>
      </c>
      <c r="O3084" s="66" t="s">
        <v>27</v>
      </c>
      <c r="P3084" s="82" t="s">
        <v>11577</v>
      </c>
      <c r="Q3084" s="84" t="s">
        <v>1963</v>
      </c>
      <c r="R3084" s="84" t="s">
        <v>9605</v>
      </c>
      <c r="S3084" s="84">
        <v>2.3E-2</v>
      </c>
      <c r="T3084" s="82" t="s">
        <v>10183</v>
      </c>
      <c r="U3084" s="84" t="s">
        <v>2255</v>
      </c>
      <c r="V3084" s="54"/>
    </row>
    <row r="3085" spans="1:22" s="11" customFormat="1" ht="45" customHeight="1" x14ac:dyDescent="0.2">
      <c r="A3085" s="66" t="s">
        <v>1963</v>
      </c>
      <c r="B3085" s="66" t="s">
        <v>1155</v>
      </c>
      <c r="C3085" s="66" t="s">
        <v>9605</v>
      </c>
      <c r="D3085" s="66">
        <v>6974096531004</v>
      </c>
      <c r="E3085" s="68" t="s">
        <v>11578</v>
      </c>
      <c r="F3085" s="66" t="s">
        <v>11579</v>
      </c>
      <c r="G3085" s="71">
        <v>946</v>
      </c>
      <c r="H3085" s="73"/>
      <c r="I3085" s="75">
        <v>0.2</v>
      </c>
      <c r="J3085" s="77"/>
      <c r="K3085" s="66"/>
      <c r="L3085" s="66"/>
      <c r="M3085" s="79" t="str">
        <f>HYPERLINK("http://www.pristavka.com/catalog/Genshin Impact/GEN109/")</f>
        <v>http://www.pristavka.com/catalog/Genshin Impact/GEN109/</v>
      </c>
      <c r="N3085" s="71">
        <v>1599</v>
      </c>
      <c r="O3085" s="66" t="s">
        <v>27</v>
      </c>
      <c r="P3085" s="82" t="s">
        <v>11580</v>
      </c>
      <c r="Q3085" s="84" t="s">
        <v>1963</v>
      </c>
      <c r="R3085" s="84" t="s">
        <v>9605</v>
      </c>
      <c r="S3085" s="84">
        <v>2.3E-2</v>
      </c>
      <c r="T3085" s="82" t="s">
        <v>10450</v>
      </c>
      <c r="U3085" s="84" t="s">
        <v>2255</v>
      </c>
      <c r="V3085" s="54"/>
    </row>
    <row r="3086" spans="1:22" s="11" customFormat="1" ht="45" customHeight="1" x14ac:dyDescent="0.2">
      <c r="A3086" s="66" t="s">
        <v>1963</v>
      </c>
      <c r="B3086" s="66" t="s">
        <v>1155</v>
      </c>
      <c r="C3086" s="66" t="s">
        <v>9605</v>
      </c>
      <c r="D3086" s="66">
        <v>6972957487040</v>
      </c>
      <c r="E3086" s="68" t="s">
        <v>11581</v>
      </c>
      <c r="F3086" s="66" t="s">
        <v>11582</v>
      </c>
      <c r="G3086" s="71">
        <v>787</v>
      </c>
      <c r="H3086" s="73"/>
      <c r="I3086" s="75">
        <v>0.2</v>
      </c>
      <c r="J3086" s="77"/>
      <c r="K3086" s="66"/>
      <c r="L3086" s="66"/>
      <c r="M3086" s="79" t="str">
        <f>HYPERLINK("http://www.pristavka.com/catalog/Genshin Impact/GEN104/")</f>
        <v>http://www.pristavka.com/catalog/Genshin Impact/GEN104/</v>
      </c>
      <c r="N3086" s="71">
        <v>1399</v>
      </c>
      <c r="O3086" s="66" t="s">
        <v>27</v>
      </c>
      <c r="P3086" s="82" t="s">
        <v>11583</v>
      </c>
      <c r="Q3086" s="84" t="s">
        <v>1963</v>
      </c>
      <c r="R3086" s="84" t="s">
        <v>9605</v>
      </c>
      <c r="S3086" s="84">
        <v>2.3E-2</v>
      </c>
      <c r="T3086" s="82" t="s">
        <v>10450</v>
      </c>
      <c r="U3086" s="84" t="s">
        <v>2255</v>
      </c>
      <c r="V3086" s="54"/>
    </row>
    <row r="3087" spans="1:22" s="11" customFormat="1" ht="45" customHeight="1" x14ac:dyDescent="0.2">
      <c r="A3087" s="66" t="s">
        <v>1963</v>
      </c>
      <c r="B3087" s="66" t="s">
        <v>1155</v>
      </c>
      <c r="C3087" s="66" t="s">
        <v>9605</v>
      </c>
      <c r="D3087" s="66">
        <v>6972957482816</v>
      </c>
      <c r="E3087" s="68" t="s">
        <v>11584</v>
      </c>
      <c r="F3087" s="66" t="s">
        <v>11585</v>
      </c>
      <c r="G3087" s="71">
        <v>787</v>
      </c>
      <c r="H3087" s="73"/>
      <c r="I3087" s="75">
        <v>0.2</v>
      </c>
      <c r="J3087" s="77"/>
      <c r="K3087" s="66"/>
      <c r="L3087" s="66"/>
      <c r="M3087" s="79" t="str">
        <f>HYPERLINK("http://www.pristavka.com/catalog/Genshin Impact/GEN100/")</f>
        <v>http://www.pristavka.com/catalog/Genshin Impact/GEN100/</v>
      </c>
      <c r="N3087" s="71">
        <v>1399</v>
      </c>
      <c r="O3087" s="66" t="s">
        <v>27</v>
      </c>
      <c r="P3087" s="82" t="s">
        <v>11586</v>
      </c>
      <c r="Q3087" s="84" t="s">
        <v>1963</v>
      </c>
      <c r="R3087" s="84" t="s">
        <v>9605</v>
      </c>
      <c r="S3087" s="84">
        <v>2.4E-2</v>
      </c>
      <c r="T3087" s="82" t="s">
        <v>10450</v>
      </c>
      <c r="U3087" s="84" t="s">
        <v>2255</v>
      </c>
      <c r="V3087" s="54"/>
    </row>
    <row r="3088" spans="1:22" s="11" customFormat="1" ht="45" customHeight="1" x14ac:dyDescent="0.2">
      <c r="A3088" s="66" t="s">
        <v>1963</v>
      </c>
      <c r="B3088" s="66" t="s">
        <v>1155</v>
      </c>
      <c r="C3088" s="66" t="s">
        <v>9605</v>
      </c>
      <c r="D3088" s="66">
        <v>6972957487057</v>
      </c>
      <c r="E3088" s="68" t="s">
        <v>11587</v>
      </c>
      <c r="F3088" s="66" t="s">
        <v>11588</v>
      </c>
      <c r="G3088" s="71">
        <v>787</v>
      </c>
      <c r="H3088" s="73"/>
      <c r="I3088" s="75">
        <v>0.2</v>
      </c>
      <c r="J3088" s="77"/>
      <c r="K3088" s="66"/>
      <c r="L3088" s="66"/>
      <c r="M3088" s="79" t="str">
        <f>HYPERLINK("http://www.pristavka.com/catalog/Genshin Impact/GEN105/")</f>
        <v>http://www.pristavka.com/catalog/Genshin Impact/GEN105/</v>
      </c>
      <c r="N3088" s="71">
        <v>1399</v>
      </c>
      <c r="O3088" s="66" t="s">
        <v>27</v>
      </c>
      <c r="P3088" s="82" t="s">
        <v>11589</v>
      </c>
      <c r="Q3088" s="84" t="s">
        <v>1963</v>
      </c>
      <c r="R3088" s="84" t="s">
        <v>9605</v>
      </c>
      <c r="S3088" s="84">
        <v>2.4E-2</v>
      </c>
      <c r="T3088" s="82" t="s">
        <v>10183</v>
      </c>
      <c r="U3088" s="84" t="s">
        <v>2255</v>
      </c>
      <c r="V3088" s="54"/>
    </row>
    <row r="3089" spans="1:22" s="11" customFormat="1" ht="45" customHeight="1" x14ac:dyDescent="0.2">
      <c r="A3089" s="66" t="s">
        <v>1963</v>
      </c>
      <c r="B3089" s="66" t="s">
        <v>1155</v>
      </c>
      <c r="C3089" s="66" t="s">
        <v>9605</v>
      </c>
      <c r="D3089" s="66">
        <v>6972957482830</v>
      </c>
      <c r="E3089" s="68" t="s">
        <v>11590</v>
      </c>
      <c r="F3089" s="66" t="s">
        <v>11591</v>
      </c>
      <c r="G3089" s="71">
        <v>787</v>
      </c>
      <c r="H3089" s="73"/>
      <c r="I3089" s="75">
        <v>0.2</v>
      </c>
      <c r="J3089" s="77"/>
      <c r="K3089" s="66"/>
      <c r="L3089" s="66"/>
      <c r="M3089" s="79" t="str">
        <f>HYPERLINK("http://www.pristavka.com/catalog/Genshin Impact/GEN102/")</f>
        <v>http://www.pristavka.com/catalog/Genshin Impact/GEN102/</v>
      </c>
      <c r="N3089" s="71">
        <v>1399</v>
      </c>
      <c r="O3089" s="66" t="s">
        <v>27</v>
      </c>
      <c r="P3089" s="82" t="s">
        <v>11592</v>
      </c>
      <c r="Q3089" s="84" t="s">
        <v>1963</v>
      </c>
      <c r="R3089" s="84" t="s">
        <v>9605</v>
      </c>
      <c r="S3089" s="84">
        <v>2.4E-2</v>
      </c>
      <c r="T3089" s="82" t="s">
        <v>9688</v>
      </c>
      <c r="U3089" s="84" t="s">
        <v>2255</v>
      </c>
      <c r="V3089" s="54"/>
    </row>
    <row r="3090" spans="1:22" s="11" customFormat="1" ht="45" customHeight="1" x14ac:dyDescent="0.2">
      <c r="A3090" s="66" t="s">
        <v>1963</v>
      </c>
      <c r="B3090" s="66" t="s">
        <v>1155</v>
      </c>
      <c r="C3090" s="66" t="s">
        <v>9605</v>
      </c>
      <c r="D3090" s="66">
        <v>6972957488061</v>
      </c>
      <c r="E3090" s="68" t="s">
        <v>11593</v>
      </c>
      <c r="F3090" s="66" t="s">
        <v>11594</v>
      </c>
      <c r="G3090" s="71">
        <v>787</v>
      </c>
      <c r="H3090" s="73"/>
      <c r="I3090" s="75">
        <v>0.2</v>
      </c>
      <c r="J3090" s="77"/>
      <c r="K3090" s="66"/>
      <c r="L3090" s="66"/>
      <c r="M3090" s="79" t="str">
        <f>HYPERLINK("http://www.pristavka.com/catalog/Genshin Impact/GEN107/")</f>
        <v>http://www.pristavka.com/catalog/Genshin Impact/GEN107/</v>
      </c>
      <c r="N3090" s="71">
        <v>1399</v>
      </c>
      <c r="O3090" s="66" t="s">
        <v>27</v>
      </c>
      <c r="P3090" s="82" t="s">
        <v>11595</v>
      </c>
      <c r="Q3090" s="84" t="s">
        <v>1963</v>
      </c>
      <c r="R3090" s="84" t="s">
        <v>9605</v>
      </c>
      <c r="S3090" s="84">
        <v>2.3E-2</v>
      </c>
      <c r="T3090" s="82" t="s">
        <v>9688</v>
      </c>
      <c r="U3090" s="84" t="s">
        <v>2255</v>
      </c>
      <c r="V3090" s="54"/>
    </row>
    <row r="3091" spans="1:22" s="11" customFormat="1" ht="45" customHeight="1" x14ac:dyDescent="0.2">
      <c r="A3091" s="66" t="s">
        <v>1963</v>
      </c>
      <c r="B3091" s="66" t="s">
        <v>1155</v>
      </c>
      <c r="C3091" s="66" t="s">
        <v>9605</v>
      </c>
      <c r="D3091" s="66">
        <v>6975213689639</v>
      </c>
      <c r="E3091" s="68" t="s">
        <v>11596</v>
      </c>
      <c r="F3091" s="66" t="s">
        <v>11597</v>
      </c>
      <c r="G3091" s="71">
        <v>850</v>
      </c>
      <c r="H3091" s="73"/>
      <c r="I3091" s="75">
        <v>0.2</v>
      </c>
      <c r="J3091" s="77"/>
      <c r="K3091" s="66"/>
      <c r="L3091" s="66"/>
      <c r="M3091" s="79" t="str">
        <f>HYPERLINK("http://www.pristavka.com/catalog/Genshin Impact/GEN113/")</f>
        <v>http://www.pristavka.com/catalog/Genshin Impact/GEN113/</v>
      </c>
      <c r="N3091" s="71">
        <v>1499</v>
      </c>
      <c r="O3091" s="66" t="s">
        <v>27</v>
      </c>
      <c r="P3091" s="82" t="s">
        <v>11598</v>
      </c>
      <c r="Q3091" s="84" t="s">
        <v>1963</v>
      </c>
      <c r="R3091" s="84" t="s">
        <v>9605</v>
      </c>
      <c r="S3091" s="84">
        <v>2.3E-2</v>
      </c>
      <c r="T3091" s="82" t="s">
        <v>10183</v>
      </c>
      <c r="U3091" s="84" t="s">
        <v>2255</v>
      </c>
      <c r="V3091" s="54"/>
    </row>
    <row r="3092" spans="1:22" s="11" customFormat="1" ht="45" customHeight="1" x14ac:dyDescent="0.2">
      <c r="A3092" s="66" t="s">
        <v>1963</v>
      </c>
      <c r="B3092" s="66" t="s">
        <v>1155</v>
      </c>
      <c r="C3092" s="66" t="s">
        <v>9605</v>
      </c>
      <c r="D3092" s="66">
        <v>6974696617368</v>
      </c>
      <c r="E3092" s="68" t="s">
        <v>11599</v>
      </c>
      <c r="F3092" s="66" t="s">
        <v>11600</v>
      </c>
      <c r="G3092" s="71">
        <v>787</v>
      </c>
      <c r="H3092" s="73"/>
      <c r="I3092" s="75">
        <v>0.2</v>
      </c>
      <c r="J3092" s="77"/>
      <c r="K3092" s="66"/>
      <c r="L3092" s="66"/>
      <c r="M3092" s="79" t="str">
        <f>HYPERLINK("http://www.pristavka.com/catalog/Genshin Impact/GEN112/")</f>
        <v>http://www.pristavka.com/catalog/Genshin Impact/GEN112/</v>
      </c>
      <c r="N3092" s="71">
        <v>1399</v>
      </c>
      <c r="O3092" s="66" t="s">
        <v>27</v>
      </c>
      <c r="P3092" s="82" t="s">
        <v>11601</v>
      </c>
      <c r="Q3092" s="84" t="s">
        <v>1963</v>
      </c>
      <c r="R3092" s="84" t="s">
        <v>9605</v>
      </c>
      <c r="S3092" s="84">
        <v>2.4E-2</v>
      </c>
      <c r="T3092" s="82" t="s">
        <v>10183</v>
      </c>
      <c r="U3092" s="84" t="s">
        <v>2255</v>
      </c>
      <c r="V3092" s="54"/>
    </row>
    <row r="3093" spans="1:22" s="11" customFormat="1" ht="45" customHeight="1" x14ac:dyDescent="0.2">
      <c r="A3093" s="66" t="s">
        <v>1963</v>
      </c>
      <c r="B3093" s="66" t="s">
        <v>1155</v>
      </c>
      <c r="C3093" s="66" t="s">
        <v>9605</v>
      </c>
      <c r="D3093" s="66">
        <v>6972957488054</v>
      </c>
      <c r="E3093" s="68" t="s">
        <v>11602</v>
      </c>
      <c r="F3093" s="66" t="s">
        <v>11603</v>
      </c>
      <c r="G3093" s="71">
        <v>946</v>
      </c>
      <c r="H3093" s="73"/>
      <c r="I3093" s="75">
        <v>0.2</v>
      </c>
      <c r="J3093" s="77"/>
      <c r="K3093" s="66"/>
      <c r="L3093" s="66"/>
      <c r="M3093" s="79" t="str">
        <f>HYPERLINK("http://www.pristavka.com/catalog/Genshin Impact/GEN106/")</f>
        <v>http://www.pristavka.com/catalog/Genshin Impact/GEN106/</v>
      </c>
      <c r="N3093" s="71">
        <v>1599</v>
      </c>
      <c r="O3093" s="66" t="s">
        <v>27</v>
      </c>
      <c r="P3093" s="82" t="s">
        <v>11604</v>
      </c>
      <c r="Q3093" s="84" t="s">
        <v>1963</v>
      </c>
      <c r="R3093" s="84" t="s">
        <v>9605</v>
      </c>
      <c r="S3093" s="84">
        <v>2.5000000000000001E-2</v>
      </c>
      <c r="T3093" s="82" t="s">
        <v>9688</v>
      </c>
      <c r="U3093" s="84" t="s">
        <v>2255</v>
      </c>
      <c r="V3093" s="54"/>
    </row>
    <row r="3094" spans="1:22" s="11" customFormat="1" ht="45" customHeight="1" x14ac:dyDescent="0.2">
      <c r="A3094" s="66" t="s">
        <v>1963</v>
      </c>
      <c r="B3094" s="66" t="s">
        <v>1155</v>
      </c>
      <c r="C3094" s="66" t="s">
        <v>9605</v>
      </c>
      <c r="D3094" s="66">
        <v>6976068141303</v>
      </c>
      <c r="E3094" s="68" t="s">
        <v>11605</v>
      </c>
      <c r="F3094" s="66" t="s">
        <v>11606</v>
      </c>
      <c r="G3094" s="71">
        <v>946</v>
      </c>
      <c r="H3094" s="73"/>
      <c r="I3094" s="75">
        <v>0.2</v>
      </c>
      <c r="J3094" s="77"/>
      <c r="K3094" s="66"/>
      <c r="L3094" s="66"/>
      <c r="M3094" s="79" t="str">
        <f>HYPERLINK("http://www.pristavka.com/catalog/Genshin Impact/GEN477/")</f>
        <v>http://www.pristavka.com/catalog/Genshin Impact/GEN477/</v>
      </c>
      <c r="N3094" s="71">
        <v>1599</v>
      </c>
      <c r="O3094" s="66" t="s">
        <v>27</v>
      </c>
      <c r="P3094" s="82" t="s">
        <v>11607</v>
      </c>
      <c r="Q3094" s="84" t="s">
        <v>1963</v>
      </c>
      <c r="R3094" s="84" t="s">
        <v>9605</v>
      </c>
      <c r="S3094" s="84">
        <v>2.5999999999999999E-2</v>
      </c>
      <c r="T3094" s="82" t="s">
        <v>10183</v>
      </c>
      <c r="U3094" s="84"/>
      <c r="V3094" s="54"/>
    </row>
    <row r="3095" spans="1:22" s="11" customFormat="1" ht="45" customHeight="1" x14ac:dyDescent="0.2">
      <c r="A3095" s="66" t="s">
        <v>1963</v>
      </c>
      <c r="B3095" s="66" t="s">
        <v>1155</v>
      </c>
      <c r="C3095" s="66" t="s">
        <v>9605</v>
      </c>
      <c r="D3095" s="66">
        <v>6975628240517</v>
      </c>
      <c r="E3095" s="68" t="s">
        <v>11608</v>
      </c>
      <c r="F3095" s="66" t="s">
        <v>11609</v>
      </c>
      <c r="G3095" s="71">
        <v>787</v>
      </c>
      <c r="H3095" s="73"/>
      <c r="I3095" s="75">
        <v>0.2</v>
      </c>
      <c r="J3095" s="77"/>
      <c r="K3095" s="66"/>
      <c r="L3095" s="66"/>
      <c r="M3095" s="79" t="str">
        <f>HYPERLINK("http://www.pristavka.com/catalog/Genshin Impact/GEN83/")</f>
        <v>http://www.pristavka.com/catalog/Genshin Impact/GEN83/</v>
      </c>
      <c r="N3095" s="71">
        <v>1399</v>
      </c>
      <c r="O3095" s="66" t="s">
        <v>27</v>
      </c>
      <c r="P3095" s="82" t="s">
        <v>11610</v>
      </c>
      <c r="Q3095" s="84" t="s">
        <v>1963</v>
      </c>
      <c r="R3095" s="84" t="s">
        <v>9605</v>
      </c>
      <c r="S3095" s="84">
        <v>2.3E-2</v>
      </c>
      <c r="T3095" s="82" t="s">
        <v>9688</v>
      </c>
      <c r="U3095" s="84" t="s">
        <v>2255</v>
      </c>
      <c r="V3095" s="54"/>
    </row>
    <row r="3096" spans="1:22" s="11" customFormat="1" ht="45" customHeight="1" x14ac:dyDescent="0.2">
      <c r="A3096" s="66" t="s">
        <v>1963</v>
      </c>
      <c r="B3096" s="66" t="s">
        <v>1155</v>
      </c>
      <c r="C3096" s="66" t="s">
        <v>9605</v>
      </c>
      <c r="D3096" s="66">
        <v>6972957482717</v>
      </c>
      <c r="E3096" s="68" t="s">
        <v>11611</v>
      </c>
      <c r="F3096" s="66" t="s">
        <v>11612</v>
      </c>
      <c r="G3096" s="71">
        <v>787</v>
      </c>
      <c r="H3096" s="73"/>
      <c r="I3096" s="75">
        <v>0.2</v>
      </c>
      <c r="J3096" s="77"/>
      <c r="K3096" s="66"/>
      <c r="L3096" s="66"/>
      <c r="M3096" s="79" t="str">
        <f>HYPERLINK("http://www.pristavka.com/catalog/Genshin Impact/GEN86/")</f>
        <v>http://www.pristavka.com/catalog/Genshin Impact/GEN86/</v>
      </c>
      <c r="N3096" s="71">
        <v>1399</v>
      </c>
      <c r="O3096" s="66" t="s">
        <v>27</v>
      </c>
      <c r="P3096" s="82" t="s">
        <v>11613</v>
      </c>
      <c r="Q3096" s="84" t="s">
        <v>1963</v>
      </c>
      <c r="R3096" s="84" t="s">
        <v>9605</v>
      </c>
      <c r="S3096" s="84">
        <v>2.3E-2</v>
      </c>
      <c r="T3096" s="82" t="s">
        <v>10450</v>
      </c>
      <c r="U3096" s="84" t="s">
        <v>2255</v>
      </c>
      <c r="V3096" s="54"/>
    </row>
    <row r="3097" spans="1:22" s="11" customFormat="1" ht="45" customHeight="1" x14ac:dyDescent="0.2">
      <c r="A3097" s="66" t="s">
        <v>1963</v>
      </c>
      <c r="B3097" s="66" t="s">
        <v>1155</v>
      </c>
      <c r="C3097" s="66" t="s">
        <v>9605</v>
      </c>
      <c r="D3097" s="66">
        <v>6974096534197</v>
      </c>
      <c r="E3097" s="68" t="s">
        <v>11614</v>
      </c>
      <c r="F3097" s="66" t="s">
        <v>11615</v>
      </c>
      <c r="G3097" s="71">
        <v>946</v>
      </c>
      <c r="H3097" s="73"/>
      <c r="I3097" s="75">
        <v>0.2</v>
      </c>
      <c r="J3097" s="77"/>
      <c r="K3097" s="66"/>
      <c r="L3097" s="66"/>
      <c r="M3097" s="79" t="str">
        <f>HYPERLINK("http://www.pristavka.com/catalog/Genshin Impact/GEN97/")</f>
        <v>http://www.pristavka.com/catalog/Genshin Impact/GEN97/</v>
      </c>
      <c r="N3097" s="71">
        <v>1599</v>
      </c>
      <c r="O3097" s="66" t="s">
        <v>27</v>
      </c>
      <c r="P3097" s="82" t="s">
        <v>11616</v>
      </c>
      <c r="Q3097" s="84" t="s">
        <v>1963</v>
      </c>
      <c r="R3097" s="84" t="s">
        <v>9605</v>
      </c>
      <c r="S3097" s="84">
        <v>0.02</v>
      </c>
      <c r="T3097" s="82" t="s">
        <v>10450</v>
      </c>
      <c r="U3097" s="84" t="s">
        <v>2255</v>
      </c>
      <c r="V3097" s="54"/>
    </row>
    <row r="3098" spans="1:22" s="11" customFormat="1" ht="45" customHeight="1" x14ac:dyDescent="0.2">
      <c r="A3098" s="66" t="s">
        <v>1963</v>
      </c>
      <c r="B3098" s="66" t="s">
        <v>1155</v>
      </c>
      <c r="C3098" s="66" t="s">
        <v>9605</v>
      </c>
      <c r="D3098" s="66">
        <v>6972957482786</v>
      </c>
      <c r="E3098" s="68" t="s">
        <v>11617</v>
      </c>
      <c r="F3098" s="66" t="s">
        <v>11618</v>
      </c>
      <c r="G3098" s="71">
        <v>787</v>
      </c>
      <c r="H3098" s="73"/>
      <c r="I3098" s="75">
        <v>0.2</v>
      </c>
      <c r="J3098" s="77"/>
      <c r="K3098" s="66"/>
      <c r="L3098" s="66"/>
      <c r="M3098" s="79" t="str">
        <f>HYPERLINK("http://www.pristavka.com/catalog/Genshin Impact/GEN91/")</f>
        <v>http://www.pristavka.com/catalog/Genshin Impact/GEN91/</v>
      </c>
      <c r="N3098" s="71">
        <v>1399</v>
      </c>
      <c r="O3098" s="66" t="s">
        <v>27</v>
      </c>
      <c r="P3098" s="82" t="s">
        <v>11619</v>
      </c>
      <c r="Q3098" s="84" t="s">
        <v>1963</v>
      </c>
      <c r="R3098" s="84" t="s">
        <v>9605</v>
      </c>
      <c r="S3098" s="84">
        <v>2.3E-2</v>
      </c>
      <c r="T3098" s="82" t="s">
        <v>10450</v>
      </c>
      <c r="U3098" s="84" t="s">
        <v>2255</v>
      </c>
      <c r="V3098" s="54"/>
    </row>
    <row r="3099" spans="1:22" s="11" customFormat="1" ht="45" customHeight="1" x14ac:dyDescent="0.2">
      <c r="A3099" s="66" t="s">
        <v>1963</v>
      </c>
      <c r="B3099" s="66" t="s">
        <v>1155</v>
      </c>
      <c r="C3099" s="66" t="s">
        <v>9605</v>
      </c>
      <c r="D3099" s="66">
        <v>6972957482700</v>
      </c>
      <c r="E3099" s="68" t="s">
        <v>11620</v>
      </c>
      <c r="F3099" s="66" t="s">
        <v>11621</v>
      </c>
      <c r="G3099" s="71">
        <v>1104</v>
      </c>
      <c r="H3099" s="73"/>
      <c r="I3099" s="75">
        <v>0.2</v>
      </c>
      <c r="J3099" s="77"/>
      <c r="K3099" s="66"/>
      <c r="L3099" s="66"/>
      <c r="M3099" s="79" t="str">
        <f>HYPERLINK("http://www.pristavka.com/catalog/Genshin Impact/GEN85/")</f>
        <v>http://www.pristavka.com/catalog/Genshin Impact/GEN85/</v>
      </c>
      <c r="N3099" s="71">
        <v>1899</v>
      </c>
      <c r="O3099" s="66" t="s">
        <v>27</v>
      </c>
      <c r="P3099" s="82" t="s">
        <v>11622</v>
      </c>
      <c r="Q3099" s="84" t="s">
        <v>1963</v>
      </c>
      <c r="R3099" s="84" t="s">
        <v>9605</v>
      </c>
      <c r="S3099" s="84">
        <v>2.4E-2</v>
      </c>
      <c r="T3099" s="82" t="s">
        <v>9688</v>
      </c>
      <c r="U3099" s="84" t="s">
        <v>2255</v>
      </c>
      <c r="V3099" s="54"/>
    </row>
    <row r="3100" spans="1:22" s="11" customFormat="1" ht="45" customHeight="1" x14ac:dyDescent="0.2">
      <c r="A3100" s="66" t="s">
        <v>1963</v>
      </c>
      <c r="B3100" s="66" t="s">
        <v>1155</v>
      </c>
      <c r="C3100" s="66" t="s">
        <v>9605</v>
      </c>
      <c r="D3100" s="66">
        <v>6972957482779</v>
      </c>
      <c r="E3100" s="68" t="s">
        <v>11623</v>
      </c>
      <c r="F3100" s="66" t="s">
        <v>11624</v>
      </c>
      <c r="G3100" s="71">
        <v>787</v>
      </c>
      <c r="H3100" s="73"/>
      <c r="I3100" s="75">
        <v>0.2</v>
      </c>
      <c r="J3100" s="77"/>
      <c r="K3100" s="66"/>
      <c r="L3100" s="66"/>
      <c r="M3100" s="79" t="str">
        <f>HYPERLINK("http://www.pristavka.com/catalog/Genshin Impact/GEN90/")</f>
        <v>http://www.pristavka.com/catalog/Genshin Impact/GEN90/</v>
      </c>
      <c r="N3100" s="71">
        <v>1399</v>
      </c>
      <c r="O3100" s="66" t="s">
        <v>27</v>
      </c>
      <c r="P3100" s="82" t="s">
        <v>11625</v>
      </c>
      <c r="Q3100" s="84" t="s">
        <v>1963</v>
      </c>
      <c r="R3100" s="84" t="s">
        <v>9605</v>
      </c>
      <c r="S3100" s="84">
        <v>2.4E-2</v>
      </c>
      <c r="T3100" s="82" t="s">
        <v>10183</v>
      </c>
      <c r="U3100" s="84" t="s">
        <v>2255</v>
      </c>
      <c r="V3100" s="54"/>
    </row>
    <row r="3101" spans="1:22" s="11" customFormat="1" ht="45" customHeight="1" x14ac:dyDescent="0.2">
      <c r="A3101" s="66" t="s">
        <v>1963</v>
      </c>
      <c r="B3101" s="66" t="s">
        <v>1155</v>
      </c>
      <c r="C3101" s="66" t="s">
        <v>9605</v>
      </c>
      <c r="D3101" s="66">
        <v>6972957482731</v>
      </c>
      <c r="E3101" s="68" t="s">
        <v>11626</v>
      </c>
      <c r="F3101" s="66" t="s">
        <v>11627</v>
      </c>
      <c r="G3101" s="71">
        <v>787</v>
      </c>
      <c r="H3101" s="73"/>
      <c r="I3101" s="75">
        <v>0.2</v>
      </c>
      <c r="J3101" s="77"/>
      <c r="K3101" s="66"/>
      <c r="L3101" s="66"/>
      <c r="M3101" s="79" t="str">
        <f>HYPERLINK("http://www.pristavka.com/catalog/Genshin Impact/GEN87/")</f>
        <v>http://www.pristavka.com/catalog/Genshin Impact/GEN87/</v>
      </c>
      <c r="N3101" s="71">
        <v>1399</v>
      </c>
      <c r="O3101" s="66" t="s">
        <v>27</v>
      </c>
      <c r="P3101" s="82" t="s">
        <v>11628</v>
      </c>
      <c r="Q3101" s="84" t="s">
        <v>1963</v>
      </c>
      <c r="R3101" s="84" t="s">
        <v>9605</v>
      </c>
      <c r="S3101" s="84">
        <v>2.4E-2</v>
      </c>
      <c r="T3101" s="82" t="s">
        <v>10183</v>
      </c>
      <c r="U3101" s="84" t="s">
        <v>2255</v>
      </c>
      <c r="V3101" s="54"/>
    </row>
    <row r="3102" spans="1:22" s="11" customFormat="1" ht="45" customHeight="1" x14ac:dyDescent="0.2">
      <c r="A3102" s="66" t="s">
        <v>1963</v>
      </c>
      <c r="B3102" s="66" t="s">
        <v>1155</v>
      </c>
      <c r="C3102" s="66" t="s">
        <v>9605</v>
      </c>
      <c r="D3102" s="66">
        <v>6972957487033</v>
      </c>
      <c r="E3102" s="68" t="s">
        <v>11629</v>
      </c>
      <c r="F3102" s="66" t="s">
        <v>11630</v>
      </c>
      <c r="G3102" s="71">
        <v>787</v>
      </c>
      <c r="H3102" s="73"/>
      <c r="I3102" s="75">
        <v>0.2</v>
      </c>
      <c r="J3102" s="77"/>
      <c r="K3102" s="66"/>
      <c r="L3102" s="66"/>
      <c r="M3102" s="79" t="str">
        <f>HYPERLINK("http://www.pristavka.com/catalog/Genshin Impact/GEN93/")</f>
        <v>http://www.pristavka.com/catalog/Genshin Impact/GEN93/</v>
      </c>
      <c r="N3102" s="71">
        <v>1399</v>
      </c>
      <c r="O3102" s="66" t="s">
        <v>27</v>
      </c>
      <c r="P3102" s="82" t="s">
        <v>11631</v>
      </c>
      <c r="Q3102" s="84" t="s">
        <v>1963</v>
      </c>
      <c r="R3102" s="84" t="s">
        <v>9605</v>
      </c>
      <c r="S3102" s="84">
        <v>2.1000000000000001E-2</v>
      </c>
      <c r="T3102" s="82" t="s">
        <v>9688</v>
      </c>
      <c r="U3102" s="84" t="s">
        <v>2255</v>
      </c>
      <c r="V3102" s="54"/>
    </row>
    <row r="3103" spans="1:22" s="11" customFormat="1" ht="45" customHeight="1" x14ac:dyDescent="0.2">
      <c r="A3103" s="66" t="s">
        <v>1963</v>
      </c>
      <c r="B3103" s="66" t="s">
        <v>1155</v>
      </c>
      <c r="C3103" s="66" t="s">
        <v>9605</v>
      </c>
      <c r="D3103" s="66">
        <v>6976068141310</v>
      </c>
      <c r="E3103" s="68" t="s">
        <v>11632</v>
      </c>
      <c r="F3103" s="66" t="s">
        <v>11633</v>
      </c>
      <c r="G3103" s="71">
        <v>946</v>
      </c>
      <c r="H3103" s="73"/>
      <c r="I3103" s="75">
        <v>0.2</v>
      </c>
      <c r="J3103" s="77"/>
      <c r="K3103" s="66"/>
      <c r="L3103" s="66"/>
      <c r="M3103" s="79" t="str">
        <f>HYPERLINK("http://www.pristavka.com/catalog/Genshin Impact/GEN476/")</f>
        <v>http://www.pristavka.com/catalog/Genshin Impact/GEN476/</v>
      </c>
      <c r="N3103" s="71">
        <v>1599</v>
      </c>
      <c r="O3103" s="66" t="s">
        <v>27</v>
      </c>
      <c r="P3103" s="82" t="s">
        <v>11634</v>
      </c>
      <c r="Q3103" s="84" t="s">
        <v>1963</v>
      </c>
      <c r="R3103" s="84" t="s">
        <v>9605</v>
      </c>
      <c r="S3103" s="84">
        <v>2.5999999999999999E-2</v>
      </c>
      <c r="T3103" s="82" t="s">
        <v>10183</v>
      </c>
      <c r="U3103" s="84"/>
      <c r="V3103" s="54"/>
    </row>
    <row r="3104" spans="1:22" s="11" customFormat="1" ht="45" customHeight="1" x14ac:dyDescent="0.2">
      <c r="A3104" s="66" t="s">
        <v>1963</v>
      </c>
      <c r="B3104" s="66" t="s">
        <v>1155</v>
      </c>
      <c r="C3104" s="66" t="s">
        <v>9605</v>
      </c>
      <c r="D3104" s="66">
        <v>6975628240500</v>
      </c>
      <c r="E3104" s="68" t="s">
        <v>11635</v>
      </c>
      <c r="F3104" s="66" t="s">
        <v>11636</v>
      </c>
      <c r="G3104" s="71">
        <v>787</v>
      </c>
      <c r="H3104" s="73"/>
      <c r="I3104" s="75">
        <v>0.2</v>
      </c>
      <c r="J3104" s="77"/>
      <c r="K3104" s="66"/>
      <c r="L3104" s="66"/>
      <c r="M3104" s="79" t="str">
        <f>HYPERLINK("http://www.pristavka.com/catalog/Genshin Impact/GEN3/")</f>
        <v>http://www.pristavka.com/catalog/Genshin Impact/GEN3/</v>
      </c>
      <c r="N3104" s="71">
        <v>1399</v>
      </c>
      <c r="O3104" s="66" t="s">
        <v>27</v>
      </c>
      <c r="P3104" s="82" t="s">
        <v>11637</v>
      </c>
      <c r="Q3104" s="84" t="s">
        <v>1963</v>
      </c>
      <c r="R3104" s="84" t="s">
        <v>9605</v>
      </c>
      <c r="S3104" s="84">
        <v>2.4E-2</v>
      </c>
      <c r="T3104" s="82" t="s">
        <v>9688</v>
      </c>
      <c r="U3104" s="84" t="s">
        <v>2255</v>
      </c>
      <c r="V3104" s="54"/>
    </row>
    <row r="3105" spans="1:22" s="11" customFormat="1" ht="45" customHeight="1" x14ac:dyDescent="0.2">
      <c r="A3105" s="66" t="s">
        <v>1963</v>
      </c>
      <c r="B3105" s="66" t="s">
        <v>1155</v>
      </c>
      <c r="C3105" s="66" t="s">
        <v>9605</v>
      </c>
      <c r="D3105" s="66">
        <v>6974696616118</v>
      </c>
      <c r="E3105" s="68" t="s">
        <v>11638</v>
      </c>
      <c r="F3105" s="66" t="s">
        <v>11639</v>
      </c>
      <c r="G3105" s="71">
        <v>946</v>
      </c>
      <c r="H3105" s="73"/>
      <c r="I3105" s="75">
        <v>0.2</v>
      </c>
      <c r="J3105" s="77"/>
      <c r="K3105" s="66"/>
      <c r="L3105" s="66"/>
      <c r="M3105" s="79" t="str">
        <f>HYPERLINK("http://www.pristavka.com/catalog/Genshin Impact/GEN659/")</f>
        <v>http://www.pristavka.com/catalog/Genshin Impact/GEN659/</v>
      </c>
      <c r="N3105" s="71">
        <v>1599</v>
      </c>
      <c r="O3105" s="66" t="s">
        <v>27</v>
      </c>
      <c r="P3105" s="82" t="s">
        <v>11640</v>
      </c>
      <c r="Q3105" s="84" t="s">
        <v>1963</v>
      </c>
      <c r="R3105" s="84" t="s">
        <v>9605</v>
      </c>
      <c r="S3105" s="84">
        <v>1.7999999999999999E-2</v>
      </c>
      <c r="T3105" s="82" t="s">
        <v>10304</v>
      </c>
      <c r="U3105" s="84"/>
      <c r="V3105" s="54"/>
    </row>
    <row r="3106" spans="1:22" s="11" customFormat="1" ht="45" customHeight="1" x14ac:dyDescent="0.2">
      <c r="A3106" s="66" t="s">
        <v>1963</v>
      </c>
      <c r="B3106" s="66" t="s">
        <v>1155</v>
      </c>
      <c r="C3106" s="66" t="s">
        <v>9605</v>
      </c>
      <c r="D3106" s="66">
        <v>6975628246151</v>
      </c>
      <c r="E3106" s="68" t="s">
        <v>11641</v>
      </c>
      <c r="F3106" s="66" t="s">
        <v>11642</v>
      </c>
      <c r="G3106" s="71">
        <v>1262</v>
      </c>
      <c r="H3106" s="73"/>
      <c r="I3106" s="75">
        <v>0.2</v>
      </c>
      <c r="J3106" s="77"/>
      <c r="K3106" s="66"/>
      <c r="L3106" s="66"/>
      <c r="M3106" s="79" t="str">
        <f>HYPERLINK("http://www.pristavka.com/catalog/Genshin Impact/GEN760/")</f>
        <v>http://www.pristavka.com/catalog/Genshin Impact/GEN760/</v>
      </c>
      <c r="N3106" s="71">
        <v>2199</v>
      </c>
      <c r="O3106" s="66" t="s">
        <v>27</v>
      </c>
      <c r="P3106" s="82" t="s">
        <v>11643</v>
      </c>
      <c r="Q3106" s="84" t="s">
        <v>1963</v>
      </c>
      <c r="R3106" s="84" t="s">
        <v>9605</v>
      </c>
      <c r="S3106" s="84">
        <v>1.7000000000000001E-2</v>
      </c>
      <c r="T3106" s="82" t="s">
        <v>10311</v>
      </c>
      <c r="U3106" s="84"/>
      <c r="V3106" s="54"/>
    </row>
    <row r="3107" spans="1:22" s="11" customFormat="1" ht="45" customHeight="1" x14ac:dyDescent="0.2">
      <c r="A3107" s="66" t="s">
        <v>1963</v>
      </c>
      <c r="B3107" s="66" t="s">
        <v>1155</v>
      </c>
      <c r="C3107" s="66" t="s">
        <v>9605</v>
      </c>
      <c r="D3107" s="66">
        <v>6975628246168</v>
      </c>
      <c r="E3107" s="68" t="s">
        <v>11644</v>
      </c>
      <c r="F3107" s="66" t="s">
        <v>11645</v>
      </c>
      <c r="G3107" s="71">
        <v>1262</v>
      </c>
      <c r="H3107" s="73"/>
      <c r="I3107" s="75">
        <v>0.2</v>
      </c>
      <c r="J3107" s="77"/>
      <c r="K3107" s="66"/>
      <c r="L3107" s="66"/>
      <c r="M3107" s="79" t="str">
        <f>HYPERLINK("http://www.pristavka.com/catalog/Genshin Impact/GEN761/")</f>
        <v>http://www.pristavka.com/catalog/Genshin Impact/GEN761/</v>
      </c>
      <c r="N3107" s="71">
        <v>2199</v>
      </c>
      <c r="O3107" s="66" t="s">
        <v>27</v>
      </c>
      <c r="P3107" s="82" t="s">
        <v>11646</v>
      </c>
      <c r="Q3107" s="84" t="s">
        <v>1963</v>
      </c>
      <c r="R3107" s="84" t="s">
        <v>9605</v>
      </c>
      <c r="S3107" s="84">
        <v>2.1999999999999999E-2</v>
      </c>
      <c r="T3107" s="82" t="s">
        <v>10311</v>
      </c>
      <c r="U3107" s="84"/>
      <c r="V3107" s="54"/>
    </row>
    <row r="3108" spans="1:22" s="11" customFormat="1" ht="45" customHeight="1" x14ac:dyDescent="0.2">
      <c r="A3108" s="66" t="s">
        <v>1963</v>
      </c>
      <c r="B3108" s="66" t="s">
        <v>1155</v>
      </c>
      <c r="C3108" s="66" t="s">
        <v>9605</v>
      </c>
      <c r="D3108" s="66">
        <v>6974696616071</v>
      </c>
      <c r="E3108" s="68" t="s">
        <v>11647</v>
      </c>
      <c r="F3108" s="66" t="s">
        <v>11648</v>
      </c>
      <c r="G3108" s="71">
        <v>946</v>
      </c>
      <c r="H3108" s="73"/>
      <c r="I3108" s="75">
        <v>0.2</v>
      </c>
      <c r="J3108" s="77"/>
      <c r="K3108" s="66"/>
      <c r="L3108" s="66"/>
      <c r="M3108" s="79" t="str">
        <f>HYPERLINK("http://www.pristavka.com/catalog/Genshin Impact/GEN656/")</f>
        <v>http://www.pristavka.com/catalog/Genshin Impact/GEN656/</v>
      </c>
      <c r="N3108" s="71">
        <v>1599</v>
      </c>
      <c r="O3108" s="66" t="s">
        <v>27</v>
      </c>
      <c r="P3108" s="82" t="s">
        <v>11649</v>
      </c>
      <c r="Q3108" s="84" t="s">
        <v>1963</v>
      </c>
      <c r="R3108" s="84" t="s">
        <v>9605</v>
      </c>
      <c r="S3108" s="84">
        <v>1.9E-2</v>
      </c>
      <c r="T3108" s="82" t="s">
        <v>10304</v>
      </c>
      <c r="U3108" s="84"/>
      <c r="V3108" s="54"/>
    </row>
    <row r="3109" spans="1:22" s="11" customFormat="1" ht="45" customHeight="1" x14ac:dyDescent="0.2">
      <c r="A3109" s="66" t="s">
        <v>1963</v>
      </c>
      <c r="B3109" s="66" t="s">
        <v>1155</v>
      </c>
      <c r="C3109" s="66" t="s">
        <v>9605</v>
      </c>
      <c r="D3109" s="66">
        <v>6974696615630</v>
      </c>
      <c r="E3109" s="68" t="s">
        <v>11650</v>
      </c>
      <c r="F3109" s="66" t="s">
        <v>11651</v>
      </c>
      <c r="G3109" s="71">
        <v>946</v>
      </c>
      <c r="H3109" s="73"/>
      <c r="I3109" s="75">
        <v>0.2</v>
      </c>
      <c r="J3109" s="77"/>
      <c r="K3109" s="66"/>
      <c r="L3109" s="66"/>
      <c r="M3109" s="79" t="str">
        <f>HYPERLINK("http://www.pristavka.com/catalog/Genshin Impact/GEN550/")</f>
        <v>http://www.pristavka.com/catalog/Genshin Impact/GEN550/</v>
      </c>
      <c r="N3109" s="71">
        <v>1599</v>
      </c>
      <c r="O3109" s="66" t="s">
        <v>28</v>
      </c>
      <c r="P3109" s="82" t="s">
        <v>11652</v>
      </c>
      <c r="Q3109" s="84" t="s">
        <v>1963</v>
      </c>
      <c r="R3109" s="84" t="s">
        <v>9605</v>
      </c>
      <c r="S3109" s="84">
        <v>1.9E-2</v>
      </c>
      <c r="T3109" s="82" t="s">
        <v>10183</v>
      </c>
      <c r="U3109" s="84"/>
      <c r="V3109" s="54"/>
    </row>
    <row r="3110" spans="1:22" s="11" customFormat="1" ht="45" customHeight="1" x14ac:dyDescent="0.2">
      <c r="A3110" s="66" t="s">
        <v>1963</v>
      </c>
      <c r="B3110" s="66" t="s">
        <v>1155</v>
      </c>
      <c r="C3110" s="66" t="s">
        <v>9605</v>
      </c>
      <c r="D3110" s="66">
        <v>6975628244942</v>
      </c>
      <c r="E3110" s="68" t="s">
        <v>11653</v>
      </c>
      <c r="F3110" s="66" t="s">
        <v>11654</v>
      </c>
      <c r="G3110" s="71">
        <v>946</v>
      </c>
      <c r="H3110" s="73"/>
      <c r="I3110" s="75">
        <v>0.2</v>
      </c>
      <c r="J3110" s="77"/>
      <c r="K3110" s="66"/>
      <c r="L3110" s="66"/>
      <c r="M3110" s="79" t="str">
        <f>HYPERLINK("http://www.pristavka.com/catalog/Genshin Impact/GEN666/")</f>
        <v>http://www.pristavka.com/catalog/Genshin Impact/GEN666/</v>
      </c>
      <c r="N3110" s="71">
        <v>1599</v>
      </c>
      <c r="O3110" s="66" t="s">
        <v>27</v>
      </c>
      <c r="P3110" s="82" t="s">
        <v>11655</v>
      </c>
      <c r="Q3110" s="84" t="s">
        <v>1963</v>
      </c>
      <c r="R3110" s="84" t="s">
        <v>9605</v>
      </c>
      <c r="S3110" s="84">
        <v>1.9E-2</v>
      </c>
      <c r="T3110" s="82" t="s">
        <v>10994</v>
      </c>
      <c r="U3110" s="84"/>
      <c r="V3110" s="54"/>
    </row>
    <row r="3111" spans="1:22" s="11" customFormat="1" ht="45" customHeight="1" x14ac:dyDescent="0.2">
      <c r="A3111" s="66" t="s">
        <v>1963</v>
      </c>
      <c r="B3111" s="66" t="s">
        <v>1155</v>
      </c>
      <c r="C3111" s="66" t="s">
        <v>9605</v>
      </c>
      <c r="D3111" s="66">
        <v>6976068145943</v>
      </c>
      <c r="E3111" s="68" t="s">
        <v>11656</v>
      </c>
      <c r="F3111" s="66" t="s">
        <v>11657</v>
      </c>
      <c r="G3111" s="71">
        <v>3455</v>
      </c>
      <c r="H3111" s="73"/>
      <c r="I3111" s="75">
        <v>0.2</v>
      </c>
      <c r="J3111" s="77"/>
      <c r="K3111" s="66"/>
      <c r="L3111" s="66"/>
      <c r="M3111" s="79" t="str">
        <f>HYPERLINK("http://www.pristavka.com/catalog/Genshin Impact/GEN906/")</f>
        <v>http://www.pristavka.com/catalog/Genshin Impact/GEN906/</v>
      </c>
      <c r="N3111" s="71">
        <v>5799</v>
      </c>
      <c r="O3111" s="66" t="s">
        <v>28</v>
      </c>
      <c r="P3111" s="82" t="s">
        <v>11658</v>
      </c>
      <c r="Q3111" s="84" t="s">
        <v>1963</v>
      </c>
      <c r="R3111" s="84" t="s">
        <v>9605</v>
      </c>
      <c r="S3111" s="84">
        <v>3.5000000000000003E-2</v>
      </c>
      <c r="T3111" s="82" t="s">
        <v>1841</v>
      </c>
      <c r="U3111" s="84"/>
      <c r="V3111" s="54"/>
    </row>
    <row r="3112" spans="1:22" s="11" customFormat="1" ht="45" customHeight="1" x14ac:dyDescent="0.2">
      <c r="A3112" s="66" t="s">
        <v>1963</v>
      </c>
      <c r="B3112" s="66" t="s">
        <v>1155</v>
      </c>
      <c r="C3112" s="66" t="s">
        <v>9605</v>
      </c>
      <c r="D3112" s="66">
        <v>6975628249084</v>
      </c>
      <c r="E3112" s="68" t="s">
        <v>11659</v>
      </c>
      <c r="F3112" s="66" t="s">
        <v>11660</v>
      </c>
      <c r="G3112" s="71">
        <v>946</v>
      </c>
      <c r="H3112" s="73"/>
      <c r="I3112" s="75">
        <v>0.2</v>
      </c>
      <c r="J3112" s="77"/>
      <c r="K3112" s="66"/>
      <c r="L3112" s="66"/>
      <c r="M3112" s="79" t="str">
        <f>HYPERLINK("http://www.pristavka.com/catalog/Genshin Impact/GEN487/")</f>
        <v>http://www.pristavka.com/catalog/Genshin Impact/GEN487/</v>
      </c>
      <c r="N3112" s="71">
        <v>1599</v>
      </c>
      <c r="O3112" s="66" t="s">
        <v>27</v>
      </c>
      <c r="P3112" s="82" t="s">
        <v>11661</v>
      </c>
      <c r="Q3112" s="84" t="s">
        <v>1963</v>
      </c>
      <c r="R3112" s="84" t="s">
        <v>9605</v>
      </c>
      <c r="S3112" s="84">
        <v>2.5999999999999999E-2</v>
      </c>
      <c r="T3112" s="82" t="s">
        <v>10183</v>
      </c>
      <c r="U3112" s="84"/>
      <c r="V3112" s="54"/>
    </row>
    <row r="3113" spans="1:22" s="11" customFormat="1" ht="45" customHeight="1" x14ac:dyDescent="0.2">
      <c r="A3113" s="66" t="s">
        <v>1963</v>
      </c>
      <c r="B3113" s="66" t="s">
        <v>1155</v>
      </c>
      <c r="C3113" s="66" t="s">
        <v>9605</v>
      </c>
      <c r="D3113" s="66">
        <v>6975628249060</v>
      </c>
      <c r="E3113" s="68" t="s">
        <v>11662</v>
      </c>
      <c r="F3113" s="66" t="s">
        <v>11663</v>
      </c>
      <c r="G3113" s="71">
        <v>946</v>
      </c>
      <c r="H3113" s="73"/>
      <c r="I3113" s="75">
        <v>0.2</v>
      </c>
      <c r="J3113" s="77"/>
      <c r="K3113" s="66"/>
      <c r="L3113" s="66"/>
      <c r="M3113" s="79" t="str">
        <f>HYPERLINK("http://www.pristavka.com/catalog/Genshin Impact/GEN485/")</f>
        <v>http://www.pristavka.com/catalog/Genshin Impact/GEN485/</v>
      </c>
      <c r="N3113" s="71">
        <v>1599</v>
      </c>
      <c r="O3113" s="66" t="s">
        <v>27</v>
      </c>
      <c r="P3113" s="82" t="s">
        <v>11664</v>
      </c>
      <c r="Q3113" s="84" t="s">
        <v>1963</v>
      </c>
      <c r="R3113" s="84" t="s">
        <v>9605</v>
      </c>
      <c r="S3113" s="84">
        <v>2.5999999999999999E-2</v>
      </c>
      <c r="T3113" s="82" t="s">
        <v>10183</v>
      </c>
      <c r="U3113" s="84"/>
      <c r="V3113" s="54"/>
    </row>
    <row r="3114" spans="1:22" s="11" customFormat="1" ht="45" customHeight="1" x14ac:dyDescent="0.2">
      <c r="A3114" s="66" t="s">
        <v>1963</v>
      </c>
      <c r="B3114" s="66" t="s">
        <v>1155</v>
      </c>
      <c r="C3114" s="66" t="s">
        <v>9605</v>
      </c>
      <c r="D3114" s="66">
        <v>6975628249053</v>
      </c>
      <c r="E3114" s="68" t="s">
        <v>11665</v>
      </c>
      <c r="F3114" s="66" t="s">
        <v>11666</v>
      </c>
      <c r="G3114" s="71">
        <v>946</v>
      </c>
      <c r="H3114" s="73"/>
      <c r="I3114" s="75">
        <v>0.2</v>
      </c>
      <c r="J3114" s="77"/>
      <c r="K3114" s="66"/>
      <c r="L3114" s="66"/>
      <c r="M3114" s="79" t="str">
        <f>HYPERLINK("http://www.pristavka.com/catalog/Genshin Impact/GEN484/")</f>
        <v>http://www.pristavka.com/catalog/Genshin Impact/GEN484/</v>
      </c>
      <c r="N3114" s="71">
        <v>1599</v>
      </c>
      <c r="O3114" s="66" t="s">
        <v>27</v>
      </c>
      <c r="P3114" s="82" t="s">
        <v>11667</v>
      </c>
      <c r="Q3114" s="84" t="s">
        <v>1963</v>
      </c>
      <c r="R3114" s="84" t="s">
        <v>9605</v>
      </c>
      <c r="S3114" s="84">
        <v>2.5999999999999999E-2</v>
      </c>
      <c r="T3114" s="82" t="s">
        <v>10183</v>
      </c>
      <c r="U3114" s="84"/>
      <c r="V3114" s="54"/>
    </row>
    <row r="3115" spans="1:22" s="11" customFormat="1" ht="45" customHeight="1" x14ac:dyDescent="0.2">
      <c r="A3115" s="66" t="s">
        <v>1963</v>
      </c>
      <c r="B3115" s="66" t="s">
        <v>1155</v>
      </c>
      <c r="C3115" s="66" t="s">
        <v>9605</v>
      </c>
      <c r="D3115" s="66">
        <v>6976068141297</v>
      </c>
      <c r="E3115" s="68" t="s">
        <v>11668</v>
      </c>
      <c r="F3115" s="66" t="s">
        <v>11669</v>
      </c>
      <c r="G3115" s="71">
        <v>1009</v>
      </c>
      <c r="H3115" s="73"/>
      <c r="I3115" s="75">
        <v>0.2</v>
      </c>
      <c r="J3115" s="77"/>
      <c r="K3115" s="66"/>
      <c r="L3115" s="66"/>
      <c r="M3115" s="79" t="str">
        <f>HYPERLINK("http://www.pristavka.com/catalog/Genshin Impact/GEN493/")</f>
        <v>http://www.pristavka.com/catalog/Genshin Impact/GEN493/</v>
      </c>
      <c r="N3115" s="71">
        <v>1699</v>
      </c>
      <c r="O3115" s="66" t="s">
        <v>27</v>
      </c>
      <c r="P3115" s="82" t="s">
        <v>11670</v>
      </c>
      <c r="Q3115" s="84" t="s">
        <v>1963</v>
      </c>
      <c r="R3115" s="84" t="s">
        <v>9605</v>
      </c>
      <c r="S3115" s="84">
        <v>2.5999999999999999E-2</v>
      </c>
      <c r="T3115" s="82" t="s">
        <v>10183</v>
      </c>
      <c r="U3115" s="84"/>
      <c r="V3115" s="54"/>
    </row>
    <row r="3116" spans="1:22" s="11" customFormat="1" ht="45" customHeight="1" x14ac:dyDescent="0.2">
      <c r="A3116" s="66" t="s">
        <v>1963</v>
      </c>
      <c r="B3116" s="66" t="s">
        <v>1155</v>
      </c>
      <c r="C3116" s="66" t="s">
        <v>9605</v>
      </c>
      <c r="D3116" s="66">
        <v>6975628249077</v>
      </c>
      <c r="E3116" s="68" t="s">
        <v>11671</v>
      </c>
      <c r="F3116" s="66" t="s">
        <v>11672</v>
      </c>
      <c r="G3116" s="71">
        <v>946</v>
      </c>
      <c r="H3116" s="73"/>
      <c r="I3116" s="75">
        <v>0.2</v>
      </c>
      <c r="J3116" s="77"/>
      <c r="K3116" s="66"/>
      <c r="L3116" s="66"/>
      <c r="M3116" s="79" t="str">
        <f>HYPERLINK("http://www.pristavka.com/catalog/Genshin Impact/GEN486/")</f>
        <v>http://www.pristavka.com/catalog/Genshin Impact/GEN486/</v>
      </c>
      <c r="N3116" s="71">
        <v>1599</v>
      </c>
      <c r="O3116" s="66" t="s">
        <v>27</v>
      </c>
      <c r="P3116" s="82" t="s">
        <v>11673</v>
      </c>
      <c r="Q3116" s="84" t="s">
        <v>1963</v>
      </c>
      <c r="R3116" s="84" t="s">
        <v>9605</v>
      </c>
      <c r="S3116" s="84">
        <v>2.5999999999999999E-2</v>
      </c>
      <c r="T3116" s="82" t="s">
        <v>10183</v>
      </c>
      <c r="U3116" s="84"/>
      <c r="V3116" s="54"/>
    </row>
    <row r="3117" spans="1:22" s="11" customFormat="1" ht="45" customHeight="1" x14ac:dyDescent="0.2">
      <c r="A3117" s="66" t="s">
        <v>1963</v>
      </c>
      <c r="B3117" s="66" t="s">
        <v>1155</v>
      </c>
      <c r="C3117" s="66" t="s">
        <v>9605</v>
      </c>
      <c r="D3117" s="66">
        <v>6975628249121</v>
      </c>
      <c r="E3117" s="68" t="s">
        <v>11674</v>
      </c>
      <c r="F3117" s="66" t="s">
        <v>11675</v>
      </c>
      <c r="G3117" s="71">
        <v>946</v>
      </c>
      <c r="H3117" s="73"/>
      <c r="I3117" s="75">
        <v>0.2</v>
      </c>
      <c r="J3117" s="77"/>
      <c r="K3117" s="66"/>
      <c r="L3117" s="66"/>
      <c r="M3117" s="79" t="str">
        <f>HYPERLINK("http://www.pristavka.com/catalog/Genshin Impact/GEN491/")</f>
        <v>http://www.pristavka.com/catalog/Genshin Impact/GEN491/</v>
      </c>
      <c r="N3117" s="71">
        <v>1599</v>
      </c>
      <c r="O3117" s="66" t="s">
        <v>27</v>
      </c>
      <c r="P3117" s="82" t="s">
        <v>11676</v>
      </c>
      <c r="Q3117" s="84" t="s">
        <v>1963</v>
      </c>
      <c r="R3117" s="84" t="s">
        <v>9605</v>
      </c>
      <c r="S3117" s="84">
        <v>2.7E-2</v>
      </c>
      <c r="T3117" s="82" t="s">
        <v>10183</v>
      </c>
      <c r="U3117" s="84"/>
      <c r="V3117" s="54"/>
    </row>
    <row r="3118" spans="1:22" s="11" customFormat="1" ht="45" customHeight="1" x14ac:dyDescent="0.2">
      <c r="A3118" s="66" t="s">
        <v>1963</v>
      </c>
      <c r="B3118" s="66" t="s">
        <v>1155</v>
      </c>
      <c r="C3118" s="66" t="s">
        <v>9605</v>
      </c>
      <c r="D3118" s="66">
        <v>6975628249091</v>
      </c>
      <c r="E3118" s="68" t="s">
        <v>11677</v>
      </c>
      <c r="F3118" s="66" t="s">
        <v>11678</v>
      </c>
      <c r="G3118" s="71">
        <v>946</v>
      </c>
      <c r="H3118" s="73"/>
      <c r="I3118" s="75">
        <v>0.2</v>
      </c>
      <c r="J3118" s="77"/>
      <c r="K3118" s="66"/>
      <c r="L3118" s="66"/>
      <c r="M3118" s="79" t="str">
        <f>HYPERLINK("http://www.pristavka.com/catalog/Genshin Impact/GEN488/")</f>
        <v>http://www.pristavka.com/catalog/Genshin Impact/GEN488/</v>
      </c>
      <c r="N3118" s="71">
        <v>1599</v>
      </c>
      <c r="O3118" s="66" t="s">
        <v>28</v>
      </c>
      <c r="P3118" s="82" t="s">
        <v>11679</v>
      </c>
      <c r="Q3118" s="84" t="s">
        <v>1963</v>
      </c>
      <c r="R3118" s="84" t="s">
        <v>9605</v>
      </c>
      <c r="S3118" s="84">
        <v>2.5999999999999999E-2</v>
      </c>
      <c r="T3118" s="82" t="s">
        <v>10183</v>
      </c>
      <c r="U3118" s="84"/>
      <c r="V3118" s="54"/>
    </row>
    <row r="3119" spans="1:22" s="11" customFormat="1" ht="45" customHeight="1" x14ac:dyDescent="0.2">
      <c r="A3119" s="66" t="s">
        <v>1963</v>
      </c>
      <c r="B3119" s="66" t="s">
        <v>1155</v>
      </c>
      <c r="C3119" s="66" t="s">
        <v>9605</v>
      </c>
      <c r="D3119" s="66">
        <v>6975628249046</v>
      </c>
      <c r="E3119" s="68" t="s">
        <v>11680</v>
      </c>
      <c r="F3119" s="66" t="s">
        <v>11681</v>
      </c>
      <c r="G3119" s="71">
        <v>946</v>
      </c>
      <c r="H3119" s="73"/>
      <c r="I3119" s="75">
        <v>0.2</v>
      </c>
      <c r="J3119" s="77"/>
      <c r="K3119" s="66"/>
      <c r="L3119" s="66"/>
      <c r="M3119" s="79" t="str">
        <f>HYPERLINK("http://www.pristavka.com/catalog/Genshin Impact/GEN483/")</f>
        <v>http://www.pristavka.com/catalog/Genshin Impact/GEN483/</v>
      </c>
      <c r="N3119" s="71">
        <v>1599</v>
      </c>
      <c r="O3119" s="66" t="s">
        <v>27</v>
      </c>
      <c r="P3119" s="82" t="s">
        <v>11682</v>
      </c>
      <c r="Q3119" s="84" t="s">
        <v>1963</v>
      </c>
      <c r="R3119" s="84" t="s">
        <v>9605</v>
      </c>
      <c r="S3119" s="84">
        <v>2.5999999999999999E-2</v>
      </c>
      <c r="T3119" s="82" t="s">
        <v>10183</v>
      </c>
      <c r="U3119" s="84"/>
      <c r="V3119" s="54"/>
    </row>
    <row r="3120" spans="1:22" s="11" customFormat="1" ht="45" customHeight="1" x14ac:dyDescent="0.2">
      <c r="A3120" s="66" t="s">
        <v>1963</v>
      </c>
      <c r="B3120" s="66" t="s">
        <v>1155</v>
      </c>
      <c r="C3120" s="66" t="s">
        <v>9605</v>
      </c>
      <c r="D3120" s="66">
        <v>6975628249039</v>
      </c>
      <c r="E3120" s="68" t="s">
        <v>11683</v>
      </c>
      <c r="F3120" s="66" t="s">
        <v>11684</v>
      </c>
      <c r="G3120" s="71">
        <v>946</v>
      </c>
      <c r="H3120" s="73"/>
      <c r="I3120" s="75">
        <v>0.2</v>
      </c>
      <c r="J3120" s="77"/>
      <c r="K3120" s="66"/>
      <c r="L3120" s="66"/>
      <c r="M3120" s="79" t="str">
        <f>HYPERLINK("http://www.pristavka.com/catalog/Genshin Impact/GEN482/")</f>
        <v>http://www.pristavka.com/catalog/Genshin Impact/GEN482/</v>
      </c>
      <c r="N3120" s="71">
        <v>1599</v>
      </c>
      <c r="O3120" s="66" t="s">
        <v>27</v>
      </c>
      <c r="P3120" s="82" t="s">
        <v>11685</v>
      </c>
      <c r="Q3120" s="84" t="s">
        <v>1963</v>
      </c>
      <c r="R3120" s="84" t="s">
        <v>9605</v>
      </c>
      <c r="S3120" s="84">
        <v>2.5999999999999999E-2</v>
      </c>
      <c r="T3120" s="82" t="s">
        <v>10183</v>
      </c>
      <c r="U3120" s="84"/>
      <c r="V3120" s="54"/>
    </row>
    <row r="3121" spans="1:22" s="11" customFormat="1" ht="45" customHeight="1" x14ac:dyDescent="0.2">
      <c r="A3121" s="66" t="s">
        <v>1963</v>
      </c>
      <c r="B3121" s="66" t="s">
        <v>1155</v>
      </c>
      <c r="C3121" s="66" t="s">
        <v>9605</v>
      </c>
      <c r="D3121" s="66">
        <v>6974696616040</v>
      </c>
      <c r="E3121" s="68" t="s">
        <v>11686</v>
      </c>
      <c r="F3121" s="66" t="s">
        <v>11687</v>
      </c>
      <c r="G3121" s="71">
        <v>1072</v>
      </c>
      <c r="H3121" s="73"/>
      <c r="I3121" s="75">
        <v>0.2</v>
      </c>
      <c r="J3121" s="77"/>
      <c r="K3121" s="66"/>
      <c r="L3121" s="66"/>
      <c r="M3121" s="79" t="str">
        <f>HYPERLINK("http://www.pristavka.com/catalog/Genshin Impact/GEN654/")</f>
        <v>http://www.pristavka.com/catalog/Genshin Impact/GEN654/</v>
      </c>
      <c r="N3121" s="71">
        <v>1799</v>
      </c>
      <c r="O3121" s="66" t="s">
        <v>27</v>
      </c>
      <c r="P3121" s="82" t="s">
        <v>11688</v>
      </c>
      <c r="Q3121" s="84" t="s">
        <v>1963</v>
      </c>
      <c r="R3121" s="84" t="s">
        <v>9605</v>
      </c>
      <c r="S3121" s="84">
        <v>1.9E-2</v>
      </c>
      <c r="T3121" s="82" t="s">
        <v>10304</v>
      </c>
      <c r="U3121" s="84"/>
      <c r="V3121" s="54"/>
    </row>
    <row r="3122" spans="1:22" s="11" customFormat="1" ht="45" customHeight="1" x14ac:dyDescent="0.2">
      <c r="A3122" s="66" t="s">
        <v>1963</v>
      </c>
      <c r="B3122" s="66" t="s">
        <v>1155</v>
      </c>
      <c r="C3122" s="66" t="s">
        <v>9605</v>
      </c>
      <c r="D3122" s="66">
        <v>6975628244935</v>
      </c>
      <c r="E3122" s="68" t="s">
        <v>11689</v>
      </c>
      <c r="F3122" s="66" t="s">
        <v>11690</v>
      </c>
      <c r="G3122" s="71">
        <v>946</v>
      </c>
      <c r="H3122" s="73"/>
      <c r="I3122" s="75">
        <v>0.2</v>
      </c>
      <c r="J3122" s="77"/>
      <c r="K3122" s="66"/>
      <c r="L3122" s="66"/>
      <c r="M3122" s="79" t="str">
        <f>HYPERLINK("http://www.pristavka.com/catalog/Genshin Impact/GEN665/")</f>
        <v>http://www.pristavka.com/catalog/Genshin Impact/GEN665/</v>
      </c>
      <c r="N3122" s="71">
        <v>1599</v>
      </c>
      <c r="O3122" s="66" t="s">
        <v>27</v>
      </c>
      <c r="P3122" s="82" t="s">
        <v>11691</v>
      </c>
      <c r="Q3122" s="84" t="s">
        <v>1963</v>
      </c>
      <c r="R3122" s="84" t="s">
        <v>9605</v>
      </c>
      <c r="S3122" s="84">
        <v>2.1999999999999999E-2</v>
      </c>
      <c r="T3122" s="82" t="s">
        <v>10304</v>
      </c>
      <c r="U3122" s="84"/>
      <c r="V3122" s="54"/>
    </row>
    <row r="3123" spans="1:22" s="11" customFormat="1" ht="45" customHeight="1" x14ac:dyDescent="0.2">
      <c r="A3123" s="66" t="s">
        <v>1963</v>
      </c>
      <c r="B3123" s="66" t="s">
        <v>1155</v>
      </c>
      <c r="C3123" s="66" t="s">
        <v>9605</v>
      </c>
      <c r="D3123" s="66">
        <v>6976068144601</v>
      </c>
      <c r="E3123" s="68" t="s">
        <v>11692</v>
      </c>
      <c r="F3123" s="66" t="s">
        <v>11693</v>
      </c>
      <c r="G3123" s="71">
        <v>1104</v>
      </c>
      <c r="H3123" s="73"/>
      <c r="I3123" s="75">
        <v>0.2</v>
      </c>
      <c r="J3123" s="77"/>
      <c r="K3123" s="66"/>
      <c r="L3123" s="66"/>
      <c r="M3123" s="79" t="str">
        <f>HYPERLINK("http://www.pristavka.com/catalog/Genshin Impact/GEN901/")</f>
        <v>http://www.pristavka.com/catalog/Genshin Impact/GEN901/</v>
      </c>
      <c r="N3123" s="71">
        <v>1899</v>
      </c>
      <c r="O3123" s="66" t="s">
        <v>27</v>
      </c>
      <c r="P3123" s="82" t="s">
        <v>11694</v>
      </c>
      <c r="Q3123" s="84" t="s">
        <v>1963</v>
      </c>
      <c r="R3123" s="84" t="s">
        <v>9605</v>
      </c>
      <c r="S3123" s="84">
        <v>0.02</v>
      </c>
      <c r="T3123" s="82" t="s">
        <v>10304</v>
      </c>
      <c r="U3123" s="84"/>
      <c r="V3123" s="54"/>
    </row>
    <row r="3124" spans="1:22" s="11" customFormat="1" ht="45" customHeight="1" x14ac:dyDescent="0.2">
      <c r="A3124" s="66" t="s">
        <v>1963</v>
      </c>
      <c r="B3124" s="66" t="s">
        <v>1155</v>
      </c>
      <c r="C3124" s="66" t="s">
        <v>9605</v>
      </c>
      <c r="D3124" s="66">
        <v>6975628244928</v>
      </c>
      <c r="E3124" s="68" t="s">
        <v>11695</v>
      </c>
      <c r="F3124" s="66" t="s">
        <v>11696</v>
      </c>
      <c r="G3124" s="71">
        <v>946</v>
      </c>
      <c r="H3124" s="73"/>
      <c r="I3124" s="75">
        <v>0.2</v>
      </c>
      <c r="J3124" s="77"/>
      <c r="K3124" s="66"/>
      <c r="L3124" s="66"/>
      <c r="M3124" s="79" t="str">
        <f>HYPERLINK("http://www.pristavka.com/catalog/Genshin Impact/GEN664/")</f>
        <v>http://www.pristavka.com/catalog/Genshin Impact/GEN664/</v>
      </c>
      <c r="N3124" s="71">
        <v>1599</v>
      </c>
      <c r="O3124" s="66" t="s">
        <v>27</v>
      </c>
      <c r="P3124" s="82" t="s">
        <v>11697</v>
      </c>
      <c r="Q3124" s="84" t="s">
        <v>1963</v>
      </c>
      <c r="R3124" s="84" t="s">
        <v>9605</v>
      </c>
      <c r="S3124" s="84">
        <v>0.02</v>
      </c>
      <c r="T3124" s="82" t="s">
        <v>10304</v>
      </c>
      <c r="U3124" s="84"/>
      <c r="V3124" s="54"/>
    </row>
    <row r="3125" spans="1:22" s="11" customFormat="1" ht="45" customHeight="1" x14ac:dyDescent="0.2">
      <c r="A3125" s="66" t="s">
        <v>1963</v>
      </c>
      <c r="B3125" s="66" t="s">
        <v>1155</v>
      </c>
      <c r="C3125" s="66" t="s">
        <v>9605</v>
      </c>
      <c r="D3125" s="66">
        <v>6975628245017</v>
      </c>
      <c r="E3125" s="68" t="s">
        <v>11698</v>
      </c>
      <c r="F3125" s="66" t="s">
        <v>11699</v>
      </c>
      <c r="G3125" s="71">
        <v>946</v>
      </c>
      <c r="H3125" s="73"/>
      <c r="I3125" s="75">
        <v>0.2</v>
      </c>
      <c r="J3125" s="77"/>
      <c r="K3125" s="66"/>
      <c r="L3125" s="66"/>
      <c r="M3125" s="79" t="str">
        <f>HYPERLINK("http://www.pristavka.com/catalog/Genshin Impact/GEN673/")</f>
        <v>http://www.pristavka.com/catalog/Genshin Impact/GEN673/</v>
      </c>
      <c r="N3125" s="71">
        <v>1599</v>
      </c>
      <c r="O3125" s="66" t="s">
        <v>27</v>
      </c>
      <c r="P3125" s="82" t="s">
        <v>11700</v>
      </c>
      <c r="Q3125" s="84" t="s">
        <v>1963</v>
      </c>
      <c r="R3125" s="84" t="s">
        <v>9605</v>
      </c>
      <c r="S3125" s="84">
        <v>1.9E-2</v>
      </c>
      <c r="T3125" s="82" t="s">
        <v>10994</v>
      </c>
      <c r="U3125" s="84"/>
      <c r="V3125" s="54"/>
    </row>
    <row r="3126" spans="1:22" s="11" customFormat="1" ht="45" customHeight="1" x14ac:dyDescent="0.2">
      <c r="A3126" s="66" t="s">
        <v>1963</v>
      </c>
      <c r="B3126" s="66" t="s">
        <v>1155</v>
      </c>
      <c r="C3126" s="66" t="s">
        <v>9605</v>
      </c>
      <c r="D3126" s="66">
        <v>6975628245048</v>
      </c>
      <c r="E3126" s="68" t="s">
        <v>11701</v>
      </c>
      <c r="F3126" s="66" t="s">
        <v>11702</v>
      </c>
      <c r="G3126" s="71">
        <v>946</v>
      </c>
      <c r="H3126" s="73"/>
      <c r="I3126" s="75">
        <v>0.2</v>
      </c>
      <c r="J3126" s="77"/>
      <c r="K3126" s="66"/>
      <c r="L3126" s="66"/>
      <c r="M3126" s="79" t="str">
        <f>HYPERLINK("http://www.pristavka.com/catalog/Genshin Impact/GEN676/")</f>
        <v>http://www.pristavka.com/catalog/Genshin Impact/GEN676/</v>
      </c>
      <c r="N3126" s="71">
        <v>1599</v>
      </c>
      <c r="O3126" s="66" t="s">
        <v>27</v>
      </c>
      <c r="P3126" s="82" t="s">
        <v>11703</v>
      </c>
      <c r="Q3126" s="84" t="s">
        <v>1963</v>
      </c>
      <c r="R3126" s="84" t="s">
        <v>9605</v>
      </c>
      <c r="S3126" s="84">
        <v>1.9E-2</v>
      </c>
      <c r="T3126" s="82" t="s">
        <v>10994</v>
      </c>
      <c r="U3126" s="84"/>
      <c r="V3126" s="54"/>
    </row>
    <row r="3127" spans="1:22" s="11" customFormat="1" ht="45" customHeight="1" x14ac:dyDescent="0.2">
      <c r="A3127" s="66" t="s">
        <v>1963</v>
      </c>
      <c r="B3127" s="66" t="s">
        <v>1155</v>
      </c>
      <c r="C3127" s="66" t="s">
        <v>9605</v>
      </c>
      <c r="D3127" s="66">
        <v>6975628244959</v>
      </c>
      <c r="E3127" s="68" t="s">
        <v>11704</v>
      </c>
      <c r="F3127" s="66" t="s">
        <v>11705</v>
      </c>
      <c r="G3127" s="71">
        <v>946</v>
      </c>
      <c r="H3127" s="73"/>
      <c r="I3127" s="75">
        <v>0.2</v>
      </c>
      <c r="J3127" s="77"/>
      <c r="K3127" s="66"/>
      <c r="L3127" s="66"/>
      <c r="M3127" s="79" t="str">
        <f>HYPERLINK("http://www.pristavka.com/catalog/Genshin Impact/GEN667/")</f>
        <v>http://www.pristavka.com/catalog/Genshin Impact/GEN667/</v>
      </c>
      <c r="N3127" s="71">
        <v>1599</v>
      </c>
      <c r="O3127" s="66" t="s">
        <v>27</v>
      </c>
      <c r="P3127" s="82" t="s">
        <v>11706</v>
      </c>
      <c r="Q3127" s="84" t="s">
        <v>1963</v>
      </c>
      <c r="R3127" s="84" t="s">
        <v>9605</v>
      </c>
      <c r="S3127" s="84">
        <v>1.9E-2</v>
      </c>
      <c r="T3127" s="82" t="s">
        <v>10994</v>
      </c>
      <c r="U3127" s="84"/>
      <c r="V3127" s="54"/>
    </row>
    <row r="3128" spans="1:22" s="11" customFormat="1" ht="45" customHeight="1" x14ac:dyDescent="0.2">
      <c r="A3128" s="66" t="s">
        <v>1963</v>
      </c>
      <c r="B3128" s="66" t="s">
        <v>1155</v>
      </c>
      <c r="C3128" s="66" t="s">
        <v>9605</v>
      </c>
      <c r="D3128" s="66">
        <v>6942421149347</v>
      </c>
      <c r="E3128" s="68" t="s">
        <v>11707</v>
      </c>
      <c r="F3128" s="66" t="s">
        <v>11708</v>
      </c>
      <c r="G3128" s="71">
        <v>5356</v>
      </c>
      <c r="H3128" s="73"/>
      <c r="I3128" s="75">
        <v>0.2</v>
      </c>
      <c r="J3128" s="77"/>
      <c r="K3128" s="66"/>
      <c r="L3128" s="66"/>
      <c r="M3128" s="79" t="str">
        <f>HYPERLINK("http://www.pristavka.com/catalog/Genshin Impact/GEN1413/")</f>
        <v>http://www.pristavka.com/catalog/Genshin Impact/GEN1413/</v>
      </c>
      <c r="N3128" s="71">
        <v>8999</v>
      </c>
      <c r="O3128" s="66" t="s">
        <v>27</v>
      </c>
      <c r="P3128" s="82" t="s">
        <v>11709</v>
      </c>
      <c r="Q3128" s="84" t="s">
        <v>1963</v>
      </c>
      <c r="R3128" s="84" t="s">
        <v>9605</v>
      </c>
      <c r="S3128" s="84">
        <v>0.04</v>
      </c>
      <c r="T3128" s="82" t="s">
        <v>11710</v>
      </c>
      <c r="U3128" s="84"/>
      <c r="V3128" s="54"/>
    </row>
    <row r="3129" spans="1:22" s="11" customFormat="1" ht="45" customHeight="1" x14ac:dyDescent="0.2">
      <c r="A3129" s="66" t="s">
        <v>1963</v>
      </c>
      <c r="B3129" s="66" t="s">
        <v>1155</v>
      </c>
      <c r="C3129" s="66" t="s">
        <v>9605</v>
      </c>
      <c r="D3129" s="66">
        <v>6942421149354</v>
      </c>
      <c r="E3129" s="68" t="s">
        <v>11711</v>
      </c>
      <c r="F3129" s="66" t="s">
        <v>11712</v>
      </c>
      <c r="G3129" s="71">
        <v>5356</v>
      </c>
      <c r="H3129" s="73"/>
      <c r="I3129" s="75">
        <v>0.2</v>
      </c>
      <c r="J3129" s="77"/>
      <c r="K3129" s="66"/>
      <c r="L3129" s="66"/>
      <c r="M3129" s="79" t="str">
        <f>HYPERLINK("http://www.pristavka.com/catalog/Genshin Impact/GEN1414/")</f>
        <v>http://www.pristavka.com/catalog/Genshin Impact/GEN1414/</v>
      </c>
      <c r="N3129" s="71">
        <v>8999</v>
      </c>
      <c r="O3129" s="66" t="s">
        <v>27</v>
      </c>
      <c r="P3129" s="82" t="s">
        <v>11713</v>
      </c>
      <c r="Q3129" s="84" t="s">
        <v>1963</v>
      </c>
      <c r="R3129" s="84" t="s">
        <v>9605</v>
      </c>
      <c r="S3129" s="84">
        <v>3.5999999999999997E-2</v>
      </c>
      <c r="T3129" s="82" t="s">
        <v>11398</v>
      </c>
      <c r="U3129" s="84"/>
      <c r="V3129" s="54"/>
    </row>
    <row r="3130" spans="1:22" s="11" customFormat="1" ht="45" customHeight="1" x14ac:dyDescent="0.2">
      <c r="A3130" s="66" t="s">
        <v>1963</v>
      </c>
      <c r="B3130" s="66" t="s">
        <v>1155</v>
      </c>
      <c r="C3130" s="66" t="s">
        <v>9605</v>
      </c>
      <c r="D3130" s="66">
        <v>6974696610796</v>
      </c>
      <c r="E3130" s="68" t="s">
        <v>11714</v>
      </c>
      <c r="F3130" s="66" t="s">
        <v>11715</v>
      </c>
      <c r="G3130" s="71">
        <v>3164</v>
      </c>
      <c r="H3130" s="73"/>
      <c r="I3130" s="75">
        <v>0.2</v>
      </c>
      <c r="J3130" s="77"/>
      <c r="K3130" s="66"/>
      <c r="L3130" s="66"/>
      <c r="M3130" s="79" t="str">
        <f>HYPERLINK("http://www.pristavka.com/catalog/Genshin Impact/GEN156/")</f>
        <v>http://www.pristavka.com/catalog/Genshin Impact/GEN156/</v>
      </c>
      <c r="N3130" s="71">
        <v>5299</v>
      </c>
      <c r="O3130" s="66" t="s">
        <v>28</v>
      </c>
      <c r="P3130" s="82" t="s">
        <v>11716</v>
      </c>
      <c r="Q3130" s="84" t="s">
        <v>1963</v>
      </c>
      <c r="R3130" s="84" t="s">
        <v>9605</v>
      </c>
      <c r="S3130" s="84">
        <v>8.1000000000000003E-2</v>
      </c>
      <c r="T3130" s="82" t="s">
        <v>11717</v>
      </c>
      <c r="U3130" s="84" t="s">
        <v>2255</v>
      </c>
      <c r="V3130" s="54"/>
    </row>
    <row r="3131" spans="1:22" s="11" customFormat="1" ht="45" customHeight="1" x14ac:dyDescent="0.2">
      <c r="A3131" s="66" t="s">
        <v>1963</v>
      </c>
      <c r="B3131" s="66" t="s">
        <v>1155</v>
      </c>
      <c r="C3131" s="66" t="s">
        <v>9605</v>
      </c>
      <c r="D3131" s="66">
        <v>6942421138549</v>
      </c>
      <c r="E3131" s="68" t="s">
        <v>11718</v>
      </c>
      <c r="F3131" s="66" t="s">
        <v>11719</v>
      </c>
      <c r="G3131" s="71">
        <v>12646</v>
      </c>
      <c r="H3131" s="73"/>
      <c r="I3131" s="75">
        <v>0.2</v>
      </c>
      <c r="J3131" s="77"/>
      <c r="K3131" s="66"/>
      <c r="L3131" s="66"/>
      <c r="M3131" s="79" t="str">
        <f>HYPERLINK("http://www.pristavka.com/catalog/Genshin Impact/GEN1351/")</f>
        <v>http://www.pristavka.com/catalog/Genshin Impact/GEN1351/</v>
      </c>
      <c r="N3131" s="71">
        <v>21099</v>
      </c>
      <c r="O3131" s="66" t="s">
        <v>27</v>
      </c>
      <c r="P3131" s="82" t="s">
        <v>11720</v>
      </c>
      <c r="Q3131" s="84" t="s">
        <v>1963</v>
      </c>
      <c r="R3131" s="84" t="s">
        <v>9605</v>
      </c>
      <c r="S3131" s="84">
        <v>0.45400000000000001</v>
      </c>
      <c r="T3131" s="82" t="s">
        <v>11721</v>
      </c>
      <c r="U3131" s="84"/>
      <c r="V3131" s="54"/>
    </row>
    <row r="3132" spans="1:22" s="11" customFormat="1" ht="45" customHeight="1" x14ac:dyDescent="0.2">
      <c r="A3132" s="66" t="s">
        <v>1963</v>
      </c>
      <c r="B3132" s="66" t="s">
        <v>1155</v>
      </c>
      <c r="C3132" s="66" t="s">
        <v>9605</v>
      </c>
      <c r="D3132" s="66">
        <v>6976525003366</v>
      </c>
      <c r="E3132" s="68" t="s">
        <v>11722</v>
      </c>
      <c r="F3132" s="66" t="s">
        <v>11723</v>
      </c>
      <c r="G3132" s="71">
        <v>16766</v>
      </c>
      <c r="H3132" s="73"/>
      <c r="I3132" s="75">
        <v>0.2</v>
      </c>
      <c r="J3132" s="77"/>
      <c r="K3132" s="66"/>
      <c r="L3132" s="66"/>
      <c r="M3132" s="79" t="str">
        <f>HYPERLINK("http://www.pristavka.com/catalog/Genshin Impact/GEN1171/")</f>
        <v>http://www.pristavka.com/catalog/Genshin Impact/GEN1171/</v>
      </c>
      <c r="N3132" s="71">
        <v>27999</v>
      </c>
      <c r="O3132" s="66" t="s">
        <v>28</v>
      </c>
      <c r="P3132" s="82" t="s">
        <v>11724</v>
      </c>
      <c r="Q3132" s="84" t="s">
        <v>1963</v>
      </c>
      <c r="R3132" s="84" t="s">
        <v>9605</v>
      </c>
      <c r="S3132" s="84">
        <v>0.72699999999999998</v>
      </c>
      <c r="T3132" s="82" t="s">
        <v>11725</v>
      </c>
      <c r="U3132" s="84"/>
      <c r="V3132" s="54"/>
    </row>
    <row r="3133" spans="1:22" s="11" customFormat="1" ht="45" customHeight="1" x14ac:dyDescent="0.2">
      <c r="A3133" s="66" t="s">
        <v>1963</v>
      </c>
      <c r="B3133" s="66" t="s">
        <v>1155</v>
      </c>
      <c r="C3133" s="66" t="s">
        <v>9605</v>
      </c>
      <c r="D3133" s="66">
        <v>6976525005971</v>
      </c>
      <c r="E3133" s="68" t="s">
        <v>11726</v>
      </c>
      <c r="F3133" s="66" t="s">
        <v>11727</v>
      </c>
      <c r="G3133" s="71">
        <v>31028</v>
      </c>
      <c r="H3133" s="73"/>
      <c r="I3133" s="75">
        <v>0.2</v>
      </c>
      <c r="J3133" s="77"/>
      <c r="K3133" s="66"/>
      <c r="L3133" s="66"/>
      <c r="M3133" s="79" t="str">
        <f>HYPERLINK("http://www.pristavka.com/catalog/Genshin Impact/GEN1170/")</f>
        <v>http://www.pristavka.com/catalog/Genshin Impact/GEN1170/</v>
      </c>
      <c r="N3133" s="71">
        <v>51799</v>
      </c>
      <c r="O3133" s="66" t="s">
        <v>27</v>
      </c>
      <c r="P3133" s="82" t="s">
        <v>11728</v>
      </c>
      <c r="Q3133" s="84" t="s">
        <v>1963</v>
      </c>
      <c r="R3133" s="84" t="s">
        <v>9605</v>
      </c>
      <c r="S3133" s="84">
        <v>0.42</v>
      </c>
      <c r="T3133" s="82" t="s">
        <v>11729</v>
      </c>
      <c r="U3133" s="84"/>
      <c r="V3133" s="54"/>
    </row>
    <row r="3134" spans="1:22" s="11" customFormat="1" ht="45" customHeight="1" x14ac:dyDescent="0.2">
      <c r="A3134" s="66" t="s">
        <v>1963</v>
      </c>
      <c r="B3134" s="66" t="s">
        <v>1155</v>
      </c>
      <c r="C3134" s="66" t="s">
        <v>9605</v>
      </c>
      <c r="D3134" s="66">
        <v>6976525005995</v>
      </c>
      <c r="E3134" s="68" t="s">
        <v>11730</v>
      </c>
      <c r="F3134" s="66" t="s">
        <v>11731</v>
      </c>
      <c r="G3134" s="71">
        <v>10744</v>
      </c>
      <c r="H3134" s="73"/>
      <c r="I3134" s="75">
        <v>0.2</v>
      </c>
      <c r="J3134" s="77"/>
      <c r="K3134" s="66"/>
      <c r="L3134" s="66"/>
      <c r="M3134" s="79" t="str">
        <f>HYPERLINK("http://www.pristavka.com/catalog/Genshin Impact/GEN1178/")</f>
        <v>http://www.pristavka.com/catalog/Genshin Impact/GEN1178/</v>
      </c>
      <c r="N3134" s="71">
        <v>17999</v>
      </c>
      <c r="O3134" s="66" t="s">
        <v>27</v>
      </c>
      <c r="P3134" s="82" t="s">
        <v>11732</v>
      </c>
      <c r="Q3134" s="84" t="s">
        <v>1963</v>
      </c>
      <c r="R3134" s="84" t="s">
        <v>9605</v>
      </c>
      <c r="S3134" s="84">
        <v>0.09</v>
      </c>
      <c r="T3134" s="82" t="s">
        <v>11733</v>
      </c>
      <c r="U3134" s="84"/>
      <c r="V3134" s="54"/>
    </row>
    <row r="3135" spans="1:22" s="11" customFormat="1" ht="45" customHeight="1" x14ac:dyDescent="0.2">
      <c r="A3135" s="66" t="s">
        <v>1963</v>
      </c>
      <c r="B3135" s="66" t="s">
        <v>1155</v>
      </c>
      <c r="C3135" s="66" t="s">
        <v>9605</v>
      </c>
      <c r="D3135" s="66">
        <v>6942421141884</v>
      </c>
      <c r="E3135" s="68" t="s">
        <v>11734</v>
      </c>
      <c r="F3135" s="66" t="s">
        <v>11735</v>
      </c>
      <c r="G3135" s="71">
        <v>12329</v>
      </c>
      <c r="H3135" s="73"/>
      <c r="I3135" s="75">
        <v>0.2</v>
      </c>
      <c r="J3135" s="77"/>
      <c r="K3135" s="66"/>
      <c r="L3135" s="66"/>
      <c r="M3135" s="79" t="str">
        <f>HYPERLINK("http://www.pristavka.com/catalog/Genshin Impact/GEN1424/")</f>
        <v>http://www.pristavka.com/catalog/Genshin Impact/GEN1424/</v>
      </c>
      <c r="N3135" s="71">
        <v>20599</v>
      </c>
      <c r="O3135" s="66" t="s">
        <v>27</v>
      </c>
      <c r="P3135" s="82" t="s">
        <v>11736</v>
      </c>
      <c r="Q3135" s="84" t="s">
        <v>1963</v>
      </c>
      <c r="R3135" s="84" t="s">
        <v>9605</v>
      </c>
      <c r="S3135" s="84">
        <v>0.38200000000000001</v>
      </c>
      <c r="T3135" s="82" t="s">
        <v>11737</v>
      </c>
      <c r="U3135" s="84"/>
      <c r="V3135" s="54"/>
    </row>
    <row r="3136" spans="1:22" s="11" customFormat="1" ht="45" customHeight="1" x14ac:dyDescent="0.2">
      <c r="A3136" s="66" t="s">
        <v>1963</v>
      </c>
      <c r="B3136" s="66" t="s">
        <v>1155</v>
      </c>
      <c r="C3136" s="66" t="s">
        <v>9605</v>
      </c>
      <c r="D3136" s="66">
        <v>6942421150688</v>
      </c>
      <c r="E3136" s="68" t="s">
        <v>11738</v>
      </c>
      <c r="F3136" s="66" t="s">
        <v>11739</v>
      </c>
      <c r="G3136" s="71">
        <v>11695</v>
      </c>
      <c r="H3136" s="73"/>
      <c r="I3136" s="75">
        <v>0.2</v>
      </c>
      <c r="J3136" s="77"/>
      <c r="K3136" s="66"/>
      <c r="L3136" s="66"/>
      <c r="M3136" s="79" t="str">
        <f>HYPERLINK("http://www.pristavka.com/catalog/Genshin Impact/GEN1429/")</f>
        <v>http://www.pristavka.com/catalog/Genshin Impact/GEN1429/</v>
      </c>
      <c r="N3136" s="71">
        <v>19499</v>
      </c>
      <c r="O3136" s="66" t="s">
        <v>27</v>
      </c>
      <c r="P3136" s="82" t="s">
        <v>11740</v>
      </c>
      <c r="Q3136" s="84" t="s">
        <v>1963</v>
      </c>
      <c r="R3136" s="84" t="s">
        <v>9605</v>
      </c>
      <c r="S3136" s="84">
        <v>0.182</v>
      </c>
      <c r="T3136" s="82" t="s">
        <v>11741</v>
      </c>
      <c r="U3136" s="84"/>
      <c r="V3136" s="54"/>
    </row>
    <row r="3137" spans="1:22" s="11" customFormat="1" ht="45" customHeight="1" x14ac:dyDescent="0.2">
      <c r="A3137" s="66" t="s">
        <v>1963</v>
      </c>
      <c r="B3137" s="66" t="s">
        <v>1155</v>
      </c>
      <c r="C3137" s="66" t="s">
        <v>9605</v>
      </c>
      <c r="D3137" s="66">
        <v>6976525006015</v>
      </c>
      <c r="E3137" s="68" t="s">
        <v>11742</v>
      </c>
      <c r="F3137" s="66" t="s">
        <v>11743</v>
      </c>
      <c r="G3137" s="71">
        <v>31028</v>
      </c>
      <c r="H3137" s="73"/>
      <c r="I3137" s="75">
        <v>0.2</v>
      </c>
      <c r="J3137" s="77"/>
      <c r="K3137" s="66"/>
      <c r="L3137" s="66"/>
      <c r="M3137" s="79" t="str">
        <f>HYPERLINK("http://www.pristavka.com/catalog/Genshin Impact/GEN1179/")</f>
        <v>http://www.pristavka.com/catalog/Genshin Impact/GEN1179/</v>
      </c>
      <c r="N3137" s="71">
        <v>51799</v>
      </c>
      <c r="O3137" s="66" t="s">
        <v>27</v>
      </c>
      <c r="P3137" s="82" t="s">
        <v>11744</v>
      </c>
      <c r="Q3137" s="84" t="s">
        <v>1963</v>
      </c>
      <c r="R3137" s="84" t="s">
        <v>9605</v>
      </c>
      <c r="S3137" s="84">
        <v>0.42599999999999999</v>
      </c>
      <c r="T3137" s="82" t="s">
        <v>11745</v>
      </c>
      <c r="U3137" s="84"/>
      <c r="V3137" s="54"/>
    </row>
    <row r="3138" spans="1:22" s="11" customFormat="1" ht="45" customHeight="1" x14ac:dyDescent="0.2">
      <c r="A3138" s="66" t="s">
        <v>1963</v>
      </c>
      <c r="B3138" s="66" t="s">
        <v>1155</v>
      </c>
      <c r="C3138" s="66" t="s">
        <v>9605</v>
      </c>
      <c r="D3138" s="66">
        <v>6976525006022</v>
      </c>
      <c r="E3138" s="68" t="s">
        <v>11746</v>
      </c>
      <c r="F3138" s="66" t="s">
        <v>11747</v>
      </c>
      <c r="G3138" s="71">
        <v>31028</v>
      </c>
      <c r="H3138" s="73"/>
      <c r="I3138" s="75">
        <v>0.2</v>
      </c>
      <c r="J3138" s="77"/>
      <c r="K3138" s="66"/>
      <c r="L3138" s="66"/>
      <c r="M3138" s="79" t="str">
        <f>HYPERLINK("http://www.pristavka.com/catalog/Genshin Impact/GEN1180/")</f>
        <v>http://www.pristavka.com/catalog/Genshin Impact/GEN1180/</v>
      </c>
      <c r="N3138" s="71">
        <v>51799</v>
      </c>
      <c r="O3138" s="66" t="s">
        <v>27</v>
      </c>
      <c r="P3138" s="82" t="s">
        <v>11748</v>
      </c>
      <c r="Q3138" s="84" t="s">
        <v>1963</v>
      </c>
      <c r="R3138" s="84" t="s">
        <v>9605</v>
      </c>
      <c r="S3138" s="84">
        <v>0.42099999999999999</v>
      </c>
      <c r="T3138" s="82" t="s">
        <v>11745</v>
      </c>
      <c r="U3138" s="84"/>
      <c r="V3138" s="54"/>
    </row>
    <row r="3139" spans="1:22" s="11" customFormat="1" ht="45" customHeight="1" x14ac:dyDescent="0.2">
      <c r="A3139" s="66" t="s">
        <v>1963</v>
      </c>
      <c r="B3139" s="66" t="s">
        <v>1155</v>
      </c>
      <c r="C3139" s="66" t="s">
        <v>9605</v>
      </c>
      <c r="D3139" s="66">
        <v>6975213681282</v>
      </c>
      <c r="E3139" s="68" t="s">
        <v>11749</v>
      </c>
      <c r="F3139" s="66" t="s">
        <v>11750</v>
      </c>
      <c r="G3139" s="71">
        <v>5039</v>
      </c>
      <c r="H3139" s="73"/>
      <c r="I3139" s="75">
        <v>0.2</v>
      </c>
      <c r="J3139" s="77"/>
      <c r="K3139" s="66"/>
      <c r="L3139" s="66"/>
      <c r="M3139" s="79" t="str">
        <f>HYPERLINK("http://www.pristavka.com/catalog/Genshin Impact/GEN371/")</f>
        <v>http://www.pristavka.com/catalog/Genshin Impact/GEN371/</v>
      </c>
      <c r="N3139" s="71">
        <v>8399</v>
      </c>
      <c r="O3139" s="66" t="s">
        <v>27</v>
      </c>
      <c r="P3139" s="82" t="s">
        <v>11751</v>
      </c>
      <c r="Q3139" s="84" t="s">
        <v>1963</v>
      </c>
      <c r="R3139" s="84" t="s">
        <v>9605</v>
      </c>
      <c r="S3139" s="84">
        <v>8.7999999999999995E-2</v>
      </c>
      <c r="T3139" s="82" t="s">
        <v>11752</v>
      </c>
      <c r="U3139" s="84" t="s">
        <v>2255</v>
      </c>
      <c r="V3139" s="54"/>
    </row>
    <row r="3140" spans="1:22" s="11" customFormat="1" ht="45" customHeight="1" x14ac:dyDescent="0.2">
      <c r="A3140" s="66" t="s">
        <v>1963</v>
      </c>
      <c r="B3140" s="66" t="s">
        <v>1155</v>
      </c>
      <c r="C3140" s="66" t="s">
        <v>9605</v>
      </c>
      <c r="D3140" s="66">
        <v>6975213681251</v>
      </c>
      <c r="E3140" s="68" t="s">
        <v>11753</v>
      </c>
      <c r="F3140" s="66" t="s">
        <v>11754</v>
      </c>
      <c r="G3140" s="71">
        <v>5039</v>
      </c>
      <c r="H3140" s="73"/>
      <c r="I3140" s="75">
        <v>0.2</v>
      </c>
      <c r="J3140" s="77"/>
      <c r="K3140" s="66"/>
      <c r="L3140" s="66"/>
      <c r="M3140" s="79" t="str">
        <f>HYPERLINK("http://www.pristavka.com/catalog/Genshin Impact/GEN370/")</f>
        <v>http://www.pristavka.com/catalog/Genshin Impact/GEN370/</v>
      </c>
      <c r="N3140" s="71">
        <v>8399</v>
      </c>
      <c r="O3140" s="66" t="s">
        <v>28</v>
      </c>
      <c r="P3140" s="82" t="s">
        <v>11755</v>
      </c>
      <c r="Q3140" s="84" t="s">
        <v>1963</v>
      </c>
      <c r="R3140" s="84" t="s">
        <v>9605</v>
      </c>
      <c r="S3140" s="84">
        <v>8.6999999999999994E-2</v>
      </c>
      <c r="T3140" s="82" t="s">
        <v>11756</v>
      </c>
      <c r="U3140" s="84" t="s">
        <v>2255</v>
      </c>
      <c r="V3140" s="54"/>
    </row>
    <row r="3141" spans="1:22" s="11" customFormat="1" ht="45" customHeight="1" x14ac:dyDescent="0.2">
      <c r="A3141" s="66" t="s">
        <v>1963</v>
      </c>
      <c r="B3141" s="66" t="s">
        <v>1155</v>
      </c>
      <c r="C3141" s="66" t="s">
        <v>9605</v>
      </c>
      <c r="D3141" s="66">
        <v>6975213681220</v>
      </c>
      <c r="E3141" s="68" t="s">
        <v>11757</v>
      </c>
      <c r="F3141" s="66" t="s">
        <v>11758</v>
      </c>
      <c r="G3141" s="71">
        <v>5039</v>
      </c>
      <c r="H3141" s="73"/>
      <c r="I3141" s="75">
        <v>0.2</v>
      </c>
      <c r="J3141" s="77"/>
      <c r="K3141" s="66"/>
      <c r="L3141" s="66"/>
      <c r="M3141" s="79" t="str">
        <f>HYPERLINK("http://www.pristavka.com/catalog/Genshin Impact/GEN368/")</f>
        <v>http://www.pristavka.com/catalog/Genshin Impact/GEN368/</v>
      </c>
      <c r="N3141" s="71">
        <v>8399</v>
      </c>
      <c r="O3141" s="66" t="s">
        <v>28</v>
      </c>
      <c r="P3141" s="82" t="s">
        <v>11759</v>
      </c>
      <c r="Q3141" s="84" t="s">
        <v>1963</v>
      </c>
      <c r="R3141" s="84" t="s">
        <v>9605</v>
      </c>
      <c r="S3141" s="84">
        <v>8.7999999999999995E-2</v>
      </c>
      <c r="T3141" s="82" t="s">
        <v>11760</v>
      </c>
      <c r="U3141" s="84" t="s">
        <v>2255</v>
      </c>
      <c r="V3141" s="54"/>
    </row>
    <row r="3142" spans="1:22" s="11" customFormat="1" ht="45" customHeight="1" x14ac:dyDescent="0.2">
      <c r="A3142" s="66" t="s">
        <v>1963</v>
      </c>
      <c r="B3142" s="66" t="s">
        <v>1155</v>
      </c>
      <c r="C3142" s="66" t="s">
        <v>9605</v>
      </c>
      <c r="D3142" s="66">
        <v>6975213681244</v>
      </c>
      <c r="E3142" s="68" t="s">
        <v>11761</v>
      </c>
      <c r="F3142" s="66" t="s">
        <v>11762</v>
      </c>
      <c r="G3142" s="71">
        <v>5039</v>
      </c>
      <c r="H3142" s="73"/>
      <c r="I3142" s="75">
        <v>0.2</v>
      </c>
      <c r="J3142" s="77"/>
      <c r="K3142" s="66"/>
      <c r="L3142" s="66"/>
      <c r="M3142" s="79" t="str">
        <f>HYPERLINK("http://www.pristavka.com/catalog/Genshin Impact/GEN30/")</f>
        <v>http://www.pristavka.com/catalog/Genshin Impact/GEN30/</v>
      </c>
      <c r="N3142" s="71">
        <v>8399</v>
      </c>
      <c r="O3142" s="66" t="s">
        <v>28</v>
      </c>
      <c r="P3142" s="82" t="s">
        <v>11763</v>
      </c>
      <c r="Q3142" s="84" t="s">
        <v>1963</v>
      </c>
      <c r="R3142" s="84" t="s">
        <v>9605</v>
      </c>
      <c r="S3142" s="84">
        <v>8.7999999999999995E-2</v>
      </c>
      <c r="T3142" s="82" t="s">
        <v>11752</v>
      </c>
      <c r="U3142" s="84" t="s">
        <v>2255</v>
      </c>
      <c r="V3142" s="54"/>
    </row>
    <row r="3143" spans="1:22" s="11" customFormat="1" ht="45" customHeight="1" x14ac:dyDescent="0.2">
      <c r="A3143" s="66" t="s">
        <v>1963</v>
      </c>
      <c r="B3143" s="66" t="s">
        <v>1155</v>
      </c>
      <c r="C3143" s="66" t="s">
        <v>9605</v>
      </c>
      <c r="D3143" s="66">
        <v>6975628244034</v>
      </c>
      <c r="E3143" s="68" t="s">
        <v>11764</v>
      </c>
      <c r="F3143" s="66" t="s">
        <v>11765</v>
      </c>
      <c r="G3143" s="71">
        <v>7575</v>
      </c>
      <c r="H3143" s="73"/>
      <c r="I3143" s="75">
        <v>0.2</v>
      </c>
      <c r="J3143" s="77"/>
      <c r="K3143" s="66"/>
      <c r="L3143" s="66"/>
      <c r="M3143" s="79" t="str">
        <f>HYPERLINK("http://www.pristavka.com/catalog/Genshin Impact/GEN818/")</f>
        <v>http://www.pristavka.com/catalog/Genshin Impact/GEN818/</v>
      </c>
      <c r="N3143" s="71">
        <v>12699</v>
      </c>
      <c r="O3143" s="66" t="s">
        <v>27</v>
      </c>
      <c r="P3143" s="82" t="s">
        <v>11766</v>
      </c>
      <c r="Q3143" s="84" t="s">
        <v>1963</v>
      </c>
      <c r="R3143" s="84" t="s">
        <v>9605</v>
      </c>
      <c r="S3143" s="84">
        <v>9.6000000000000002E-2</v>
      </c>
      <c r="T3143" s="82" t="s">
        <v>11767</v>
      </c>
      <c r="U3143" s="84"/>
      <c r="V3143" s="54"/>
    </row>
    <row r="3144" spans="1:22" s="11" customFormat="1" ht="45" customHeight="1" x14ac:dyDescent="0.2">
      <c r="A3144" s="66" t="s">
        <v>1963</v>
      </c>
      <c r="B3144" s="66" t="s">
        <v>1155</v>
      </c>
      <c r="C3144" s="66" t="s">
        <v>9605</v>
      </c>
      <c r="D3144" s="66">
        <v>6942421103714</v>
      </c>
      <c r="E3144" s="68" t="s">
        <v>11768</v>
      </c>
      <c r="F3144" s="66" t="s">
        <v>11769</v>
      </c>
      <c r="G3144" s="71">
        <v>2213</v>
      </c>
      <c r="H3144" s="73"/>
      <c r="I3144" s="75">
        <v>0.2</v>
      </c>
      <c r="J3144" s="77"/>
      <c r="K3144" s="66"/>
      <c r="L3144" s="66"/>
      <c r="M3144" s="79" t="str">
        <f>HYPERLINK("http://www.pristavka.com/catalog/Genshin Impact/GEN1102/")</f>
        <v>http://www.pristavka.com/catalog/Genshin Impact/GEN1102/</v>
      </c>
      <c r="N3144" s="71">
        <v>3699</v>
      </c>
      <c r="O3144" s="66" t="s">
        <v>27</v>
      </c>
      <c r="P3144" s="82" t="s">
        <v>11770</v>
      </c>
      <c r="Q3144" s="84" t="s">
        <v>1963</v>
      </c>
      <c r="R3144" s="84" t="s">
        <v>9605</v>
      </c>
      <c r="S3144" s="84">
        <v>0.03</v>
      </c>
      <c r="T3144" s="82" t="s">
        <v>11771</v>
      </c>
      <c r="U3144" s="84"/>
      <c r="V3144" s="54"/>
    </row>
    <row r="3145" spans="1:22" s="11" customFormat="1" ht="45" customHeight="1" x14ac:dyDescent="0.2">
      <c r="A3145" s="66" t="s">
        <v>1963</v>
      </c>
      <c r="B3145" s="66" t="s">
        <v>1155</v>
      </c>
      <c r="C3145" s="66" t="s">
        <v>9605</v>
      </c>
      <c r="D3145" s="66">
        <v>6976525005889</v>
      </c>
      <c r="E3145" s="68" t="s">
        <v>11772</v>
      </c>
      <c r="F3145" s="66" t="s">
        <v>11773</v>
      </c>
      <c r="G3145" s="71">
        <v>1579</v>
      </c>
      <c r="H3145" s="73"/>
      <c r="I3145" s="75">
        <v>0.2</v>
      </c>
      <c r="J3145" s="77"/>
      <c r="K3145" s="66"/>
      <c r="L3145" s="66"/>
      <c r="M3145" s="79" t="str">
        <f>HYPERLINK("http://www.pristavka.com/catalog/Genshin Impact/GEN977/")</f>
        <v>http://www.pristavka.com/catalog/Genshin Impact/GEN977/</v>
      </c>
      <c r="N3145" s="71">
        <v>2699</v>
      </c>
      <c r="O3145" s="66" t="s">
        <v>27</v>
      </c>
      <c r="P3145" s="82" t="s">
        <v>11774</v>
      </c>
      <c r="Q3145" s="84" t="s">
        <v>1963</v>
      </c>
      <c r="R3145" s="84" t="s">
        <v>9605</v>
      </c>
      <c r="S3145" s="84">
        <v>0.03</v>
      </c>
      <c r="T3145" s="82" t="s">
        <v>11775</v>
      </c>
      <c r="U3145" s="84"/>
      <c r="V3145" s="54"/>
    </row>
    <row r="3146" spans="1:22" s="11" customFormat="1" ht="45" customHeight="1" x14ac:dyDescent="0.2">
      <c r="A3146" s="66" t="s">
        <v>1963</v>
      </c>
      <c r="B3146" s="66" t="s">
        <v>1155</v>
      </c>
      <c r="C3146" s="66" t="s">
        <v>9605</v>
      </c>
      <c r="D3146" s="66">
        <v>6976525005865</v>
      </c>
      <c r="E3146" s="68" t="s">
        <v>11776</v>
      </c>
      <c r="F3146" s="66" t="s">
        <v>11777</v>
      </c>
      <c r="G3146" s="71">
        <v>1579</v>
      </c>
      <c r="H3146" s="73"/>
      <c r="I3146" s="75">
        <v>0.2</v>
      </c>
      <c r="J3146" s="77"/>
      <c r="K3146" s="66"/>
      <c r="L3146" s="66"/>
      <c r="M3146" s="79" t="str">
        <f>HYPERLINK("http://www.pristavka.com/catalog/Genshin Impact/GEN975/")</f>
        <v>http://www.pristavka.com/catalog/Genshin Impact/GEN975/</v>
      </c>
      <c r="N3146" s="71">
        <v>2699</v>
      </c>
      <c r="O3146" s="66" t="s">
        <v>27</v>
      </c>
      <c r="P3146" s="82" t="s">
        <v>11778</v>
      </c>
      <c r="Q3146" s="84" t="s">
        <v>1963</v>
      </c>
      <c r="R3146" s="84" t="s">
        <v>9605</v>
      </c>
      <c r="S3146" s="84">
        <v>0.03</v>
      </c>
      <c r="T3146" s="82" t="s">
        <v>11775</v>
      </c>
      <c r="U3146" s="84"/>
      <c r="V3146" s="54"/>
    </row>
    <row r="3147" spans="1:22" s="11" customFormat="1" ht="45" customHeight="1" x14ac:dyDescent="0.2">
      <c r="A3147" s="66" t="s">
        <v>1963</v>
      </c>
      <c r="B3147" s="66" t="s">
        <v>1155</v>
      </c>
      <c r="C3147" s="66" t="s">
        <v>9605</v>
      </c>
      <c r="D3147" s="66">
        <v>6976525005872</v>
      </c>
      <c r="E3147" s="68" t="s">
        <v>11779</v>
      </c>
      <c r="F3147" s="66" t="s">
        <v>11780</v>
      </c>
      <c r="G3147" s="71">
        <v>1579</v>
      </c>
      <c r="H3147" s="73"/>
      <c r="I3147" s="75">
        <v>0.2</v>
      </c>
      <c r="J3147" s="77"/>
      <c r="K3147" s="66"/>
      <c r="L3147" s="66"/>
      <c r="M3147" s="79" t="str">
        <f>HYPERLINK("http://www.pristavka.com/catalog/Genshin Impact/GEN976/")</f>
        <v>http://www.pristavka.com/catalog/Genshin Impact/GEN976/</v>
      </c>
      <c r="N3147" s="71">
        <v>2699</v>
      </c>
      <c r="O3147" s="66" t="s">
        <v>27</v>
      </c>
      <c r="P3147" s="82" t="s">
        <v>11781</v>
      </c>
      <c r="Q3147" s="84" t="s">
        <v>1963</v>
      </c>
      <c r="R3147" s="84" t="s">
        <v>9605</v>
      </c>
      <c r="S3147" s="84">
        <v>0.03</v>
      </c>
      <c r="T3147" s="82" t="s">
        <v>11775</v>
      </c>
      <c r="U3147" s="84"/>
      <c r="V3147" s="54"/>
    </row>
    <row r="3148" spans="1:22" s="11" customFormat="1" ht="45" customHeight="1" x14ac:dyDescent="0.2">
      <c r="A3148" s="66" t="s">
        <v>1963</v>
      </c>
      <c r="B3148" s="66" t="s">
        <v>1155</v>
      </c>
      <c r="C3148" s="66" t="s">
        <v>9605</v>
      </c>
      <c r="D3148" s="66">
        <v>6976525005902</v>
      </c>
      <c r="E3148" s="68" t="s">
        <v>11782</v>
      </c>
      <c r="F3148" s="66" t="s">
        <v>11783</v>
      </c>
      <c r="G3148" s="71">
        <v>1579</v>
      </c>
      <c r="H3148" s="73"/>
      <c r="I3148" s="75">
        <v>0.2</v>
      </c>
      <c r="J3148" s="77"/>
      <c r="K3148" s="66"/>
      <c r="L3148" s="66"/>
      <c r="M3148" s="79" t="str">
        <f>HYPERLINK("http://www.pristavka.com/catalog/Genshin Impact/GEN979/")</f>
        <v>http://www.pristavka.com/catalog/Genshin Impact/GEN979/</v>
      </c>
      <c r="N3148" s="71">
        <v>2699</v>
      </c>
      <c r="O3148" s="66" t="s">
        <v>27</v>
      </c>
      <c r="P3148" s="82" t="s">
        <v>11784</v>
      </c>
      <c r="Q3148" s="84" t="s">
        <v>1963</v>
      </c>
      <c r="R3148" s="84" t="s">
        <v>9605</v>
      </c>
      <c r="S3148" s="84">
        <v>0.03</v>
      </c>
      <c r="T3148" s="82" t="s">
        <v>11775</v>
      </c>
      <c r="U3148" s="84"/>
      <c r="V3148" s="54"/>
    </row>
    <row r="3149" spans="1:22" s="11" customFormat="1" ht="45" customHeight="1" x14ac:dyDescent="0.2">
      <c r="A3149" s="66" t="s">
        <v>1963</v>
      </c>
      <c r="B3149" s="66" t="s">
        <v>1155</v>
      </c>
      <c r="C3149" s="66" t="s">
        <v>9605</v>
      </c>
      <c r="D3149" s="66">
        <v>6976525005841</v>
      </c>
      <c r="E3149" s="68" t="s">
        <v>11785</v>
      </c>
      <c r="F3149" s="66" t="s">
        <v>11786</v>
      </c>
      <c r="G3149" s="71">
        <v>1579</v>
      </c>
      <c r="H3149" s="73"/>
      <c r="I3149" s="75">
        <v>0.2</v>
      </c>
      <c r="J3149" s="77"/>
      <c r="K3149" s="66"/>
      <c r="L3149" s="66"/>
      <c r="M3149" s="79" t="str">
        <f>HYPERLINK("http://www.pristavka.com/catalog/Genshin Impact/GEN973/")</f>
        <v>http://www.pristavka.com/catalog/Genshin Impact/GEN973/</v>
      </c>
      <c r="N3149" s="71">
        <v>2699</v>
      </c>
      <c r="O3149" s="66" t="s">
        <v>27</v>
      </c>
      <c r="P3149" s="82" t="s">
        <v>11787</v>
      </c>
      <c r="Q3149" s="84" t="s">
        <v>1963</v>
      </c>
      <c r="R3149" s="84" t="s">
        <v>9605</v>
      </c>
      <c r="S3149" s="84">
        <v>0.03</v>
      </c>
      <c r="T3149" s="82" t="s">
        <v>11775</v>
      </c>
      <c r="U3149" s="84"/>
      <c r="V3149" s="54"/>
    </row>
    <row r="3150" spans="1:22" s="11" customFormat="1" ht="45" customHeight="1" x14ac:dyDescent="0.2">
      <c r="A3150" s="66" t="s">
        <v>1963</v>
      </c>
      <c r="B3150" s="66" t="s">
        <v>1155</v>
      </c>
      <c r="C3150" s="66" t="s">
        <v>9605</v>
      </c>
      <c r="D3150" s="66">
        <v>6976525005858</v>
      </c>
      <c r="E3150" s="68" t="s">
        <v>11788</v>
      </c>
      <c r="F3150" s="66" t="s">
        <v>11789</v>
      </c>
      <c r="G3150" s="71">
        <v>1579</v>
      </c>
      <c r="H3150" s="73"/>
      <c r="I3150" s="75">
        <v>0.2</v>
      </c>
      <c r="J3150" s="77"/>
      <c r="K3150" s="66"/>
      <c r="L3150" s="66"/>
      <c r="M3150" s="79" t="str">
        <f>HYPERLINK("http://www.pristavka.com/catalog/Genshin Impact/GEN974/")</f>
        <v>http://www.pristavka.com/catalog/Genshin Impact/GEN974/</v>
      </c>
      <c r="N3150" s="71">
        <v>2699</v>
      </c>
      <c r="O3150" s="66" t="s">
        <v>27</v>
      </c>
      <c r="P3150" s="82" t="s">
        <v>11790</v>
      </c>
      <c r="Q3150" s="84" t="s">
        <v>1963</v>
      </c>
      <c r="R3150" s="84" t="s">
        <v>9605</v>
      </c>
      <c r="S3150" s="84">
        <v>0.03</v>
      </c>
      <c r="T3150" s="82" t="s">
        <v>11775</v>
      </c>
      <c r="U3150" s="84"/>
      <c r="V3150" s="54"/>
    </row>
    <row r="3151" spans="1:22" s="11" customFormat="1" ht="45" customHeight="1" x14ac:dyDescent="0.2">
      <c r="A3151" s="66" t="s">
        <v>1963</v>
      </c>
      <c r="B3151" s="66" t="s">
        <v>1155</v>
      </c>
      <c r="C3151" s="66" t="s">
        <v>9605</v>
      </c>
      <c r="D3151" s="66">
        <v>6976068144687</v>
      </c>
      <c r="E3151" s="68" t="s">
        <v>11791</v>
      </c>
      <c r="F3151" s="66" t="s">
        <v>11792</v>
      </c>
      <c r="G3151" s="71">
        <v>1738</v>
      </c>
      <c r="H3151" s="73"/>
      <c r="I3151" s="75">
        <v>0.2</v>
      </c>
      <c r="J3151" s="77"/>
      <c r="K3151" s="66"/>
      <c r="L3151" s="66"/>
      <c r="M3151" s="79" t="str">
        <f>HYPERLINK("http://www.pristavka.com/catalog/Genshin Impact/GEN924/")</f>
        <v>http://www.pristavka.com/catalog/Genshin Impact/GEN924/</v>
      </c>
      <c r="N3151" s="71">
        <v>2899</v>
      </c>
      <c r="O3151" s="66" t="s">
        <v>28</v>
      </c>
      <c r="P3151" s="82" t="s">
        <v>11793</v>
      </c>
      <c r="Q3151" s="84" t="s">
        <v>1963</v>
      </c>
      <c r="R3151" s="84" t="s">
        <v>9605</v>
      </c>
      <c r="S3151" s="84">
        <v>0.03</v>
      </c>
      <c r="T3151" s="82" t="s">
        <v>11794</v>
      </c>
      <c r="U3151" s="84"/>
      <c r="V3151" s="54"/>
    </row>
    <row r="3152" spans="1:22" s="11" customFormat="1" ht="45" customHeight="1" x14ac:dyDescent="0.2">
      <c r="A3152" s="66" t="s">
        <v>1963</v>
      </c>
      <c r="B3152" s="66" t="s">
        <v>1155</v>
      </c>
      <c r="C3152" s="66" t="s">
        <v>9605</v>
      </c>
      <c r="D3152" s="66">
        <v>6942421102076</v>
      </c>
      <c r="E3152" s="68" t="s">
        <v>11795</v>
      </c>
      <c r="F3152" s="66" t="s">
        <v>11796</v>
      </c>
      <c r="G3152" s="71">
        <v>1738</v>
      </c>
      <c r="H3152" s="73"/>
      <c r="I3152" s="75">
        <v>0.2</v>
      </c>
      <c r="J3152" s="77"/>
      <c r="K3152" s="66"/>
      <c r="L3152" s="66"/>
      <c r="M3152" s="79" t="str">
        <f>HYPERLINK("http://www.pristavka.com/catalog/Genshin Impact/GEN1159/")</f>
        <v>http://www.pristavka.com/catalog/Genshin Impact/GEN1159/</v>
      </c>
      <c r="N3152" s="71">
        <v>2899</v>
      </c>
      <c r="O3152" s="66" t="s">
        <v>27</v>
      </c>
      <c r="P3152" s="82" t="s">
        <v>11797</v>
      </c>
      <c r="Q3152" s="84" t="s">
        <v>1963</v>
      </c>
      <c r="R3152" s="84" t="s">
        <v>9605</v>
      </c>
      <c r="S3152" s="84">
        <v>2.8000000000000001E-2</v>
      </c>
      <c r="T3152" s="82" t="s">
        <v>11798</v>
      </c>
      <c r="U3152" s="84"/>
      <c r="V3152" s="54"/>
    </row>
    <row r="3153" spans="1:22" s="11" customFormat="1" ht="45" customHeight="1" x14ac:dyDescent="0.2">
      <c r="A3153" s="66" t="s">
        <v>1963</v>
      </c>
      <c r="B3153" s="66" t="s">
        <v>1155</v>
      </c>
      <c r="C3153" s="66" t="s">
        <v>9605</v>
      </c>
      <c r="D3153" s="66">
        <v>6942421114307</v>
      </c>
      <c r="E3153" s="68" t="s">
        <v>11799</v>
      </c>
      <c r="F3153" s="66" t="s">
        <v>11800</v>
      </c>
      <c r="G3153" s="71">
        <v>1896</v>
      </c>
      <c r="H3153" s="73"/>
      <c r="I3153" s="75">
        <v>0.2</v>
      </c>
      <c r="J3153" s="77"/>
      <c r="K3153" s="66"/>
      <c r="L3153" s="66"/>
      <c r="M3153" s="79" t="str">
        <f>HYPERLINK("http://www.pristavka.com/catalog/Genshin Impact/GEN1161/")</f>
        <v>http://www.pristavka.com/catalog/Genshin Impact/GEN1161/</v>
      </c>
      <c r="N3153" s="71">
        <v>3199</v>
      </c>
      <c r="O3153" s="66" t="s">
        <v>27</v>
      </c>
      <c r="P3153" s="82" t="s">
        <v>11801</v>
      </c>
      <c r="Q3153" s="84" t="s">
        <v>1963</v>
      </c>
      <c r="R3153" s="84" t="s">
        <v>9605</v>
      </c>
      <c r="S3153" s="84">
        <v>2.9000000000000001E-2</v>
      </c>
      <c r="T3153" s="82" t="s">
        <v>11802</v>
      </c>
      <c r="U3153" s="84"/>
      <c r="V3153" s="54"/>
    </row>
    <row r="3154" spans="1:22" s="11" customFormat="1" ht="45" customHeight="1" x14ac:dyDescent="0.2">
      <c r="A3154" s="66" t="s">
        <v>1963</v>
      </c>
      <c r="B3154" s="66" t="s">
        <v>1155</v>
      </c>
      <c r="C3154" s="66" t="s">
        <v>9605</v>
      </c>
      <c r="D3154" s="66">
        <v>6942421114390</v>
      </c>
      <c r="E3154" s="68" t="s">
        <v>11803</v>
      </c>
      <c r="F3154" s="66" t="s">
        <v>11804</v>
      </c>
      <c r="G3154" s="71">
        <v>1896</v>
      </c>
      <c r="H3154" s="73"/>
      <c r="I3154" s="75">
        <v>0.2</v>
      </c>
      <c r="J3154" s="77"/>
      <c r="K3154" s="66"/>
      <c r="L3154" s="66"/>
      <c r="M3154" s="79" t="str">
        <f>HYPERLINK("http://www.pristavka.com/catalog/Genshin Impact/GEN1162/")</f>
        <v>http://www.pristavka.com/catalog/Genshin Impact/GEN1162/</v>
      </c>
      <c r="N3154" s="71">
        <v>3199</v>
      </c>
      <c r="O3154" s="66" t="s">
        <v>27</v>
      </c>
      <c r="P3154" s="82" t="s">
        <v>11805</v>
      </c>
      <c r="Q3154" s="84" t="s">
        <v>1963</v>
      </c>
      <c r="R3154" s="84" t="s">
        <v>9605</v>
      </c>
      <c r="S3154" s="84">
        <v>2.9000000000000001E-2</v>
      </c>
      <c r="T3154" s="82" t="s">
        <v>11806</v>
      </c>
      <c r="U3154" s="84"/>
      <c r="V3154" s="54"/>
    </row>
    <row r="3155" spans="1:22" s="11" customFormat="1" ht="45" customHeight="1" x14ac:dyDescent="0.2">
      <c r="A3155" s="66" t="s">
        <v>1963</v>
      </c>
      <c r="B3155" s="66" t="s">
        <v>1155</v>
      </c>
      <c r="C3155" s="66" t="s">
        <v>9605</v>
      </c>
      <c r="D3155" s="66">
        <v>6942421102038</v>
      </c>
      <c r="E3155" s="68" t="s">
        <v>11807</v>
      </c>
      <c r="F3155" s="66" t="s">
        <v>11808</v>
      </c>
      <c r="G3155" s="71">
        <v>1738</v>
      </c>
      <c r="H3155" s="73"/>
      <c r="I3155" s="75">
        <v>0.2</v>
      </c>
      <c r="J3155" s="77"/>
      <c r="K3155" s="66"/>
      <c r="L3155" s="66"/>
      <c r="M3155" s="79" t="str">
        <f>HYPERLINK("http://www.pristavka.com/catalog/Genshin Impact/GEN1157/")</f>
        <v>http://www.pristavka.com/catalog/Genshin Impact/GEN1157/</v>
      </c>
      <c r="N3155" s="71">
        <v>2899</v>
      </c>
      <c r="O3155" s="66" t="s">
        <v>27</v>
      </c>
      <c r="P3155" s="82" t="s">
        <v>11809</v>
      </c>
      <c r="Q3155" s="84" t="s">
        <v>1963</v>
      </c>
      <c r="R3155" s="84" t="s">
        <v>9605</v>
      </c>
      <c r="S3155" s="84">
        <v>2.8000000000000001E-2</v>
      </c>
      <c r="T3155" s="82" t="s">
        <v>11802</v>
      </c>
      <c r="U3155" s="84"/>
      <c r="V3155" s="54"/>
    </row>
    <row r="3156" spans="1:22" s="11" customFormat="1" ht="45" customHeight="1" x14ac:dyDescent="0.2">
      <c r="A3156" s="66" t="s">
        <v>1963</v>
      </c>
      <c r="B3156" s="66" t="s">
        <v>1155</v>
      </c>
      <c r="C3156" s="66" t="s">
        <v>9605</v>
      </c>
      <c r="D3156" s="66">
        <v>6942421114284</v>
      </c>
      <c r="E3156" s="68" t="s">
        <v>11810</v>
      </c>
      <c r="F3156" s="66" t="s">
        <v>11811</v>
      </c>
      <c r="G3156" s="71">
        <v>1896</v>
      </c>
      <c r="H3156" s="73"/>
      <c r="I3156" s="75">
        <v>0.2</v>
      </c>
      <c r="J3156" s="77"/>
      <c r="K3156" s="66"/>
      <c r="L3156" s="66"/>
      <c r="M3156" s="79" t="str">
        <f>HYPERLINK("http://www.pristavka.com/catalog/Genshin Impact/GEN1160/")</f>
        <v>http://www.pristavka.com/catalog/Genshin Impact/GEN1160/</v>
      </c>
      <c r="N3156" s="71">
        <v>3199</v>
      </c>
      <c r="O3156" s="66" t="s">
        <v>27</v>
      </c>
      <c r="P3156" s="82" t="s">
        <v>11812</v>
      </c>
      <c r="Q3156" s="84" t="s">
        <v>1963</v>
      </c>
      <c r="R3156" s="84" t="s">
        <v>9605</v>
      </c>
      <c r="S3156" s="84">
        <v>0.03</v>
      </c>
      <c r="T3156" s="82" t="s">
        <v>11813</v>
      </c>
      <c r="U3156" s="84"/>
      <c r="V3156" s="54"/>
    </row>
    <row r="3157" spans="1:22" s="11" customFormat="1" ht="45" customHeight="1" x14ac:dyDescent="0.2">
      <c r="A3157" s="66" t="s">
        <v>1963</v>
      </c>
      <c r="B3157" s="66" t="s">
        <v>1155</v>
      </c>
      <c r="C3157" s="66" t="s">
        <v>9605</v>
      </c>
      <c r="D3157" s="66">
        <v>6942421102069</v>
      </c>
      <c r="E3157" s="68" t="s">
        <v>11814</v>
      </c>
      <c r="F3157" s="66" t="s">
        <v>11815</v>
      </c>
      <c r="G3157" s="71">
        <v>1738</v>
      </c>
      <c r="H3157" s="73"/>
      <c r="I3157" s="75">
        <v>0.2</v>
      </c>
      <c r="J3157" s="77"/>
      <c r="K3157" s="66"/>
      <c r="L3157" s="66"/>
      <c r="M3157" s="79" t="str">
        <f>HYPERLINK("http://www.pristavka.com/catalog/Genshin Impact/GEN1158/")</f>
        <v>http://www.pristavka.com/catalog/Genshin Impact/GEN1158/</v>
      </c>
      <c r="N3157" s="71">
        <v>2899</v>
      </c>
      <c r="O3157" s="66" t="s">
        <v>27</v>
      </c>
      <c r="P3157" s="82" t="s">
        <v>11816</v>
      </c>
      <c r="Q3157" s="84" t="s">
        <v>1963</v>
      </c>
      <c r="R3157" s="84" t="s">
        <v>9605</v>
      </c>
      <c r="S3157" s="84">
        <v>2.5000000000000001E-2</v>
      </c>
      <c r="T3157" s="82" t="s">
        <v>11813</v>
      </c>
      <c r="U3157" s="84"/>
      <c r="V3157" s="54"/>
    </row>
    <row r="3158" spans="1:22" s="11" customFormat="1" ht="45" customHeight="1" x14ac:dyDescent="0.2">
      <c r="A3158" s="66" t="s">
        <v>1963</v>
      </c>
      <c r="B3158" s="66" t="s">
        <v>1155</v>
      </c>
      <c r="C3158" s="66" t="s">
        <v>9605</v>
      </c>
      <c r="D3158" s="66">
        <v>6942421114376</v>
      </c>
      <c r="E3158" s="68" t="s">
        <v>11817</v>
      </c>
      <c r="F3158" s="66" t="s">
        <v>11818</v>
      </c>
      <c r="G3158" s="71">
        <v>1579</v>
      </c>
      <c r="H3158" s="73"/>
      <c r="I3158" s="75">
        <v>0.2</v>
      </c>
      <c r="J3158" s="77"/>
      <c r="K3158" s="66"/>
      <c r="L3158" s="66"/>
      <c r="M3158" s="79" t="str">
        <f>HYPERLINK("http://www.pristavka.com/catalog/Genshin Impact/GEN1232/")</f>
        <v>http://www.pristavka.com/catalog/Genshin Impact/GEN1232/</v>
      </c>
      <c r="N3158" s="71">
        <v>2699</v>
      </c>
      <c r="O3158" s="66" t="s">
        <v>27</v>
      </c>
      <c r="P3158" s="82" t="s">
        <v>11819</v>
      </c>
      <c r="Q3158" s="84" t="s">
        <v>1963</v>
      </c>
      <c r="R3158" s="84" t="s">
        <v>9605</v>
      </c>
      <c r="S3158" s="84">
        <v>2.8000000000000001E-2</v>
      </c>
      <c r="T3158" s="82" t="s">
        <v>11798</v>
      </c>
      <c r="U3158" s="84"/>
      <c r="V3158" s="54"/>
    </row>
    <row r="3159" spans="1:22" s="11" customFormat="1" ht="45" customHeight="1" x14ac:dyDescent="0.2">
      <c r="A3159" s="66" t="s">
        <v>1963</v>
      </c>
      <c r="B3159" s="66" t="s">
        <v>1155</v>
      </c>
      <c r="C3159" s="66" t="s">
        <v>9605</v>
      </c>
      <c r="D3159" s="66">
        <v>6942421114369</v>
      </c>
      <c r="E3159" s="68" t="s">
        <v>11820</v>
      </c>
      <c r="F3159" s="66" t="s">
        <v>11821</v>
      </c>
      <c r="G3159" s="71">
        <v>1579</v>
      </c>
      <c r="H3159" s="73"/>
      <c r="I3159" s="75">
        <v>0.2</v>
      </c>
      <c r="J3159" s="77"/>
      <c r="K3159" s="66"/>
      <c r="L3159" s="66"/>
      <c r="M3159" s="79" t="str">
        <f>HYPERLINK("http://www.pristavka.com/catalog/Genshin Impact/GEN1231/")</f>
        <v>http://www.pristavka.com/catalog/Genshin Impact/GEN1231/</v>
      </c>
      <c r="N3159" s="71">
        <v>2699</v>
      </c>
      <c r="O3159" s="66" t="s">
        <v>27</v>
      </c>
      <c r="P3159" s="82" t="s">
        <v>11822</v>
      </c>
      <c r="Q3159" s="84" t="s">
        <v>1963</v>
      </c>
      <c r="R3159" s="84" t="s">
        <v>9605</v>
      </c>
      <c r="S3159" s="84">
        <v>2.8000000000000001E-2</v>
      </c>
      <c r="T3159" s="82" t="s">
        <v>11798</v>
      </c>
      <c r="U3159" s="84"/>
      <c r="V3159" s="54"/>
    </row>
    <row r="3160" spans="1:22" s="11" customFormat="1" ht="45" customHeight="1" x14ac:dyDescent="0.2">
      <c r="A3160" s="66" t="s">
        <v>1963</v>
      </c>
      <c r="B3160" s="66" t="s">
        <v>1155</v>
      </c>
      <c r="C3160" s="66" t="s">
        <v>9605</v>
      </c>
      <c r="D3160" s="66">
        <v>6976068149767</v>
      </c>
      <c r="E3160" s="68" t="s">
        <v>11823</v>
      </c>
      <c r="F3160" s="66" t="s">
        <v>11824</v>
      </c>
      <c r="G3160" s="71">
        <v>6624</v>
      </c>
      <c r="H3160" s="73"/>
      <c r="I3160" s="75">
        <v>0.2</v>
      </c>
      <c r="J3160" s="77"/>
      <c r="K3160" s="66"/>
      <c r="L3160" s="66"/>
      <c r="M3160" s="79" t="str">
        <f>HYPERLINK("http://www.pristavka.com/catalog/Genshin Impact/GEN964/")</f>
        <v>http://www.pristavka.com/catalog/Genshin Impact/GEN964/</v>
      </c>
      <c r="N3160" s="71">
        <v>11099</v>
      </c>
      <c r="O3160" s="66" t="s">
        <v>27</v>
      </c>
      <c r="P3160" s="82" t="s">
        <v>11825</v>
      </c>
      <c r="Q3160" s="84" t="s">
        <v>1963</v>
      </c>
      <c r="R3160" s="84" t="s">
        <v>9605</v>
      </c>
      <c r="S3160" s="84">
        <v>0.68</v>
      </c>
      <c r="T3160" s="82" t="s">
        <v>11826</v>
      </c>
      <c r="U3160" s="84"/>
      <c r="V3160" s="54"/>
    </row>
    <row r="3161" spans="1:22" s="11" customFormat="1" ht="45" customHeight="1" x14ac:dyDescent="0.2">
      <c r="A3161" s="66" t="s">
        <v>1963</v>
      </c>
      <c r="B3161" s="66" t="s">
        <v>1155</v>
      </c>
      <c r="C3161" s="66" t="s">
        <v>9605</v>
      </c>
      <c r="D3161" s="66">
        <v>6974096534432</v>
      </c>
      <c r="E3161" s="68" t="s">
        <v>11827</v>
      </c>
      <c r="F3161" s="66" t="s">
        <v>11828</v>
      </c>
      <c r="G3161" s="71">
        <v>5990</v>
      </c>
      <c r="H3161" s="73"/>
      <c r="I3161" s="75">
        <v>0.2</v>
      </c>
      <c r="J3161" s="77"/>
      <c r="K3161" s="66"/>
      <c r="L3161" s="66"/>
      <c r="M3161" s="79" t="str">
        <f>HYPERLINK("http://www.pristavka.com/catalog/Genshin Impact/GEN410/")</f>
        <v>http://www.pristavka.com/catalog/Genshin Impact/GEN410/</v>
      </c>
      <c r="N3161" s="71">
        <v>9999</v>
      </c>
      <c r="O3161" s="66" t="s">
        <v>27</v>
      </c>
      <c r="P3161" s="82" t="s">
        <v>11829</v>
      </c>
      <c r="Q3161" s="84" t="s">
        <v>1963</v>
      </c>
      <c r="R3161" s="84" t="s">
        <v>9605</v>
      </c>
      <c r="S3161" s="84">
        <v>0.56399999999999995</v>
      </c>
      <c r="T3161" s="82" t="s">
        <v>11830</v>
      </c>
      <c r="U3161" s="84" t="s">
        <v>2255</v>
      </c>
      <c r="V3161" s="54"/>
    </row>
    <row r="3162" spans="1:22" s="11" customFormat="1" ht="45" customHeight="1" x14ac:dyDescent="0.2">
      <c r="A3162" s="66" t="s">
        <v>1963</v>
      </c>
      <c r="B3162" s="66" t="s">
        <v>1155</v>
      </c>
      <c r="C3162" s="66" t="s">
        <v>9605</v>
      </c>
      <c r="D3162" s="66">
        <v>6974696617771</v>
      </c>
      <c r="E3162" s="68" t="s">
        <v>11831</v>
      </c>
      <c r="F3162" s="66" t="s">
        <v>11832</v>
      </c>
      <c r="G3162" s="71">
        <v>5990</v>
      </c>
      <c r="H3162" s="73"/>
      <c r="I3162" s="75">
        <v>0.2</v>
      </c>
      <c r="J3162" s="77"/>
      <c r="K3162" s="66"/>
      <c r="L3162" s="66"/>
      <c r="M3162" s="79" t="str">
        <f>HYPERLINK("http://www.pristavka.com/catalog/Genshin Impact/GEN413/")</f>
        <v>http://www.pristavka.com/catalog/Genshin Impact/GEN413/</v>
      </c>
      <c r="N3162" s="71">
        <v>9999</v>
      </c>
      <c r="O3162" s="66" t="s">
        <v>27</v>
      </c>
      <c r="P3162" s="82" t="s">
        <v>11833</v>
      </c>
      <c r="Q3162" s="84" t="s">
        <v>1963</v>
      </c>
      <c r="R3162" s="84" t="s">
        <v>9605</v>
      </c>
      <c r="S3162" s="84">
        <v>0.63200000000000001</v>
      </c>
      <c r="T3162" s="82" t="s">
        <v>11834</v>
      </c>
      <c r="U3162" s="84" t="s">
        <v>2255</v>
      </c>
      <c r="V3162" s="54"/>
    </row>
    <row r="3163" spans="1:22" s="11" customFormat="1" ht="45" customHeight="1" x14ac:dyDescent="0.2">
      <c r="A3163" s="66" t="s">
        <v>1963</v>
      </c>
      <c r="B3163" s="66" t="s">
        <v>1155</v>
      </c>
      <c r="C3163" s="66" t="s">
        <v>9605</v>
      </c>
      <c r="D3163" s="66">
        <v>6975213683156</v>
      </c>
      <c r="E3163" s="68" t="s">
        <v>11835</v>
      </c>
      <c r="F3163" s="66" t="s">
        <v>11836</v>
      </c>
      <c r="G3163" s="71">
        <v>5990</v>
      </c>
      <c r="H3163" s="73"/>
      <c r="I3163" s="75">
        <v>0.2</v>
      </c>
      <c r="J3163" s="77"/>
      <c r="K3163" s="66"/>
      <c r="L3163" s="66"/>
      <c r="M3163" s="79" t="str">
        <f>HYPERLINK("http://www.pristavka.com/catalog/Genshin Impact/GEN420/")</f>
        <v>http://www.pristavka.com/catalog/Genshin Impact/GEN420/</v>
      </c>
      <c r="N3163" s="71">
        <v>9999</v>
      </c>
      <c r="O3163" s="66" t="s">
        <v>27</v>
      </c>
      <c r="P3163" s="82" t="s">
        <v>11837</v>
      </c>
      <c r="Q3163" s="84" t="s">
        <v>1963</v>
      </c>
      <c r="R3163" s="84" t="s">
        <v>9605</v>
      </c>
      <c r="S3163" s="84">
        <v>0.64500000000000002</v>
      </c>
      <c r="T3163" s="82" t="s">
        <v>11838</v>
      </c>
      <c r="U3163" s="84" t="s">
        <v>2255</v>
      </c>
      <c r="V3163" s="54"/>
    </row>
    <row r="3164" spans="1:22" s="11" customFormat="1" ht="45" customHeight="1" x14ac:dyDescent="0.2">
      <c r="A3164" s="66" t="s">
        <v>1963</v>
      </c>
      <c r="B3164" s="66" t="s">
        <v>1155</v>
      </c>
      <c r="C3164" s="66" t="s">
        <v>9605</v>
      </c>
      <c r="D3164" s="66">
        <v>6974696618969</v>
      </c>
      <c r="E3164" s="68" t="s">
        <v>11839</v>
      </c>
      <c r="F3164" s="66" t="s">
        <v>11840</v>
      </c>
      <c r="G3164" s="71">
        <v>5990</v>
      </c>
      <c r="H3164" s="73"/>
      <c r="I3164" s="75">
        <v>0.2</v>
      </c>
      <c r="J3164" s="77"/>
      <c r="K3164" s="66"/>
      <c r="L3164" s="66"/>
      <c r="M3164" s="79" t="str">
        <f>HYPERLINK("http://www.pristavka.com/catalog/Genshin Impact/GEN419/")</f>
        <v>http://www.pristavka.com/catalog/Genshin Impact/GEN419/</v>
      </c>
      <c r="N3164" s="71">
        <v>9999</v>
      </c>
      <c r="O3164" s="66" t="s">
        <v>27</v>
      </c>
      <c r="P3164" s="82" t="s">
        <v>11841</v>
      </c>
      <c r="Q3164" s="84" t="s">
        <v>1963</v>
      </c>
      <c r="R3164" s="84" t="s">
        <v>9605</v>
      </c>
      <c r="S3164" s="84">
        <v>0.57899999999999996</v>
      </c>
      <c r="T3164" s="82" t="s">
        <v>11834</v>
      </c>
      <c r="U3164" s="84" t="s">
        <v>2255</v>
      </c>
      <c r="V3164" s="54"/>
    </row>
    <row r="3165" spans="1:22" s="11" customFormat="1" ht="45" customHeight="1" x14ac:dyDescent="0.2">
      <c r="A3165" s="66" t="s">
        <v>1963</v>
      </c>
      <c r="B3165" s="66" t="s">
        <v>1155</v>
      </c>
      <c r="C3165" s="66" t="s">
        <v>9605</v>
      </c>
      <c r="D3165" s="66">
        <v>6974696618952</v>
      </c>
      <c r="E3165" s="68" t="s">
        <v>11842</v>
      </c>
      <c r="F3165" s="66" t="s">
        <v>11843</v>
      </c>
      <c r="G3165" s="71">
        <v>5990</v>
      </c>
      <c r="H3165" s="73"/>
      <c r="I3165" s="75">
        <v>0.2</v>
      </c>
      <c r="J3165" s="77"/>
      <c r="K3165" s="66"/>
      <c r="L3165" s="66"/>
      <c r="M3165" s="79" t="str">
        <f>HYPERLINK("http://www.pristavka.com/catalog/Genshin Impact/GEN418/")</f>
        <v>http://www.pristavka.com/catalog/Genshin Impact/GEN418/</v>
      </c>
      <c r="N3165" s="71">
        <v>9999</v>
      </c>
      <c r="O3165" s="66" t="s">
        <v>27</v>
      </c>
      <c r="P3165" s="82" t="s">
        <v>11844</v>
      </c>
      <c r="Q3165" s="84" t="s">
        <v>1963</v>
      </c>
      <c r="R3165" s="84" t="s">
        <v>9605</v>
      </c>
      <c r="S3165" s="84">
        <v>0.58399999999999996</v>
      </c>
      <c r="T3165" s="82" t="s">
        <v>11838</v>
      </c>
      <c r="U3165" s="84" t="s">
        <v>2255</v>
      </c>
      <c r="V3165" s="54"/>
    </row>
    <row r="3166" spans="1:22" s="11" customFormat="1" ht="45" customHeight="1" x14ac:dyDescent="0.2">
      <c r="A3166" s="66" t="s">
        <v>1963</v>
      </c>
      <c r="B3166" s="66" t="s">
        <v>1155</v>
      </c>
      <c r="C3166" s="66" t="s">
        <v>9605</v>
      </c>
      <c r="D3166" s="66">
        <v>6974696618990</v>
      </c>
      <c r="E3166" s="68" t="s">
        <v>11845</v>
      </c>
      <c r="F3166" s="66" t="s">
        <v>11846</v>
      </c>
      <c r="G3166" s="71">
        <v>5990</v>
      </c>
      <c r="H3166" s="73"/>
      <c r="I3166" s="75">
        <v>0.2</v>
      </c>
      <c r="J3166" s="77"/>
      <c r="K3166" s="66"/>
      <c r="L3166" s="66"/>
      <c r="M3166" s="79" t="str">
        <f>HYPERLINK("http://www.pristavka.com/catalog/Genshin Impact/GEN415/")</f>
        <v>http://www.pristavka.com/catalog/Genshin Impact/GEN415/</v>
      </c>
      <c r="N3166" s="71">
        <v>9999</v>
      </c>
      <c r="O3166" s="66" t="s">
        <v>27</v>
      </c>
      <c r="P3166" s="82" t="s">
        <v>11847</v>
      </c>
      <c r="Q3166" s="84" t="s">
        <v>1963</v>
      </c>
      <c r="R3166" s="84" t="s">
        <v>9605</v>
      </c>
      <c r="S3166" s="84">
        <v>0.67200000000000004</v>
      </c>
      <c r="T3166" s="82" t="s">
        <v>11838</v>
      </c>
      <c r="U3166" s="84" t="s">
        <v>2255</v>
      </c>
      <c r="V3166" s="54"/>
    </row>
    <row r="3167" spans="1:22" s="11" customFormat="1" ht="45" customHeight="1" x14ac:dyDescent="0.2">
      <c r="A3167" s="66" t="s">
        <v>1963</v>
      </c>
      <c r="B3167" s="66" t="s">
        <v>1155</v>
      </c>
      <c r="C3167" s="66" t="s">
        <v>9605</v>
      </c>
      <c r="D3167" s="66">
        <v>6975628240838</v>
      </c>
      <c r="E3167" s="68" t="s">
        <v>11848</v>
      </c>
      <c r="F3167" s="66" t="s">
        <v>11849</v>
      </c>
      <c r="G3167" s="71">
        <v>5990</v>
      </c>
      <c r="H3167" s="73"/>
      <c r="I3167" s="75">
        <v>0.2</v>
      </c>
      <c r="J3167" s="77"/>
      <c r="K3167" s="66"/>
      <c r="L3167" s="66"/>
      <c r="M3167" s="79" t="str">
        <f>HYPERLINK("http://www.pristavka.com/catalog/Genshin Impact/GEN422/")</f>
        <v>http://www.pristavka.com/catalog/Genshin Impact/GEN422/</v>
      </c>
      <c r="N3167" s="71">
        <v>9999</v>
      </c>
      <c r="O3167" s="66" t="s">
        <v>27</v>
      </c>
      <c r="P3167" s="82" t="s">
        <v>11850</v>
      </c>
      <c r="Q3167" s="84" t="s">
        <v>1963</v>
      </c>
      <c r="R3167" s="84" t="s">
        <v>9605</v>
      </c>
      <c r="S3167" s="84">
        <v>0.67400000000000004</v>
      </c>
      <c r="T3167" s="82" t="s">
        <v>11838</v>
      </c>
      <c r="U3167" s="84" t="s">
        <v>2255</v>
      </c>
      <c r="V3167" s="54"/>
    </row>
    <row r="3168" spans="1:22" s="11" customFormat="1" ht="45" customHeight="1" x14ac:dyDescent="0.2">
      <c r="A3168" s="66" t="s">
        <v>1963</v>
      </c>
      <c r="B3168" s="66" t="s">
        <v>1155</v>
      </c>
      <c r="C3168" s="66" t="s">
        <v>9605</v>
      </c>
      <c r="D3168" s="66">
        <v>6974696618983</v>
      </c>
      <c r="E3168" s="68" t="s">
        <v>11851</v>
      </c>
      <c r="F3168" s="66" t="s">
        <v>11852</v>
      </c>
      <c r="G3168" s="71">
        <v>5990</v>
      </c>
      <c r="H3168" s="73"/>
      <c r="I3168" s="75">
        <v>0.2</v>
      </c>
      <c r="J3168" s="77"/>
      <c r="K3168" s="66"/>
      <c r="L3168" s="66"/>
      <c r="M3168" s="79" t="str">
        <f>HYPERLINK("http://www.pristavka.com/catalog/Genshin Impact/GEN416/")</f>
        <v>http://www.pristavka.com/catalog/Genshin Impact/GEN416/</v>
      </c>
      <c r="N3168" s="71">
        <v>9999</v>
      </c>
      <c r="O3168" s="66" t="s">
        <v>27</v>
      </c>
      <c r="P3168" s="82" t="s">
        <v>11853</v>
      </c>
      <c r="Q3168" s="84" t="s">
        <v>1963</v>
      </c>
      <c r="R3168" s="84" t="s">
        <v>9605</v>
      </c>
      <c r="S3168" s="84">
        <v>0.63300000000000001</v>
      </c>
      <c r="T3168" s="82" t="s">
        <v>11834</v>
      </c>
      <c r="U3168" s="84" t="s">
        <v>2255</v>
      </c>
      <c r="V3168" s="54"/>
    </row>
    <row r="3169" spans="1:22" s="11" customFormat="1" ht="45" customHeight="1" x14ac:dyDescent="0.2">
      <c r="A3169" s="66" t="s">
        <v>1963</v>
      </c>
      <c r="B3169" s="66" t="s">
        <v>1155</v>
      </c>
      <c r="C3169" s="66" t="s">
        <v>9605</v>
      </c>
      <c r="D3169" s="66">
        <v>6972957488900</v>
      </c>
      <c r="E3169" s="68" t="s">
        <v>11854</v>
      </c>
      <c r="F3169" s="66" t="s">
        <v>11855</v>
      </c>
      <c r="G3169" s="71">
        <v>5990</v>
      </c>
      <c r="H3169" s="73"/>
      <c r="I3169" s="75">
        <v>0.2</v>
      </c>
      <c r="J3169" s="77"/>
      <c r="K3169" s="66"/>
      <c r="L3169" s="66"/>
      <c r="M3169" s="79" t="str">
        <f>HYPERLINK("http://www.pristavka.com/catalog/Genshin Impact/GEN409/")</f>
        <v>http://www.pristavka.com/catalog/Genshin Impact/GEN409/</v>
      </c>
      <c r="N3169" s="71">
        <v>9999</v>
      </c>
      <c r="O3169" s="66" t="s">
        <v>27</v>
      </c>
      <c r="P3169" s="82" t="s">
        <v>11856</v>
      </c>
      <c r="Q3169" s="84" t="s">
        <v>1963</v>
      </c>
      <c r="R3169" s="84" t="s">
        <v>9605</v>
      </c>
      <c r="S3169" s="84">
        <v>0.60599999999999998</v>
      </c>
      <c r="T3169" s="82" t="s">
        <v>11830</v>
      </c>
      <c r="U3169" s="84" t="s">
        <v>2255</v>
      </c>
      <c r="V3169" s="54"/>
    </row>
    <row r="3170" spans="1:22" s="11" customFormat="1" ht="45" customHeight="1" x14ac:dyDescent="0.2">
      <c r="A3170" s="66" t="s">
        <v>1963</v>
      </c>
      <c r="B3170" s="66" t="s">
        <v>1155</v>
      </c>
      <c r="C3170" s="66" t="s">
        <v>9605</v>
      </c>
      <c r="D3170" s="66">
        <v>6975213683170</v>
      </c>
      <c r="E3170" s="68" t="s">
        <v>11857</v>
      </c>
      <c r="F3170" s="66" t="s">
        <v>11858</v>
      </c>
      <c r="G3170" s="71">
        <v>5990</v>
      </c>
      <c r="H3170" s="73"/>
      <c r="I3170" s="75">
        <v>0.2</v>
      </c>
      <c r="J3170" s="77"/>
      <c r="K3170" s="66"/>
      <c r="L3170" s="66"/>
      <c r="M3170" s="79" t="str">
        <f>HYPERLINK("http://www.pristavka.com/catalog/Genshin Impact/GEN421/")</f>
        <v>http://www.pristavka.com/catalog/Genshin Impact/GEN421/</v>
      </c>
      <c r="N3170" s="71">
        <v>9999</v>
      </c>
      <c r="O3170" s="66" t="s">
        <v>27</v>
      </c>
      <c r="P3170" s="82" t="s">
        <v>11859</v>
      </c>
      <c r="Q3170" s="84" t="s">
        <v>1963</v>
      </c>
      <c r="R3170" s="84" t="s">
        <v>9605</v>
      </c>
      <c r="S3170" s="84">
        <v>0.59499999999999997</v>
      </c>
      <c r="T3170" s="82" t="s">
        <v>11838</v>
      </c>
      <c r="U3170" s="84" t="s">
        <v>2255</v>
      </c>
      <c r="V3170" s="54"/>
    </row>
    <row r="3171" spans="1:22" s="11" customFormat="1" ht="45" customHeight="1" x14ac:dyDescent="0.2">
      <c r="A3171" s="66" t="s">
        <v>1963</v>
      </c>
      <c r="B3171" s="66" t="s">
        <v>1155</v>
      </c>
      <c r="C3171" s="66" t="s">
        <v>9605</v>
      </c>
      <c r="D3171" s="66">
        <v>6942421103479</v>
      </c>
      <c r="E3171" s="68" t="s">
        <v>11860</v>
      </c>
      <c r="F3171" s="66" t="s">
        <v>11861</v>
      </c>
      <c r="G3171" s="71">
        <v>9476</v>
      </c>
      <c r="H3171" s="73"/>
      <c r="I3171" s="75">
        <v>0.2</v>
      </c>
      <c r="J3171" s="77"/>
      <c r="K3171" s="66"/>
      <c r="L3171" s="66"/>
      <c r="M3171" s="79" t="str">
        <f>HYPERLINK("http://www.pristavka.com/catalog/Genshin Impact/GEN1172/")</f>
        <v>http://www.pristavka.com/catalog/Genshin Impact/GEN1172/</v>
      </c>
      <c r="N3171" s="71">
        <v>15799</v>
      </c>
      <c r="O3171" s="66" t="s">
        <v>27</v>
      </c>
      <c r="P3171" s="82" t="s">
        <v>11862</v>
      </c>
      <c r="Q3171" s="84" t="s">
        <v>1963</v>
      </c>
      <c r="R3171" s="84" t="s">
        <v>9605</v>
      </c>
      <c r="S3171" s="84">
        <v>0.63300000000000001</v>
      </c>
      <c r="T3171" s="82" t="s">
        <v>11863</v>
      </c>
      <c r="U3171" s="84"/>
      <c r="V3171" s="54"/>
    </row>
    <row r="3172" spans="1:22" s="11" customFormat="1" ht="45" customHeight="1" x14ac:dyDescent="0.2">
      <c r="A3172" s="66" t="s">
        <v>1963</v>
      </c>
      <c r="B3172" s="66" t="s">
        <v>1155</v>
      </c>
      <c r="C3172" s="66" t="s">
        <v>9605</v>
      </c>
      <c r="D3172" s="66">
        <v>6942421134213</v>
      </c>
      <c r="E3172" s="68" t="s">
        <v>11864</v>
      </c>
      <c r="F3172" s="66" t="s">
        <v>11865</v>
      </c>
      <c r="G3172" s="71">
        <v>7892</v>
      </c>
      <c r="H3172" s="73"/>
      <c r="I3172" s="75">
        <v>0.2</v>
      </c>
      <c r="J3172" s="77"/>
      <c r="K3172" s="66"/>
      <c r="L3172" s="66"/>
      <c r="M3172" s="79" t="str">
        <f>HYPERLINK("http://www.pristavka.com/catalog/Genshin Impact/GEN1291/")</f>
        <v>http://www.pristavka.com/catalog/Genshin Impact/GEN1291/</v>
      </c>
      <c r="N3172" s="71">
        <v>13199</v>
      </c>
      <c r="O3172" s="66" t="s">
        <v>27</v>
      </c>
      <c r="P3172" s="82" t="s">
        <v>11866</v>
      </c>
      <c r="Q3172" s="84" t="s">
        <v>1963</v>
      </c>
      <c r="R3172" s="84" t="s">
        <v>9605</v>
      </c>
      <c r="S3172" s="84">
        <v>0.64500000000000002</v>
      </c>
      <c r="T3172" s="82" t="s">
        <v>11863</v>
      </c>
      <c r="U3172" s="84"/>
      <c r="V3172" s="54"/>
    </row>
    <row r="3173" spans="1:22" s="11" customFormat="1" ht="45" customHeight="1" x14ac:dyDescent="0.2">
      <c r="A3173" s="66" t="s">
        <v>1963</v>
      </c>
      <c r="B3173" s="66" t="s">
        <v>1155</v>
      </c>
      <c r="C3173" s="66" t="s">
        <v>9605</v>
      </c>
      <c r="D3173" s="66">
        <v>6942421148395</v>
      </c>
      <c r="E3173" s="68" t="s">
        <v>11867</v>
      </c>
      <c r="F3173" s="66" t="s">
        <v>11868</v>
      </c>
      <c r="G3173" s="71">
        <v>7575</v>
      </c>
      <c r="H3173" s="73"/>
      <c r="I3173" s="75">
        <v>0.2</v>
      </c>
      <c r="J3173" s="77"/>
      <c r="K3173" s="66"/>
      <c r="L3173" s="66"/>
      <c r="M3173" s="79" t="str">
        <f>HYPERLINK("http://www.pristavka.com/catalog/Genshin Impact/GEN1376/")</f>
        <v>http://www.pristavka.com/catalog/Genshin Impact/GEN1376/</v>
      </c>
      <c r="N3173" s="71">
        <v>12699</v>
      </c>
      <c r="O3173" s="66" t="s">
        <v>27</v>
      </c>
      <c r="P3173" s="82" t="s">
        <v>11869</v>
      </c>
      <c r="Q3173" s="84" t="s">
        <v>1963</v>
      </c>
      <c r="R3173" s="84" t="s">
        <v>9605</v>
      </c>
      <c r="S3173" s="84">
        <v>0.64400000000000002</v>
      </c>
      <c r="T3173" s="82" t="s">
        <v>11870</v>
      </c>
      <c r="U3173" s="84"/>
      <c r="V3173" s="54"/>
    </row>
    <row r="3174" spans="1:22" s="11" customFormat="1" ht="45" customHeight="1" x14ac:dyDescent="0.2">
      <c r="A3174" s="66" t="s">
        <v>1963</v>
      </c>
      <c r="B3174" s="66" t="s">
        <v>1155</v>
      </c>
      <c r="C3174" s="66" t="s">
        <v>9605</v>
      </c>
      <c r="D3174" s="66">
        <v>6975628248445</v>
      </c>
      <c r="E3174" s="68" t="s">
        <v>11871</v>
      </c>
      <c r="F3174" s="66" t="s">
        <v>11872</v>
      </c>
      <c r="G3174" s="71">
        <v>10110</v>
      </c>
      <c r="H3174" s="73"/>
      <c r="I3174" s="75">
        <v>0.2</v>
      </c>
      <c r="J3174" s="77"/>
      <c r="K3174" s="66"/>
      <c r="L3174" s="66"/>
      <c r="M3174" s="79" t="str">
        <f>HYPERLINK("http://www.pristavka.com/catalog/Genshin Impact/GEN777/")</f>
        <v>http://www.pristavka.com/catalog/Genshin Impact/GEN777/</v>
      </c>
      <c r="N3174" s="71">
        <v>16899</v>
      </c>
      <c r="O3174" s="66" t="s">
        <v>28</v>
      </c>
      <c r="P3174" s="82" t="s">
        <v>11873</v>
      </c>
      <c r="Q3174" s="84" t="s">
        <v>1963</v>
      </c>
      <c r="R3174" s="84" t="s">
        <v>9605</v>
      </c>
      <c r="S3174" s="84">
        <v>0.67</v>
      </c>
      <c r="T3174" s="82" t="s">
        <v>11826</v>
      </c>
      <c r="U3174" s="84"/>
      <c r="V3174" s="54"/>
    </row>
    <row r="3175" spans="1:22" s="11" customFormat="1" ht="45" customHeight="1" x14ac:dyDescent="0.2">
      <c r="A3175" s="66" t="s">
        <v>1963</v>
      </c>
      <c r="B3175" s="66" t="s">
        <v>1155</v>
      </c>
      <c r="C3175" s="66" t="s">
        <v>9605</v>
      </c>
      <c r="D3175" s="66">
        <v>6976525000273</v>
      </c>
      <c r="E3175" s="68" t="s">
        <v>11874</v>
      </c>
      <c r="F3175" s="66" t="s">
        <v>11875</v>
      </c>
      <c r="G3175" s="71">
        <v>6941</v>
      </c>
      <c r="H3175" s="73"/>
      <c r="I3175" s="75">
        <v>0.2</v>
      </c>
      <c r="J3175" s="77"/>
      <c r="K3175" s="66"/>
      <c r="L3175" s="66"/>
      <c r="M3175" s="79" t="str">
        <f>HYPERLINK("http://www.pristavka.com/catalog/Genshin Impact/GEN931/")</f>
        <v>http://www.pristavka.com/catalog/Genshin Impact/GEN931/</v>
      </c>
      <c r="N3175" s="71">
        <v>11599</v>
      </c>
      <c r="O3175" s="66" t="s">
        <v>27</v>
      </c>
      <c r="P3175" s="82" t="s">
        <v>11876</v>
      </c>
      <c r="Q3175" s="84" t="s">
        <v>1963</v>
      </c>
      <c r="R3175" s="84" t="s">
        <v>9605</v>
      </c>
      <c r="S3175" s="84">
        <v>0.66400000000000003</v>
      </c>
      <c r="T3175" s="82" t="s">
        <v>11826</v>
      </c>
      <c r="U3175" s="84"/>
      <c r="V3175" s="54"/>
    </row>
    <row r="3176" spans="1:22" s="11" customFormat="1" ht="45" customHeight="1" x14ac:dyDescent="0.2">
      <c r="A3176" s="66" t="s">
        <v>1963</v>
      </c>
      <c r="B3176" s="66" t="s">
        <v>1155</v>
      </c>
      <c r="C3176" s="66" t="s">
        <v>9605</v>
      </c>
      <c r="D3176" s="66">
        <v>6976068144793</v>
      </c>
      <c r="E3176" s="68" t="s">
        <v>11877</v>
      </c>
      <c r="F3176" s="66" t="s">
        <v>11878</v>
      </c>
      <c r="G3176" s="71">
        <v>2055</v>
      </c>
      <c r="H3176" s="73"/>
      <c r="I3176" s="75">
        <v>0.2</v>
      </c>
      <c r="J3176" s="77"/>
      <c r="K3176" s="66"/>
      <c r="L3176" s="66"/>
      <c r="M3176" s="79" t="str">
        <f>HYPERLINK("http://www.pristavka.com/catalog/Genshin Impact/GEN933/")</f>
        <v>http://www.pristavka.com/catalog/Genshin Impact/GEN933/</v>
      </c>
      <c r="N3176" s="71">
        <v>3499</v>
      </c>
      <c r="O3176" s="66" t="s">
        <v>28</v>
      </c>
      <c r="P3176" s="82" t="s">
        <v>11879</v>
      </c>
      <c r="Q3176" s="84" t="s">
        <v>1963</v>
      </c>
      <c r="R3176" s="84" t="s">
        <v>9605</v>
      </c>
      <c r="S3176" s="84">
        <v>0.14499999999999999</v>
      </c>
      <c r="T3176" s="82" t="s">
        <v>11880</v>
      </c>
      <c r="U3176" s="84"/>
      <c r="V3176" s="54"/>
    </row>
    <row r="3177" spans="1:22" s="11" customFormat="1" ht="45" customHeight="1" x14ac:dyDescent="0.2">
      <c r="A3177" s="66" t="s">
        <v>1963</v>
      </c>
      <c r="B3177" s="66" t="s">
        <v>1155</v>
      </c>
      <c r="C3177" s="66" t="s">
        <v>9605</v>
      </c>
      <c r="D3177" s="66">
        <v>6942421132752</v>
      </c>
      <c r="E3177" s="68" t="s">
        <v>11881</v>
      </c>
      <c r="F3177" s="66" t="s">
        <v>11882</v>
      </c>
      <c r="G3177" s="71">
        <v>1896</v>
      </c>
      <c r="H3177" s="73"/>
      <c r="I3177" s="75">
        <v>0.2</v>
      </c>
      <c r="J3177" s="77"/>
      <c r="K3177" s="66"/>
      <c r="L3177" s="66"/>
      <c r="M3177" s="79" t="str">
        <f>HYPERLINK("http://www.pristavka.com/catalog/Genshin Impact/GEN1270/")</f>
        <v>http://www.pristavka.com/catalog/Genshin Impact/GEN1270/</v>
      </c>
      <c r="N3177" s="71">
        <v>3199</v>
      </c>
      <c r="O3177" s="66" t="s">
        <v>27</v>
      </c>
      <c r="P3177" s="82" t="s">
        <v>11883</v>
      </c>
      <c r="Q3177" s="84" t="s">
        <v>1963</v>
      </c>
      <c r="R3177" s="84" t="s">
        <v>9605</v>
      </c>
      <c r="S3177" s="84">
        <v>3.2000000000000001E-2</v>
      </c>
      <c r="T3177" s="82" t="s">
        <v>11775</v>
      </c>
      <c r="U3177" s="84"/>
      <c r="V3177" s="54"/>
    </row>
    <row r="3178" spans="1:22" s="11" customFormat="1" ht="45" customHeight="1" x14ac:dyDescent="0.2">
      <c r="A3178" s="66" t="s">
        <v>1963</v>
      </c>
      <c r="B3178" s="66" t="s">
        <v>1155</v>
      </c>
      <c r="C3178" s="66" t="s">
        <v>9605</v>
      </c>
      <c r="D3178" s="66">
        <v>6942421132745</v>
      </c>
      <c r="E3178" s="68" t="s">
        <v>11884</v>
      </c>
      <c r="F3178" s="66" t="s">
        <v>11885</v>
      </c>
      <c r="G3178" s="71">
        <v>1896</v>
      </c>
      <c r="H3178" s="73"/>
      <c r="I3178" s="75">
        <v>0.2</v>
      </c>
      <c r="J3178" s="77"/>
      <c r="K3178" s="66"/>
      <c r="L3178" s="66"/>
      <c r="M3178" s="79" t="str">
        <f>HYPERLINK("http://www.pristavka.com/catalog/Genshin Impact/GEN1269/")</f>
        <v>http://www.pristavka.com/catalog/Genshin Impact/GEN1269/</v>
      </c>
      <c r="N3178" s="71">
        <v>3199</v>
      </c>
      <c r="O3178" s="66" t="s">
        <v>27</v>
      </c>
      <c r="P3178" s="82" t="s">
        <v>11886</v>
      </c>
      <c r="Q3178" s="84" t="s">
        <v>1963</v>
      </c>
      <c r="R3178" s="84" t="s">
        <v>9605</v>
      </c>
      <c r="S3178" s="84">
        <v>0.03</v>
      </c>
      <c r="T3178" s="82" t="s">
        <v>11887</v>
      </c>
      <c r="U3178" s="84"/>
      <c r="V3178" s="54"/>
    </row>
    <row r="3179" spans="1:22" s="11" customFormat="1" ht="45" customHeight="1" x14ac:dyDescent="0.2">
      <c r="A3179" s="66" t="s">
        <v>1963</v>
      </c>
      <c r="B3179" s="66" t="s">
        <v>1155</v>
      </c>
      <c r="C3179" s="66" t="s">
        <v>9605</v>
      </c>
      <c r="D3179" s="66">
        <v>6942421132790</v>
      </c>
      <c r="E3179" s="68" t="s">
        <v>11888</v>
      </c>
      <c r="F3179" s="66" t="s">
        <v>11889</v>
      </c>
      <c r="G3179" s="71">
        <v>1896</v>
      </c>
      <c r="H3179" s="73"/>
      <c r="I3179" s="75">
        <v>0.2</v>
      </c>
      <c r="J3179" s="77"/>
      <c r="K3179" s="66"/>
      <c r="L3179" s="66"/>
      <c r="M3179" s="79" t="str">
        <f>HYPERLINK("http://www.pristavka.com/catalog/Genshin Impact/GEN1271/")</f>
        <v>http://www.pristavka.com/catalog/Genshin Impact/GEN1271/</v>
      </c>
      <c r="N3179" s="71">
        <v>3199</v>
      </c>
      <c r="O3179" s="66" t="s">
        <v>27</v>
      </c>
      <c r="P3179" s="82" t="s">
        <v>11890</v>
      </c>
      <c r="Q3179" s="84" t="s">
        <v>1963</v>
      </c>
      <c r="R3179" s="84" t="s">
        <v>9605</v>
      </c>
      <c r="S3179" s="84">
        <v>3.2000000000000001E-2</v>
      </c>
      <c r="T3179" s="82" t="s">
        <v>11775</v>
      </c>
      <c r="U3179" s="84"/>
      <c r="V3179" s="54"/>
    </row>
    <row r="3180" spans="1:22" s="11" customFormat="1" ht="45" customHeight="1" x14ac:dyDescent="0.2">
      <c r="A3180" s="66" t="s">
        <v>1963</v>
      </c>
      <c r="B3180" s="66" t="s">
        <v>1155</v>
      </c>
      <c r="C3180" s="66" t="s">
        <v>9605</v>
      </c>
      <c r="D3180" s="66">
        <v>6942421107453</v>
      </c>
      <c r="E3180" s="68" t="s">
        <v>11891</v>
      </c>
      <c r="F3180" s="66" t="s">
        <v>11892</v>
      </c>
      <c r="G3180" s="71">
        <v>4088</v>
      </c>
      <c r="H3180" s="73"/>
      <c r="I3180" s="75">
        <v>0.2</v>
      </c>
      <c r="J3180" s="77"/>
      <c r="K3180" s="66"/>
      <c r="L3180" s="66"/>
      <c r="M3180" s="79" t="str">
        <f>HYPERLINK("http://www.pristavka.com/catalog/Genshin Impact/GEN1114/")</f>
        <v>http://www.pristavka.com/catalog/Genshin Impact/GEN1114/</v>
      </c>
      <c r="N3180" s="71">
        <v>6899</v>
      </c>
      <c r="O3180" s="66" t="s">
        <v>27</v>
      </c>
      <c r="P3180" s="82" t="s">
        <v>11893</v>
      </c>
      <c r="Q3180" s="84" t="s">
        <v>1963</v>
      </c>
      <c r="R3180" s="84" t="s">
        <v>9605</v>
      </c>
      <c r="S3180" s="84">
        <v>3.4000000000000002E-2</v>
      </c>
      <c r="T3180" s="82" t="s">
        <v>1135</v>
      </c>
      <c r="U3180" s="84"/>
      <c r="V3180" s="54"/>
    </row>
    <row r="3181" spans="1:22" s="11" customFormat="1" ht="45" customHeight="1" x14ac:dyDescent="0.2">
      <c r="A3181" s="66" t="s">
        <v>1963</v>
      </c>
      <c r="B3181" s="66" t="s">
        <v>1155</v>
      </c>
      <c r="C3181" s="66" t="s">
        <v>9605</v>
      </c>
      <c r="D3181" s="66">
        <v>6974696610918</v>
      </c>
      <c r="E3181" s="68" t="s">
        <v>11894</v>
      </c>
      <c r="F3181" s="66" t="s">
        <v>11895</v>
      </c>
      <c r="G3181" s="71">
        <v>15815</v>
      </c>
      <c r="H3181" s="73"/>
      <c r="I3181" s="75">
        <v>0.2</v>
      </c>
      <c r="J3181" s="77"/>
      <c r="K3181" s="66"/>
      <c r="L3181" s="66"/>
      <c r="M3181" s="79" t="str">
        <f>HYPERLINK("http://www.pristavka.com/catalog/Genshin Impact/GEN652/")</f>
        <v>http://www.pristavka.com/catalog/Genshin Impact/GEN652/</v>
      </c>
      <c r="N3181" s="71">
        <v>26399</v>
      </c>
      <c r="O3181" s="66" t="s">
        <v>27</v>
      </c>
      <c r="P3181" s="82" t="s">
        <v>11896</v>
      </c>
      <c r="Q3181" s="84" t="s">
        <v>1963</v>
      </c>
      <c r="R3181" s="84" t="s">
        <v>9605</v>
      </c>
      <c r="S3181" s="84">
        <v>0.10199999999999999</v>
      </c>
      <c r="T3181" s="82" t="s">
        <v>10831</v>
      </c>
      <c r="U3181" s="84"/>
      <c r="V3181" s="54"/>
    </row>
    <row r="3182" spans="1:22" s="11" customFormat="1" ht="45" customHeight="1" x14ac:dyDescent="0.2">
      <c r="A3182" s="66" t="s">
        <v>1963</v>
      </c>
      <c r="B3182" s="66" t="s">
        <v>1155</v>
      </c>
      <c r="C3182" s="66" t="s">
        <v>9605</v>
      </c>
      <c r="D3182" s="66">
        <v>6942421130536</v>
      </c>
      <c r="E3182" s="68" t="s">
        <v>11897</v>
      </c>
      <c r="F3182" s="66" t="s">
        <v>11898</v>
      </c>
      <c r="G3182" s="71">
        <v>6307</v>
      </c>
      <c r="H3182" s="73"/>
      <c r="I3182" s="75">
        <v>0.2</v>
      </c>
      <c r="J3182" s="77"/>
      <c r="K3182" s="66"/>
      <c r="L3182" s="66"/>
      <c r="M3182" s="79" t="str">
        <f>HYPERLINK("http://www.pristavka.com/catalog/Genshin Impact/GEN1352/")</f>
        <v>http://www.pristavka.com/catalog/Genshin Impact/GEN1352/</v>
      </c>
      <c r="N3182" s="71">
        <v>10599</v>
      </c>
      <c r="O3182" s="66" t="s">
        <v>27</v>
      </c>
      <c r="P3182" s="82" t="s">
        <v>11899</v>
      </c>
      <c r="Q3182" s="84" t="s">
        <v>1963</v>
      </c>
      <c r="R3182" s="84" t="s">
        <v>9605</v>
      </c>
      <c r="S3182" s="84">
        <v>0.63200000000000001</v>
      </c>
      <c r="T3182" s="82" t="s">
        <v>11900</v>
      </c>
      <c r="U3182" s="84"/>
      <c r="V3182" s="54"/>
    </row>
    <row r="3183" spans="1:22" s="11" customFormat="1" ht="45" customHeight="1" x14ac:dyDescent="0.2">
      <c r="A3183" s="66" t="s">
        <v>1963</v>
      </c>
      <c r="B3183" s="66" t="s">
        <v>1155</v>
      </c>
      <c r="C3183" s="66" t="s">
        <v>9605</v>
      </c>
      <c r="D3183" s="66">
        <v>6942421130581</v>
      </c>
      <c r="E3183" s="68" t="s">
        <v>11901</v>
      </c>
      <c r="F3183" s="66" t="s">
        <v>11902</v>
      </c>
      <c r="G3183" s="71">
        <v>6307</v>
      </c>
      <c r="H3183" s="73"/>
      <c r="I3183" s="75">
        <v>0.2</v>
      </c>
      <c r="J3183" s="77"/>
      <c r="K3183" s="66"/>
      <c r="L3183" s="66"/>
      <c r="M3183" s="79" t="str">
        <f>HYPERLINK("http://www.pristavka.com/catalog/Genshin Impact/GEN1357/")</f>
        <v>http://www.pristavka.com/catalog/Genshin Impact/GEN1357/</v>
      </c>
      <c r="N3183" s="71">
        <v>10599</v>
      </c>
      <c r="O3183" s="66" t="s">
        <v>27</v>
      </c>
      <c r="P3183" s="82" t="s">
        <v>11903</v>
      </c>
      <c r="Q3183" s="84" t="s">
        <v>1963</v>
      </c>
      <c r="R3183" s="84" t="s">
        <v>9605</v>
      </c>
      <c r="S3183" s="84">
        <v>0.63</v>
      </c>
      <c r="T3183" s="82" t="s">
        <v>11904</v>
      </c>
      <c r="U3183" s="84"/>
      <c r="V3183" s="54"/>
    </row>
    <row r="3184" spans="1:22" s="11" customFormat="1" ht="45" customHeight="1" x14ac:dyDescent="0.2">
      <c r="A3184" s="66" t="s">
        <v>1963</v>
      </c>
      <c r="B3184" s="66" t="s">
        <v>1155</v>
      </c>
      <c r="C3184" s="66" t="s">
        <v>9605</v>
      </c>
      <c r="D3184" s="66">
        <v>6942421130543</v>
      </c>
      <c r="E3184" s="68" t="s">
        <v>11905</v>
      </c>
      <c r="F3184" s="66" t="s">
        <v>11906</v>
      </c>
      <c r="G3184" s="71">
        <v>6307</v>
      </c>
      <c r="H3184" s="73"/>
      <c r="I3184" s="75">
        <v>0.2</v>
      </c>
      <c r="J3184" s="77"/>
      <c r="K3184" s="66"/>
      <c r="L3184" s="66"/>
      <c r="M3184" s="79" t="str">
        <f>HYPERLINK("http://www.pristavka.com/catalog/Genshin Impact/GEN1353/")</f>
        <v>http://www.pristavka.com/catalog/Genshin Impact/GEN1353/</v>
      </c>
      <c r="N3184" s="71">
        <v>10599</v>
      </c>
      <c r="O3184" s="66" t="s">
        <v>27</v>
      </c>
      <c r="P3184" s="82" t="s">
        <v>11907</v>
      </c>
      <c r="Q3184" s="84" t="s">
        <v>1963</v>
      </c>
      <c r="R3184" s="84" t="s">
        <v>9605</v>
      </c>
      <c r="S3184" s="84">
        <v>0.63800000000000001</v>
      </c>
      <c r="T3184" s="82" t="s">
        <v>11904</v>
      </c>
      <c r="U3184" s="84"/>
      <c r="V3184" s="54"/>
    </row>
    <row r="3185" spans="1:22" s="11" customFormat="1" ht="45" customHeight="1" x14ac:dyDescent="0.2">
      <c r="A3185" s="66" t="s">
        <v>1963</v>
      </c>
      <c r="B3185" s="66" t="s">
        <v>1155</v>
      </c>
      <c r="C3185" s="66" t="s">
        <v>9605</v>
      </c>
      <c r="D3185" s="66">
        <v>6942421130550</v>
      </c>
      <c r="E3185" s="68" t="s">
        <v>11908</v>
      </c>
      <c r="F3185" s="66" t="s">
        <v>11909</v>
      </c>
      <c r="G3185" s="71">
        <v>6307</v>
      </c>
      <c r="H3185" s="73"/>
      <c r="I3185" s="75">
        <v>0.2</v>
      </c>
      <c r="J3185" s="77"/>
      <c r="K3185" s="66"/>
      <c r="L3185" s="66"/>
      <c r="M3185" s="79" t="str">
        <f>HYPERLINK("http://www.pristavka.com/catalog/Genshin Impact/GEN1354/")</f>
        <v>http://www.pristavka.com/catalog/Genshin Impact/GEN1354/</v>
      </c>
      <c r="N3185" s="71">
        <v>10599</v>
      </c>
      <c r="O3185" s="66" t="s">
        <v>27</v>
      </c>
      <c r="P3185" s="82" t="s">
        <v>11910</v>
      </c>
      <c r="Q3185" s="84" t="s">
        <v>1963</v>
      </c>
      <c r="R3185" s="84" t="s">
        <v>9605</v>
      </c>
      <c r="S3185" s="84">
        <v>0.63</v>
      </c>
      <c r="T3185" s="82" t="s">
        <v>11904</v>
      </c>
      <c r="U3185" s="84"/>
      <c r="V3185" s="54"/>
    </row>
    <row r="3186" spans="1:22" s="11" customFormat="1" ht="45" customHeight="1" x14ac:dyDescent="0.2">
      <c r="A3186" s="66" t="s">
        <v>1963</v>
      </c>
      <c r="B3186" s="66" t="s">
        <v>1155</v>
      </c>
      <c r="C3186" s="66" t="s">
        <v>9605</v>
      </c>
      <c r="D3186" s="66">
        <v>6942421130574</v>
      </c>
      <c r="E3186" s="68" t="s">
        <v>11911</v>
      </c>
      <c r="F3186" s="66" t="s">
        <v>11912</v>
      </c>
      <c r="G3186" s="71">
        <v>6307</v>
      </c>
      <c r="H3186" s="73"/>
      <c r="I3186" s="75">
        <v>0.2</v>
      </c>
      <c r="J3186" s="77"/>
      <c r="K3186" s="66"/>
      <c r="L3186" s="66"/>
      <c r="M3186" s="79" t="str">
        <f>HYPERLINK("http://www.pristavka.com/catalog/Genshin Impact/GEN1356/")</f>
        <v>http://www.pristavka.com/catalog/Genshin Impact/GEN1356/</v>
      </c>
      <c r="N3186" s="71">
        <v>10599</v>
      </c>
      <c r="O3186" s="66" t="s">
        <v>27</v>
      </c>
      <c r="P3186" s="82" t="s">
        <v>11913</v>
      </c>
      <c r="Q3186" s="84" t="s">
        <v>1963</v>
      </c>
      <c r="R3186" s="84" t="s">
        <v>9605</v>
      </c>
      <c r="S3186" s="84">
        <v>0.63300000000000001</v>
      </c>
      <c r="T3186" s="82" t="s">
        <v>11900</v>
      </c>
      <c r="U3186" s="84"/>
      <c r="V3186" s="54"/>
    </row>
    <row r="3187" spans="1:22" s="11" customFormat="1" ht="45" customHeight="1" x14ac:dyDescent="0.2">
      <c r="A3187" s="66" t="s">
        <v>1963</v>
      </c>
      <c r="B3187" s="66" t="s">
        <v>1155</v>
      </c>
      <c r="C3187" s="66" t="s">
        <v>9605</v>
      </c>
      <c r="D3187" s="66">
        <v>6942421130567</v>
      </c>
      <c r="E3187" s="68" t="s">
        <v>11914</v>
      </c>
      <c r="F3187" s="66" t="s">
        <v>11915</v>
      </c>
      <c r="G3187" s="71">
        <v>6307</v>
      </c>
      <c r="H3187" s="73"/>
      <c r="I3187" s="75">
        <v>0.2</v>
      </c>
      <c r="J3187" s="77"/>
      <c r="K3187" s="66"/>
      <c r="L3187" s="66"/>
      <c r="M3187" s="79" t="str">
        <f>HYPERLINK("http://www.pristavka.com/catalog/Genshin Impact/GEN1355/")</f>
        <v>http://www.pristavka.com/catalog/Genshin Impact/GEN1355/</v>
      </c>
      <c r="N3187" s="71">
        <v>10599</v>
      </c>
      <c r="O3187" s="66" t="s">
        <v>27</v>
      </c>
      <c r="P3187" s="82" t="s">
        <v>11916</v>
      </c>
      <c r="Q3187" s="84" t="s">
        <v>1963</v>
      </c>
      <c r="R3187" s="84" t="s">
        <v>9605</v>
      </c>
      <c r="S3187" s="84">
        <v>0.63200000000000001</v>
      </c>
      <c r="T3187" s="82" t="s">
        <v>11904</v>
      </c>
      <c r="U3187" s="84"/>
      <c r="V3187" s="54"/>
    </row>
    <row r="3188" spans="1:22" s="11" customFormat="1" ht="45" customHeight="1" x14ac:dyDescent="0.2">
      <c r="A3188" s="66" t="s">
        <v>1963</v>
      </c>
      <c r="B3188" s="66" t="s">
        <v>1155</v>
      </c>
      <c r="C3188" s="66" t="s">
        <v>9605</v>
      </c>
      <c r="D3188" s="66">
        <v>6942421141877</v>
      </c>
      <c r="E3188" s="68" t="s">
        <v>11917</v>
      </c>
      <c r="F3188" s="66" t="s">
        <v>11918</v>
      </c>
      <c r="G3188" s="71">
        <v>8525</v>
      </c>
      <c r="H3188" s="73"/>
      <c r="I3188" s="75">
        <v>0.2</v>
      </c>
      <c r="J3188" s="77"/>
      <c r="K3188" s="66"/>
      <c r="L3188" s="66"/>
      <c r="M3188" s="79" t="str">
        <f>HYPERLINK("http://www.pristavka.com/catalog/Genshin Impact/GEN1426/")</f>
        <v>http://www.pristavka.com/catalog/Genshin Impact/GEN1426/</v>
      </c>
      <c r="N3188" s="71">
        <v>14299</v>
      </c>
      <c r="O3188" s="66" t="s">
        <v>27</v>
      </c>
      <c r="P3188" s="82" t="s">
        <v>11919</v>
      </c>
      <c r="Q3188" s="84" t="s">
        <v>1963</v>
      </c>
      <c r="R3188" s="84" t="s">
        <v>9605</v>
      </c>
      <c r="S3188" s="84">
        <v>0.32800000000000001</v>
      </c>
      <c r="T3188" s="82" t="s">
        <v>11920</v>
      </c>
      <c r="U3188" s="84"/>
      <c r="V3188" s="54"/>
    </row>
    <row r="3189" spans="1:22" s="11" customFormat="1" ht="45" customHeight="1" x14ac:dyDescent="0.2">
      <c r="A3189" s="66" t="s">
        <v>1963</v>
      </c>
      <c r="B3189" s="66" t="s">
        <v>1155</v>
      </c>
      <c r="C3189" s="66" t="s">
        <v>9605</v>
      </c>
      <c r="D3189" s="66">
        <v>6942421102168</v>
      </c>
      <c r="E3189" s="68" t="s">
        <v>11921</v>
      </c>
      <c r="F3189" s="66" t="s">
        <v>11922</v>
      </c>
      <c r="G3189" s="71">
        <v>7258</v>
      </c>
      <c r="H3189" s="73"/>
      <c r="I3189" s="75">
        <v>0.2</v>
      </c>
      <c r="J3189" s="77"/>
      <c r="K3189" s="66"/>
      <c r="L3189" s="66"/>
      <c r="M3189" s="79" t="str">
        <f>HYPERLINK("http://www.pristavka.com/catalog/Genshin Impact/GEN1263/")</f>
        <v>http://www.pristavka.com/catalog/Genshin Impact/GEN1263/</v>
      </c>
      <c r="N3189" s="71">
        <v>12099</v>
      </c>
      <c r="O3189" s="66" t="s">
        <v>27</v>
      </c>
      <c r="P3189" s="82" t="s">
        <v>11923</v>
      </c>
      <c r="Q3189" s="84" t="s">
        <v>1963</v>
      </c>
      <c r="R3189" s="84" t="s">
        <v>9605</v>
      </c>
      <c r="S3189" s="84">
        <v>1.278</v>
      </c>
      <c r="T3189" s="82" t="s">
        <v>11924</v>
      </c>
      <c r="U3189" s="84"/>
      <c r="V3189" s="54"/>
    </row>
    <row r="3190" spans="1:22" s="11" customFormat="1" ht="45" customHeight="1" x14ac:dyDescent="0.2">
      <c r="A3190" s="66" t="s">
        <v>1963</v>
      </c>
      <c r="B3190" s="66" t="s">
        <v>1155</v>
      </c>
      <c r="C3190" s="66" t="s">
        <v>9605</v>
      </c>
      <c r="D3190" s="66">
        <v>6942421102144</v>
      </c>
      <c r="E3190" s="68" t="s">
        <v>11925</v>
      </c>
      <c r="F3190" s="66" t="s">
        <v>11926</v>
      </c>
      <c r="G3190" s="71">
        <v>7258</v>
      </c>
      <c r="H3190" s="73"/>
      <c r="I3190" s="75">
        <v>0.2</v>
      </c>
      <c r="J3190" s="77"/>
      <c r="K3190" s="66"/>
      <c r="L3190" s="66"/>
      <c r="M3190" s="79" t="str">
        <f>HYPERLINK("http://www.pristavka.com/catalog/Genshin Impact/GEN1262/")</f>
        <v>http://www.pristavka.com/catalog/Genshin Impact/GEN1262/</v>
      </c>
      <c r="N3190" s="71">
        <v>12099</v>
      </c>
      <c r="O3190" s="66" t="s">
        <v>27</v>
      </c>
      <c r="P3190" s="82" t="s">
        <v>11927</v>
      </c>
      <c r="Q3190" s="84" t="s">
        <v>1963</v>
      </c>
      <c r="R3190" s="84" t="s">
        <v>9605</v>
      </c>
      <c r="S3190" s="84">
        <v>1.21</v>
      </c>
      <c r="T3190" s="82" t="s">
        <v>11924</v>
      </c>
      <c r="U3190" s="84"/>
      <c r="V3190" s="54"/>
    </row>
    <row r="3191" spans="1:22" s="11" customFormat="1" ht="45" customHeight="1" x14ac:dyDescent="0.2">
      <c r="A3191" s="66" t="s">
        <v>1963</v>
      </c>
      <c r="B3191" s="66" t="s">
        <v>1155</v>
      </c>
      <c r="C3191" s="66" t="s">
        <v>9605</v>
      </c>
      <c r="D3191" s="66">
        <v>6942421102137</v>
      </c>
      <c r="E3191" s="68" t="s">
        <v>11928</v>
      </c>
      <c r="F3191" s="66" t="s">
        <v>11929</v>
      </c>
      <c r="G3191" s="71">
        <v>7258</v>
      </c>
      <c r="H3191" s="73"/>
      <c r="I3191" s="75">
        <v>0.2</v>
      </c>
      <c r="J3191" s="77"/>
      <c r="K3191" s="66"/>
      <c r="L3191" s="66"/>
      <c r="M3191" s="79" t="str">
        <f>HYPERLINK("http://www.pristavka.com/catalog/Genshin Impact/GEN1264/")</f>
        <v>http://www.pristavka.com/catalog/Genshin Impact/GEN1264/</v>
      </c>
      <c r="N3191" s="71">
        <v>12099</v>
      </c>
      <c r="O3191" s="66" t="s">
        <v>27</v>
      </c>
      <c r="P3191" s="82" t="s">
        <v>11930</v>
      </c>
      <c r="Q3191" s="84" t="s">
        <v>1963</v>
      </c>
      <c r="R3191" s="84" t="s">
        <v>9605</v>
      </c>
      <c r="S3191" s="84">
        <v>1.272</v>
      </c>
      <c r="T3191" s="82" t="s">
        <v>11924</v>
      </c>
      <c r="U3191" s="84"/>
      <c r="V3191" s="54"/>
    </row>
    <row r="3192" spans="1:22" s="11" customFormat="1" ht="45" customHeight="1" x14ac:dyDescent="0.2">
      <c r="A3192" s="66" t="s">
        <v>1963</v>
      </c>
      <c r="B3192" s="66" t="s">
        <v>1155</v>
      </c>
      <c r="C3192" s="66" t="s">
        <v>9605</v>
      </c>
      <c r="D3192" s="66">
        <v>6975628241286</v>
      </c>
      <c r="E3192" s="68" t="s">
        <v>11931</v>
      </c>
      <c r="F3192" s="66" t="s">
        <v>11932</v>
      </c>
      <c r="G3192" s="71">
        <v>9793</v>
      </c>
      <c r="H3192" s="73"/>
      <c r="I3192" s="75">
        <v>0.2</v>
      </c>
      <c r="J3192" s="77"/>
      <c r="K3192" s="66"/>
      <c r="L3192" s="66"/>
      <c r="M3192" s="79" t="str">
        <f>HYPERLINK("http://www.pristavka.com/catalog/Genshin Impact/GEN750/")</f>
        <v>http://www.pristavka.com/catalog/Genshin Impact/GEN750/</v>
      </c>
      <c r="N3192" s="71">
        <v>16399</v>
      </c>
      <c r="O3192" s="66" t="s">
        <v>28</v>
      </c>
      <c r="P3192" s="82" t="s">
        <v>11933</v>
      </c>
      <c r="Q3192" s="84" t="s">
        <v>1963</v>
      </c>
      <c r="R3192" s="84" t="s">
        <v>9605</v>
      </c>
      <c r="S3192" s="84">
        <v>0.38600000000000001</v>
      </c>
      <c r="T3192" s="82" t="s">
        <v>11934</v>
      </c>
      <c r="U3192" s="84"/>
      <c r="V3192" s="54"/>
    </row>
    <row r="3193" spans="1:22" s="11" customFormat="1" ht="45" customHeight="1" x14ac:dyDescent="0.2">
      <c r="A3193" s="66" t="s">
        <v>1963</v>
      </c>
      <c r="B3193" s="66" t="s">
        <v>1155</v>
      </c>
      <c r="C3193" s="66" t="s">
        <v>9605</v>
      </c>
      <c r="D3193" s="66">
        <v>6942421149415</v>
      </c>
      <c r="E3193" s="68" t="s">
        <v>11935</v>
      </c>
      <c r="F3193" s="66" t="s">
        <v>11936</v>
      </c>
      <c r="G3193" s="71">
        <v>3164</v>
      </c>
      <c r="H3193" s="73"/>
      <c r="I3193" s="75">
        <v>0.2</v>
      </c>
      <c r="J3193" s="77"/>
      <c r="K3193" s="66"/>
      <c r="L3193" s="66"/>
      <c r="M3193" s="79" t="str">
        <f>HYPERLINK("http://www.pristavka.com/catalog/Genshin Impact/GEN1347/")</f>
        <v>http://www.pristavka.com/catalog/Genshin Impact/GEN1347/</v>
      </c>
      <c r="N3193" s="71">
        <v>5299</v>
      </c>
      <c r="O3193" s="66" t="s">
        <v>27</v>
      </c>
      <c r="P3193" s="82" t="s">
        <v>11937</v>
      </c>
      <c r="Q3193" s="84" t="s">
        <v>1963</v>
      </c>
      <c r="R3193" s="84" t="s">
        <v>9605</v>
      </c>
      <c r="S3193" s="84">
        <v>0.02</v>
      </c>
      <c r="T3193" s="82" t="s">
        <v>11332</v>
      </c>
      <c r="U3193" s="84"/>
      <c r="V3193" s="54"/>
    </row>
    <row r="3194" spans="1:22" s="11" customFormat="1" ht="45" customHeight="1" x14ac:dyDescent="0.2">
      <c r="A3194" s="66" t="s">
        <v>1963</v>
      </c>
      <c r="B3194" s="66" t="s">
        <v>1155</v>
      </c>
      <c r="C3194" s="66" t="s">
        <v>9605</v>
      </c>
      <c r="D3194" s="66">
        <v>6942421149361</v>
      </c>
      <c r="E3194" s="68" t="s">
        <v>11938</v>
      </c>
      <c r="F3194" s="66" t="s">
        <v>11939</v>
      </c>
      <c r="G3194" s="71">
        <v>3164</v>
      </c>
      <c r="H3194" s="73"/>
      <c r="I3194" s="75">
        <v>0.2</v>
      </c>
      <c r="J3194" s="77"/>
      <c r="K3194" s="66"/>
      <c r="L3194" s="66"/>
      <c r="M3194" s="79" t="str">
        <f>HYPERLINK("http://www.pristavka.com/catalog/Genshin Impact/GEN1346/")</f>
        <v>http://www.pristavka.com/catalog/Genshin Impact/GEN1346/</v>
      </c>
      <c r="N3194" s="71">
        <v>5299</v>
      </c>
      <c r="O3194" s="66" t="s">
        <v>27</v>
      </c>
      <c r="P3194" s="82" t="s">
        <v>11940</v>
      </c>
      <c r="Q3194" s="84" t="s">
        <v>1963</v>
      </c>
      <c r="R3194" s="84" t="s">
        <v>9605</v>
      </c>
      <c r="S3194" s="84">
        <v>0.02</v>
      </c>
      <c r="T3194" s="82" t="s">
        <v>11332</v>
      </c>
      <c r="U3194" s="84"/>
      <c r="V3194" s="54"/>
    </row>
    <row r="3195" spans="1:22" s="11" customFormat="1" ht="45" customHeight="1" x14ac:dyDescent="0.2">
      <c r="A3195" s="66" t="s">
        <v>1963</v>
      </c>
      <c r="B3195" s="66" t="s">
        <v>1155</v>
      </c>
      <c r="C3195" s="66" t="s">
        <v>9605</v>
      </c>
      <c r="D3195" s="66">
        <v>6942421139836</v>
      </c>
      <c r="E3195" s="68" t="s">
        <v>11941</v>
      </c>
      <c r="F3195" s="66" t="s">
        <v>11942</v>
      </c>
      <c r="G3195" s="71">
        <v>3771</v>
      </c>
      <c r="H3195" s="73"/>
      <c r="I3195" s="75">
        <v>0.2</v>
      </c>
      <c r="J3195" s="77"/>
      <c r="K3195" s="66"/>
      <c r="L3195" s="66"/>
      <c r="M3195" s="79" t="str">
        <f>HYPERLINK("http://www.pristavka.com/catalog/Genshin Impact/GEN1287/")</f>
        <v>http://www.pristavka.com/catalog/Genshin Impact/GEN1287/</v>
      </c>
      <c r="N3195" s="71">
        <v>6299</v>
      </c>
      <c r="O3195" s="66" t="s">
        <v>27</v>
      </c>
      <c r="P3195" s="82" t="s">
        <v>11943</v>
      </c>
      <c r="Q3195" s="84" t="s">
        <v>1963</v>
      </c>
      <c r="R3195" s="84" t="s">
        <v>9605</v>
      </c>
      <c r="S3195" s="84">
        <v>0.10100000000000001</v>
      </c>
      <c r="T3195" s="82" t="s">
        <v>11944</v>
      </c>
      <c r="U3195" s="84"/>
      <c r="V3195" s="54"/>
    </row>
    <row r="3196" spans="1:22" s="11" customFormat="1" ht="45" customHeight="1" x14ac:dyDescent="0.2">
      <c r="A3196" s="66" t="s">
        <v>1963</v>
      </c>
      <c r="B3196" s="66" t="s">
        <v>1155</v>
      </c>
      <c r="C3196" s="66" t="s">
        <v>9605</v>
      </c>
      <c r="D3196" s="66">
        <v>6942421139805</v>
      </c>
      <c r="E3196" s="68" t="s">
        <v>11945</v>
      </c>
      <c r="F3196" s="66" t="s">
        <v>11946</v>
      </c>
      <c r="G3196" s="71">
        <v>3771</v>
      </c>
      <c r="H3196" s="73"/>
      <c r="I3196" s="75">
        <v>0.2</v>
      </c>
      <c r="J3196" s="77"/>
      <c r="K3196" s="66"/>
      <c r="L3196" s="66"/>
      <c r="M3196" s="79" t="str">
        <f>HYPERLINK("http://www.pristavka.com/catalog/Genshin Impact/GEN1286/")</f>
        <v>http://www.pristavka.com/catalog/Genshin Impact/GEN1286/</v>
      </c>
      <c r="N3196" s="71">
        <v>6299</v>
      </c>
      <c r="O3196" s="66" t="s">
        <v>27</v>
      </c>
      <c r="P3196" s="82" t="s">
        <v>11947</v>
      </c>
      <c r="Q3196" s="84" t="s">
        <v>1963</v>
      </c>
      <c r="R3196" s="84" t="s">
        <v>9605</v>
      </c>
      <c r="S3196" s="84">
        <v>0.10199999999999999</v>
      </c>
      <c r="T3196" s="82" t="s">
        <v>11948</v>
      </c>
      <c r="U3196" s="84"/>
      <c r="V3196" s="54"/>
    </row>
    <row r="3197" spans="1:22" s="11" customFormat="1" ht="45" customHeight="1" x14ac:dyDescent="0.2">
      <c r="A3197" s="66" t="s">
        <v>1963</v>
      </c>
      <c r="B3197" s="66" t="s">
        <v>1155</v>
      </c>
      <c r="C3197" s="66" t="s">
        <v>9605</v>
      </c>
      <c r="D3197" s="66">
        <v>6942421128304</v>
      </c>
      <c r="E3197" s="68" t="s">
        <v>11949</v>
      </c>
      <c r="F3197" s="66" t="s">
        <v>11950</v>
      </c>
      <c r="G3197" s="71">
        <v>11695</v>
      </c>
      <c r="H3197" s="73"/>
      <c r="I3197" s="75">
        <v>0.2</v>
      </c>
      <c r="J3197" s="77"/>
      <c r="K3197" s="66"/>
      <c r="L3197" s="66"/>
      <c r="M3197" s="79" t="str">
        <f>HYPERLINK("http://www.pristavka.com/catalog/Genshin Impact/GEN1362/")</f>
        <v>http://www.pristavka.com/catalog/Genshin Impact/GEN1362/</v>
      </c>
      <c r="N3197" s="71">
        <v>19499</v>
      </c>
      <c r="O3197" s="66" t="s">
        <v>27</v>
      </c>
      <c r="P3197" s="82" t="s">
        <v>11951</v>
      </c>
      <c r="Q3197" s="84" t="s">
        <v>1963</v>
      </c>
      <c r="R3197" s="84" t="s">
        <v>9605</v>
      </c>
      <c r="S3197" s="84">
        <v>0.90300000000000002</v>
      </c>
      <c r="T3197" s="82" t="s">
        <v>11952</v>
      </c>
      <c r="U3197" s="84"/>
      <c r="V3197" s="54"/>
    </row>
    <row r="3198" spans="1:22" s="11" customFormat="1" ht="45" customHeight="1" x14ac:dyDescent="0.2">
      <c r="A3198" s="66" t="s">
        <v>1963</v>
      </c>
      <c r="B3198" s="66" t="s">
        <v>1155</v>
      </c>
      <c r="C3198" s="66" t="s">
        <v>9605</v>
      </c>
      <c r="D3198" s="66">
        <v>6975628241835</v>
      </c>
      <c r="E3198" s="68" t="s">
        <v>11953</v>
      </c>
      <c r="F3198" s="66" t="s">
        <v>11954</v>
      </c>
      <c r="G3198" s="71">
        <v>17400</v>
      </c>
      <c r="H3198" s="73"/>
      <c r="I3198" s="75">
        <v>0.2</v>
      </c>
      <c r="J3198" s="77"/>
      <c r="K3198" s="66"/>
      <c r="L3198" s="66"/>
      <c r="M3198" s="79" t="str">
        <f>HYPERLINK("http://www.pristavka.com/catalog/Genshin Impact/GEN740/")</f>
        <v>http://www.pristavka.com/catalog/Genshin Impact/GEN740/</v>
      </c>
      <c r="N3198" s="71">
        <v>28999</v>
      </c>
      <c r="O3198" s="66" t="s">
        <v>28</v>
      </c>
      <c r="P3198" s="82" t="s">
        <v>11955</v>
      </c>
      <c r="Q3198" s="84" t="s">
        <v>1963</v>
      </c>
      <c r="R3198" s="84" t="s">
        <v>9605</v>
      </c>
      <c r="S3198" s="84">
        <v>0.71399999999999997</v>
      </c>
      <c r="T3198" s="82" t="s">
        <v>11956</v>
      </c>
      <c r="U3198" s="84"/>
      <c r="V3198" s="54"/>
    </row>
    <row r="3199" spans="1:22" s="11" customFormat="1" ht="45" customHeight="1" x14ac:dyDescent="0.2">
      <c r="A3199" s="66" t="s">
        <v>1963</v>
      </c>
      <c r="B3199" s="66" t="s">
        <v>1155</v>
      </c>
      <c r="C3199" s="66" t="s">
        <v>9605</v>
      </c>
      <c r="D3199" s="66">
        <v>6975628241811</v>
      </c>
      <c r="E3199" s="68" t="s">
        <v>11957</v>
      </c>
      <c r="F3199" s="66" t="s">
        <v>11958</v>
      </c>
      <c r="G3199" s="71">
        <v>17400</v>
      </c>
      <c r="H3199" s="73"/>
      <c r="I3199" s="75">
        <v>0.2</v>
      </c>
      <c r="J3199" s="77"/>
      <c r="K3199" s="66"/>
      <c r="L3199" s="66"/>
      <c r="M3199" s="79" t="str">
        <f>HYPERLINK("http://www.pristavka.com/catalog/Genshin Impact/GEN738/")</f>
        <v>http://www.pristavka.com/catalog/Genshin Impact/GEN738/</v>
      </c>
      <c r="N3199" s="71">
        <v>28999</v>
      </c>
      <c r="O3199" s="66" t="s">
        <v>27</v>
      </c>
      <c r="P3199" s="82" t="s">
        <v>11959</v>
      </c>
      <c r="Q3199" s="84" t="s">
        <v>1963</v>
      </c>
      <c r="R3199" s="84" t="s">
        <v>9605</v>
      </c>
      <c r="S3199" s="84">
        <v>0.71399999999999997</v>
      </c>
      <c r="T3199" s="82" t="s">
        <v>11956</v>
      </c>
      <c r="U3199" s="84"/>
      <c r="V3199" s="54"/>
    </row>
    <row r="3200" spans="1:22" s="11" customFormat="1" ht="45" customHeight="1" x14ac:dyDescent="0.2">
      <c r="A3200" s="66" t="s">
        <v>1963</v>
      </c>
      <c r="B3200" s="66" t="s">
        <v>1155</v>
      </c>
      <c r="C3200" s="66" t="s">
        <v>9605</v>
      </c>
      <c r="D3200" s="66">
        <v>6975628241842</v>
      </c>
      <c r="E3200" s="68" t="s">
        <v>11960</v>
      </c>
      <c r="F3200" s="66" t="s">
        <v>11961</v>
      </c>
      <c r="G3200" s="71">
        <v>17400</v>
      </c>
      <c r="H3200" s="73"/>
      <c r="I3200" s="75">
        <v>0.2</v>
      </c>
      <c r="J3200" s="77"/>
      <c r="K3200" s="66"/>
      <c r="L3200" s="66"/>
      <c r="M3200" s="79" t="str">
        <f>HYPERLINK("http://www.pristavka.com/catalog/Genshin Impact/GEN741/")</f>
        <v>http://www.pristavka.com/catalog/Genshin Impact/GEN741/</v>
      </c>
      <c r="N3200" s="71">
        <v>28999</v>
      </c>
      <c r="O3200" s="66" t="s">
        <v>28</v>
      </c>
      <c r="P3200" s="82" t="s">
        <v>11962</v>
      </c>
      <c r="Q3200" s="84" t="s">
        <v>1963</v>
      </c>
      <c r="R3200" s="84" t="s">
        <v>9605</v>
      </c>
      <c r="S3200" s="84">
        <v>0.71599999999999997</v>
      </c>
      <c r="T3200" s="82" t="s">
        <v>11956</v>
      </c>
      <c r="U3200" s="84"/>
      <c r="V3200" s="54"/>
    </row>
    <row r="3201" spans="1:22" s="11" customFormat="1" ht="45" customHeight="1" x14ac:dyDescent="0.2">
      <c r="A3201" s="66" t="s">
        <v>1963</v>
      </c>
      <c r="B3201" s="66" t="s">
        <v>1155</v>
      </c>
      <c r="C3201" s="66" t="s">
        <v>9605</v>
      </c>
      <c r="D3201" s="66">
        <v>6975628241828</v>
      </c>
      <c r="E3201" s="68" t="s">
        <v>11963</v>
      </c>
      <c r="F3201" s="66" t="s">
        <v>11964</v>
      </c>
      <c r="G3201" s="71">
        <v>17400</v>
      </c>
      <c r="H3201" s="73"/>
      <c r="I3201" s="75">
        <v>0.2</v>
      </c>
      <c r="J3201" s="77"/>
      <c r="K3201" s="66"/>
      <c r="L3201" s="66"/>
      <c r="M3201" s="79" t="str">
        <f>HYPERLINK("http://www.pristavka.com/catalog/Genshin Impact/GEN739/")</f>
        <v>http://www.pristavka.com/catalog/Genshin Impact/GEN739/</v>
      </c>
      <c r="N3201" s="71">
        <v>28999</v>
      </c>
      <c r="O3201" s="66" t="s">
        <v>27</v>
      </c>
      <c r="P3201" s="82" t="s">
        <v>11965</v>
      </c>
      <c r="Q3201" s="84" t="s">
        <v>1963</v>
      </c>
      <c r="R3201" s="84" t="s">
        <v>9605</v>
      </c>
      <c r="S3201" s="84">
        <v>0.71799999999999997</v>
      </c>
      <c r="T3201" s="82" t="s">
        <v>11956</v>
      </c>
      <c r="U3201" s="84"/>
      <c r="V3201" s="54"/>
    </row>
    <row r="3202" spans="1:22" s="11" customFormat="1" ht="45" customHeight="1" x14ac:dyDescent="0.2">
      <c r="A3202" s="66" t="s">
        <v>1963</v>
      </c>
      <c r="B3202" s="66" t="s">
        <v>1155</v>
      </c>
      <c r="C3202" s="66" t="s">
        <v>9605</v>
      </c>
      <c r="D3202" s="66">
        <v>6976068149644</v>
      </c>
      <c r="E3202" s="68" t="s">
        <v>11966</v>
      </c>
      <c r="F3202" s="66" t="s">
        <v>11967</v>
      </c>
      <c r="G3202" s="71">
        <v>3771</v>
      </c>
      <c r="H3202" s="73"/>
      <c r="I3202" s="75">
        <v>0.2</v>
      </c>
      <c r="J3202" s="77"/>
      <c r="K3202" s="66"/>
      <c r="L3202" s="66"/>
      <c r="M3202" s="79" t="str">
        <f>HYPERLINK("http://www.pristavka.com/catalog/Genshin Impact/GEN962/")</f>
        <v>http://www.pristavka.com/catalog/Genshin Impact/GEN962/</v>
      </c>
      <c r="N3202" s="71">
        <v>6299</v>
      </c>
      <c r="O3202" s="66" t="s">
        <v>27</v>
      </c>
      <c r="P3202" s="82" t="s">
        <v>11968</v>
      </c>
      <c r="Q3202" s="84" t="s">
        <v>1963</v>
      </c>
      <c r="R3202" s="84" t="s">
        <v>9605</v>
      </c>
      <c r="S3202" s="84">
        <v>4.4999999999999998E-2</v>
      </c>
      <c r="T3202" s="82" t="s">
        <v>11969</v>
      </c>
      <c r="U3202" s="84"/>
      <c r="V3202" s="54"/>
    </row>
    <row r="3203" spans="1:22" s="11" customFormat="1" ht="45" customHeight="1" x14ac:dyDescent="0.2">
      <c r="A3203" s="66" t="s">
        <v>1963</v>
      </c>
      <c r="B3203" s="66" t="s">
        <v>1155</v>
      </c>
      <c r="C3203" s="66" t="s">
        <v>9605</v>
      </c>
      <c r="D3203" s="66">
        <v>6975628240340</v>
      </c>
      <c r="E3203" s="68" t="s">
        <v>11970</v>
      </c>
      <c r="F3203" s="66" t="s">
        <v>11971</v>
      </c>
      <c r="G3203" s="71">
        <v>3771</v>
      </c>
      <c r="H3203" s="73"/>
      <c r="I3203" s="75">
        <v>0.2</v>
      </c>
      <c r="J3203" s="77"/>
      <c r="K3203" s="66"/>
      <c r="L3203" s="66"/>
      <c r="M3203" s="79" t="str">
        <f>HYPERLINK("http://www.pristavka.com/catalog/Genshin Impact/GEN434/")</f>
        <v>http://www.pristavka.com/catalog/Genshin Impact/GEN434/</v>
      </c>
      <c r="N3203" s="71">
        <v>6299</v>
      </c>
      <c r="O3203" s="66" t="s">
        <v>27</v>
      </c>
      <c r="P3203" s="82" t="s">
        <v>11972</v>
      </c>
      <c r="Q3203" s="84" t="s">
        <v>1963</v>
      </c>
      <c r="R3203" s="84" t="s">
        <v>9605</v>
      </c>
      <c r="S3203" s="84">
        <v>8.8999999999999996E-2</v>
      </c>
      <c r="T3203" s="82" t="s">
        <v>11973</v>
      </c>
      <c r="U3203" s="84" t="s">
        <v>2255</v>
      </c>
      <c r="V3203" s="54"/>
    </row>
    <row r="3204" spans="1:22" s="11" customFormat="1" ht="45" customHeight="1" x14ac:dyDescent="0.2">
      <c r="A3204" s="66" t="s">
        <v>1963</v>
      </c>
      <c r="B3204" s="66" t="s">
        <v>1155</v>
      </c>
      <c r="C3204" s="66" t="s">
        <v>9605</v>
      </c>
      <c r="D3204" s="66">
        <v>6975213683545</v>
      </c>
      <c r="E3204" s="68" t="s">
        <v>11974</v>
      </c>
      <c r="F3204" s="66" t="s">
        <v>11975</v>
      </c>
      <c r="G3204" s="71">
        <v>3771</v>
      </c>
      <c r="H3204" s="73"/>
      <c r="I3204" s="75">
        <v>0.2</v>
      </c>
      <c r="J3204" s="77"/>
      <c r="K3204" s="66"/>
      <c r="L3204" s="66"/>
      <c r="M3204" s="79" t="str">
        <f>HYPERLINK("http://www.pristavka.com/catalog/Genshin Impact/GEN433/")</f>
        <v>http://www.pristavka.com/catalog/Genshin Impact/GEN433/</v>
      </c>
      <c r="N3204" s="71">
        <v>6299</v>
      </c>
      <c r="O3204" s="66" t="s">
        <v>27</v>
      </c>
      <c r="P3204" s="82" t="s">
        <v>11976</v>
      </c>
      <c r="Q3204" s="84" t="s">
        <v>1963</v>
      </c>
      <c r="R3204" s="84" t="s">
        <v>9605</v>
      </c>
      <c r="S3204" s="84">
        <v>0.09</v>
      </c>
      <c r="T3204" s="82" t="s">
        <v>11977</v>
      </c>
      <c r="U3204" s="84" t="s">
        <v>2255</v>
      </c>
      <c r="V3204" s="54"/>
    </row>
    <row r="3205" spans="1:22" s="11" customFormat="1" ht="45" customHeight="1" x14ac:dyDescent="0.2">
      <c r="A3205" s="66" t="s">
        <v>1963</v>
      </c>
      <c r="B3205" s="66" t="s">
        <v>1155</v>
      </c>
      <c r="C3205" s="66" t="s">
        <v>9605</v>
      </c>
      <c r="D3205" s="66">
        <v>2000859971399</v>
      </c>
      <c r="E3205" s="68" t="s">
        <v>11978</v>
      </c>
      <c r="F3205" s="66" t="s">
        <v>11979</v>
      </c>
      <c r="G3205" s="71">
        <v>7258</v>
      </c>
      <c r="H3205" s="73"/>
      <c r="I3205" s="75">
        <v>0.2</v>
      </c>
      <c r="J3205" s="77"/>
      <c r="K3205" s="66"/>
      <c r="L3205" s="66"/>
      <c r="M3205" s="79" t="str">
        <f>HYPERLINK("http://www.pristavka.com/catalog/Genshin Impact/GEN260/")</f>
        <v>http://www.pristavka.com/catalog/Genshin Impact/GEN260/</v>
      </c>
      <c r="N3205" s="71">
        <v>12099</v>
      </c>
      <c r="O3205" s="66" t="s">
        <v>27</v>
      </c>
      <c r="P3205" s="82" t="s">
        <v>11980</v>
      </c>
      <c r="Q3205" s="84" t="s">
        <v>1963</v>
      </c>
      <c r="R3205" s="84" t="s">
        <v>9605</v>
      </c>
      <c r="S3205" s="84">
        <v>0.73099999999999998</v>
      </c>
      <c r="T3205" s="82" t="s">
        <v>11981</v>
      </c>
      <c r="U3205" s="84" t="s">
        <v>2255</v>
      </c>
      <c r="V3205" s="54"/>
    </row>
    <row r="3206" spans="1:22" s="11" customFormat="1" ht="45" customHeight="1" x14ac:dyDescent="0.2">
      <c r="A3206" s="66" t="s">
        <v>1963</v>
      </c>
      <c r="B3206" s="66" t="s">
        <v>1155</v>
      </c>
      <c r="C3206" s="66" t="s">
        <v>9605</v>
      </c>
      <c r="D3206" s="66">
        <v>2000859971375</v>
      </c>
      <c r="E3206" s="68" t="s">
        <v>11982</v>
      </c>
      <c r="F3206" s="66" t="s">
        <v>11983</v>
      </c>
      <c r="G3206" s="71">
        <v>7258</v>
      </c>
      <c r="H3206" s="73"/>
      <c r="I3206" s="75">
        <v>0.2</v>
      </c>
      <c r="J3206" s="77"/>
      <c r="K3206" s="66"/>
      <c r="L3206" s="66"/>
      <c r="M3206" s="79" t="str">
        <f>HYPERLINK("http://www.pristavka.com/catalog/Genshin Impact/GEN252/")</f>
        <v>http://www.pristavka.com/catalog/Genshin Impact/GEN252/</v>
      </c>
      <c r="N3206" s="71">
        <v>12099</v>
      </c>
      <c r="O3206" s="66" t="s">
        <v>27</v>
      </c>
      <c r="P3206" s="82" t="s">
        <v>11984</v>
      </c>
      <c r="Q3206" s="84" t="s">
        <v>1963</v>
      </c>
      <c r="R3206" s="84" t="s">
        <v>9605</v>
      </c>
      <c r="S3206" s="84">
        <v>0.77200000000000002</v>
      </c>
      <c r="T3206" s="82" t="s">
        <v>11985</v>
      </c>
      <c r="U3206" s="84" t="s">
        <v>2255</v>
      </c>
      <c r="V3206" s="54"/>
    </row>
    <row r="3207" spans="1:22" s="11" customFormat="1" ht="45" customHeight="1" x14ac:dyDescent="0.2">
      <c r="A3207" s="66" t="s">
        <v>1963</v>
      </c>
      <c r="B3207" s="66" t="s">
        <v>1155</v>
      </c>
      <c r="C3207" s="66" t="s">
        <v>9605</v>
      </c>
      <c r="D3207" s="66">
        <v>6975213680872</v>
      </c>
      <c r="E3207" s="68" t="s">
        <v>11986</v>
      </c>
      <c r="F3207" s="66" t="s">
        <v>11987</v>
      </c>
      <c r="G3207" s="71">
        <v>5990</v>
      </c>
      <c r="H3207" s="73"/>
      <c r="I3207" s="75">
        <v>0.2</v>
      </c>
      <c r="J3207" s="77"/>
      <c r="K3207" s="66"/>
      <c r="L3207" s="66"/>
      <c r="M3207" s="79" t="str">
        <f>HYPERLINK("http://www.pristavka.com/catalog/Genshin Impact/GEN644/")</f>
        <v>http://www.pristavka.com/catalog/Genshin Impact/GEN644/</v>
      </c>
      <c r="N3207" s="71">
        <v>9999</v>
      </c>
      <c r="O3207" s="66" t="s">
        <v>27</v>
      </c>
      <c r="P3207" s="82" t="s">
        <v>11988</v>
      </c>
      <c r="Q3207" s="84" t="s">
        <v>1963</v>
      </c>
      <c r="R3207" s="84" t="s">
        <v>9605</v>
      </c>
      <c r="S3207" s="84">
        <v>0.41199999999999998</v>
      </c>
      <c r="T3207" s="82" t="s">
        <v>11989</v>
      </c>
      <c r="U3207" s="84"/>
      <c r="V3207" s="54"/>
    </row>
    <row r="3208" spans="1:22" s="11" customFormat="1" ht="45" customHeight="1" x14ac:dyDescent="0.2">
      <c r="A3208" s="66" t="s">
        <v>1963</v>
      </c>
      <c r="B3208" s="66" t="s">
        <v>1155</v>
      </c>
      <c r="C3208" s="66" t="s">
        <v>9605</v>
      </c>
      <c r="D3208" s="66">
        <v>6974696619126</v>
      </c>
      <c r="E3208" s="68" t="s">
        <v>11990</v>
      </c>
      <c r="F3208" s="66" t="s">
        <v>11991</v>
      </c>
      <c r="G3208" s="71">
        <v>5356</v>
      </c>
      <c r="H3208" s="73"/>
      <c r="I3208" s="75">
        <v>0.2</v>
      </c>
      <c r="J3208" s="77"/>
      <c r="K3208" s="66"/>
      <c r="L3208" s="66"/>
      <c r="M3208" s="79" t="str">
        <f>HYPERLINK("http://www.pristavka.com/catalog/Genshin Impact/GEN274/")</f>
        <v>http://www.pristavka.com/catalog/Genshin Impact/GEN274/</v>
      </c>
      <c r="N3208" s="71">
        <v>8999</v>
      </c>
      <c r="O3208" s="66" t="s">
        <v>27</v>
      </c>
      <c r="P3208" s="82" t="s">
        <v>11992</v>
      </c>
      <c r="Q3208" s="84" t="s">
        <v>1963</v>
      </c>
      <c r="R3208" s="84" t="s">
        <v>9605</v>
      </c>
      <c r="S3208" s="84">
        <v>0.40300000000000002</v>
      </c>
      <c r="T3208" s="82" t="s">
        <v>11993</v>
      </c>
      <c r="U3208" s="84" t="s">
        <v>2255</v>
      </c>
      <c r="V3208" s="54"/>
    </row>
    <row r="3209" spans="1:22" s="11" customFormat="1" ht="45" customHeight="1" x14ac:dyDescent="0.2">
      <c r="A3209" s="66" t="s">
        <v>1963</v>
      </c>
      <c r="B3209" s="66" t="s">
        <v>1155</v>
      </c>
      <c r="C3209" s="66" t="s">
        <v>9605</v>
      </c>
      <c r="D3209" s="66">
        <v>6974696612455</v>
      </c>
      <c r="E3209" s="68" t="s">
        <v>11994</v>
      </c>
      <c r="F3209" s="66" t="s">
        <v>11995</v>
      </c>
      <c r="G3209" s="71">
        <v>5356</v>
      </c>
      <c r="H3209" s="73"/>
      <c r="I3209" s="75">
        <v>0.2</v>
      </c>
      <c r="J3209" s="77"/>
      <c r="K3209" s="66"/>
      <c r="L3209" s="66"/>
      <c r="M3209" s="79" t="str">
        <f>HYPERLINK("http://www.pristavka.com/catalog/Genshin Impact/GEN264/")</f>
        <v>http://www.pristavka.com/catalog/Genshin Impact/GEN264/</v>
      </c>
      <c r="N3209" s="71">
        <v>8999</v>
      </c>
      <c r="O3209" s="66" t="s">
        <v>27</v>
      </c>
      <c r="P3209" s="82" t="s">
        <v>11996</v>
      </c>
      <c r="Q3209" s="84" t="s">
        <v>1963</v>
      </c>
      <c r="R3209" s="84" t="s">
        <v>9605</v>
      </c>
      <c r="S3209" s="84">
        <v>0.40600000000000003</v>
      </c>
      <c r="T3209" s="82" t="s">
        <v>11993</v>
      </c>
      <c r="U3209" s="84" t="s">
        <v>2255</v>
      </c>
      <c r="V3209" s="54"/>
    </row>
    <row r="3210" spans="1:22" s="11" customFormat="1" ht="45" customHeight="1" x14ac:dyDescent="0.2">
      <c r="A3210" s="66" t="s">
        <v>1963</v>
      </c>
      <c r="B3210" s="66" t="s">
        <v>1155</v>
      </c>
      <c r="C3210" s="66" t="s">
        <v>9605</v>
      </c>
      <c r="D3210" s="66">
        <v>6975213680889</v>
      </c>
      <c r="E3210" s="68" t="s">
        <v>11997</v>
      </c>
      <c r="F3210" s="66" t="s">
        <v>11998</v>
      </c>
      <c r="G3210" s="71">
        <v>5356</v>
      </c>
      <c r="H3210" s="73"/>
      <c r="I3210" s="75">
        <v>0.2</v>
      </c>
      <c r="J3210" s="77"/>
      <c r="K3210" s="66"/>
      <c r="L3210" s="66"/>
      <c r="M3210" s="79" t="str">
        <f>HYPERLINK("http://www.pristavka.com/catalog/Genshin Impact/GEN276/")</f>
        <v>http://www.pristavka.com/catalog/Genshin Impact/GEN276/</v>
      </c>
      <c r="N3210" s="71">
        <v>8999</v>
      </c>
      <c r="O3210" s="66" t="s">
        <v>27</v>
      </c>
      <c r="P3210" s="82" t="s">
        <v>11999</v>
      </c>
      <c r="Q3210" s="84" t="s">
        <v>1963</v>
      </c>
      <c r="R3210" s="84" t="s">
        <v>9605</v>
      </c>
      <c r="S3210" s="84">
        <v>0.40200000000000002</v>
      </c>
      <c r="T3210" s="82" t="s">
        <v>11993</v>
      </c>
      <c r="U3210" s="84" t="s">
        <v>2255</v>
      </c>
      <c r="V3210" s="54"/>
    </row>
    <row r="3211" spans="1:22" s="11" customFormat="1" ht="45" customHeight="1" x14ac:dyDescent="0.2">
      <c r="A3211" s="66" t="s">
        <v>1963</v>
      </c>
      <c r="B3211" s="66" t="s">
        <v>1155</v>
      </c>
      <c r="C3211" s="66" t="s">
        <v>9605</v>
      </c>
      <c r="D3211" s="66">
        <v>6974696612431</v>
      </c>
      <c r="E3211" s="68" t="s">
        <v>12000</v>
      </c>
      <c r="F3211" s="66" t="s">
        <v>12001</v>
      </c>
      <c r="G3211" s="71">
        <v>5356</v>
      </c>
      <c r="H3211" s="73"/>
      <c r="I3211" s="75">
        <v>0.2</v>
      </c>
      <c r="J3211" s="77"/>
      <c r="K3211" s="66"/>
      <c r="L3211" s="66"/>
      <c r="M3211" s="79" t="str">
        <f>HYPERLINK("http://www.pristavka.com/catalog/Genshin Impact/GEN265/")</f>
        <v>http://www.pristavka.com/catalog/Genshin Impact/GEN265/</v>
      </c>
      <c r="N3211" s="71">
        <v>8999</v>
      </c>
      <c r="O3211" s="66" t="s">
        <v>27</v>
      </c>
      <c r="P3211" s="82" t="s">
        <v>12002</v>
      </c>
      <c r="Q3211" s="84" t="s">
        <v>1963</v>
      </c>
      <c r="R3211" s="84" t="s">
        <v>9605</v>
      </c>
      <c r="S3211" s="84">
        <v>0.40300000000000002</v>
      </c>
      <c r="T3211" s="82" t="s">
        <v>11993</v>
      </c>
      <c r="U3211" s="84" t="s">
        <v>2255</v>
      </c>
      <c r="V3211" s="54"/>
    </row>
    <row r="3212" spans="1:22" s="11" customFormat="1" ht="45" customHeight="1" x14ac:dyDescent="0.2">
      <c r="A3212" s="66" t="s">
        <v>1963</v>
      </c>
      <c r="B3212" s="66" t="s">
        <v>1155</v>
      </c>
      <c r="C3212" s="66" t="s">
        <v>9605</v>
      </c>
      <c r="D3212" s="66">
        <v>6975628240388</v>
      </c>
      <c r="E3212" s="68" t="s">
        <v>12003</v>
      </c>
      <c r="F3212" s="66" t="s">
        <v>12004</v>
      </c>
      <c r="G3212" s="71">
        <v>5356</v>
      </c>
      <c r="H3212" s="73"/>
      <c r="I3212" s="75">
        <v>0.2</v>
      </c>
      <c r="J3212" s="77"/>
      <c r="K3212" s="66"/>
      <c r="L3212" s="66"/>
      <c r="M3212" s="79" t="str">
        <f>HYPERLINK("http://www.pristavka.com/catalog/Genshin Impact/GEN287/")</f>
        <v>http://www.pristavka.com/catalog/Genshin Impact/GEN287/</v>
      </c>
      <c r="N3212" s="71">
        <v>8999</v>
      </c>
      <c r="O3212" s="66" t="s">
        <v>28</v>
      </c>
      <c r="P3212" s="82" t="s">
        <v>12005</v>
      </c>
      <c r="Q3212" s="84" t="s">
        <v>1963</v>
      </c>
      <c r="R3212" s="84" t="s">
        <v>9605</v>
      </c>
      <c r="S3212" s="84">
        <v>0.40600000000000003</v>
      </c>
      <c r="T3212" s="82" t="s">
        <v>11993</v>
      </c>
      <c r="U3212" s="84" t="s">
        <v>2255</v>
      </c>
      <c r="V3212" s="54"/>
    </row>
    <row r="3213" spans="1:22" s="11" customFormat="1" ht="45" customHeight="1" x14ac:dyDescent="0.2">
      <c r="A3213" s="66" t="s">
        <v>1963</v>
      </c>
      <c r="B3213" s="66" t="s">
        <v>1155</v>
      </c>
      <c r="C3213" s="66" t="s">
        <v>9605</v>
      </c>
      <c r="D3213" s="66">
        <v>6974696617511</v>
      </c>
      <c r="E3213" s="68" t="s">
        <v>12006</v>
      </c>
      <c r="F3213" s="66" t="s">
        <v>12007</v>
      </c>
      <c r="G3213" s="71">
        <v>5356</v>
      </c>
      <c r="H3213" s="73"/>
      <c r="I3213" s="75">
        <v>0.2</v>
      </c>
      <c r="J3213" s="77"/>
      <c r="K3213" s="66"/>
      <c r="L3213" s="66"/>
      <c r="M3213" s="79" t="str">
        <f>HYPERLINK("http://www.pristavka.com/catalog/Genshin Impact/GEN266/")</f>
        <v>http://www.pristavka.com/catalog/Genshin Impact/GEN266/</v>
      </c>
      <c r="N3213" s="71">
        <v>8999</v>
      </c>
      <c r="O3213" s="66" t="s">
        <v>27</v>
      </c>
      <c r="P3213" s="82" t="s">
        <v>12008</v>
      </c>
      <c r="Q3213" s="84" t="s">
        <v>1963</v>
      </c>
      <c r="R3213" s="84" t="s">
        <v>9605</v>
      </c>
      <c r="S3213" s="84">
        <v>0.40300000000000002</v>
      </c>
      <c r="T3213" s="82" t="s">
        <v>11993</v>
      </c>
      <c r="U3213" s="84" t="s">
        <v>2255</v>
      </c>
      <c r="V3213" s="54"/>
    </row>
    <row r="3214" spans="1:22" s="11" customFormat="1" ht="45" customHeight="1" x14ac:dyDescent="0.2">
      <c r="A3214" s="66" t="s">
        <v>1963</v>
      </c>
      <c r="B3214" s="66" t="s">
        <v>1155</v>
      </c>
      <c r="C3214" s="66" t="s">
        <v>9605</v>
      </c>
      <c r="D3214" s="66">
        <v>6975628240371</v>
      </c>
      <c r="E3214" s="68" t="s">
        <v>12009</v>
      </c>
      <c r="F3214" s="66" t="s">
        <v>12010</v>
      </c>
      <c r="G3214" s="71">
        <v>5356</v>
      </c>
      <c r="H3214" s="73"/>
      <c r="I3214" s="75">
        <v>0.2</v>
      </c>
      <c r="J3214" s="77"/>
      <c r="K3214" s="66"/>
      <c r="L3214" s="66"/>
      <c r="M3214" s="79" t="str">
        <f>HYPERLINK("http://www.pristavka.com/catalog/Genshin Impact/GEN286/")</f>
        <v>http://www.pristavka.com/catalog/Genshin Impact/GEN286/</v>
      </c>
      <c r="N3214" s="71">
        <v>8999</v>
      </c>
      <c r="O3214" s="66" t="s">
        <v>27</v>
      </c>
      <c r="P3214" s="82" t="s">
        <v>12011</v>
      </c>
      <c r="Q3214" s="84" t="s">
        <v>1963</v>
      </c>
      <c r="R3214" s="84" t="s">
        <v>9605</v>
      </c>
      <c r="S3214" s="84">
        <v>0.40799999999999997</v>
      </c>
      <c r="T3214" s="82" t="s">
        <v>11993</v>
      </c>
      <c r="U3214" s="84" t="s">
        <v>2255</v>
      </c>
      <c r="V3214" s="54"/>
    </row>
    <row r="3215" spans="1:22" s="11" customFormat="1" ht="45" customHeight="1" x14ac:dyDescent="0.2">
      <c r="A3215" s="66" t="s">
        <v>1963</v>
      </c>
      <c r="B3215" s="66" t="s">
        <v>1155</v>
      </c>
      <c r="C3215" s="66" t="s">
        <v>9605</v>
      </c>
      <c r="D3215" s="66">
        <v>6975213680896</v>
      </c>
      <c r="E3215" s="68" t="s">
        <v>12012</v>
      </c>
      <c r="F3215" s="66" t="s">
        <v>12013</v>
      </c>
      <c r="G3215" s="71">
        <v>5356</v>
      </c>
      <c r="H3215" s="73"/>
      <c r="I3215" s="75">
        <v>0.2</v>
      </c>
      <c r="J3215" s="77"/>
      <c r="K3215" s="66"/>
      <c r="L3215" s="66"/>
      <c r="M3215" s="79" t="str">
        <f>HYPERLINK("http://www.pristavka.com/catalog/Genshin Impact/GEN277/")</f>
        <v>http://www.pristavka.com/catalog/Genshin Impact/GEN277/</v>
      </c>
      <c r="N3215" s="71">
        <v>8999</v>
      </c>
      <c r="O3215" s="66" t="s">
        <v>27</v>
      </c>
      <c r="P3215" s="82" t="s">
        <v>12014</v>
      </c>
      <c r="Q3215" s="84" t="s">
        <v>1963</v>
      </c>
      <c r="R3215" s="84" t="s">
        <v>9605</v>
      </c>
      <c r="S3215" s="84">
        <v>0.40600000000000003</v>
      </c>
      <c r="T3215" s="82" t="s">
        <v>11993</v>
      </c>
      <c r="U3215" s="84" t="s">
        <v>2255</v>
      </c>
      <c r="V3215" s="54"/>
    </row>
    <row r="3216" spans="1:22" s="11" customFormat="1" ht="45" customHeight="1" x14ac:dyDescent="0.2">
      <c r="A3216" s="66" t="s">
        <v>1963</v>
      </c>
      <c r="B3216" s="66" t="s">
        <v>1155</v>
      </c>
      <c r="C3216" s="66" t="s">
        <v>9605</v>
      </c>
      <c r="D3216" s="66">
        <v>6974696617528</v>
      </c>
      <c r="E3216" s="68" t="s">
        <v>12015</v>
      </c>
      <c r="F3216" s="66" t="s">
        <v>12016</v>
      </c>
      <c r="G3216" s="71">
        <v>5356</v>
      </c>
      <c r="H3216" s="73"/>
      <c r="I3216" s="75">
        <v>0.2</v>
      </c>
      <c r="J3216" s="77"/>
      <c r="K3216" s="66"/>
      <c r="L3216" s="66"/>
      <c r="M3216" s="79" t="str">
        <f>HYPERLINK("http://www.pristavka.com/catalog/Genshin Impact/GEN267/")</f>
        <v>http://www.pristavka.com/catalog/Genshin Impact/GEN267/</v>
      </c>
      <c r="N3216" s="71">
        <v>8999</v>
      </c>
      <c r="O3216" s="66" t="s">
        <v>27</v>
      </c>
      <c r="P3216" s="82" t="s">
        <v>12017</v>
      </c>
      <c r="Q3216" s="84" t="s">
        <v>1963</v>
      </c>
      <c r="R3216" s="84" t="s">
        <v>9605</v>
      </c>
      <c r="S3216" s="84">
        <v>0.40300000000000002</v>
      </c>
      <c r="T3216" s="82" t="s">
        <v>11993</v>
      </c>
      <c r="U3216" s="84" t="s">
        <v>2255</v>
      </c>
      <c r="V3216" s="54"/>
    </row>
    <row r="3217" spans="1:22" s="11" customFormat="1" ht="45" customHeight="1" x14ac:dyDescent="0.2">
      <c r="A3217" s="66" t="s">
        <v>1963</v>
      </c>
      <c r="B3217" s="66" t="s">
        <v>1155</v>
      </c>
      <c r="C3217" s="66" t="s">
        <v>9605</v>
      </c>
      <c r="D3217" s="66">
        <v>6974696619072</v>
      </c>
      <c r="E3217" s="68" t="s">
        <v>12018</v>
      </c>
      <c r="F3217" s="66" t="s">
        <v>12019</v>
      </c>
      <c r="G3217" s="71">
        <v>5356</v>
      </c>
      <c r="H3217" s="73"/>
      <c r="I3217" s="75">
        <v>0.2</v>
      </c>
      <c r="J3217" s="77"/>
      <c r="K3217" s="66"/>
      <c r="L3217" s="66"/>
      <c r="M3217" s="79" t="str">
        <f>HYPERLINK("http://www.pristavka.com/catalog/Genshin Impact/GEN272/")</f>
        <v>http://www.pristavka.com/catalog/Genshin Impact/GEN272/</v>
      </c>
      <c r="N3217" s="71">
        <v>8999</v>
      </c>
      <c r="O3217" s="66" t="s">
        <v>27</v>
      </c>
      <c r="P3217" s="82" t="s">
        <v>12020</v>
      </c>
      <c r="Q3217" s="84" t="s">
        <v>1963</v>
      </c>
      <c r="R3217" s="84" t="s">
        <v>9605</v>
      </c>
      <c r="S3217" s="84">
        <v>0.40300000000000002</v>
      </c>
      <c r="T3217" s="82" t="s">
        <v>11993</v>
      </c>
      <c r="U3217" s="84" t="s">
        <v>2255</v>
      </c>
      <c r="V3217" s="54"/>
    </row>
    <row r="3218" spans="1:22" s="11" customFormat="1" ht="45" customHeight="1" x14ac:dyDescent="0.2">
      <c r="A3218" s="66" t="s">
        <v>1963</v>
      </c>
      <c r="B3218" s="66" t="s">
        <v>1155</v>
      </c>
      <c r="C3218" s="66" t="s">
        <v>9605</v>
      </c>
      <c r="D3218" s="66">
        <v>6974696617023</v>
      </c>
      <c r="E3218" s="68" t="s">
        <v>12021</v>
      </c>
      <c r="F3218" s="66" t="s">
        <v>12022</v>
      </c>
      <c r="G3218" s="71">
        <v>5356</v>
      </c>
      <c r="H3218" s="73"/>
      <c r="I3218" s="75">
        <v>0.2</v>
      </c>
      <c r="J3218" s="77"/>
      <c r="K3218" s="66"/>
      <c r="L3218" s="66"/>
      <c r="M3218" s="79" t="str">
        <f>HYPERLINK("http://www.pristavka.com/catalog/Genshin Impact/GEN269/")</f>
        <v>http://www.pristavka.com/catalog/Genshin Impact/GEN269/</v>
      </c>
      <c r="N3218" s="71">
        <v>8999</v>
      </c>
      <c r="O3218" s="66" t="s">
        <v>27</v>
      </c>
      <c r="P3218" s="82" t="s">
        <v>12023</v>
      </c>
      <c r="Q3218" s="84" t="s">
        <v>1963</v>
      </c>
      <c r="R3218" s="84" t="s">
        <v>9605</v>
      </c>
      <c r="S3218" s="84">
        <v>0.40300000000000002</v>
      </c>
      <c r="T3218" s="82" t="s">
        <v>11993</v>
      </c>
      <c r="U3218" s="84" t="s">
        <v>2255</v>
      </c>
      <c r="V3218" s="54"/>
    </row>
    <row r="3219" spans="1:22" s="11" customFormat="1" ht="45" customHeight="1" x14ac:dyDescent="0.2">
      <c r="A3219" s="66" t="s">
        <v>1963</v>
      </c>
      <c r="B3219" s="66" t="s">
        <v>1155</v>
      </c>
      <c r="C3219" s="66" t="s">
        <v>9605</v>
      </c>
      <c r="D3219" s="66">
        <v>6975213683194</v>
      </c>
      <c r="E3219" s="68" t="s">
        <v>12024</v>
      </c>
      <c r="F3219" s="66" t="s">
        <v>12025</v>
      </c>
      <c r="G3219" s="71">
        <v>5356</v>
      </c>
      <c r="H3219" s="73"/>
      <c r="I3219" s="75">
        <v>0.2</v>
      </c>
      <c r="J3219" s="77"/>
      <c r="K3219" s="66"/>
      <c r="L3219" s="66"/>
      <c r="M3219" s="79" t="str">
        <f>HYPERLINK("http://www.pristavka.com/catalog/Genshin Impact/GEN279/")</f>
        <v>http://www.pristavka.com/catalog/Genshin Impact/GEN279/</v>
      </c>
      <c r="N3219" s="71">
        <v>8999</v>
      </c>
      <c r="O3219" s="66" t="s">
        <v>27</v>
      </c>
      <c r="P3219" s="82" t="s">
        <v>12026</v>
      </c>
      <c r="Q3219" s="84" t="s">
        <v>1963</v>
      </c>
      <c r="R3219" s="84" t="s">
        <v>9605</v>
      </c>
      <c r="S3219" s="84">
        <v>0.40300000000000002</v>
      </c>
      <c r="T3219" s="82" t="s">
        <v>11993</v>
      </c>
      <c r="U3219" s="84" t="s">
        <v>2255</v>
      </c>
      <c r="V3219" s="54"/>
    </row>
    <row r="3220" spans="1:22" s="11" customFormat="1" ht="45" customHeight="1" x14ac:dyDescent="0.2">
      <c r="A3220" s="66" t="s">
        <v>1963</v>
      </c>
      <c r="B3220" s="66" t="s">
        <v>1155</v>
      </c>
      <c r="C3220" s="66" t="s">
        <v>9605</v>
      </c>
      <c r="D3220" s="66">
        <v>6975213683248</v>
      </c>
      <c r="E3220" s="68" t="s">
        <v>12027</v>
      </c>
      <c r="F3220" s="66" t="s">
        <v>12028</v>
      </c>
      <c r="G3220" s="71">
        <v>5356</v>
      </c>
      <c r="H3220" s="73"/>
      <c r="I3220" s="75">
        <v>0.2</v>
      </c>
      <c r="J3220" s="77"/>
      <c r="K3220" s="66"/>
      <c r="L3220" s="66"/>
      <c r="M3220" s="79" t="str">
        <f>HYPERLINK("http://www.pristavka.com/catalog/Genshin Impact/GEN284/")</f>
        <v>http://www.pristavka.com/catalog/Genshin Impact/GEN284/</v>
      </c>
      <c r="N3220" s="71">
        <v>8999</v>
      </c>
      <c r="O3220" s="66" t="s">
        <v>27</v>
      </c>
      <c r="P3220" s="82" t="s">
        <v>12029</v>
      </c>
      <c r="Q3220" s="84" t="s">
        <v>1963</v>
      </c>
      <c r="R3220" s="84" t="s">
        <v>9605</v>
      </c>
      <c r="S3220" s="84">
        <v>0.40300000000000002</v>
      </c>
      <c r="T3220" s="82" t="s">
        <v>11993</v>
      </c>
      <c r="U3220" s="84" t="s">
        <v>2255</v>
      </c>
      <c r="V3220" s="54"/>
    </row>
    <row r="3221" spans="1:22" s="11" customFormat="1" ht="45" customHeight="1" x14ac:dyDescent="0.2">
      <c r="A3221" s="66" t="s">
        <v>1963</v>
      </c>
      <c r="B3221" s="66" t="s">
        <v>1155</v>
      </c>
      <c r="C3221" s="66" t="s">
        <v>9605</v>
      </c>
      <c r="D3221" s="66">
        <v>6975628240395</v>
      </c>
      <c r="E3221" s="68" t="s">
        <v>12030</v>
      </c>
      <c r="F3221" s="66" t="s">
        <v>12031</v>
      </c>
      <c r="G3221" s="71">
        <v>5356</v>
      </c>
      <c r="H3221" s="73"/>
      <c r="I3221" s="75">
        <v>0.2</v>
      </c>
      <c r="J3221" s="77"/>
      <c r="K3221" s="66"/>
      <c r="L3221" s="66"/>
      <c r="M3221" s="79" t="str">
        <f>HYPERLINK("http://www.pristavka.com/catalog/Genshin Impact/GEN288/")</f>
        <v>http://www.pristavka.com/catalog/Genshin Impact/GEN288/</v>
      </c>
      <c r="N3221" s="71">
        <v>8999</v>
      </c>
      <c r="O3221" s="66" t="s">
        <v>27</v>
      </c>
      <c r="P3221" s="82" t="s">
        <v>12032</v>
      </c>
      <c r="Q3221" s="84" t="s">
        <v>1963</v>
      </c>
      <c r="R3221" s="84" t="s">
        <v>9605</v>
      </c>
      <c r="S3221" s="84">
        <v>0.40699999999999997</v>
      </c>
      <c r="T3221" s="82" t="s">
        <v>12033</v>
      </c>
      <c r="U3221" s="84" t="s">
        <v>2255</v>
      </c>
      <c r="V3221" s="54"/>
    </row>
    <row r="3222" spans="1:22" s="11" customFormat="1" ht="45" customHeight="1" x14ac:dyDescent="0.2">
      <c r="A3222" s="66" t="s">
        <v>1963</v>
      </c>
      <c r="B3222" s="66" t="s">
        <v>1155</v>
      </c>
      <c r="C3222" s="66" t="s">
        <v>9605</v>
      </c>
      <c r="D3222" s="66">
        <v>6975628240364</v>
      </c>
      <c r="E3222" s="68" t="s">
        <v>12034</v>
      </c>
      <c r="F3222" s="66" t="s">
        <v>12035</v>
      </c>
      <c r="G3222" s="71">
        <v>5356</v>
      </c>
      <c r="H3222" s="73"/>
      <c r="I3222" s="75">
        <v>0.2</v>
      </c>
      <c r="J3222" s="77"/>
      <c r="K3222" s="66"/>
      <c r="L3222" s="66"/>
      <c r="M3222" s="79" t="str">
        <f>HYPERLINK("http://www.pristavka.com/catalog/Genshin Impact/GEN285/")</f>
        <v>http://www.pristavka.com/catalog/Genshin Impact/GEN285/</v>
      </c>
      <c r="N3222" s="71">
        <v>8999</v>
      </c>
      <c r="O3222" s="66" t="s">
        <v>27</v>
      </c>
      <c r="P3222" s="82" t="s">
        <v>12036</v>
      </c>
      <c r="Q3222" s="84" t="s">
        <v>1963</v>
      </c>
      <c r="R3222" s="84" t="s">
        <v>9605</v>
      </c>
      <c r="S3222" s="84">
        <v>0.40699999999999997</v>
      </c>
      <c r="T3222" s="82" t="s">
        <v>12033</v>
      </c>
      <c r="U3222" s="84" t="s">
        <v>2255</v>
      </c>
      <c r="V3222" s="54"/>
    </row>
    <row r="3223" spans="1:22" s="11" customFormat="1" ht="45" customHeight="1" x14ac:dyDescent="0.2">
      <c r="A3223" s="66" t="s">
        <v>1963</v>
      </c>
      <c r="B3223" s="66" t="s">
        <v>1155</v>
      </c>
      <c r="C3223" s="66" t="s">
        <v>9605</v>
      </c>
      <c r="D3223" s="66">
        <v>6975213683224</v>
      </c>
      <c r="E3223" s="68" t="s">
        <v>12037</v>
      </c>
      <c r="F3223" s="66" t="s">
        <v>12038</v>
      </c>
      <c r="G3223" s="71">
        <v>5356</v>
      </c>
      <c r="H3223" s="73"/>
      <c r="I3223" s="75">
        <v>0.2</v>
      </c>
      <c r="J3223" s="77"/>
      <c r="K3223" s="66"/>
      <c r="L3223" s="66"/>
      <c r="M3223" s="79" t="str">
        <f>HYPERLINK("http://www.pristavka.com/catalog/Genshin Impact/GEN282/")</f>
        <v>http://www.pristavka.com/catalog/Genshin Impact/GEN282/</v>
      </c>
      <c r="N3223" s="71">
        <v>8999</v>
      </c>
      <c r="O3223" s="66" t="s">
        <v>27</v>
      </c>
      <c r="P3223" s="82" t="s">
        <v>12039</v>
      </c>
      <c r="Q3223" s="84" t="s">
        <v>1963</v>
      </c>
      <c r="R3223" s="84" t="s">
        <v>9605</v>
      </c>
      <c r="S3223" s="84">
        <v>0.40300000000000002</v>
      </c>
      <c r="T3223" s="82" t="s">
        <v>11993</v>
      </c>
      <c r="U3223" s="84" t="s">
        <v>2255</v>
      </c>
      <c r="V3223" s="54"/>
    </row>
    <row r="3224" spans="1:22" s="11" customFormat="1" ht="45" customHeight="1" x14ac:dyDescent="0.2">
      <c r="A3224" s="66" t="s">
        <v>1963</v>
      </c>
      <c r="B3224" s="66" t="s">
        <v>1155</v>
      </c>
      <c r="C3224" s="66" t="s">
        <v>9605</v>
      </c>
      <c r="D3224" s="66">
        <v>6975213683217</v>
      </c>
      <c r="E3224" s="68" t="s">
        <v>12040</v>
      </c>
      <c r="F3224" s="66" t="s">
        <v>12041</v>
      </c>
      <c r="G3224" s="71">
        <v>5356</v>
      </c>
      <c r="H3224" s="73"/>
      <c r="I3224" s="75">
        <v>0.2</v>
      </c>
      <c r="J3224" s="77"/>
      <c r="K3224" s="66"/>
      <c r="L3224" s="66"/>
      <c r="M3224" s="79" t="str">
        <f>HYPERLINK("http://www.pristavka.com/catalog/Genshin Impact/GEN281/")</f>
        <v>http://www.pristavka.com/catalog/Genshin Impact/GEN281/</v>
      </c>
      <c r="N3224" s="71">
        <v>8999</v>
      </c>
      <c r="O3224" s="66" t="s">
        <v>27</v>
      </c>
      <c r="P3224" s="82" t="s">
        <v>12042</v>
      </c>
      <c r="Q3224" s="84" t="s">
        <v>1963</v>
      </c>
      <c r="R3224" s="84" t="s">
        <v>9605</v>
      </c>
      <c r="S3224" s="84">
        <v>0.40600000000000003</v>
      </c>
      <c r="T3224" s="82" t="s">
        <v>11993</v>
      </c>
      <c r="U3224" s="84" t="s">
        <v>2255</v>
      </c>
      <c r="V3224" s="54"/>
    </row>
    <row r="3225" spans="1:22" s="11" customFormat="1" ht="45" customHeight="1" x14ac:dyDescent="0.2">
      <c r="A3225" s="66" t="s">
        <v>1963</v>
      </c>
      <c r="B3225" s="66" t="s">
        <v>1155</v>
      </c>
      <c r="C3225" s="66" t="s">
        <v>9605</v>
      </c>
      <c r="D3225" s="66">
        <v>6975213680865</v>
      </c>
      <c r="E3225" s="68" t="s">
        <v>12043</v>
      </c>
      <c r="F3225" s="66" t="s">
        <v>12044</v>
      </c>
      <c r="G3225" s="71">
        <v>5356</v>
      </c>
      <c r="H3225" s="73"/>
      <c r="I3225" s="75">
        <v>0.2</v>
      </c>
      <c r="J3225" s="77"/>
      <c r="K3225" s="66"/>
      <c r="L3225" s="66"/>
      <c r="M3225" s="79" t="str">
        <f>HYPERLINK("http://www.pristavka.com/catalog/Genshin Impact/GEN275/")</f>
        <v>http://www.pristavka.com/catalog/Genshin Impact/GEN275/</v>
      </c>
      <c r="N3225" s="71">
        <v>8999</v>
      </c>
      <c r="O3225" s="66" t="s">
        <v>27</v>
      </c>
      <c r="P3225" s="82" t="s">
        <v>12045</v>
      </c>
      <c r="Q3225" s="84" t="s">
        <v>1963</v>
      </c>
      <c r="R3225" s="84" t="s">
        <v>9605</v>
      </c>
      <c r="S3225" s="84">
        <v>0.40300000000000002</v>
      </c>
      <c r="T3225" s="82" t="s">
        <v>11993</v>
      </c>
      <c r="U3225" s="84" t="s">
        <v>2255</v>
      </c>
      <c r="V3225" s="54"/>
    </row>
    <row r="3226" spans="1:22" s="11" customFormat="1" ht="45" customHeight="1" x14ac:dyDescent="0.2">
      <c r="A3226" s="66" t="s">
        <v>1963</v>
      </c>
      <c r="B3226" s="66" t="s">
        <v>1155</v>
      </c>
      <c r="C3226" s="66" t="s">
        <v>9605</v>
      </c>
      <c r="D3226" s="66">
        <v>6975213686751</v>
      </c>
      <c r="E3226" s="68" t="s">
        <v>12046</v>
      </c>
      <c r="F3226" s="66" t="s">
        <v>12047</v>
      </c>
      <c r="G3226" s="71">
        <v>5990</v>
      </c>
      <c r="H3226" s="73"/>
      <c r="I3226" s="75">
        <v>0.2</v>
      </c>
      <c r="J3226" s="77"/>
      <c r="K3226" s="66"/>
      <c r="L3226" s="66"/>
      <c r="M3226" s="79" t="str">
        <f>HYPERLINK("http://www.pristavka.com/catalog/Genshin Impact/GEN923/")</f>
        <v>http://www.pristavka.com/catalog/Genshin Impact/GEN923/</v>
      </c>
      <c r="N3226" s="71">
        <v>9999</v>
      </c>
      <c r="O3226" s="66" t="s">
        <v>27</v>
      </c>
      <c r="P3226" s="82" t="s">
        <v>12048</v>
      </c>
      <c r="Q3226" s="84" t="s">
        <v>1963</v>
      </c>
      <c r="R3226" s="84" t="s">
        <v>9605</v>
      </c>
      <c r="S3226" s="84">
        <v>0.40600000000000003</v>
      </c>
      <c r="T3226" s="82" t="s">
        <v>11993</v>
      </c>
      <c r="U3226" s="84"/>
      <c r="V3226" s="54"/>
    </row>
    <row r="3227" spans="1:22" s="11" customFormat="1" ht="45" customHeight="1" x14ac:dyDescent="0.2">
      <c r="A3227" s="66" t="s">
        <v>1963</v>
      </c>
      <c r="B3227" s="66" t="s">
        <v>1155</v>
      </c>
      <c r="C3227" s="66" t="s">
        <v>9605</v>
      </c>
      <c r="D3227" s="66">
        <v>6974696618051</v>
      </c>
      <c r="E3227" s="68" t="s">
        <v>12049</v>
      </c>
      <c r="F3227" s="66" t="s">
        <v>12050</v>
      </c>
      <c r="G3227" s="71">
        <v>20569</v>
      </c>
      <c r="H3227" s="73"/>
      <c r="I3227" s="75">
        <v>0.2</v>
      </c>
      <c r="J3227" s="77"/>
      <c r="K3227" s="66"/>
      <c r="L3227" s="66"/>
      <c r="M3227" s="79" t="str">
        <f>HYPERLINK("http://www.pristavka.com/catalog/Genshin Impact/GEN715/")</f>
        <v>http://www.pristavka.com/catalog/Genshin Impact/GEN715/</v>
      </c>
      <c r="N3227" s="71">
        <v>34299</v>
      </c>
      <c r="O3227" s="66" t="s">
        <v>28</v>
      </c>
      <c r="P3227" s="82" t="s">
        <v>12051</v>
      </c>
      <c r="Q3227" s="84" t="s">
        <v>1963</v>
      </c>
      <c r="R3227" s="84" t="s">
        <v>9605</v>
      </c>
      <c r="S3227" s="84">
        <v>1.4319999999999999</v>
      </c>
      <c r="T3227" s="82" t="s">
        <v>12052</v>
      </c>
      <c r="U3227" s="84"/>
      <c r="V3227" s="54"/>
    </row>
    <row r="3228" spans="1:22" s="11" customFormat="1" ht="45" customHeight="1" x14ac:dyDescent="0.2">
      <c r="A3228" s="66" t="s">
        <v>1963</v>
      </c>
      <c r="B3228" s="66" t="s">
        <v>1155</v>
      </c>
      <c r="C3228" s="66" t="s">
        <v>9605</v>
      </c>
      <c r="D3228" s="66">
        <v>6942421101956</v>
      </c>
      <c r="E3228" s="68" t="s">
        <v>12053</v>
      </c>
      <c r="F3228" s="66" t="s">
        <v>12054</v>
      </c>
      <c r="G3228" s="71">
        <v>1262</v>
      </c>
      <c r="H3228" s="73"/>
      <c r="I3228" s="75">
        <v>0.2</v>
      </c>
      <c r="J3228" s="77"/>
      <c r="K3228" s="66"/>
      <c r="L3228" s="66"/>
      <c r="M3228" s="79" t="str">
        <f>HYPERLINK("http://www.pristavka.com/catalog/Genshin Impact/GEN1006/")</f>
        <v>http://www.pristavka.com/catalog/Genshin Impact/GEN1006/</v>
      </c>
      <c r="N3228" s="71">
        <v>2199</v>
      </c>
      <c r="O3228" s="66" t="s">
        <v>27</v>
      </c>
      <c r="P3228" s="82" t="s">
        <v>12055</v>
      </c>
      <c r="Q3228" s="84" t="s">
        <v>1963</v>
      </c>
      <c r="R3228" s="84" t="s">
        <v>9605</v>
      </c>
      <c r="S3228" s="84">
        <v>0.03</v>
      </c>
      <c r="T3228" s="82" t="s">
        <v>11802</v>
      </c>
      <c r="U3228" s="84"/>
      <c r="V3228" s="54"/>
    </row>
    <row r="3229" spans="1:22" s="11" customFormat="1" ht="45" customHeight="1" x14ac:dyDescent="0.2">
      <c r="A3229" s="66" t="s">
        <v>1963</v>
      </c>
      <c r="B3229" s="66" t="s">
        <v>1155</v>
      </c>
      <c r="C3229" s="66" t="s">
        <v>9605</v>
      </c>
      <c r="D3229" s="66">
        <v>6942421101994</v>
      </c>
      <c r="E3229" s="68" t="s">
        <v>12056</v>
      </c>
      <c r="F3229" s="66" t="s">
        <v>12057</v>
      </c>
      <c r="G3229" s="71">
        <v>1262</v>
      </c>
      <c r="H3229" s="73"/>
      <c r="I3229" s="75">
        <v>0.2</v>
      </c>
      <c r="J3229" s="77"/>
      <c r="K3229" s="66"/>
      <c r="L3229" s="66"/>
      <c r="M3229" s="79" t="str">
        <f>HYPERLINK("http://www.pristavka.com/catalog/Genshin Impact/GEN1008/")</f>
        <v>http://www.pristavka.com/catalog/Genshin Impact/GEN1008/</v>
      </c>
      <c r="N3229" s="71">
        <v>2199</v>
      </c>
      <c r="O3229" s="66" t="s">
        <v>27</v>
      </c>
      <c r="P3229" s="82" t="s">
        <v>12058</v>
      </c>
      <c r="Q3229" s="84" t="s">
        <v>1963</v>
      </c>
      <c r="R3229" s="84" t="s">
        <v>9605</v>
      </c>
      <c r="S3229" s="84">
        <v>0.03</v>
      </c>
      <c r="T3229" s="82" t="s">
        <v>11802</v>
      </c>
      <c r="U3229" s="84"/>
      <c r="V3229" s="54"/>
    </row>
    <row r="3230" spans="1:22" s="11" customFormat="1" ht="45" customHeight="1" x14ac:dyDescent="0.2">
      <c r="A3230" s="66" t="s">
        <v>1963</v>
      </c>
      <c r="B3230" s="66" t="s">
        <v>1155</v>
      </c>
      <c r="C3230" s="66" t="s">
        <v>9605</v>
      </c>
      <c r="D3230" s="66">
        <v>6974696610239</v>
      </c>
      <c r="E3230" s="68" t="s">
        <v>12059</v>
      </c>
      <c r="F3230" s="66" t="s">
        <v>12060</v>
      </c>
      <c r="G3230" s="71">
        <v>1738</v>
      </c>
      <c r="H3230" s="73"/>
      <c r="I3230" s="75">
        <v>0.2</v>
      </c>
      <c r="J3230" s="77"/>
      <c r="K3230" s="66"/>
      <c r="L3230" s="66"/>
      <c r="M3230" s="79" t="str">
        <f>HYPERLINK("http://www.pristavka.com/catalog/Genshin Impact/GEN341/")</f>
        <v>http://www.pristavka.com/catalog/Genshin Impact/GEN341/</v>
      </c>
      <c r="N3230" s="71">
        <v>2899</v>
      </c>
      <c r="O3230" s="66" t="s">
        <v>27</v>
      </c>
      <c r="P3230" s="82" t="s">
        <v>12061</v>
      </c>
      <c r="Q3230" s="84" t="s">
        <v>1963</v>
      </c>
      <c r="R3230" s="84" t="s">
        <v>9605</v>
      </c>
      <c r="S3230" s="84">
        <v>3.1E-2</v>
      </c>
      <c r="T3230" s="82" t="s">
        <v>9669</v>
      </c>
      <c r="U3230" s="84" t="s">
        <v>2255</v>
      </c>
      <c r="V3230" s="54"/>
    </row>
    <row r="3231" spans="1:22" s="11" customFormat="1" ht="45" customHeight="1" x14ac:dyDescent="0.2">
      <c r="A3231" s="66" t="s">
        <v>1963</v>
      </c>
      <c r="B3231" s="66" t="s">
        <v>1155</v>
      </c>
      <c r="C3231" s="66" t="s">
        <v>9605</v>
      </c>
      <c r="D3231" s="66">
        <v>6974696610277</v>
      </c>
      <c r="E3231" s="68" t="s">
        <v>12062</v>
      </c>
      <c r="F3231" s="66" t="s">
        <v>12063</v>
      </c>
      <c r="G3231" s="71">
        <v>1738</v>
      </c>
      <c r="H3231" s="73"/>
      <c r="I3231" s="75">
        <v>0.2</v>
      </c>
      <c r="J3231" s="77"/>
      <c r="K3231" s="66"/>
      <c r="L3231" s="66"/>
      <c r="M3231" s="79" t="str">
        <f>HYPERLINK("http://www.pristavka.com/catalog/Genshin Impact/GEN334/")</f>
        <v>http://www.pristavka.com/catalog/Genshin Impact/GEN334/</v>
      </c>
      <c r="N3231" s="71">
        <v>2899</v>
      </c>
      <c r="O3231" s="66" t="s">
        <v>27</v>
      </c>
      <c r="P3231" s="82" t="s">
        <v>12064</v>
      </c>
      <c r="Q3231" s="84" t="s">
        <v>1963</v>
      </c>
      <c r="R3231" s="84" t="s">
        <v>9605</v>
      </c>
      <c r="S3231" s="84">
        <v>3.2000000000000001E-2</v>
      </c>
      <c r="T3231" s="82" t="s">
        <v>9669</v>
      </c>
      <c r="U3231" s="84" t="s">
        <v>2255</v>
      </c>
      <c r="V3231" s="54"/>
    </row>
    <row r="3232" spans="1:22" s="11" customFormat="1" ht="45" customHeight="1" x14ac:dyDescent="0.2">
      <c r="A3232" s="66" t="s">
        <v>1963</v>
      </c>
      <c r="B3232" s="66" t="s">
        <v>1155</v>
      </c>
      <c r="C3232" s="66" t="s">
        <v>9605</v>
      </c>
      <c r="D3232" s="66">
        <v>6974696610246</v>
      </c>
      <c r="E3232" s="68" t="s">
        <v>12065</v>
      </c>
      <c r="F3232" s="66" t="s">
        <v>12066</v>
      </c>
      <c r="G3232" s="71">
        <v>1738</v>
      </c>
      <c r="H3232" s="73"/>
      <c r="I3232" s="75">
        <v>0.2</v>
      </c>
      <c r="J3232" s="77"/>
      <c r="K3232" s="66"/>
      <c r="L3232" s="66"/>
      <c r="M3232" s="79" t="str">
        <f>HYPERLINK("http://www.pristavka.com/catalog/Genshin Impact/GEN337/")</f>
        <v>http://www.pristavka.com/catalog/Genshin Impact/GEN337/</v>
      </c>
      <c r="N3232" s="71">
        <v>2899</v>
      </c>
      <c r="O3232" s="66" t="s">
        <v>27</v>
      </c>
      <c r="P3232" s="82" t="s">
        <v>12067</v>
      </c>
      <c r="Q3232" s="84" t="s">
        <v>1963</v>
      </c>
      <c r="R3232" s="84" t="s">
        <v>9605</v>
      </c>
      <c r="S3232" s="84">
        <v>3.2000000000000001E-2</v>
      </c>
      <c r="T3232" s="82" t="s">
        <v>9669</v>
      </c>
      <c r="U3232" s="84" t="s">
        <v>2255</v>
      </c>
      <c r="V3232" s="54"/>
    </row>
    <row r="3233" spans="1:22" s="11" customFormat="1" ht="45" customHeight="1" x14ac:dyDescent="0.2">
      <c r="A3233" s="66" t="s">
        <v>1963</v>
      </c>
      <c r="B3233" s="66" t="s">
        <v>1155</v>
      </c>
      <c r="C3233" s="66" t="s">
        <v>9605</v>
      </c>
      <c r="D3233" s="66">
        <v>6974696610208</v>
      </c>
      <c r="E3233" s="68" t="s">
        <v>12068</v>
      </c>
      <c r="F3233" s="66" t="s">
        <v>12069</v>
      </c>
      <c r="G3233" s="71">
        <v>1738</v>
      </c>
      <c r="H3233" s="73"/>
      <c r="I3233" s="75">
        <v>0.2</v>
      </c>
      <c r="J3233" s="77"/>
      <c r="K3233" s="66"/>
      <c r="L3233" s="66"/>
      <c r="M3233" s="79" t="str">
        <f>HYPERLINK("http://www.pristavka.com/catalog/Genshin Impact/GEN333/")</f>
        <v>http://www.pristavka.com/catalog/Genshin Impact/GEN333/</v>
      </c>
      <c r="N3233" s="71">
        <v>2899</v>
      </c>
      <c r="O3233" s="66" t="s">
        <v>27</v>
      </c>
      <c r="P3233" s="82" t="s">
        <v>12070</v>
      </c>
      <c r="Q3233" s="84" t="s">
        <v>1963</v>
      </c>
      <c r="R3233" s="84" t="s">
        <v>9605</v>
      </c>
      <c r="S3233" s="84">
        <v>3.1E-2</v>
      </c>
      <c r="T3233" s="82" t="s">
        <v>9669</v>
      </c>
      <c r="U3233" s="84" t="s">
        <v>2255</v>
      </c>
      <c r="V3233" s="54"/>
    </row>
    <row r="3234" spans="1:22" s="11" customFormat="1" ht="45" customHeight="1" x14ac:dyDescent="0.2">
      <c r="A3234" s="66" t="s">
        <v>1963</v>
      </c>
      <c r="B3234" s="66" t="s">
        <v>1155</v>
      </c>
      <c r="C3234" s="66" t="s">
        <v>9605</v>
      </c>
      <c r="D3234" s="66">
        <v>6974696610253</v>
      </c>
      <c r="E3234" s="68" t="s">
        <v>12071</v>
      </c>
      <c r="F3234" s="66" t="s">
        <v>12072</v>
      </c>
      <c r="G3234" s="71">
        <v>1738</v>
      </c>
      <c r="H3234" s="73"/>
      <c r="I3234" s="75">
        <v>0.2</v>
      </c>
      <c r="J3234" s="77"/>
      <c r="K3234" s="66"/>
      <c r="L3234" s="66"/>
      <c r="M3234" s="79" t="str">
        <f>HYPERLINK("http://www.pristavka.com/catalog/Genshin Impact/GEN336/")</f>
        <v>http://www.pristavka.com/catalog/Genshin Impact/GEN336/</v>
      </c>
      <c r="N3234" s="71">
        <v>2899</v>
      </c>
      <c r="O3234" s="66" t="s">
        <v>27</v>
      </c>
      <c r="P3234" s="82" t="s">
        <v>12073</v>
      </c>
      <c r="Q3234" s="84" t="s">
        <v>1963</v>
      </c>
      <c r="R3234" s="84" t="s">
        <v>9605</v>
      </c>
      <c r="S3234" s="84">
        <v>0.03</v>
      </c>
      <c r="T3234" s="82" t="s">
        <v>9669</v>
      </c>
      <c r="U3234" s="84" t="s">
        <v>2255</v>
      </c>
      <c r="V3234" s="54"/>
    </row>
    <row r="3235" spans="1:22" s="11" customFormat="1" ht="45" customHeight="1" x14ac:dyDescent="0.2">
      <c r="A3235" s="66" t="s">
        <v>1963</v>
      </c>
      <c r="B3235" s="66" t="s">
        <v>1155</v>
      </c>
      <c r="C3235" s="66" t="s">
        <v>9605</v>
      </c>
      <c r="D3235" s="66">
        <v>6974696610222</v>
      </c>
      <c r="E3235" s="68" t="s">
        <v>12074</v>
      </c>
      <c r="F3235" s="66" t="s">
        <v>12075</v>
      </c>
      <c r="G3235" s="71">
        <v>1738</v>
      </c>
      <c r="H3235" s="73"/>
      <c r="I3235" s="75">
        <v>0.2</v>
      </c>
      <c r="J3235" s="77"/>
      <c r="K3235" s="66"/>
      <c r="L3235" s="66"/>
      <c r="M3235" s="79" t="str">
        <f>HYPERLINK("http://www.pristavka.com/catalog/Genshin Impact/GEN338/")</f>
        <v>http://www.pristavka.com/catalog/Genshin Impact/GEN338/</v>
      </c>
      <c r="N3235" s="71">
        <v>2899</v>
      </c>
      <c r="O3235" s="66" t="s">
        <v>27</v>
      </c>
      <c r="P3235" s="82" t="s">
        <v>12076</v>
      </c>
      <c r="Q3235" s="84" t="s">
        <v>1963</v>
      </c>
      <c r="R3235" s="84" t="s">
        <v>9605</v>
      </c>
      <c r="S3235" s="84">
        <v>3.1E-2</v>
      </c>
      <c r="T3235" s="82" t="s">
        <v>9669</v>
      </c>
      <c r="U3235" s="84" t="s">
        <v>2255</v>
      </c>
      <c r="V3235" s="54"/>
    </row>
    <row r="3236" spans="1:22" s="11" customFormat="1" ht="45" customHeight="1" x14ac:dyDescent="0.2">
      <c r="A3236" s="66" t="s">
        <v>1963</v>
      </c>
      <c r="B3236" s="66" t="s">
        <v>1155</v>
      </c>
      <c r="C3236" s="66" t="s">
        <v>9605</v>
      </c>
      <c r="D3236" s="66">
        <v>6975628241323</v>
      </c>
      <c r="E3236" s="68" t="s">
        <v>12077</v>
      </c>
      <c r="F3236" s="66" t="s">
        <v>12078</v>
      </c>
      <c r="G3236" s="71">
        <v>24689</v>
      </c>
      <c r="H3236" s="73"/>
      <c r="I3236" s="75">
        <v>0.2</v>
      </c>
      <c r="J3236" s="77"/>
      <c r="K3236" s="66"/>
      <c r="L3236" s="66"/>
      <c r="M3236" s="79" t="str">
        <f>HYPERLINK("http://www.pristavka.com/catalog/Genshin Impact/GEN753/")</f>
        <v>http://www.pristavka.com/catalog/Genshin Impact/GEN753/</v>
      </c>
      <c r="N3236" s="71">
        <v>41199</v>
      </c>
      <c r="O3236" s="66" t="s">
        <v>28</v>
      </c>
      <c r="P3236" s="82" t="s">
        <v>12079</v>
      </c>
      <c r="Q3236" s="84" t="s">
        <v>1963</v>
      </c>
      <c r="R3236" s="84" t="s">
        <v>9605</v>
      </c>
      <c r="S3236" s="84">
        <v>0.51200000000000001</v>
      </c>
      <c r="T3236" s="82" t="s">
        <v>12080</v>
      </c>
      <c r="U3236" s="84"/>
      <c r="V3236" s="54"/>
    </row>
    <row r="3237" spans="1:22" s="11" customFormat="1" ht="45" customHeight="1" x14ac:dyDescent="0.2">
      <c r="A3237" s="66" t="s">
        <v>1963</v>
      </c>
      <c r="B3237" s="66" t="s">
        <v>1155</v>
      </c>
      <c r="C3237" s="66" t="s">
        <v>9605</v>
      </c>
      <c r="D3237" s="66">
        <v>6975628240494</v>
      </c>
      <c r="E3237" s="68" t="s">
        <v>12081</v>
      </c>
      <c r="F3237" s="66" t="s">
        <v>12082</v>
      </c>
      <c r="G3237" s="71">
        <v>5356</v>
      </c>
      <c r="H3237" s="73"/>
      <c r="I3237" s="75">
        <v>0.2</v>
      </c>
      <c r="J3237" s="77"/>
      <c r="K3237" s="66"/>
      <c r="L3237" s="66"/>
      <c r="M3237" s="79" t="str">
        <f>HYPERLINK("http://www.pristavka.com/catalog/Genshin Impact/GEN816/")</f>
        <v>http://www.pristavka.com/catalog/Genshin Impact/GEN816/</v>
      </c>
      <c r="N3237" s="71">
        <v>8999</v>
      </c>
      <c r="O3237" s="66" t="s">
        <v>28</v>
      </c>
      <c r="P3237" s="82" t="s">
        <v>12083</v>
      </c>
      <c r="Q3237" s="84" t="s">
        <v>1963</v>
      </c>
      <c r="R3237" s="84" t="s">
        <v>9605</v>
      </c>
      <c r="S3237" s="84">
        <v>0.124</v>
      </c>
      <c r="T3237" s="82" t="s">
        <v>12084</v>
      </c>
      <c r="U3237" s="84"/>
      <c r="V3237" s="54"/>
    </row>
    <row r="3238" spans="1:22" s="11" customFormat="1" ht="45" customHeight="1" x14ac:dyDescent="0.2">
      <c r="A3238" s="66" t="s">
        <v>1963</v>
      </c>
      <c r="B3238" s="66" t="s">
        <v>1155</v>
      </c>
      <c r="C3238" s="66" t="s">
        <v>9605</v>
      </c>
      <c r="D3238" s="66">
        <v>6942421106364</v>
      </c>
      <c r="E3238" s="68" t="s">
        <v>12085</v>
      </c>
      <c r="F3238" s="66" t="s">
        <v>12086</v>
      </c>
      <c r="G3238" s="71">
        <v>4405</v>
      </c>
      <c r="H3238" s="73"/>
      <c r="I3238" s="75">
        <v>0.2</v>
      </c>
      <c r="J3238" s="77"/>
      <c r="K3238" s="66"/>
      <c r="L3238" s="66"/>
      <c r="M3238" s="79" t="str">
        <f>HYPERLINK("http://www.pristavka.com/catalog/Genshin Impact/GEN1113/")</f>
        <v>http://www.pristavka.com/catalog/Genshin Impact/GEN1113/</v>
      </c>
      <c r="N3238" s="71">
        <v>7399</v>
      </c>
      <c r="O3238" s="66" t="s">
        <v>27</v>
      </c>
      <c r="P3238" s="82" t="s">
        <v>12087</v>
      </c>
      <c r="Q3238" s="84" t="s">
        <v>1963</v>
      </c>
      <c r="R3238" s="84" t="s">
        <v>9605</v>
      </c>
      <c r="S3238" s="84">
        <v>3.5999999999999997E-2</v>
      </c>
      <c r="T3238" s="82" t="s">
        <v>12088</v>
      </c>
      <c r="U3238" s="84"/>
      <c r="V3238" s="54"/>
    </row>
    <row r="3239" spans="1:22" s="11" customFormat="1" ht="45" customHeight="1" x14ac:dyDescent="0.2">
      <c r="A3239" s="66" t="s">
        <v>1963</v>
      </c>
      <c r="B3239" s="66" t="s">
        <v>1155</v>
      </c>
      <c r="C3239" s="66" t="s">
        <v>9605</v>
      </c>
      <c r="D3239" s="66">
        <v>6942421106395</v>
      </c>
      <c r="E3239" s="68" t="s">
        <v>12089</v>
      </c>
      <c r="F3239" s="66" t="s">
        <v>12090</v>
      </c>
      <c r="G3239" s="71">
        <v>4405</v>
      </c>
      <c r="H3239" s="73"/>
      <c r="I3239" s="75">
        <v>0.2</v>
      </c>
      <c r="J3239" s="77"/>
      <c r="K3239" s="66"/>
      <c r="L3239" s="66"/>
      <c r="M3239" s="79" t="str">
        <f>HYPERLINK("http://www.pristavka.com/catalog/Genshin Impact/GEN1112/")</f>
        <v>http://www.pristavka.com/catalog/Genshin Impact/GEN1112/</v>
      </c>
      <c r="N3239" s="71">
        <v>7399</v>
      </c>
      <c r="O3239" s="66" t="s">
        <v>27</v>
      </c>
      <c r="P3239" s="82" t="s">
        <v>12091</v>
      </c>
      <c r="Q3239" s="84" t="s">
        <v>1963</v>
      </c>
      <c r="R3239" s="84" t="s">
        <v>9605</v>
      </c>
      <c r="S3239" s="84">
        <v>0.04</v>
      </c>
      <c r="T3239" s="82" t="s">
        <v>12092</v>
      </c>
      <c r="U3239" s="84"/>
      <c r="V3239" s="54"/>
    </row>
    <row r="3240" spans="1:22" s="11" customFormat="1" ht="45" customHeight="1" x14ac:dyDescent="0.2">
      <c r="A3240" s="66" t="s">
        <v>1963</v>
      </c>
      <c r="B3240" s="66" t="s">
        <v>1155</v>
      </c>
      <c r="C3240" s="66" t="s">
        <v>9605</v>
      </c>
      <c r="D3240" s="66">
        <v>6942421106371</v>
      </c>
      <c r="E3240" s="68" t="s">
        <v>12093</v>
      </c>
      <c r="F3240" s="66" t="s">
        <v>12094</v>
      </c>
      <c r="G3240" s="71">
        <v>4405</v>
      </c>
      <c r="H3240" s="73"/>
      <c r="I3240" s="75">
        <v>0.2</v>
      </c>
      <c r="J3240" s="77"/>
      <c r="K3240" s="66"/>
      <c r="L3240" s="66"/>
      <c r="M3240" s="79" t="str">
        <f>HYPERLINK("http://www.pristavka.com/catalog/Genshin Impact/GEN1111/")</f>
        <v>http://www.pristavka.com/catalog/Genshin Impact/GEN1111/</v>
      </c>
      <c r="N3240" s="71">
        <v>7399</v>
      </c>
      <c r="O3240" s="66" t="s">
        <v>27</v>
      </c>
      <c r="P3240" s="82" t="s">
        <v>12095</v>
      </c>
      <c r="Q3240" s="84" t="s">
        <v>1963</v>
      </c>
      <c r="R3240" s="84" t="s">
        <v>9605</v>
      </c>
      <c r="S3240" s="84">
        <v>3.6999999999999998E-2</v>
      </c>
      <c r="T3240" s="82" t="s">
        <v>12096</v>
      </c>
      <c r="U3240" s="84"/>
      <c r="V3240" s="54"/>
    </row>
    <row r="3241" spans="1:22" s="11" customFormat="1" ht="45" customHeight="1" x14ac:dyDescent="0.2">
      <c r="A3241" s="66" t="s">
        <v>1963</v>
      </c>
      <c r="B3241" s="66" t="s">
        <v>1155</v>
      </c>
      <c r="C3241" s="66" t="s">
        <v>9605</v>
      </c>
      <c r="D3241" s="66">
        <v>6942421106388</v>
      </c>
      <c r="E3241" s="68" t="s">
        <v>12097</v>
      </c>
      <c r="F3241" s="66" t="s">
        <v>12098</v>
      </c>
      <c r="G3241" s="71">
        <v>4405</v>
      </c>
      <c r="H3241" s="73"/>
      <c r="I3241" s="75">
        <v>0.2</v>
      </c>
      <c r="J3241" s="77"/>
      <c r="K3241" s="66"/>
      <c r="L3241" s="66"/>
      <c r="M3241" s="79" t="str">
        <f>HYPERLINK("http://www.pristavka.com/catalog/Genshin Impact/GEN1110/")</f>
        <v>http://www.pristavka.com/catalog/Genshin Impact/GEN1110/</v>
      </c>
      <c r="N3241" s="71">
        <v>7399</v>
      </c>
      <c r="O3241" s="66" t="s">
        <v>27</v>
      </c>
      <c r="P3241" s="82" t="s">
        <v>12099</v>
      </c>
      <c r="Q3241" s="84" t="s">
        <v>1963</v>
      </c>
      <c r="R3241" s="84" t="s">
        <v>9605</v>
      </c>
      <c r="S3241" s="84">
        <v>3.3000000000000002E-2</v>
      </c>
      <c r="T3241" s="82" t="s">
        <v>12100</v>
      </c>
      <c r="U3241" s="84"/>
      <c r="V3241" s="54"/>
    </row>
    <row r="3242" spans="1:22" s="11" customFormat="1" ht="45" customHeight="1" x14ac:dyDescent="0.2">
      <c r="A3242" s="66" t="s">
        <v>1963</v>
      </c>
      <c r="B3242" s="66" t="s">
        <v>1155</v>
      </c>
      <c r="C3242" s="66" t="s">
        <v>9605</v>
      </c>
      <c r="D3242" s="66">
        <v>6942421149248</v>
      </c>
      <c r="E3242" s="68" t="s">
        <v>12101</v>
      </c>
      <c r="F3242" s="66" t="s">
        <v>12102</v>
      </c>
      <c r="G3242" s="71">
        <v>18350</v>
      </c>
      <c r="H3242" s="73"/>
      <c r="I3242" s="75">
        <v>0.2</v>
      </c>
      <c r="J3242" s="77"/>
      <c r="K3242" s="66"/>
      <c r="L3242" s="66"/>
      <c r="M3242" s="79" t="str">
        <f>HYPERLINK("http://www.pristavka.com/catalog/Genshin Impact/GEN1409/")</f>
        <v>http://www.pristavka.com/catalog/Genshin Impact/GEN1409/</v>
      </c>
      <c r="N3242" s="71">
        <v>30599</v>
      </c>
      <c r="O3242" s="66" t="s">
        <v>27</v>
      </c>
      <c r="P3242" s="82" t="s">
        <v>12103</v>
      </c>
      <c r="Q3242" s="84" t="s">
        <v>1963</v>
      </c>
      <c r="R3242" s="84" t="s">
        <v>9605</v>
      </c>
      <c r="S3242" s="84">
        <v>0.9</v>
      </c>
      <c r="T3242" s="82" t="s">
        <v>12104</v>
      </c>
      <c r="U3242" s="84"/>
      <c r="V3242" s="54"/>
    </row>
    <row r="3243" spans="1:22" s="11" customFormat="1" ht="45" customHeight="1" x14ac:dyDescent="0.2">
      <c r="A3243" s="66" t="s">
        <v>1963</v>
      </c>
      <c r="B3243" s="66" t="s">
        <v>1155</v>
      </c>
      <c r="C3243" s="66" t="s">
        <v>9605</v>
      </c>
      <c r="D3243" s="66">
        <v>6942421149217</v>
      </c>
      <c r="E3243" s="68" t="s">
        <v>12105</v>
      </c>
      <c r="F3243" s="66" t="s">
        <v>12106</v>
      </c>
      <c r="G3243" s="71">
        <v>18350</v>
      </c>
      <c r="H3243" s="73"/>
      <c r="I3243" s="75">
        <v>0.2</v>
      </c>
      <c r="J3243" s="77"/>
      <c r="K3243" s="66"/>
      <c r="L3243" s="66"/>
      <c r="M3243" s="79" t="str">
        <f>HYPERLINK("http://www.pristavka.com/catalog/Genshin Impact/GEN1407/")</f>
        <v>http://www.pristavka.com/catalog/Genshin Impact/GEN1407/</v>
      </c>
      <c r="N3243" s="71">
        <v>30599</v>
      </c>
      <c r="O3243" s="66" t="s">
        <v>27</v>
      </c>
      <c r="P3243" s="82" t="s">
        <v>12107</v>
      </c>
      <c r="Q3243" s="84" t="s">
        <v>1963</v>
      </c>
      <c r="R3243" s="84" t="s">
        <v>9605</v>
      </c>
      <c r="S3243" s="84">
        <v>0.90400000000000003</v>
      </c>
      <c r="T3243" s="82" t="s">
        <v>12108</v>
      </c>
      <c r="U3243" s="84"/>
      <c r="V3243" s="54"/>
    </row>
    <row r="3244" spans="1:22" s="11" customFormat="1" ht="45" customHeight="1" x14ac:dyDescent="0.2">
      <c r="A3244" s="66" t="s">
        <v>1963</v>
      </c>
      <c r="B3244" s="66" t="s">
        <v>1155</v>
      </c>
      <c r="C3244" s="66" t="s">
        <v>9605</v>
      </c>
      <c r="D3244" s="66">
        <v>6942421149255</v>
      </c>
      <c r="E3244" s="68" t="s">
        <v>12109</v>
      </c>
      <c r="F3244" s="66" t="s">
        <v>12110</v>
      </c>
      <c r="G3244" s="71">
        <v>18350</v>
      </c>
      <c r="H3244" s="73"/>
      <c r="I3244" s="75">
        <v>0.2</v>
      </c>
      <c r="J3244" s="77"/>
      <c r="K3244" s="66"/>
      <c r="L3244" s="66"/>
      <c r="M3244" s="79" t="str">
        <f>HYPERLINK("http://www.pristavka.com/catalog/Genshin Impact/GEN1410/")</f>
        <v>http://www.pristavka.com/catalog/Genshin Impact/GEN1410/</v>
      </c>
      <c r="N3244" s="71">
        <v>30599</v>
      </c>
      <c r="O3244" s="66" t="s">
        <v>27</v>
      </c>
      <c r="P3244" s="82" t="s">
        <v>12111</v>
      </c>
      <c r="Q3244" s="84" t="s">
        <v>1963</v>
      </c>
      <c r="R3244" s="84" t="s">
        <v>9605</v>
      </c>
      <c r="S3244" s="84">
        <v>0.89</v>
      </c>
      <c r="T3244" s="82" t="s">
        <v>12112</v>
      </c>
      <c r="U3244" s="84"/>
      <c r="V3244" s="54"/>
    </row>
    <row r="3245" spans="1:22" s="11" customFormat="1" ht="45" customHeight="1" x14ac:dyDescent="0.2">
      <c r="A3245" s="66" t="s">
        <v>1963</v>
      </c>
      <c r="B3245" s="66" t="s">
        <v>1155</v>
      </c>
      <c r="C3245" s="66" t="s">
        <v>9605</v>
      </c>
      <c r="D3245" s="66">
        <v>6942421149231</v>
      </c>
      <c r="E3245" s="68" t="s">
        <v>12113</v>
      </c>
      <c r="F3245" s="66" t="s">
        <v>12114</v>
      </c>
      <c r="G3245" s="71">
        <v>18350</v>
      </c>
      <c r="H3245" s="73"/>
      <c r="I3245" s="75">
        <v>0.2</v>
      </c>
      <c r="J3245" s="77"/>
      <c r="K3245" s="66"/>
      <c r="L3245" s="66"/>
      <c r="M3245" s="79" t="str">
        <f>HYPERLINK("http://www.pristavka.com/catalog/Genshin Impact/GEN1408/")</f>
        <v>http://www.pristavka.com/catalog/Genshin Impact/GEN1408/</v>
      </c>
      <c r="N3245" s="71">
        <v>30599</v>
      </c>
      <c r="O3245" s="66" t="s">
        <v>28</v>
      </c>
      <c r="P3245" s="82" t="s">
        <v>12115</v>
      </c>
      <c r="Q3245" s="84" t="s">
        <v>1963</v>
      </c>
      <c r="R3245" s="84" t="s">
        <v>9605</v>
      </c>
      <c r="S3245" s="84">
        <v>0.89600000000000002</v>
      </c>
      <c r="T3245" s="82" t="s">
        <v>12108</v>
      </c>
      <c r="U3245" s="84"/>
      <c r="V3245" s="54"/>
    </row>
    <row r="3246" spans="1:22" s="11" customFormat="1" ht="45" customHeight="1" x14ac:dyDescent="0.2">
      <c r="A3246" s="66" t="s">
        <v>1963</v>
      </c>
      <c r="B3246" s="66" t="s">
        <v>1155</v>
      </c>
      <c r="C3246" s="66" t="s">
        <v>9605</v>
      </c>
      <c r="D3246" s="66">
        <v>6974096536047</v>
      </c>
      <c r="E3246" s="68" t="s">
        <v>12116</v>
      </c>
      <c r="F3246" s="66" t="s">
        <v>12117</v>
      </c>
      <c r="G3246" s="71">
        <v>25846</v>
      </c>
      <c r="H3246" s="73"/>
      <c r="I3246" s="75">
        <v>0.2</v>
      </c>
      <c r="J3246" s="77"/>
      <c r="K3246" s="66"/>
      <c r="L3246" s="66"/>
      <c r="M3246" s="79" t="str">
        <f>HYPERLINK("http://www.pristavka.com/catalog/Genshin Impact/GEN437/")</f>
        <v>http://www.pristavka.com/catalog/Genshin Impact/GEN437/</v>
      </c>
      <c r="N3246" s="71">
        <v>36999</v>
      </c>
      <c r="O3246" s="66" t="s">
        <v>27</v>
      </c>
      <c r="P3246" s="82" t="s">
        <v>12118</v>
      </c>
      <c r="Q3246" s="84" t="s">
        <v>1963</v>
      </c>
      <c r="R3246" s="84" t="s">
        <v>9605</v>
      </c>
      <c r="S3246" s="84">
        <v>0.36099999999999999</v>
      </c>
      <c r="T3246" s="82" t="s">
        <v>12119</v>
      </c>
      <c r="U3246" s="84" t="s">
        <v>2255</v>
      </c>
      <c r="V3246" s="54"/>
    </row>
    <row r="3247" spans="1:22" s="11" customFormat="1" ht="45" customHeight="1" x14ac:dyDescent="0.2">
      <c r="A3247" s="66" t="s">
        <v>1963</v>
      </c>
      <c r="B3247" s="66" t="s">
        <v>1155</v>
      </c>
      <c r="C3247" s="66" t="s">
        <v>9605</v>
      </c>
      <c r="D3247" s="66">
        <v>6975213680247</v>
      </c>
      <c r="E3247" s="68" t="s">
        <v>12120</v>
      </c>
      <c r="F3247" s="66" t="s">
        <v>12121</v>
      </c>
      <c r="G3247" s="71">
        <v>2530</v>
      </c>
      <c r="H3247" s="73"/>
      <c r="I3247" s="75">
        <v>0.2</v>
      </c>
      <c r="J3247" s="77"/>
      <c r="K3247" s="66"/>
      <c r="L3247" s="66"/>
      <c r="M3247" s="79" t="str">
        <f>HYPERLINK("http://www.pristavka.com/catalog/Genshin Impact/GEN367/")</f>
        <v>http://www.pristavka.com/catalog/Genshin Impact/GEN367/</v>
      </c>
      <c r="N3247" s="71">
        <v>4299</v>
      </c>
      <c r="O3247" s="66" t="s">
        <v>27</v>
      </c>
      <c r="P3247" s="82" t="s">
        <v>12122</v>
      </c>
      <c r="Q3247" s="84" t="s">
        <v>1963</v>
      </c>
      <c r="R3247" s="84" t="s">
        <v>9605</v>
      </c>
      <c r="S3247" s="84">
        <v>0.03</v>
      </c>
      <c r="T3247" s="82" t="s">
        <v>12123</v>
      </c>
      <c r="U3247" s="84" t="s">
        <v>3691</v>
      </c>
      <c r="V3247" s="54"/>
    </row>
    <row r="3248" spans="1:22" s="11" customFormat="1" ht="45" customHeight="1" x14ac:dyDescent="0.2">
      <c r="A3248" s="66" t="s">
        <v>1963</v>
      </c>
      <c r="B3248" s="66" t="s">
        <v>1155</v>
      </c>
      <c r="C3248" s="66" t="s">
        <v>9605</v>
      </c>
      <c r="D3248" s="66">
        <v>6975628241408</v>
      </c>
      <c r="E3248" s="68" t="s">
        <v>12124</v>
      </c>
      <c r="F3248" s="66" t="s">
        <v>12125</v>
      </c>
      <c r="G3248" s="71">
        <v>9476</v>
      </c>
      <c r="H3248" s="73"/>
      <c r="I3248" s="75">
        <v>0.2</v>
      </c>
      <c r="J3248" s="77"/>
      <c r="K3248" s="66"/>
      <c r="L3248" s="66"/>
      <c r="M3248" s="79" t="str">
        <f>HYPERLINK("http://www.pristavka.com/catalog/Genshin Impact/GEN390/")</f>
        <v>http://www.pristavka.com/catalog/Genshin Impact/GEN390/</v>
      </c>
      <c r="N3248" s="71">
        <v>15799</v>
      </c>
      <c r="O3248" s="66" t="s">
        <v>27</v>
      </c>
      <c r="P3248" s="82" t="s">
        <v>12126</v>
      </c>
      <c r="Q3248" s="84" t="s">
        <v>1963</v>
      </c>
      <c r="R3248" s="84" t="s">
        <v>9605</v>
      </c>
      <c r="S3248" s="84">
        <v>0.123</v>
      </c>
      <c r="T3248" s="82" t="s">
        <v>12127</v>
      </c>
      <c r="U3248" s="84" t="s">
        <v>2255</v>
      </c>
      <c r="V3248" s="54"/>
    </row>
    <row r="3249" spans="1:22" s="11" customFormat="1" ht="45" customHeight="1" x14ac:dyDescent="0.2">
      <c r="A3249" s="66" t="s">
        <v>1963</v>
      </c>
      <c r="B3249" s="66" t="s">
        <v>1155</v>
      </c>
      <c r="C3249" s="66" t="s">
        <v>9605</v>
      </c>
      <c r="D3249" s="66">
        <v>6975628241422</v>
      </c>
      <c r="E3249" s="68" t="s">
        <v>12128</v>
      </c>
      <c r="F3249" s="66" t="s">
        <v>12129</v>
      </c>
      <c r="G3249" s="71">
        <v>10110</v>
      </c>
      <c r="H3249" s="73"/>
      <c r="I3249" s="75">
        <v>0.2</v>
      </c>
      <c r="J3249" s="77"/>
      <c r="K3249" s="66"/>
      <c r="L3249" s="66"/>
      <c r="M3249" s="79" t="str">
        <f>HYPERLINK("http://www.pristavka.com/catalog/Genshin Impact/GEN391/")</f>
        <v>http://www.pristavka.com/catalog/Genshin Impact/GEN391/</v>
      </c>
      <c r="N3249" s="71">
        <v>16899</v>
      </c>
      <c r="O3249" s="66" t="s">
        <v>28</v>
      </c>
      <c r="P3249" s="82" t="s">
        <v>12130</v>
      </c>
      <c r="Q3249" s="84" t="s">
        <v>1963</v>
      </c>
      <c r="R3249" s="84" t="s">
        <v>9605</v>
      </c>
      <c r="S3249" s="84">
        <v>0.122</v>
      </c>
      <c r="T3249" s="82" t="s">
        <v>12127</v>
      </c>
      <c r="U3249" s="84" t="s">
        <v>2255</v>
      </c>
      <c r="V3249" s="54"/>
    </row>
    <row r="3250" spans="1:22" s="11" customFormat="1" ht="45" customHeight="1" x14ac:dyDescent="0.2">
      <c r="A3250" s="66" t="s">
        <v>1963</v>
      </c>
      <c r="B3250" s="66" t="s">
        <v>1155</v>
      </c>
      <c r="C3250" s="66" t="s">
        <v>9605</v>
      </c>
      <c r="D3250" s="66">
        <v>6975628241415</v>
      </c>
      <c r="E3250" s="68" t="s">
        <v>12131</v>
      </c>
      <c r="F3250" s="66" t="s">
        <v>12132</v>
      </c>
      <c r="G3250" s="71">
        <v>8842</v>
      </c>
      <c r="H3250" s="73"/>
      <c r="I3250" s="75">
        <v>0.2</v>
      </c>
      <c r="J3250" s="77"/>
      <c r="K3250" s="66"/>
      <c r="L3250" s="66"/>
      <c r="M3250" s="79" t="str">
        <f>HYPERLINK("http://www.pristavka.com/catalog/Genshin Impact/GEN17/")</f>
        <v>http://www.pristavka.com/catalog/Genshin Impact/GEN17/</v>
      </c>
      <c r="N3250" s="71">
        <v>14799</v>
      </c>
      <c r="O3250" s="66" t="s">
        <v>28</v>
      </c>
      <c r="P3250" s="82" t="s">
        <v>12133</v>
      </c>
      <c r="Q3250" s="84" t="s">
        <v>1963</v>
      </c>
      <c r="R3250" s="84" t="s">
        <v>9605</v>
      </c>
      <c r="S3250" s="84">
        <v>0.121</v>
      </c>
      <c r="T3250" s="82" t="s">
        <v>12127</v>
      </c>
      <c r="U3250" s="84" t="s">
        <v>2255</v>
      </c>
      <c r="V3250" s="54"/>
    </row>
    <row r="3251" spans="1:22" s="11" customFormat="1" ht="45" customHeight="1" x14ac:dyDescent="0.2">
      <c r="A3251" s="66" t="s">
        <v>1963</v>
      </c>
      <c r="B3251" s="66" t="s">
        <v>1155</v>
      </c>
      <c r="C3251" s="66" t="s">
        <v>9605</v>
      </c>
      <c r="D3251" s="66">
        <v>6976525002321</v>
      </c>
      <c r="E3251" s="68" t="s">
        <v>12134</v>
      </c>
      <c r="F3251" s="66" t="s">
        <v>12135</v>
      </c>
      <c r="G3251" s="71">
        <v>12646</v>
      </c>
      <c r="H3251" s="73"/>
      <c r="I3251" s="75">
        <v>0.2</v>
      </c>
      <c r="J3251" s="77"/>
      <c r="K3251" s="66"/>
      <c r="L3251" s="66"/>
      <c r="M3251" s="79" t="str">
        <f>HYPERLINK("http://www.pristavka.com/catalog/Genshin Impact/GEN1173/")</f>
        <v>http://www.pristavka.com/catalog/Genshin Impact/GEN1173/</v>
      </c>
      <c r="N3251" s="71">
        <v>21099</v>
      </c>
      <c r="O3251" s="66" t="s">
        <v>28</v>
      </c>
      <c r="P3251" s="82" t="s">
        <v>12136</v>
      </c>
      <c r="Q3251" s="84" t="s">
        <v>1963</v>
      </c>
      <c r="R3251" s="84" t="s">
        <v>9605</v>
      </c>
      <c r="S3251" s="84">
        <v>0.121</v>
      </c>
      <c r="T3251" s="82" t="s">
        <v>12137</v>
      </c>
      <c r="U3251" s="84"/>
      <c r="V3251" s="54"/>
    </row>
    <row r="3252" spans="1:22" s="11" customFormat="1" ht="45" customHeight="1" x14ac:dyDescent="0.2">
      <c r="A3252" s="66" t="s">
        <v>1963</v>
      </c>
      <c r="B3252" s="66" t="s">
        <v>1155</v>
      </c>
      <c r="C3252" s="66" t="s">
        <v>9605</v>
      </c>
      <c r="D3252" s="66">
        <v>6976068141570</v>
      </c>
      <c r="E3252" s="68" t="s">
        <v>12138</v>
      </c>
      <c r="F3252" s="66" t="s">
        <v>12139</v>
      </c>
      <c r="G3252" s="71">
        <v>5673</v>
      </c>
      <c r="H3252" s="73"/>
      <c r="I3252" s="75">
        <v>0.2</v>
      </c>
      <c r="J3252" s="77"/>
      <c r="K3252" s="66"/>
      <c r="L3252" s="66"/>
      <c r="M3252" s="79" t="str">
        <f>HYPERLINK("http://www.pristavka.com/catalog/Genshin Impact/GEN576/")</f>
        <v>http://www.pristavka.com/catalog/Genshin Impact/GEN576/</v>
      </c>
      <c r="N3252" s="71">
        <v>9499</v>
      </c>
      <c r="O3252" s="66" t="s">
        <v>27</v>
      </c>
      <c r="P3252" s="82" t="s">
        <v>12140</v>
      </c>
      <c r="Q3252" s="84" t="s">
        <v>1963</v>
      </c>
      <c r="R3252" s="84" t="s">
        <v>9605</v>
      </c>
      <c r="S3252" s="84">
        <v>8.3000000000000004E-2</v>
      </c>
      <c r="T3252" s="82" t="s">
        <v>10073</v>
      </c>
      <c r="U3252" s="84"/>
      <c r="V3252" s="54"/>
    </row>
    <row r="3253" spans="1:22" s="11" customFormat="1" ht="45" customHeight="1" x14ac:dyDescent="0.2">
      <c r="A3253" s="66" t="s">
        <v>1963</v>
      </c>
      <c r="B3253" s="66" t="s">
        <v>1155</v>
      </c>
      <c r="C3253" s="66" t="s">
        <v>9605</v>
      </c>
      <c r="D3253" s="66">
        <v>6976068141587</v>
      </c>
      <c r="E3253" s="68" t="s">
        <v>12141</v>
      </c>
      <c r="F3253" s="66" t="s">
        <v>12142</v>
      </c>
      <c r="G3253" s="71">
        <v>4722</v>
      </c>
      <c r="H3253" s="73"/>
      <c r="I3253" s="75">
        <v>0.2</v>
      </c>
      <c r="J3253" s="77"/>
      <c r="K3253" s="66"/>
      <c r="L3253" s="66"/>
      <c r="M3253" s="79" t="str">
        <f>HYPERLINK("http://www.pristavka.com/catalog/Genshin Impact/GEN577/")</f>
        <v>http://www.pristavka.com/catalog/Genshin Impact/GEN577/</v>
      </c>
      <c r="N3253" s="71">
        <v>7899</v>
      </c>
      <c r="O3253" s="66" t="s">
        <v>27</v>
      </c>
      <c r="P3253" s="82" t="s">
        <v>12143</v>
      </c>
      <c r="Q3253" s="84" t="s">
        <v>1963</v>
      </c>
      <c r="R3253" s="84" t="s">
        <v>9605</v>
      </c>
      <c r="S3253" s="84">
        <v>8.3000000000000004E-2</v>
      </c>
      <c r="T3253" s="82" t="s">
        <v>10073</v>
      </c>
      <c r="U3253" s="84"/>
      <c r="V3253" s="54"/>
    </row>
    <row r="3254" spans="1:22" s="11" customFormat="1" ht="45" customHeight="1" x14ac:dyDescent="0.2">
      <c r="A3254" s="66" t="s">
        <v>1963</v>
      </c>
      <c r="B3254" s="66" t="s">
        <v>1155</v>
      </c>
      <c r="C3254" s="66" t="s">
        <v>9605</v>
      </c>
      <c r="D3254" s="66">
        <v>6976068140665</v>
      </c>
      <c r="E3254" s="68" t="s">
        <v>12144</v>
      </c>
      <c r="F3254" s="66" t="s">
        <v>12145</v>
      </c>
      <c r="G3254" s="71">
        <v>4405</v>
      </c>
      <c r="H3254" s="73"/>
      <c r="I3254" s="75">
        <v>0.2</v>
      </c>
      <c r="J3254" s="77"/>
      <c r="K3254" s="66"/>
      <c r="L3254" s="66"/>
      <c r="M3254" s="79" t="str">
        <f>HYPERLINK("http://www.pristavka.com/catalog/Genshin Impact/GEN569/")</f>
        <v>http://www.pristavka.com/catalog/Genshin Impact/GEN569/</v>
      </c>
      <c r="N3254" s="71">
        <v>7399</v>
      </c>
      <c r="O3254" s="66" t="s">
        <v>27</v>
      </c>
      <c r="P3254" s="82" t="s">
        <v>12146</v>
      </c>
      <c r="Q3254" s="84" t="s">
        <v>1963</v>
      </c>
      <c r="R3254" s="84" t="s">
        <v>9605</v>
      </c>
      <c r="S3254" s="84">
        <v>5.1999999999999998E-2</v>
      </c>
      <c r="T3254" s="82" t="s">
        <v>10058</v>
      </c>
      <c r="U3254" s="84"/>
      <c r="V3254" s="54"/>
    </row>
    <row r="3255" spans="1:22" s="11" customFormat="1" ht="45" customHeight="1" x14ac:dyDescent="0.2">
      <c r="A3255" s="66" t="s">
        <v>1963</v>
      </c>
      <c r="B3255" s="66" t="s">
        <v>1155</v>
      </c>
      <c r="C3255" s="66" t="s">
        <v>9605</v>
      </c>
      <c r="D3255" s="66">
        <v>6976068140719</v>
      </c>
      <c r="E3255" s="68" t="s">
        <v>12147</v>
      </c>
      <c r="F3255" s="66" t="s">
        <v>12148</v>
      </c>
      <c r="G3255" s="71">
        <v>5356</v>
      </c>
      <c r="H3255" s="73"/>
      <c r="I3255" s="75">
        <v>0.2</v>
      </c>
      <c r="J3255" s="77"/>
      <c r="K3255" s="66"/>
      <c r="L3255" s="66"/>
      <c r="M3255" s="79" t="str">
        <f>HYPERLINK("http://www.pristavka.com/catalog/Genshin Impact/GEN574/")</f>
        <v>http://www.pristavka.com/catalog/Genshin Impact/GEN574/</v>
      </c>
      <c r="N3255" s="71">
        <v>8999</v>
      </c>
      <c r="O3255" s="66" t="s">
        <v>27</v>
      </c>
      <c r="P3255" s="82" t="s">
        <v>12149</v>
      </c>
      <c r="Q3255" s="84" t="s">
        <v>1963</v>
      </c>
      <c r="R3255" s="84" t="s">
        <v>9605</v>
      </c>
      <c r="S3255" s="84">
        <v>5.2999999999999999E-2</v>
      </c>
      <c r="T3255" s="82" t="s">
        <v>10058</v>
      </c>
      <c r="U3255" s="84"/>
      <c r="V3255" s="54"/>
    </row>
    <row r="3256" spans="1:22" s="11" customFormat="1" ht="45" customHeight="1" x14ac:dyDescent="0.2">
      <c r="A3256" s="66" t="s">
        <v>1963</v>
      </c>
      <c r="B3256" s="66" t="s">
        <v>1155</v>
      </c>
      <c r="C3256" s="66" t="s">
        <v>9605</v>
      </c>
      <c r="D3256" s="66">
        <v>6976525005919</v>
      </c>
      <c r="E3256" s="68" t="s">
        <v>12150</v>
      </c>
      <c r="F3256" s="66" t="s">
        <v>12151</v>
      </c>
      <c r="G3256" s="71">
        <v>5673</v>
      </c>
      <c r="H3256" s="73"/>
      <c r="I3256" s="75">
        <v>0.2</v>
      </c>
      <c r="J3256" s="77"/>
      <c r="K3256" s="66"/>
      <c r="L3256" s="66"/>
      <c r="M3256" s="79" t="str">
        <f>HYPERLINK("http://www.pristavka.com/catalog/Genshin Impact/GEN980/")</f>
        <v>http://www.pristavka.com/catalog/Genshin Impact/GEN980/</v>
      </c>
      <c r="N3256" s="71">
        <v>9499</v>
      </c>
      <c r="O3256" s="66" t="s">
        <v>27</v>
      </c>
      <c r="P3256" s="82" t="s">
        <v>12152</v>
      </c>
      <c r="Q3256" s="84" t="s">
        <v>1963</v>
      </c>
      <c r="R3256" s="84" t="s">
        <v>9605</v>
      </c>
      <c r="S3256" s="84">
        <v>0.16500000000000001</v>
      </c>
      <c r="T3256" s="82" t="s">
        <v>12153</v>
      </c>
      <c r="U3256" s="84"/>
      <c r="V3256" s="54"/>
    </row>
    <row r="3257" spans="1:22" s="11" customFormat="1" ht="45" customHeight="1" x14ac:dyDescent="0.2">
      <c r="A3257" s="66" t="s">
        <v>1963</v>
      </c>
      <c r="B3257" s="66" t="s">
        <v>1155</v>
      </c>
      <c r="C3257" s="66" t="s">
        <v>9605</v>
      </c>
      <c r="D3257" s="66">
        <v>6975213680988</v>
      </c>
      <c r="E3257" s="68" t="s">
        <v>12154</v>
      </c>
      <c r="F3257" s="66" t="s">
        <v>12155</v>
      </c>
      <c r="G3257" s="71">
        <v>660</v>
      </c>
      <c r="H3257" s="73"/>
      <c r="I3257" s="75">
        <v>0.2</v>
      </c>
      <c r="J3257" s="77"/>
      <c r="K3257" s="66"/>
      <c r="L3257" s="66"/>
      <c r="M3257" s="79" t="str">
        <f>HYPERLINK("http://www.pristavka.com/catalog/Genshin Impact/GEN826/")</f>
        <v>http://www.pristavka.com/catalog/Genshin Impact/GEN826/</v>
      </c>
      <c r="N3257" s="71">
        <v>1199</v>
      </c>
      <c r="O3257" s="66" t="s">
        <v>27</v>
      </c>
      <c r="P3257" s="82" t="s">
        <v>12156</v>
      </c>
      <c r="Q3257" s="84" t="s">
        <v>1963</v>
      </c>
      <c r="R3257" s="84" t="s">
        <v>9605</v>
      </c>
      <c r="S3257" s="84">
        <v>8.0000000000000002E-3</v>
      </c>
      <c r="T3257" s="82" t="s">
        <v>12157</v>
      </c>
      <c r="U3257" s="84"/>
      <c r="V3257" s="54"/>
    </row>
    <row r="3258" spans="1:22" s="11" customFormat="1" ht="45" customHeight="1" x14ac:dyDescent="0.2">
      <c r="A3258" s="66" t="s">
        <v>1963</v>
      </c>
      <c r="B3258" s="66" t="s">
        <v>1155</v>
      </c>
      <c r="C3258" s="66" t="s">
        <v>9605</v>
      </c>
      <c r="D3258" s="66">
        <v>6975628246373</v>
      </c>
      <c r="E3258" s="68" t="s">
        <v>12158</v>
      </c>
      <c r="F3258" s="66" t="s">
        <v>12159</v>
      </c>
      <c r="G3258" s="71">
        <v>6941</v>
      </c>
      <c r="H3258" s="73"/>
      <c r="I3258" s="75">
        <v>0.2</v>
      </c>
      <c r="J3258" s="77"/>
      <c r="K3258" s="66"/>
      <c r="L3258" s="66"/>
      <c r="M3258" s="79" t="str">
        <f>HYPERLINK("http://www.pristavka.com/catalog/Genshin Impact/GEN713/")</f>
        <v>http://www.pristavka.com/catalog/Genshin Impact/GEN713/</v>
      </c>
      <c r="N3258" s="71">
        <v>11599</v>
      </c>
      <c r="O3258" s="66" t="s">
        <v>27</v>
      </c>
      <c r="P3258" s="82" t="s">
        <v>12160</v>
      </c>
      <c r="Q3258" s="84" t="s">
        <v>1963</v>
      </c>
      <c r="R3258" s="84" t="s">
        <v>9605</v>
      </c>
      <c r="S3258" s="84">
        <v>0.59599999999999997</v>
      </c>
      <c r="T3258" s="82" t="s">
        <v>12161</v>
      </c>
      <c r="U3258" s="84"/>
      <c r="V3258" s="54"/>
    </row>
    <row r="3259" spans="1:22" s="11" customFormat="1" ht="45" customHeight="1" x14ac:dyDescent="0.2">
      <c r="A3259" s="66" t="s">
        <v>1963</v>
      </c>
      <c r="B3259" s="66" t="s">
        <v>1155</v>
      </c>
      <c r="C3259" s="66" t="s">
        <v>9605</v>
      </c>
      <c r="D3259" s="66">
        <v>6975213684917</v>
      </c>
      <c r="E3259" s="68" t="s">
        <v>12162</v>
      </c>
      <c r="F3259" s="66" t="s">
        <v>12163</v>
      </c>
      <c r="G3259" s="71">
        <v>692</v>
      </c>
      <c r="H3259" s="73"/>
      <c r="I3259" s="75">
        <v>0.2</v>
      </c>
      <c r="J3259" s="77"/>
      <c r="K3259" s="66"/>
      <c r="L3259" s="66"/>
      <c r="M3259" s="79" t="str">
        <f>HYPERLINK("http://www.pristavka.com/catalog/Genshin Impact/GEN389/")</f>
        <v>http://www.pristavka.com/catalog/Genshin Impact/GEN389/</v>
      </c>
      <c r="N3259" s="71">
        <v>1199</v>
      </c>
      <c r="O3259" s="66" t="s">
        <v>27</v>
      </c>
      <c r="P3259" s="82" t="s">
        <v>12164</v>
      </c>
      <c r="Q3259" s="84" t="s">
        <v>1963</v>
      </c>
      <c r="R3259" s="84" t="s">
        <v>9605</v>
      </c>
      <c r="S3259" s="84">
        <v>7.0000000000000001E-3</v>
      </c>
      <c r="T3259" s="82" t="s">
        <v>12165</v>
      </c>
      <c r="U3259" s="84" t="s">
        <v>2255</v>
      </c>
      <c r="V3259" s="54"/>
    </row>
    <row r="3260" spans="1:22" s="11" customFormat="1" ht="45" customHeight="1" x14ac:dyDescent="0.2">
      <c r="A3260" s="66" t="s">
        <v>1963</v>
      </c>
      <c r="B3260" s="66" t="s">
        <v>1155</v>
      </c>
      <c r="C3260" s="66" t="s">
        <v>9605</v>
      </c>
      <c r="D3260" s="66">
        <v>6975213684863</v>
      </c>
      <c r="E3260" s="68" t="s">
        <v>12166</v>
      </c>
      <c r="F3260" s="66" t="s">
        <v>12167</v>
      </c>
      <c r="G3260" s="71">
        <v>692</v>
      </c>
      <c r="H3260" s="73"/>
      <c r="I3260" s="75">
        <v>0.2</v>
      </c>
      <c r="J3260" s="77"/>
      <c r="K3260" s="66"/>
      <c r="L3260" s="66"/>
      <c r="M3260" s="79" t="str">
        <f>HYPERLINK("http://www.pristavka.com/catalog/Genshin Impact/GEN384/")</f>
        <v>http://www.pristavka.com/catalog/Genshin Impact/GEN384/</v>
      </c>
      <c r="N3260" s="71">
        <v>1199</v>
      </c>
      <c r="O3260" s="66" t="s">
        <v>27</v>
      </c>
      <c r="P3260" s="82" t="s">
        <v>12168</v>
      </c>
      <c r="Q3260" s="84" t="s">
        <v>1963</v>
      </c>
      <c r="R3260" s="84" t="s">
        <v>9605</v>
      </c>
      <c r="S3260" s="84">
        <v>8.0000000000000002E-3</v>
      </c>
      <c r="T3260" s="82" t="s">
        <v>12169</v>
      </c>
      <c r="U3260" s="84" t="s">
        <v>2255</v>
      </c>
      <c r="V3260" s="54"/>
    </row>
    <row r="3261" spans="1:22" s="11" customFormat="1" ht="45" customHeight="1" x14ac:dyDescent="0.2">
      <c r="A3261" s="66" t="s">
        <v>1963</v>
      </c>
      <c r="B3261" s="66" t="s">
        <v>1155</v>
      </c>
      <c r="C3261" s="66" t="s">
        <v>9605</v>
      </c>
      <c r="D3261" s="66">
        <v>6975213684887</v>
      </c>
      <c r="E3261" s="68" t="s">
        <v>12170</v>
      </c>
      <c r="F3261" s="66" t="s">
        <v>12171</v>
      </c>
      <c r="G3261" s="71">
        <v>692</v>
      </c>
      <c r="H3261" s="73"/>
      <c r="I3261" s="75">
        <v>0.2</v>
      </c>
      <c r="J3261" s="77"/>
      <c r="K3261" s="66"/>
      <c r="L3261" s="66"/>
      <c r="M3261" s="79" t="str">
        <f>HYPERLINK("http://www.pristavka.com/catalog/Genshin Impact/GEN386/")</f>
        <v>http://www.pristavka.com/catalog/Genshin Impact/GEN386/</v>
      </c>
      <c r="N3261" s="71">
        <v>1199</v>
      </c>
      <c r="O3261" s="66" t="s">
        <v>27</v>
      </c>
      <c r="P3261" s="82" t="s">
        <v>12172</v>
      </c>
      <c r="Q3261" s="84" t="s">
        <v>1963</v>
      </c>
      <c r="R3261" s="84" t="s">
        <v>9605</v>
      </c>
      <c r="S3261" s="84">
        <v>8.0000000000000002E-3</v>
      </c>
      <c r="T3261" s="82" t="s">
        <v>12165</v>
      </c>
      <c r="U3261" s="84" t="s">
        <v>2255</v>
      </c>
      <c r="V3261" s="54"/>
    </row>
    <row r="3262" spans="1:22" s="11" customFormat="1" ht="45" customHeight="1" x14ac:dyDescent="0.2">
      <c r="A3262" s="66" t="s">
        <v>1963</v>
      </c>
      <c r="B3262" s="66" t="s">
        <v>1155</v>
      </c>
      <c r="C3262" s="66" t="s">
        <v>9605</v>
      </c>
      <c r="D3262" s="66">
        <v>6975213684870</v>
      </c>
      <c r="E3262" s="68" t="s">
        <v>12173</v>
      </c>
      <c r="F3262" s="66" t="s">
        <v>12174</v>
      </c>
      <c r="G3262" s="71">
        <v>692</v>
      </c>
      <c r="H3262" s="73"/>
      <c r="I3262" s="75">
        <v>0.2</v>
      </c>
      <c r="J3262" s="77"/>
      <c r="K3262" s="66"/>
      <c r="L3262" s="66"/>
      <c r="M3262" s="79" t="str">
        <f>HYPERLINK("http://www.pristavka.com/catalog/Genshin Impact/GEN385/")</f>
        <v>http://www.pristavka.com/catalog/Genshin Impact/GEN385/</v>
      </c>
      <c r="N3262" s="71">
        <v>1199</v>
      </c>
      <c r="O3262" s="66" t="s">
        <v>27</v>
      </c>
      <c r="P3262" s="82" t="s">
        <v>12175</v>
      </c>
      <c r="Q3262" s="84" t="s">
        <v>1963</v>
      </c>
      <c r="R3262" s="84" t="s">
        <v>9605</v>
      </c>
      <c r="S3262" s="84">
        <v>8.0000000000000002E-3</v>
      </c>
      <c r="T3262" s="82" t="s">
        <v>12165</v>
      </c>
      <c r="U3262" s="84" t="s">
        <v>2255</v>
      </c>
      <c r="V3262" s="54"/>
    </row>
    <row r="3263" spans="1:22" s="11" customFormat="1" ht="45" customHeight="1" x14ac:dyDescent="0.2">
      <c r="A3263" s="66" t="s">
        <v>1963</v>
      </c>
      <c r="B3263" s="66" t="s">
        <v>1155</v>
      </c>
      <c r="C3263" s="66" t="s">
        <v>9605</v>
      </c>
      <c r="D3263" s="66">
        <v>6942421157731</v>
      </c>
      <c r="E3263" s="68" t="s">
        <v>12176</v>
      </c>
      <c r="F3263" s="66" t="s">
        <v>12177</v>
      </c>
      <c r="G3263" s="71">
        <v>5990</v>
      </c>
      <c r="H3263" s="73"/>
      <c r="I3263" s="75">
        <v>0.2</v>
      </c>
      <c r="J3263" s="77"/>
      <c r="K3263" s="66"/>
      <c r="L3263" s="66"/>
      <c r="M3263" s="79" t="str">
        <f>HYPERLINK("http://www.pristavka.com/catalog/Genshin Impact/GEN1390/")</f>
        <v>http://www.pristavka.com/catalog/Genshin Impact/GEN1390/</v>
      </c>
      <c r="N3263" s="71">
        <v>9999</v>
      </c>
      <c r="O3263" s="66" t="s">
        <v>27</v>
      </c>
      <c r="P3263" s="82" t="s">
        <v>12178</v>
      </c>
      <c r="Q3263" s="84" t="s">
        <v>1963</v>
      </c>
      <c r="R3263" s="84" t="s">
        <v>9605</v>
      </c>
      <c r="S3263" s="84">
        <v>9.4E-2</v>
      </c>
      <c r="T3263" s="82" t="s">
        <v>12179</v>
      </c>
      <c r="U3263" s="84"/>
      <c r="V3263" s="54"/>
    </row>
    <row r="3264" spans="1:22" s="11" customFormat="1" ht="45" customHeight="1" x14ac:dyDescent="0.2">
      <c r="A3264" s="66" t="s">
        <v>1963</v>
      </c>
      <c r="B3264" s="66" t="s">
        <v>1155</v>
      </c>
      <c r="C3264" s="66" t="s">
        <v>9605</v>
      </c>
      <c r="D3264" s="66">
        <v>6942421157755</v>
      </c>
      <c r="E3264" s="68" t="s">
        <v>12180</v>
      </c>
      <c r="F3264" s="66" t="s">
        <v>12181</v>
      </c>
      <c r="G3264" s="71">
        <v>5990</v>
      </c>
      <c r="H3264" s="73"/>
      <c r="I3264" s="75">
        <v>0.2</v>
      </c>
      <c r="J3264" s="77"/>
      <c r="K3264" s="66"/>
      <c r="L3264" s="66"/>
      <c r="M3264" s="79" t="str">
        <f>HYPERLINK("http://www.pristavka.com/catalog/Genshin Impact/GEN1391/")</f>
        <v>http://www.pristavka.com/catalog/Genshin Impact/GEN1391/</v>
      </c>
      <c r="N3264" s="71">
        <v>9999</v>
      </c>
      <c r="O3264" s="66" t="s">
        <v>27</v>
      </c>
      <c r="P3264" s="82" t="s">
        <v>12182</v>
      </c>
      <c r="Q3264" s="84" t="s">
        <v>1963</v>
      </c>
      <c r="R3264" s="84" t="s">
        <v>9605</v>
      </c>
      <c r="S3264" s="84">
        <v>9.7000000000000003E-2</v>
      </c>
      <c r="T3264" s="82" t="s">
        <v>12183</v>
      </c>
      <c r="U3264" s="84"/>
      <c r="V3264" s="54"/>
    </row>
    <row r="3265" spans="1:22" s="11" customFormat="1" ht="45" customHeight="1" x14ac:dyDescent="0.2">
      <c r="A3265" s="66" t="s">
        <v>1963</v>
      </c>
      <c r="B3265" s="66" t="s">
        <v>1155</v>
      </c>
      <c r="C3265" s="66" t="s">
        <v>9605</v>
      </c>
      <c r="D3265" s="66">
        <v>6975213683163</v>
      </c>
      <c r="E3265" s="68" t="s">
        <v>12184</v>
      </c>
      <c r="F3265" s="66" t="s">
        <v>12185</v>
      </c>
      <c r="G3265" s="71">
        <v>1896</v>
      </c>
      <c r="H3265" s="73"/>
      <c r="I3265" s="75">
        <v>0.2</v>
      </c>
      <c r="J3265" s="77"/>
      <c r="K3265" s="66"/>
      <c r="L3265" s="66"/>
      <c r="M3265" s="79" t="str">
        <f>HYPERLINK("http://www.pristavka.com/catalog/Genshin Impact/GEN788/")</f>
        <v>http://www.pristavka.com/catalog/Genshin Impact/GEN788/</v>
      </c>
      <c r="N3265" s="71">
        <v>3199</v>
      </c>
      <c r="O3265" s="66" t="s">
        <v>27</v>
      </c>
      <c r="P3265" s="82" t="s">
        <v>12186</v>
      </c>
      <c r="Q3265" s="84" t="s">
        <v>1963</v>
      </c>
      <c r="R3265" s="84" t="s">
        <v>9605</v>
      </c>
      <c r="S3265" s="84">
        <v>5.5E-2</v>
      </c>
      <c r="T3265" s="82" t="s">
        <v>12187</v>
      </c>
      <c r="U3265" s="84"/>
      <c r="V3265" s="54"/>
    </row>
    <row r="3266" spans="1:22" s="11" customFormat="1" ht="45" customHeight="1" x14ac:dyDescent="0.2">
      <c r="A3266" s="66" t="s">
        <v>1963</v>
      </c>
      <c r="B3266" s="66" t="s">
        <v>1155</v>
      </c>
      <c r="C3266" s="66" t="s">
        <v>9605</v>
      </c>
      <c r="D3266" s="66">
        <v>6974696619331</v>
      </c>
      <c r="E3266" s="68" t="s">
        <v>12188</v>
      </c>
      <c r="F3266" s="66" t="s">
        <v>12189</v>
      </c>
      <c r="G3266" s="71">
        <v>2594</v>
      </c>
      <c r="H3266" s="73"/>
      <c r="I3266" s="75">
        <v>0.2</v>
      </c>
      <c r="J3266" s="77"/>
      <c r="K3266" s="66"/>
      <c r="L3266" s="66"/>
      <c r="M3266" s="79" t="str">
        <f>HYPERLINK("http://www.pristavka.com/catalog/Genshin Impact/GEN786/")</f>
        <v>http://www.pristavka.com/catalog/Genshin Impact/GEN786/</v>
      </c>
      <c r="N3266" s="71">
        <v>4399</v>
      </c>
      <c r="O3266" s="66" t="s">
        <v>27</v>
      </c>
      <c r="P3266" s="82" t="s">
        <v>12190</v>
      </c>
      <c r="Q3266" s="84" t="s">
        <v>1963</v>
      </c>
      <c r="R3266" s="84" t="s">
        <v>9605</v>
      </c>
      <c r="S3266" s="84">
        <v>5.5E-2</v>
      </c>
      <c r="T3266" s="82" t="s">
        <v>12187</v>
      </c>
      <c r="U3266" s="84"/>
      <c r="V3266" s="54"/>
    </row>
    <row r="3267" spans="1:22" s="11" customFormat="1" ht="45" customHeight="1" x14ac:dyDescent="0.2">
      <c r="A3267" s="66" t="s">
        <v>1963</v>
      </c>
      <c r="B3267" s="66" t="s">
        <v>1155</v>
      </c>
      <c r="C3267" s="66" t="s">
        <v>9605</v>
      </c>
      <c r="D3267" s="66">
        <v>6974696619348</v>
      </c>
      <c r="E3267" s="68" t="s">
        <v>12191</v>
      </c>
      <c r="F3267" s="66" t="s">
        <v>12192</v>
      </c>
      <c r="G3267" s="71">
        <v>2594</v>
      </c>
      <c r="H3267" s="73"/>
      <c r="I3267" s="75">
        <v>0.2</v>
      </c>
      <c r="J3267" s="77"/>
      <c r="K3267" s="66"/>
      <c r="L3267" s="66"/>
      <c r="M3267" s="79" t="str">
        <f>HYPERLINK("http://www.pristavka.com/catalog/Genshin Impact/GEN787/")</f>
        <v>http://www.pristavka.com/catalog/Genshin Impact/GEN787/</v>
      </c>
      <c r="N3267" s="71">
        <v>4399</v>
      </c>
      <c r="O3267" s="66" t="s">
        <v>27</v>
      </c>
      <c r="P3267" s="82" t="s">
        <v>12193</v>
      </c>
      <c r="Q3267" s="84" t="s">
        <v>1963</v>
      </c>
      <c r="R3267" s="84" t="s">
        <v>9605</v>
      </c>
      <c r="S3267" s="84">
        <v>5.5E-2</v>
      </c>
      <c r="T3267" s="82" t="s">
        <v>12187</v>
      </c>
      <c r="U3267" s="84"/>
      <c r="V3267" s="54"/>
    </row>
    <row r="3268" spans="1:22" s="11" customFormat="1" ht="45" customHeight="1" x14ac:dyDescent="0.2">
      <c r="A3268" s="66" t="s">
        <v>1963</v>
      </c>
      <c r="B3268" s="66" t="s">
        <v>1155</v>
      </c>
      <c r="C3268" s="66" t="s">
        <v>9605</v>
      </c>
      <c r="D3268" s="66">
        <v>6976068149736</v>
      </c>
      <c r="E3268" s="68" t="s">
        <v>12194</v>
      </c>
      <c r="F3268" s="66" t="s">
        <v>12195</v>
      </c>
      <c r="G3268" s="71">
        <v>2213</v>
      </c>
      <c r="H3268" s="73"/>
      <c r="I3268" s="75">
        <v>0.2</v>
      </c>
      <c r="J3268" s="77"/>
      <c r="K3268" s="66"/>
      <c r="L3268" s="66"/>
      <c r="M3268" s="79" t="str">
        <f>HYPERLINK("http://www.pristavka.com/catalog/Genshin Impact/GEN972/")</f>
        <v>http://www.pristavka.com/catalog/Genshin Impact/GEN972/</v>
      </c>
      <c r="N3268" s="71">
        <v>3699</v>
      </c>
      <c r="O3268" s="66" t="s">
        <v>28</v>
      </c>
      <c r="P3268" s="82" t="s">
        <v>12196</v>
      </c>
      <c r="Q3268" s="84" t="s">
        <v>1963</v>
      </c>
      <c r="R3268" s="84" t="s">
        <v>9605</v>
      </c>
      <c r="S3268" s="84">
        <v>0.04</v>
      </c>
      <c r="T3268" s="82" t="s">
        <v>12197</v>
      </c>
      <c r="U3268" s="84"/>
      <c r="V3268" s="54"/>
    </row>
    <row r="3269" spans="1:22" s="11" customFormat="1" ht="45" customHeight="1" x14ac:dyDescent="0.2">
      <c r="A3269" s="66" t="s">
        <v>1963</v>
      </c>
      <c r="B3269" s="66" t="s">
        <v>1155</v>
      </c>
      <c r="C3269" s="66" t="s">
        <v>9605</v>
      </c>
      <c r="D3269" s="66">
        <v>6976068149743</v>
      </c>
      <c r="E3269" s="68" t="s">
        <v>12198</v>
      </c>
      <c r="F3269" s="66" t="s">
        <v>12199</v>
      </c>
      <c r="G3269" s="71">
        <v>2213</v>
      </c>
      <c r="H3269" s="73"/>
      <c r="I3269" s="75">
        <v>0.2</v>
      </c>
      <c r="J3269" s="77"/>
      <c r="K3269" s="66"/>
      <c r="L3269" s="66"/>
      <c r="M3269" s="79" t="str">
        <f>HYPERLINK("http://www.pristavka.com/catalog/Genshin Impact/GEN971/")</f>
        <v>http://www.pristavka.com/catalog/Genshin Impact/GEN971/</v>
      </c>
      <c r="N3269" s="71">
        <v>3699</v>
      </c>
      <c r="O3269" s="66" t="s">
        <v>28</v>
      </c>
      <c r="P3269" s="82" t="s">
        <v>12200</v>
      </c>
      <c r="Q3269" s="84" t="s">
        <v>1963</v>
      </c>
      <c r="R3269" s="84" t="s">
        <v>9605</v>
      </c>
      <c r="S3269" s="84">
        <v>3.5000000000000003E-2</v>
      </c>
      <c r="T3269" s="82" t="s">
        <v>12197</v>
      </c>
      <c r="U3269" s="84"/>
      <c r="V3269" s="54"/>
    </row>
    <row r="3270" spans="1:22" s="11" customFormat="1" ht="45" customHeight="1" x14ac:dyDescent="0.2">
      <c r="A3270" s="66" t="s">
        <v>1963</v>
      </c>
      <c r="B3270" s="66" t="s">
        <v>1155</v>
      </c>
      <c r="C3270" s="66" t="s">
        <v>9605</v>
      </c>
      <c r="D3270" s="66">
        <v>6976068149729</v>
      </c>
      <c r="E3270" s="68" t="s">
        <v>12201</v>
      </c>
      <c r="F3270" s="66" t="s">
        <v>12202</v>
      </c>
      <c r="G3270" s="71">
        <v>2213</v>
      </c>
      <c r="H3270" s="73"/>
      <c r="I3270" s="75">
        <v>0.2</v>
      </c>
      <c r="J3270" s="77"/>
      <c r="K3270" s="66"/>
      <c r="L3270" s="66"/>
      <c r="M3270" s="79" t="str">
        <f>HYPERLINK("http://www.pristavka.com/catalog/Genshin Impact/GEN970/")</f>
        <v>http://www.pristavka.com/catalog/Genshin Impact/GEN970/</v>
      </c>
      <c r="N3270" s="71">
        <v>3699</v>
      </c>
      <c r="O3270" s="66" t="s">
        <v>28</v>
      </c>
      <c r="P3270" s="82" t="s">
        <v>12203</v>
      </c>
      <c r="Q3270" s="84" t="s">
        <v>1963</v>
      </c>
      <c r="R3270" s="84" t="s">
        <v>9605</v>
      </c>
      <c r="S3270" s="84">
        <v>0.04</v>
      </c>
      <c r="T3270" s="82" t="s">
        <v>12197</v>
      </c>
      <c r="U3270" s="84"/>
      <c r="V3270" s="54"/>
    </row>
    <row r="3271" spans="1:22" s="11" customFormat="1" ht="45" customHeight="1" x14ac:dyDescent="0.2">
      <c r="A3271" s="66" t="s">
        <v>1963</v>
      </c>
      <c r="B3271" s="66" t="s">
        <v>1155</v>
      </c>
      <c r="C3271" s="66" t="s">
        <v>9605</v>
      </c>
      <c r="D3271" s="66">
        <v>6976068141068</v>
      </c>
      <c r="E3271" s="68" t="s">
        <v>12204</v>
      </c>
      <c r="F3271" s="66" t="s">
        <v>12205</v>
      </c>
      <c r="G3271" s="71">
        <v>1896</v>
      </c>
      <c r="H3271" s="73"/>
      <c r="I3271" s="75">
        <v>0.2</v>
      </c>
      <c r="J3271" s="77"/>
      <c r="K3271" s="66"/>
      <c r="L3271" s="66"/>
      <c r="M3271" s="79" t="str">
        <f>HYPERLINK("http://www.pristavka.com/catalog/Genshin Impact/GEN789/")</f>
        <v>http://www.pristavka.com/catalog/Genshin Impact/GEN789/</v>
      </c>
      <c r="N3271" s="71">
        <v>3199</v>
      </c>
      <c r="O3271" s="66" t="s">
        <v>27</v>
      </c>
      <c r="P3271" s="82" t="s">
        <v>12206</v>
      </c>
      <c r="Q3271" s="84" t="s">
        <v>1963</v>
      </c>
      <c r="R3271" s="84" t="s">
        <v>9605</v>
      </c>
      <c r="S3271" s="84">
        <v>5.5E-2</v>
      </c>
      <c r="T3271" s="82" t="s">
        <v>12187</v>
      </c>
      <c r="U3271" s="84"/>
      <c r="V3271" s="54"/>
    </row>
    <row r="3272" spans="1:22" s="11" customFormat="1" ht="45" customHeight="1" x14ac:dyDescent="0.2">
      <c r="A3272" s="66" t="s">
        <v>1963</v>
      </c>
      <c r="B3272" s="66" t="s">
        <v>1155</v>
      </c>
      <c r="C3272" s="66" t="s">
        <v>9605</v>
      </c>
      <c r="D3272" s="66">
        <v>6974696610833</v>
      </c>
      <c r="E3272" s="68" t="s">
        <v>12207</v>
      </c>
      <c r="F3272" s="66" t="s">
        <v>12208</v>
      </c>
      <c r="G3272" s="71">
        <v>2847</v>
      </c>
      <c r="H3272" s="73"/>
      <c r="I3272" s="75">
        <v>0.2</v>
      </c>
      <c r="J3272" s="77"/>
      <c r="K3272" s="66"/>
      <c r="L3272" s="66"/>
      <c r="M3272" s="79" t="str">
        <f>HYPERLINK("http://www.pristavka.com/catalog/Genshin Impact/GEN785/")</f>
        <v>http://www.pristavka.com/catalog/Genshin Impact/GEN785/</v>
      </c>
      <c r="N3272" s="71">
        <v>4799</v>
      </c>
      <c r="O3272" s="66" t="s">
        <v>27</v>
      </c>
      <c r="P3272" s="82" t="s">
        <v>12209</v>
      </c>
      <c r="Q3272" s="84" t="s">
        <v>1963</v>
      </c>
      <c r="R3272" s="84" t="s">
        <v>9605</v>
      </c>
      <c r="S3272" s="84">
        <v>5.5E-2</v>
      </c>
      <c r="T3272" s="82" t="s">
        <v>12187</v>
      </c>
      <c r="U3272" s="84"/>
      <c r="V3272" s="54"/>
    </row>
    <row r="3273" spans="1:22" s="11" customFormat="1" ht="45" customHeight="1" x14ac:dyDescent="0.2">
      <c r="A3273" s="66" t="s">
        <v>1963</v>
      </c>
      <c r="B3273" s="66" t="s">
        <v>1155</v>
      </c>
      <c r="C3273" s="66" t="s">
        <v>9605</v>
      </c>
      <c r="D3273" s="66">
        <v>6942421101499</v>
      </c>
      <c r="E3273" s="68" t="s">
        <v>12210</v>
      </c>
      <c r="F3273" s="66" t="s">
        <v>12211</v>
      </c>
      <c r="G3273" s="71">
        <v>5990</v>
      </c>
      <c r="H3273" s="73"/>
      <c r="I3273" s="75">
        <v>0.2</v>
      </c>
      <c r="J3273" s="77"/>
      <c r="K3273" s="66"/>
      <c r="L3273" s="66"/>
      <c r="M3273" s="79" t="str">
        <f>HYPERLINK("http://www.pristavka.com/catalog/Genshin Impact/GEN1131/")</f>
        <v>http://www.pristavka.com/catalog/Genshin Impact/GEN1131/</v>
      </c>
      <c r="N3273" s="71">
        <v>9999</v>
      </c>
      <c r="O3273" s="66" t="s">
        <v>27</v>
      </c>
      <c r="P3273" s="82" t="s">
        <v>12212</v>
      </c>
      <c r="Q3273" s="84" t="s">
        <v>1963</v>
      </c>
      <c r="R3273" s="84" t="s">
        <v>9605</v>
      </c>
      <c r="S3273" s="84">
        <v>8.7999999999999995E-2</v>
      </c>
      <c r="T3273" s="82" t="s">
        <v>12213</v>
      </c>
      <c r="U3273" s="84"/>
      <c r="V3273" s="54"/>
    </row>
    <row r="3274" spans="1:22" s="11" customFormat="1" ht="45" customHeight="1" x14ac:dyDescent="0.2">
      <c r="A3274" s="66" t="s">
        <v>1963</v>
      </c>
      <c r="B3274" s="66" t="s">
        <v>1155</v>
      </c>
      <c r="C3274" s="66" t="s">
        <v>9605</v>
      </c>
      <c r="D3274" s="66">
        <v>6974696610574</v>
      </c>
      <c r="E3274" s="68" t="s">
        <v>12214</v>
      </c>
      <c r="F3274" s="66" t="s">
        <v>12215</v>
      </c>
      <c r="G3274" s="71">
        <v>6880</v>
      </c>
      <c r="H3274" s="73"/>
      <c r="I3274" s="75">
        <v>0.1</v>
      </c>
      <c r="J3274" s="77"/>
      <c r="K3274" s="66"/>
      <c r="L3274" s="66"/>
      <c r="M3274" s="79" t="str">
        <f>HYPERLINK("http://www.pristavka.com/catalog/Genshin Impact/GEN589/")</f>
        <v>http://www.pristavka.com/catalog/Genshin Impact/GEN589/</v>
      </c>
      <c r="N3274" s="71">
        <v>11499</v>
      </c>
      <c r="O3274" s="66" t="s">
        <v>27</v>
      </c>
      <c r="P3274" s="82" t="s">
        <v>12216</v>
      </c>
      <c r="Q3274" s="84" t="s">
        <v>1963</v>
      </c>
      <c r="R3274" s="84" t="s">
        <v>9605</v>
      </c>
      <c r="S3274" s="84">
        <v>0.11899999999999999</v>
      </c>
      <c r="T3274" s="82" t="s">
        <v>12217</v>
      </c>
      <c r="U3274" s="84"/>
      <c r="V3274" s="54"/>
    </row>
    <row r="3275" spans="1:22" s="11" customFormat="1" ht="45" customHeight="1" x14ac:dyDescent="0.2">
      <c r="A3275" s="66" t="s">
        <v>1963</v>
      </c>
      <c r="B3275" s="66" t="s">
        <v>1155</v>
      </c>
      <c r="C3275" s="66" t="s">
        <v>9605</v>
      </c>
      <c r="D3275" s="66">
        <v>6974696611670</v>
      </c>
      <c r="E3275" s="68" t="s">
        <v>12218</v>
      </c>
      <c r="F3275" s="66" t="s">
        <v>12219</v>
      </c>
      <c r="G3275" s="71">
        <v>8263</v>
      </c>
      <c r="H3275" s="73"/>
      <c r="I3275" s="75">
        <v>0.1</v>
      </c>
      <c r="J3275" s="77"/>
      <c r="K3275" s="66"/>
      <c r="L3275" s="66"/>
      <c r="M3275" s="79" t="str">
        <f>HYPERLINK("http://www.pristavka.com/catalog/Genshin Impact/GEN692/")</f>
        <v>http://www.pristavka.com/catalog/Genshin Impact/GEN692/</v>
      </c>
      <c r="N3275" s="71">
        <v>13799</v>
      </c>
      <c r="O3275" s="66" t="s">
        <v>27</v>
      </c>
      <c r="P3275" s="82" t="s">
        <v>12220</v>
      </c>
      <c r="Q3275" s="84" t="s">
        <v>1963</v>
      </c>
      <c r="R3275" s="84" t="s">
        <v>9605</v>
      </c>
      <c r="S3275" s="84">
        <v>0.09</v>
      </c>
      <c r="T3275" s="82" t="s">
        <v>12221</v>
      </c>
      <c r="U3275" s="84"/>
      <c r="V3275" s="54"/>
    </row>
    <row r="3276" spans="1:22" s="11" customFormat="1" ht="45" customHeight="1" x14ac:dyDescent="0.2">
      <c r="A3276" s="66" t="s">
        <v>1963</v>
      </c>
      <c r="B3276" s="66" t="s">
        <v>1155</v>
      </c>
      <c r="C3276" s="66" t="s">
        <v>9605</v>
      </c>
      <c r="D3276" s="66">
        <v>6975628245864</v>
      </c>
      <c r="E3276" s="68" t="s">
        <v>12222</v>
      </c>
      <c r="F3276" s="66" t="s">
        <v>12223</v>
      </c>
      <c r="G3276" s="71">
        <v>12412</v>
      </c>
      <c r="H3276" s="73"/>
      <c r="I3276" s="75">
        <v>0.1</v>
      </c>
      <c r="J3276" s="77"/>
      <c r="K3276" s="66"/>
      <c r="L3276" s="66"/>
      <c r="M3276" s="79" t="str">
        <f>HYPERLINK("http://www.pristavka.com/catalog/Genshin Impact/GEN596/")</f>
        <v>http://www.pristavka.com/catalog/Genshin Impact/GEN596/</v>
      </c>
      <c r="N3276" s="71">
        <v>20699</v>
      </c>
      <c r="O3276" s="66" t="s">
        <v>27</v>
      </c>
      <c r="P3276" s="82" t="s">
        <v>12224</v>
      </c>
      <c r="Q3276" s="84" t="s">
        <v>1963</v>
      </c>
      <c r="R3276" s="84" t="s">
        <v>9605</v>
      </c>
      <c r="S3276" s="84">
        <v>0.90500000000000003</v>
      </c>
      <c r="T3276" s="82" t="s">
        <v>12225</v>
      </c>
      <c r="U3276" s="84"/>
      <c r="V3276" s="54"/>
    </row>
    <row r="3277" spans="1:22" s="11" customFormat="1" ht="45" customHeight="1" x14ac:dyDescent="0.2">
      <c r="A3277" s="66" t="s">
        <v>1963</v>
      </c>
      <c r="B3277" s="66" t="s">
        <v>1155</v>
      </c>
      <c r="C3277" s="66" t="s">
        <v>9605</v>
      </c>
      <c r="D3277" s="66">
        <v>6974696611700</v>
      </c>
      <c r="E3277" s="68" t="s">
        <v>12226</v>
      </c>
      <c r="F3277" s="66" t="s">
        <v>12227</v>
      </c>
      <c r="G3277" s="71">
        <v>7226</v>
      </c>
      <c r="H3277" s="73"/>
      <c r="I3277" s="75">
        <v>0.1</v>
      </c>
      <c r="J3277" s="77"/>
      <c r="K3277" s="66"/>
      <c r="L3277" s="66"/>
      <c r="M3277" s="79" t="str">
        <f>HYPERLINK("http://www.pristavka.com/catalog/Genshin Impact/GEN693/")</f>
        <v>http://www.pristavka.com/catalog/Genshin Impact/GEN693/</v>
      </c>
      <c r="N3277" s="71">
        <v>12099</v>
      </c>
      <c r="O3277" s="66" t="s">
        <v>27</v>
      </c>
      <c r="P3277" s="82" t="s">
        <v>12228</v>
      </c>
      <c r="Q3277" s="84" t="s">
        <v>1963</v>
      </c>
      <c r="R3277" s="84" t="s">
        <v>9605</v>
      </c>
      <c r="S3277" s="84">
        <v>8.7999999999999995E-2</v>
      </c>
      <c r="T3277" s="82" t="s">
        <v>12221</v>
      </c>
      <c r="U3277" s="84"/>
      <c r="V3277" s="54"/>
    </row>
    <row r="3278" spans="1:22" s="11" customFormat="1" ht="45" customHeight="1" x14ac:dyDescent="0.2">
      <c r="A3278" s="66" t="s">
        <v>1963</v>
      </c>
      <c r="B3278" s="66" t="s">
        <v>1155</v>
      </c>
      <c r="C3278" s="66" t="s">
        <v>9605</v>
      </c>
      <c r="D3278" s="66">
        <v>6975628245659</v>
      </c>
      <c r="E3278" s="68" t="s">
        <v>12229</v>
      </c>
      <c r="F3278" s="66" t="s">
        <v>12230</v>
      </c>
      <c r="G3278" s="71">
        <v>7226</v>
      </c>
      <c r="H3278" s="73"/>
      <c r="I3278" s="75">
        <v>0.1</v>
      </c>
      <c r="J3278" s="77"/>
      <c r="K3278" s="66"/>
      <c r="L3278" s="66"/>
      <c r="M3278" s="79" t="str">
        <f>HYPERLINK("http://www.pristavka.com/catalog/Genshin Impact/GEN696/")</f>
        <v>http://www.pristavka.com/catalog/Genshin Impact/GEN696/</v>
      </c>
      <c r="N3278" s="71">
        <v>12099</v>
      </c>
      <c r="O3278" s="66" t="s">
        <v>28</v>
      </c>
      <c r="P3278" s="82" t="s">
        <v>12231</v>
      </c>
      <c r="Q3278" s="84" t="s">
        <v>1963</v>
      </c>
      <c r="R3278" s="84" t="s">
        <v>9605</v>
      </c>
      <c r="S3278" s="84">
        <v>8.5999999999999993E-2</v>
      </c>
      <c r="T3278" s="82" t="s">
        <v>12221</v>
      </c>
      <c r="U3278" s="84"/>
      <c r="V3278" s="54"/>
    </row>
    <row r="3279" spans="1:22" s="11" customFormat="1" ht="45" customHeight="1" x14ac:dyDescent="0.2">
      <c r="A3279" s="66" t="s">
        <v>1963</v>
      </c>
      <c r="B3279" s="66" t="s">
        <v>1155</v>
      </c>
      <c r="C3279" s="66" t="s">
        <v>9605</v>
      </c>
      <c r="D3279" s="66">
        <v>6975213685525</v>
      </c>
      <c r="E3279" s="68" t="s">
        <v>12232</v>
      </c>
      <c r="F3279" s="66" t="s">
        <v>12233</v>
      </c>
      <c r="G3279" s="71">
        <v>14832</v>
      </c>
      <c r="H3279" s="73"/>
      <c r="I3279" s="75">
        <v>0.1</v>
      </c>
      <c r="J3279" s="77"/>
      <c r="K3279" s="66"/>
      <c r="L3279" s="66"/>
      <c r="M3279" s="79" t="str">
        <f>HYPERLINK("http://www.pristavka.com/catalog/Genshin Impact/GEN590/")</f>
        <v>http://www.pristavka.com/catalog/Genshin Impact/GEN590/</v>
      </c>
      <c r="N3279" s="71">
        <v>24799</v>
      </c>
      <c r="O3279" s="66" t="s">
        <v>27</v>
      </c>
      <c r="P3279" s="82" t="s">
        <v>12234</v>
      </c>
      <c r="Q3279" s="84" t="s">
        <v>1963</v>
      </c>
      <c r="R3279" s="84" t="s">
        <v>9605</v>
      </c>
      <c r="S3279" s="84">
        <v>0.90500000000000003</v>
      </c>
      <c r="T3279" s="82" t="s">
        <v>12225</v>
      </c>
      <c r="U3279" s="84"/>
      <c r="V3279" s="54"/>
    </row>
    <row r="3280" spans="1:22" s="11" customFormat="1" ht="45" customHeight="1" x14ac:dyDescent="0.2">
      <c r="A3280" s="66" t="s">
        <v>1963</v>
      </c>
      <c r="B3280" s="66" t="s">
        <v>1155</v>
      </c>
      <c r="C3280" s="66" t="s">
        <v>9605</v>
      </c>
      <c r="D3280" s="66">
        <v>6974696611717</v>
      </c>
      <c r="E3280" s="68" t="s">
        <v>12235</v>
      </c>
      <c r="F3280" s="66" t="s">
        <v>12236</v>
      </c>
      <c r="G3280" s="71">
        <v>7226</v>
      </c>
      <c r="H3280" s="73"/>
      <c r="I3280" s="75">
        <v>0.1</v>
      </c>
      <c r="J3280" s="77"/>
      <c r="K3280" s="66"/>
      <c r="L3280" s="66"/>
      <c r="M3280" s="79" t="str">
        <f>HYPERLINK("http://www.pristavka.com/catalog/Genshin Impact/GEN694/")</f>
        <v>http://www.pristavka.com/catalog/Genshin Impact/GEN694/</v>
      </c>
      <c r="N3280" s="71">
        <v>12099</v>
      </c>
      <c r="O3280" s="66" t="s">
        <v>27</v>
      </c>
      <c r="P3280" s="82" t="s">
        <v>12237</v>
      </c>
      <c r="Q3280" s="84" t="s">
        <v>1963</v>
      </c>
      <c r="R3280" s="84" t="s">
        <v>9605</v>
      </c>
      <c r="S3280" s="84">
        <v>0.09</v>
      </c>
      <c r="T3280" s="82" t="s">
        <v>12221</v>
      </c>
      <c r="U3280" s="84"/>
      <c r="V3280" s="54"/>
    </row>
    <row r="3281" spans="1:22" s="11" customFormat="1" ht="45" customHeight="1" x14ac:dyDescent="0.2">
      <c r="A3281" s="66" t="s">
        <v>1963</v>
      </c>
      <c r="B3281" s="66" t="s">
        <v>1155</v>
      </c>
      <c r="C3281" s="66" t="s">
        <v>9605</v>
      </c>
      <c r="D3281" s="66">
        <v>6975213685501</v>
      </c>
      <c r="E3281" s="68" t="s">
        <v>12238</v>
      </c>
      <c r="F3281" s="66" t="s">
        <v>12239</v>
      </c>
      <c r="G3281" s="71">
        <v>6880</v>
      </c>
      <c r="H3281" s="73"/>
      <c r="I3281" s="75">
        <v>0.1</v>
      </c>
      <c r="J3281" s="77"/>
      <c r="K3281" s="66"/>
      <c r="L3281" s="66"/>
      <c r="M3281" s="79" t="str">
        <f>HYPERLINK("http://www.pristavka.com/catalog/Genshin Impact/GEN594/")</f>
        <v>http://www.pristavka.com/catalog/Genshin Impact/GEN594/</v>
      </c>
      <c r="N3281" s="71">
        <v>11499</v>
      </c>
      <c r="O3281" s="66" t="s">
        <v>27</v>
      </c>
      <c r="P3281" s="82" t="s">
        <v>12240</v>
      </c>
      <c r="Q3281" s="84" t="s">
        <v>1963</v>
      </c>
      <c r="R3281" s="84" t="s">
        <v>9605</v>
      </c>
      <c r="S3281" s="84">
        <v>0.157</v>
      </c>
      <c r="T3281" s="82" t="s">
        <v>12241</v>
      </c>
      <c r="U3281" s="84"/>
      <c r="V3281" s="54"/>
    </row>
    <row r="3282" spans="1:22" s="11" customFormat="1" ht="45" customHeight="1" x14ac:dyDescent="0.2">
      <c r="A3282" s="66" t="s">
        <v>1963</v>
      </c>
      <c r="B3282" s="66" t="s">
        <v>1155</v>
      </c>
      <c r="C3282" s="66" t="s">
        <v>9605</v>
      </c>
      <c r="D3282" s="66">
        <v>6975628241804</v>
      </c>
      <c r="E3282" s="68" t="s">
        <v>12242</v>
      </c>
      <c r="F3282" s="66" t="s">
        <v>12243</v>
      </c>
      <c r="G3282" s="71">
        <v>5673</v>
      </c>
      <c r="H3282" s="73"/>
      <c r="I3282" s="75">
        <v>0.2</v>
      </c>
      <c r="J3282" s="77"/>
      <c r="K3282" s="66"/>
      <c r="L3282" s="66"/>
      <c r="M3282" s="79" t="str">
        <f>HYPERLINK("http://www.pristavka.com/catalog/Genshin Impact/GEN579/")</f>
        <v>http://www.pristavka.com/catalog/Genshin Impact/GEN579/</v>
      </c>
      <c r="N3282" s="71">
        <v>9499</v>
      </c>
      <c r="O3282" s="66" t="s">
        <v>27</v>
      </c>
      <c r="P3282" s="82" t="s">
        <v>12244</v>
      </c>
      <c r="Q3282" s="84" t="s">
        <v>1963</v>
      </c>
      <c r="R3282" s="84" t="s">
        <v>9605</v>
      </c>
      <c r="S3282" s="84">
        <v>9.1999999999999998E-2</v>
      </c>
      <c r="T3282" s="82" t="s">
        <v>12245</v>
      </c>
      <c r="U3282" s="84"/>
      <c r="V3282" s="54"/>
    </row>
    <row r="3283" spans="1:22" s="11" customFormat="1" ht="45" customHeight="1" x14ac:dyDescent="0.2">
      <c r="A3283" s="66" t="s">
        <v>1963</v>
      </c>
      <c r="B3283" s="66" t="s">
        <v>1155</v>
      </c>
      <c r="C3283" s="66" t="s">
        <v>9605</v>
      </c>
      <c r="D3283" s="66">
        <v>6975628245871</v>
      </c>
      <c r="E3283" s="68" t="s">
        <v>12246</v>
      </c>
      <c r="F3283" s="66" t="s">
        <v>12247</v>
      </c>
      <c r="G3283" s="71">
        <v>4088</v>
      </c>
      <c r="H3283" s="73"/>
      <c r="I3283" s="75">
        <v>0.2</v>
      </c>
      <c r="J3283" s="77"/>
      <c r="K3283" s="66"/>
      <c r="L3283" s="66"/>
      <c r="M3283" s="79" t="str">
        <f>HYPERLINK("http://www.pristavka.com/catalog/Genshin Impact/GEN597/")</f>
        <v>http://www.pristavka.com/catalog/Genshin Impact/GEN597/</v>
      </c>
      <c r="N3283" s="71">
        <v>6899</v>
      </c>
      <c r="O3283" s="66" t="s">
        <v>28</v>
      </c>
      <c r="P3283" s="82" t="s">
        <v>12248</v>
      </c>
      <c r="Q3283" s="84" t="s">
        <v>1963</v>
      </c>
      <c r="R3283" s="84" t="s">
        <v>9605</v>
      </c>
      <c r="S3283" s="84">
        <v>9.1999999999999998E-2</v>
      </c>
      <c r="T3283" s="82" t="s">
        <v>12245</v>
      </c>
      <c r="U3283" s="84"/>
      <c r="V3283" s="54"/>
    </row>
    <row r="3284" spans="1:22" s="11" customFormat="1" ht="45" customHeight="1" x14ac:dyDescent="0.2">
      <c r="A3284" s="66" t="s">
        <v>1963</v>
      </c>
      <c r="B3284" s="66" t="s">
        <v>1155</v>
      </c>
      <c r="C3284" s="66" t="s">
        <v>9605</v>
      </c>
      <c r="D3284" s="66">
        <v>6975628249015</v>
      </c>
      <c r="E3284" s="68" t="s">
        <v>12249</v>
      </c>
      <c r="F3284" s="66" t="s">
        <v>12250</v>
      </c>
      <c r="G3284" s="71">
        <v>5039</v>
      </c>
      <c r="H3284" s="73"/>
      <c r="I3284" s="75">
        <v>0.2</v>
      </c>
      <c r="J3284" s="77"/>
      <c r="K3284" s="66"/>
      <c r="L3284" s="66"/>
      <c r="M3284" s="79" t="str">
        <f>HYPERLINK("http://www.pristavka.com/catalog/Genshin Impact/GEN598/")</f>
        <v>http://www.pristavka.com/catalog/Genshin Impact/GEN598/</v>
      </c>
      <c r="N3284" s="71">
        <v>8399</v>
      </c>
      <c r="O3284" s="66" t="s">
        <v>27</v>
      </c>
      <c r="P3284" s="82" t="s">
        <v>12251</v>
      </c>
      <c r="Q3284" s="84" t="s">
        <v>1963</v>
      </c>
      <c r="R3284" s="84" t="s">
        <v>9605</v>
      </c>
      <c r="S3284" s="84">
        <v>5.5E-2</v>
      </c>
      <c r="T3284" s="82" t="s">
        <v>12252</v>
      </c>
      <c r="U3284" s="84"/>
      <c r="V3284" s="54"/>
    </row>
    <row r="3285" spans="1:22" s="11" customFormat="1" ht="45" customHeight="1" x14ac:dyDescent="0.2">
      <c r="A3285" s="66" t="s">
        <v>1963</v>
      </c>
      <c r="B3285" s="66" t="s">
        <v>1155</v>
      </c>
      <c r="C3285" s="66" t="s">
        <v>9605</v>
      </c>
      <c r="D3285" s="66">
        <v>6976525004837</v>
      </c>
      <c r="E3285" s="68" t="s">
        <v>12253</v>
      </c>
      <c r="F3285" s="66" t="s">
        <v>12254</v>
      </c>
      <c r="G3285" s="71">
        <v>22154</v>
      </c>
      <c r="H3285" s="73"/>
      <c r="I3285" s="75">
        <v>0.2</v>
      </c>
      <c r="J3285" s="77"/>
      <c r="K3285" s="66"/>
      <c r="L3285" s="66"/>
      <c r="M3285" s="79" t="str">
        <f>HYPERLINK("http://www.pristavka.com/catalog/Genshin Impact/GEN1025/")</f>
        <v>http://www.pristavka.com/catalog/Genshin Impact/GEN1025/</v>
      </c>
      <c r="N3285" s="71">
        <v>36999</v>
      </c>
      <c r="O3285" s="66" t="s">
        <v>27</v>
      </c>
      <c r="P3285" s="82" t="s">
        <v>12255</v>
      </c>
      <c r="Q3285" s="84" t="s">
        <v>1963</v>
      </c>
      <c r="R3285" s="84" t="s">
        <v>9605</v>
      </c>
      <c r="S3285" s="84">
        <v>1.704</v>
      </c>
      <c r="T3285" s="82" t="s">
        <v>12256</v>
      </c>
      <c r="U3285" s="84"/>
      <c r="V3285" s="54"/>
    </row>
    <row r="3286" spans="1:22" s="11" customFormat="1" ht="45" customHeight="1" x14ac:dyDescent="0.2">
      <c r="A3286" s="66" t="s">
        <v>1963</v>
      </c>
      <c r="B3286" s="66" t="s">
        <v>1155</v>
      </c>
      <c r="C3286" s="66" t="s">
        <v>9605</v>
      </c>
      <c r="D3286" s="66">
        <v>6976525004844</v>
      </c>
      <c r="E3286" s="68" t="s">
        <v>12257</v>
      </c>
      <c r="F3286" s="66" t="s">
        <v>12258</v>
      </c>
      <c r="G3286" s="71">
        <v>22154</v>
      </c>
      <c r="H3286" s="73"/>
      <c r="I3286" s="75">
        <v>0.2</v>
      </c>
      <c r="J3286" s="77"/>
      <c r="K3286" s="66"/>
      <c r="L3286" s="66"/>
      <c r="M3286" s="79" t="str">
        <f>HYPERLINK("http://www.pristavka.com/catalog/Genshin Impact/GEN1026/")</f>
        <v>http://www.pristavka.com/catalog/Genshin Impact/GEN1026/</v>
      </c>
      <c r="N3286" s="71">
        <v>36999</v>
      </c>
      <c r="O3286" s="66" t="s">
        <v>27</v>
      </c>
      <c r="P3286" s="82" t="s">
        <v>12259</v>
      </c>
      <c r="Q3286" s="84" t="s">
        <v>1963</v>
      </c>
      <c r="R3286" s="84" t="s">
        <v>9605</v>
      </c>
      <c r="S3286" s="84">
        <v>1.69</v>
      </c>
      <c r="T3286" s="82" t="s">
        <v>12260</v>
      </c>
      <c r="U3286" s="84"/>
      <c r="V3286" s="54"/>
    </row>
    <row r="3287" spans="1:22" s="11" customFormat="1" ht="45" customHeight="1" x14ac:dyDescent="0.2">
      <c r="A3287" s="66" t="s">
        <v>1963</v>
      </c>
      <c r="B3287" s="66" t="s">
        <v>1155</v>
      </c>
      <c r="C3287" s="66" t="s">
        <v>9605</v>
      </c>
      <c r="D3287" s="66">
        <v>6974696610604</v>
      </c>
      <c r="E3287" s="68" t="s">
        <v>12261</v>
      </c>
      <c r="F3287" s="66" t="s">
        <v>12262</v>
      </c>
      <c r="G3287" s="71">
        <v>4722</v>
      </c>
      <c r="H3287" s="73"/>
      <c r="I3287" s="75">
        <v>0.2</v>
      </c>
      <c r="J3287" s="77"/>
      <c r="K3287" s="66"/>
      <c r="L3287" s="66"/>
      <c r="M3287" s="79" t="str">
        <f>HYPERLINK("http://www.pristavka.com/catalog/Genshin Impact/GEN170/")</f>
        <v>http://www.pristavka.com/catalog/Genshin Impact/GEN170/</v>
      </c>
      <c r="N3287" s="71">
        <v>7899</v>
      </c>
      <c r="O3287" s="66" t="s">
        <v>27</v>
      </c>
      <c r="P3287" s="82" t="s">
        <v>12263</v>
      </c>
      <c r="Q3287" s="84" t="s">
        <v>1963</v>
      </c>
      <c r="R3287" s="84" t="s">
        <v>9605</v>
      </c>
      <c r="S3287" s="84">
        <v>0.121</v>
      </c>
      <c r="T3287" s="82" t="s">
        <v>2544</v>
      </c>
      <c r="U3287" s="84" t="s">
        <v>3691</v>
      </c>
      <c r="V3287" s="54"/>
    </row>
    <row r="3288" spans="1:22" s="11" customFormat="1" ht="45" customHeight="1" x14ac:dyDescent="0.2">
      <c r="A3288" s="66" t="s">
        <v>1963</v>
      </c>
      <c r="B3288" s="66" t="s">
        <v>1155</v>
      </c>
      <c r="C3288" s="66" t="s">
        <v>9605</v>
      </c>
      <c r="D3288" s="66">
        <v>6974096538072</v>
      </c>
      <c r="E3288" s="68" t="s">
        <v>12264</v>
      </c>
      <c r="F3288" s="66" t="s">
        <v>12265</v>
      </c>
      <c r="G3288" s="71">
        <v>3771</v>
      </c>
      <c r="H3288" s="73"/>
      <c r="I3288" s="75">
        <v>0.2</v>
      </c>
      <c r="J3288" s="77"/>
      <c r="K3288" s="66"/>
      <c r="L3288" s="66"/>
      <c r="M3288" s="79" t="str">
        <f>HYPERLINK("http://www.pristavka.com/catalog/Genshin Impact/GEN584/")</f>
        <v>http://www.pristavka.com/catalog/Genshin Impact/GEN584/</v>
      </c>
      <c r="N3288" s="71">
        <v>6299</v>
      </c>
      <c r="O3288" s="66" t="s">
        <v>27</v>
      </c>
      <c r="P3288" s="82" t="s">
        <v>12266</v>
      </c>
      <c r="Q3288" s="84" t="s">
        <v>1963</v>
      </c>
      <c r="R3288" s="84" t="s">
        <v>9605</v>
      </c>
      <c r="S3288" s="84">
        <v>0.13100000000000001</v>
      </c>
      <c r="T3288" s="82" t="s">
        <v>12267</v>
      </c>
      <c r="U3288" s="84"/>
      <c r="V3288" s="54"/>
    </row>
    <row r="3289" spans="1:22" s="11" customFormat="1" ht="45" customHeight="1" x14ac:dyDescent="0.2">
      <c r="A3289" s="66" t="s">
        <v>1963</v>
      </c>
      <c r="B3289" s="66" t="s">
        <v>1155</v>
      </c>
      <c r="C3289" s="66" t="s">
        <v>9605</v>
      </c>
      <c r="D3289" s="66">
        <v>6976525009443</v>
      </c>
      <c r="E3289" s="68" t="s">
        <v>12268</v>
      </c>
      <c r="F3289" s="66" t="s">
        <v>12269</v>
      </c>
      <c r="G3289" s="71">
        <v>10110</v>
      </c>
      <c r="H3289" s="73"/>
      <c r="I3289" s="75">
        <v>0.2</v>
      </c>
      <c r="J3289" s="77"/>
      <c r="K3289" s="66"/>
      <c r="L3289" s="66"/>
      <c r="M3289" s="79" t="str">
        <f>HYPERLINK("http://www.pristavka.com/catalog/Genshin Impact/GEN1029/")</f>
        <v>http://www.pristavka.com/catalog/Genshin Impact/GEN1029/</v>
      </c>
      <c r="N3289" s="71">
        <v>16899</v>
      </c>
      <c r="O3289" s="66" t="s">
        <v>27</v>
      </c>
      <c r="P3289" s="82" t="s">
        <v>12270</v>
      </c>
      <c r="Q3289" s="84" t="s">
        <v>1963</v>
      </c>
      <c r="R3289" s="84" t="s">
        <v>9605</v>
      </c>
      <c r="S3289" s="84">
        <v>0.33</v>
      </c>
      <c r="T3289" s="82" t="s">
        <v>12271</v>
      </c>
      <c r="U3289" s="84"/>
      <c r="V3289" s="54"/>
    </row>
    <row r="3290" spans="1:22" s="11" customFormat="1" ht="45" customHeight="1" x14ac:dyDescent="0.2">
      <c r="A3290" s="66" t="s">
        <v>1963</v>
      </c>
      <c r="B3290" s="66" t="s">
        <v>1155</v>
      </c>
      <c r="C3290" s="66" t="s">
        <v>9605</v>
      </c>
      <c r="D3290" s="66">
        <v>6976525004790</v>
      </c>
      <c r="E3290" s="68" t="s">
        <v>12272</v>
      </c>
      <c r="F3290" s="66" t="s">
        <v>12273</v>
      </c>
      <c r="G3290" s="71">
        <v>12646</v>
      </c>
      <c r="H3290" s="73"/>
      <c r="I3290" s="75">
        <v>0.2</v>
      </c>
      <c r="J3290" s="77"/>
      <c r="K3290" s="66"/>
      <c r="L3290" s="66"/>
      <c r="M3290" s="79" t="str">
        <f>HYPERLINK("http://www.pristavka.com/catalog/Genshin Impact/GEN1033/")</f>
        <v>http://www.pristavka.com/catalog/Genshin Impact/GEN1033/</v>
      </c>
      <c r="N3290" s="71">
        <v>21099</v>
      </c>
      <c r="O3290" s="66" t="s">
        <v>27</v>
      </c>
      <c r="P3290" s="82" t="s">
        <v>12274</v>
      </c>
      <c r="Q3290" s="84" t="s">
        <v>1963</v>
      </c>
      <c r="R3290" s="84" t="s">
        <v>9605</v>
      </c>
      <c r="S3290" s="84">
        <v>0.35299999999999998</v>
      </c>
      <c r="T3290" s="82" t="s">
        <v>12275</v>
      </c>
      <c r="U3290" s="84"/>
      <c r="V3290" s="54"/>
    </row>
    <row r="3291" spans="1:22" s="11" customFormat="1" ht="45" customHeight="1" x14ac:dyDescent="0.2">
      <c r="A3291" s="66" t="s">
        <v>1963</v>
      </c>
      <c r="B3291" s="66" t="s">
        <v>1155</v>
      </c>
      <c r="C3291" s="66" t="s">
        <v>9605</v>
      </c>
      <c r="D3291" s="66">
        <v>6942421107569</v>
      </c>
      <c r="E3291" s="68" t="s">
        <v>12276</v>
      </c>
      <c r="F3291" s="66" t="s">
        <v>12277</v>
      </c>
      <c r="G3291" s="71">
        <v>7258</v>
      </c>
      <c r="H3291" s="73"/>
      <c r="I3291" s="75">
        <v>0.2</v>
      </c>
      <c r="J3291" s="77"/>
      <c r="K3291" s="66"/>
      <c r="L3291" s="66"/>
      <c r="M3291" s="79" t="str">
        <f>HYPERLINK("http://www.pristavka.com/catalog/Genshin Impact/GEN1256/")</f>
        <v>http://www.pristavka.com/catalog/Genshin Impact/GEN1256/</v>
      </c>
      <c r="N3291" s="71">
        <v>12099</v>
      </c>
      <c r="O3291" s="66" t="s">
        <v>27</v>
      </c>
      <c r="P3291" s="82" t="s">
        <v>12278</v>
      </c>
      <c r="Q3291" s="84" t="s">
        <v>1963</v>
      </c>
      <c r="R3291" s="84" t="s">
        <v>9605</v>
      </c>
      <c r="S3291" s="84">
        <v>8.5000000000000006E-2</v>
      </c>
      <c r="T3291" s="82" t="s">
        <v>12279</v>
      </c>
      <c r="U3291" s="84"/>
      <c r="V3291" s="54"/>
    </row>
    <row r="3292" spans="1:22" s="11" customFormat="1" ht="45" customHeight="1" x14ac:dyDescent="0.2">
      <c r="A3292" s="66" t="s">
        <v>1963</v>
      </c>
      <c r="B3292" s="66" t="s">
        <v>1155</v>
      </c>
      <c r="C3292" s="66" t="s">
        <v>9605</v>
      </c>
      <c r="D3292" s="66">
        <v>6942421128175</v>
      </c>
      <c r="E3292" s="68" t="s">
        <v>12280</v>
      </c>
      <c r="F3292" s="66" t="s">
        <v>12281</v>
      </c>
      <c r="G3292" s="71">
        <v>10744</v>
      </c>
      <c r="H3292" s="73"/>
      <c r="I3292" s="75">
        <v>0.2</v>
      </c>
      <c r="J3292" s="77"/>
      <c r="K3292" s="66"/>
      <c r="L3292" s="66"/>
      <c r="M3292" s="79" t="str">
        <f>HYPERLINK("http://www.pristavka.com/catalog/Genshin Impact/GEN1261/")</f>
        <v>http://www.pristavka.com/catalog/Genshin Impact/GEN1261/</v>
      </c>
      <c r="N3292" s="71">
        <v>17999</v>
      </c>
      <c r="O3292" s="66" t="s">
        <v>27</v>
      </c>
      <c r="P3292" s="82" t="s">
        <v>12282</v>
      </c>
      <c r="Q3292" s="84" t="s">
        <v>1963</v>
      </c>
      <c r="R3292" s="84" t="s">
        <v>9605</v>
      </c>
      <c r="S3292" s="84">
        <v>0.46200000000000002</v>
      </c>
      <c r="T3292" s="82" t="s">
        <v>12283</v>
      </c>
      <c r="U3292" s="84"/>
      <c r="V3292" s="54"/>
    </row>
    <row r="3293" spans="1:22" s="11" customFormat="1" ht="45" customHeight="1" x14ac:dyDescent="0.2">
      <c r="A3293" s="66" t="s">
        <v>1963</v>
      </c>
      <c r="B3293" s="66" t="s">
        <v>1155</v>
      </c>
      <c r="C3293" s="66" t="s">
        <v>9605</v>
      </c>
      <c r="D3293" s="66">
        <v>6942421107552</v>
      </c>
      <c r="E3293" s="68" t="s">
        <v>12284</v>
      </c>
      <c r="F3293" s="66" t="s">
        <v>12285</v>
      </c>
      <c r="G3293" s="71">
        <v>7258</v>
      </c>
      <c r="H3293" s="73"/>
      <c r="I3293" s="75">
        <v>0.2</v>
      </c>
      <c r="J3293" s="77"/>
      <c r="K3293" s="66"/>
      <c r="L3293" s="66"/>
      <c r="M3293" s="79" t="str">
        <f>HYPERLINK("http://www.pristavka.com/catalog/Genshin Impact/GEN1255/")</f>
        <v>http://www.pristavka.com/catalog/Genshin Impact/GEN1255/</v>
      </c>
      <c r="N3293" s="71">
        <v>12099</v>
      </c>
      <c r="O3293" s="66" t="s">
        <v>27</v>
      </c>
      <c r="P3293" s="82" t="s">
        <v>12286</v>
      </c>
      <c r="Q3293" s="84" t="s">
        <v>1963</v>
      </c>
      <c r="R3293" s="84" t="s">
        <v>9605</v>
      </c>
      <c r="S3293" s="84">
        <v>0.08</v>
      </c>
      <c r="T3293" s="82" t="s">
        <v>12279</v>
      </c>
      <c r="U3293" s="84"/>
      <c r="V3293" s="54"/>
    </row>
    <row r="3294" spans="1:22" s="11" customFormat="1" ht="45" customHeight="1" x14ac:dyDescent="0.2">
      <c r="A3294" s="66" t="s">
        <v>1963</v>
      </c>
      <c r="B3294" s="66" t="s">
        <v>1155</v>
      </c>
      <c r="C3294" s="66" t="s">
        <v>9605</v>
      </c>
      <c r="D3294" s="66">
        <v>6974696610581</v>
      </c>
      <c r="E3294" s="68" t="s">
        <v>12287</v>
      </c>
      <c r="F3294" s="66" t="s">
        <v>12288</v>
      </c>
      <c r="G3294" s="71">
        <v>6880</v>
      </c>
      <c r="H3294" s="73"/>
      <c r="I3294" s="75">
        <v>0.1</v>
      </c>
      <c r="J3294" s="77"/>
      <c r="K3294" s="66"/>
      <c r="L3294" s="66"/>
      <c r="M3294" s="79" t="str">
        <f>HYPERLINK("http://www.pristavka.com/catalog/Genshin Impact/GEN171/")</f>
        <v>http://www.pristavka.com/catalog/Genshin Impact/GEN171/</v>
      </c>
      <c r="N3294" s="71">
        <v>11499</v>
      </c>
      <c r="O3294" s="66" t="s">
        <v>27</v>
      </c>
      <c r="P3294" s="82" t="s">
        <v>12289</v>
      </c>
      <c r="Q3294" s="84" t="s">
        <v>1963</v>
      </c>
      <c r="R3294" s="84" t="s">
        <v>9605</v>
      </c>
      <c r="S3294" s="84">
        <v>0.112</v>
      </c>
      <c r="T3294" s="82" t="s">
        <v>12290</v>
      </c>
      <c r="U3294" s="84" t="s">
        <v>3691</v>
      </c>
      <c r="V3294" s="54"/>
    </row>
    <row r="3295" spans="1:22" s="11" customFormat="1" ht="45" customHeight="1" x14ac:dyDescent="0.2">
      <c r="A3295" s="66" t="s">
        <v>1963</v>
      </c>
      <c r="B3295" s="66" t="s">
        <v>1155</v>
      </c>
      <c r="C3295" s="66" t="s">
        <v>9605</v>
      </c>
      <c r="D3295" s="66">
        <v>6974696611663</v>
      </c>
      <c r="E3295" s="68" t="s">
        <v>12291</v>
      </c>
      <c r="F3295" s="66" t="s">
        <v>12292</v>
      </c>
      <c r="G3295" s="71">
        <v>6189</v>
      </c>
      <c r="H3295" s="73"/>
      <c r="I3295" s="75">
        <v>0.1</v>
      </c>
      <c r="J3295" s="77"/>
      <c r="K3295" s="66"/>
      <c r="L3295" s="66"/>
      <c r="M3295" s="79" t="str">
        <f>HYPERLINK("http://www.pristavka.com/catalog/Genshin Impact/GEN361/")</f>
        <v>http://www.pristavka.com/catalog/Genshin Impact/GEN361/</v>
      </c>
      <c r="N3295" s="71">
        <v>10399</v>
      </c>
      <c r="O3295" s="66" t="s">
        <v>28</v>
      </c>
      <c r="P3295" s="82" t="s">
        <v>12293</v>
      </c>
      <c r="Q3295" s="84" t="s">
        <v>1963</v>
      </c>
      <c r="R3295" s="84" t="s">
        <v>9605</v>
      </c>
      <c r="S3295" s="84">
        <v>9.4E-2</v>
      </c>
      <c r="T3295" s="82" t="s">
        <v>12279</v>
      </c>
      <c r="U3295" s="84" t="s">
        <v>3691</v>
      </c>
      <c r="V3295" s="54"/>
    </row>
    <row r="3296" spans="1:22" s="11" customFormat="1" ht="45" customHeight="1" x14ac:dyDescent="0.2">
      <c r="A3296" s="66" t="s">
        <v>1963</v>
      </c>
      <c r="B3296" s="66" t="s">
        <v>1155</v>
      </c>
      <c r="C3296" s="66" t="s">
        <v>9605</v>
      </c>
      <c r="D3296" s="66">
        <v>6974696611687</v>
      </c>
      <c r="E3296" s="68" t="s">
        <v>12294</v>
      </c>
      <c r="F3296" s="66" t="s">
        <v>12295</v>
      </c>
      <c r="G3296" s="71">
        <v>7226</v>
      </c>
      <c r="H3296" s="73"/>
      <c r="I3296" s="75">
        <v>0.1</v>
      </c>
      <c r="J3296" s="77"/>
      <c r="K3296" s="66"/>
      <c r="L3296" s="66"/>
      <c r="M3296" s="79" t="str">
        <f>HYPERLINK("http://www.pristavka.com/catalog/Genshin Impact/GEN359/")</f>
        <v>http://www.pristavka.com/catalog/Genshin Impact/GEN359/</v>
      </c>
      <c r="N3296" s="71">
        <v>12099</v>
      </c>
      <c r="O3296" s="66" t="s">
        <v>28</v>
      </c>
      <c r="P3296" s="82" t="s">
        <v>12296</v>
      </c>
      <c r="Q3296" s="84" t="s">
        <v>1963</v>
      </c>
      <c r="R3296" s="84" t="s">
        <v>9605</v>
      </c>
      <c r="S3296" s="84">
        <v>8.4000000000000005E-2</v>
      </c>
      <c r="T3296" s="82" t="s">
        <v>12279</v>
      </c>
      <c r="U3296" s="84" t="s">
        <v>3691</v>
      </c>
      <c r="V3296" s="54"/>
    </row>
    <row r="3297" spans="1:22" s="11" customFormat="1" ht="45" customHeight="1" x14ac:dyDescent="0.2">
      <c r="A3297" s="66" t="s">
        <v>1963</v>
      </c>
      <c r="B3297" s="66" t="s">
        <v>1155</v>
      </c>
      <c r="C3297" s="66" t="s">
        <v>9605</v>
      </c>
      <c r="D3297" s="66">
        <v>6975628245987</v>
      </c>
      <c r="E3297" s="68" t="s">
        <v>12297</v>
      </c>
      <c r="F3297" s="66" t="s">
        <v>12298</v>
      </c>
      <c r="G3297" s="71">
        <v>8955</v>
      </c>
      <c r="H3297" s="73"/>
      <c r="I3297" s="75">
        <v>0.1</v>
      </c>
      <c r="J3297" s="77"/>
      <c r="K3297" s="66"/>
      <c r="L3297" s="66"/>
      <c r="M3297" s="79" t="str">
        <f>HYPERLINK("http://www.pristavka.com/catalog/Genshin Impact/GEN910/")</f>
        <v>http://www.pristavka.com/catalog/Genshin Impact/GEN910/</v>
      </c>
      <c r="N3297" s="71">
        <v>14999</v>
      </c>
      <c r="O3297" s="66" t="s">
        <v>27</v>
      </c>
      <c r="P3297" s="82" t="s">
        <v>12299</v>
      </c>
      <c r="Q3297" s="84" t="s">
        <v>1963</v>
      </c>
      <c r="R3297" s="84" t="s">
        <v>9605</v>
      </c>
      <c r="S3297" s="84">
        <v>0.105</v>
      </c>
      <c r="T3297" s="82" t="s">
        <v>12300</v>
      </c>
      <c r="U3297" s="84"/>
      <c r="V3297" s="54"/>
    </row>
    <row r="3298" spans="1:22" s="11" customFormat="1" ht="45" customHeight="1" x14ac:dyDescent="0.2">
      <c r="A3298" s="66" t="s">
        <v>1963</v>
      </c>
      <c r="B3298" s="66" t="s">
        <v>1155</v>
      </c>
      <c r="C3298" s="66" t="s">
        <v>9605</v>
      </c>
      <c r="D3298" s="66">
        <v>6975628246052</v>
      </c>
      <c r="E3298" s="68" t="s">
        <v>12301</v>
      </c>
      <c r="F3298" s="66" t="s">
        <v>12302</v>
      </c>
      <c r="G3298" s="71">
        <v>8955</v>
      </c>
      <c r="H3298" s="73"/>
      <c r="I3298" s="75">
        <v>0.1</v>
      </c>
      <c r="J3298" s="77"/>
      <c r="K3298" s="66"/>
      <c r="L3298" s="66"/>
      <c r="M3298" s="79" t="str">
        <f>HYPERLINK("http://www.pristavka.com/catalog/Genshin Impact/GEN913/")</f>
        <v>http://www.pristavka.com/catalog/Genshin Impact/GEN913/</v>
      </c>
      <c r="N3298" s="71">
        <v>14999</v>
      </c>
      <c r="O3298" s="66" t="s">
        <v>27</v>
      </c>
      <c r="P3298" s="82" t="s">
        <v>12303</v>
      </c>
      <c r="Q3298" s="84" t="s">
        <v>1963</v>
      </c>
      <c r="R3298" s="84" t="s">
        <v>9605</v>
      </c>
      <c r="S3298" s="84">
        <v>0.112</v>
      </c>
      <c r="T3298" s="82" t="s">
        <v>12304</v>
      </c>
      <c r="U3298" s="84"/>
      <c r="V3298" s="54"/>
    </row>
    <row r="3299" spans="1:22" s="11" customFormat="1" ht="45" customHeight="1" x14ac:dyDescent="0.2">
      <c r="A3299" s="66" t="s">
        <v>1963</v>
      </c>
      <c r="B3299" s="66" t="s">
        <v>1155</v>
      </c>
      <c r="C3299" s="66" t="s">
        <v>9605</v>
      </c>
      <c r="D3299" s="66">
        <v>6975628245994</v>
      </c>
      <c r="E3299" s="68" t="s">
        <v>12305</v>
      </c>
      <c r="F3299" s="66" t="s">
        <v>12306</v>
      </c>
      <c r="G3299" s="71">
        <v>8955</v>
      </c>
      <c r="H3299" s="73"/>
      <c r="I3299" s="75">
        <v>0.1</v>
      </c>
      <c r="J3299" s="77"/>
      <c r="K3299" s="66"/>
      <c r="L3299" s="66"/>
      <c r="M3299" s="79" t="str">
        <f>HYPERLINK("http://www.pristavka.com/catalog/Genshin Impact/GEN909/")</f>
        <v>http://www.pristavka.com/catalog/Genshin Impact/GEN909/</v>
      </c>
      <c r="N3299" s="71">
        <v>14999</v>
      </c>
      <c r="O3299" s="66" t="s">
        <v>27</v>
      </c>
      <c r="P3299" s="82" t="s">
        <v>12307</v>
      </c>
      <c r="Q3299" s="84" t="s">
        <v>1963</v>
      </c>
      <c r="R3299" s="84" t="s">
        <v>9605</v>
      </c>
      <c r="S3299" s="84">
        <v>0.105</v>
      </c>
      <c r="T3299" s="82" t="s">
        <v>12300</v>
      </c>
      <c r="U3299" s="84"/>
      <c r="V3299" s="54"/>
    </row>
    <row r="3300" spans="1:22" s="11" customFormat="1" ht="45" customHeight="1" x14ac:dyDescent="0.2">
      <c r="A3300" s="66" t="s">
        <v>1963</v>
      </c>
      <c r="B3300" s="66" t="s">
        <v>1155</v>
      </c>
      <c r="C3300" s="66" t="s">
        <v>9605</v>
      </c>
      <c r="D3300" s="66">
        <v>6974096531073</v>
      </c>
      <c r="E3300" s="68" t="s">
        <v>12308</v>
      </c>
      <c r="F3300" s="66" t="s">
        <v>12309</v>
      </c>
      <c r="G3300" s="71">
        <v>14832</v>
      </c>
      <c r="H3300" s="73"/>
      <c r="I3300" s="75">
        <v>0.1</v>
      </c>
      <c r="J3300" s="77"/>
      <c r="K3300" s="66"/>
      <c r="L3300" s="66"/>
      <c r="M3300" s="79" t="str">
        <f>HYPERLINK("http://www.pristavka.com/catalog/Genshin Impact/GEN169/")</f>
        <v>http://www.pristavka.com/catalog/Genshin Impact/GEN169/</v>
      </c>
      <c r="N3300" s="71">
        <v>24799</v>
      </c>
      <c r="O3300" s="66" t="s">
        <v>27</v>
      </c>
      <c r="P3300" s="82" t="s">
        <v>12310</v>
      </c>
      <c r="Q3300" s="84" t="s">
        <v>1963</v>
      </c>
      <c r="R3300" s="84" t="s">
        <v>9605</v>
      </c>
      <c r="S3300" s="84">
        <v>0.39800000000000002</v>
      </c>
      <c r="T3300" s="82" t="s">
        <v>12311</v>
      </c>
      <c r="U3300" s="84" t="s">
        <v>3691</v>
      </c>
      <c r="V3300" s="54"/>
    </row>
    <row r="3301" spans="1:22" s="11" customFormat="1" ht="45" customHeight="1" x14ac:dyDescent="0.2">
      <c r="A3301" s="66" t="s">
        <v>1963</v>
      </c>
      <c r="B3301" s="66" t="s">
        <v>1155</v>
      </c>
      <c r="C3301" s="66" t="s">
        <v>9605</v>
      </c>
      <c r="D3301" s="66">
        <v>6974696618600</v>
      </c>
      <c r="E3301" s="68" t="s">
        <v>12312</v>
      </c>
      <c r="F3301" s="66" t="s">
        <v>12313</v>
      </c>
      <c r="G3301" s="71">
        <v>4460</v>
      </c>
      <c r="H3301" s="73"/>
      <c r="I3301" s="75">
        <v>0.1</v>
      </c>
      <c r="J3301" s="77"/>
      <c r="K3301" s="66"/>
      <c r="L3301" s="66"/>
      <c r="M3301" s="79" t="str">
        <f>HYPERLINK("http://www.pristavka.com/catalog/Genshin Impact/GEN168/")</f>
        <v>http://www.pristavka.com/catalog/Genshin Impact/GEN168/</v>
      </c>
      <c r="N3301" s="71">
        <v>7499</v>
      </c>
      <c r="O3301" s="66" t="s">
        <v>27</v>
      </c>
      <c r="P3301" s="82" t="s">
        <v>12314</v>
      </c>
      <c r="Q3301" s="84" t="s">
        <v>1963</v>
      </c>
      <c r="R3301" s="84" t="s">
        <v>9605</v>
      </c>
      <c r="S3301" s="84">
        <v>6.2E-2</v>
      </c>
      <c r="T3301" s="82" t="s">
        <v>12315</v>
      </c>
      <c r="U3301" s="84" t="s">
        <v>3691</v>
      </c>
      <c r="V3301" s="54"/>
    </row>
    <row r="3302" spans="1:22" s="11" customFormat="1" ht="45" customHeight="1" x14ac:dyDescent="0.2">
      <c r="A3302" s="66" t="s">
        <v>1963</v>
      </c>
      <c r="B3302" s="66" t="s">
        <v>1155</v>
      </c>
      <c r="C3302" s="66" t="s">
        <v>9605</v>
      </c>
      <c r="D3302" s="66">
        <v>6974096535910</v>
      </c>
      <c r="E3302" s="68" t="s">
        <v>12316</v>
      </c>
      <c r="F3302" s="66" t="s">
        <v>12317</v>
      </c>
      <c r="G3302" s="71">
        <v>3769</v>
      </c>
      <c r="H3302" s="73"/>
      <c r="I3302" s="75">
        <v>0.1</v>
      </c>
      <c r="J3302" s="77"/>
      <c r="K3302" s="66"/>
      <c r="L3302" s="66"/>
      <c r="M3302" s="79" t="str">
        <f>HYPERLINK("http://www.pristavka.com/catalog/Genshin Impact/GEN167/")</f>
        <v>http://www.pristavka.com/catalog/Genshin Impact/GEN167/</v>
      </c>
      <c r="N3302" s="71">
        <v>6299</v>
      </c>
      <c r="O3302" s="66" t="s">
        <v>27</v>
      </c>
      <c r="P3302" s="82" t="s">
        <v>12318</v>
      </c>
      <c r="Q3302" s="84" t="s">
        <v>1963</v>
      </c>
      <c r="R3302" s="84" t="s">
        <v>9605</v>
      </c>
      <c r="S3302" s="84">
        <v>4.2000000000000003E-2</v>
      </c>
      <c r="T3302" s="82" t="s">
        <v>12315</v>
      </c>
      <c r="U3302" s="84" t="s">
        <v>3691</v>
      </c>
      <c r="V3302" s="54"/>
    </row>
    <row r="3303" spans="1:22" s="11" customFormat="1" ht="45" customHeight="1" x14ac:dyDescent="0.2">
      <c r="A3303" s="66" t="s">
        <v>1963</v>
      </c>
      <c r="B3303" s="66" t="s">
        <v>1155</v>
      </c>
      <c r="C3303" s="66" t="s">
        <v>9605</v>
      </c>
      <c r="D3303" s="66">
        <v>6976525004806</v>
      </c>
      <c r="E3303" s="68" t="s">
        <v>12319</v>
      </c>
      <c r="F3303" s="66" t="s">
        <v>12320</v>
      </c>
      <c r="G3303" s="71">
        <v>11061</v>
      </c>
      <c r="H3303" s="73"/>
      <c r="I3303" s="75">
        <v>0.2</v>
      </c>
      <c r="J3303" s="77"/>
      <c r="K3303" s="66"/>
      <c r="L3303" s="66"/>
      <c r="M3303" s="79" t="str">
        <f>HYPERLINK("http://www.pristavka.com/catalog/Genshin Impact/GEN1034/")</f>
        <v>http://www.pristavka.com/catalog/Genshin Impact/GEN1034/</v>
      </c>
      <c r="N3303" s="71">
        <v>18499</v>
      </c>
      <c r="O3303" s="66" t="s">
        <v>27</v>
      </c>
      <c r="P3303" s="82" t="s">
        <v>12321</v>
      </c>
      <c r="Q3303" s="84" t="s">
        <v>1963</v>
      </c>
      <c r="R3303" s="84" t="s">
        <v>9605</v>
      </c>
      <c r="S3303" s="84">
        <v>0.30599999999999999</v>
      </c>
      <c r="T3303" s="82" t="s">
        <v>12322</v>
      </c>
      <c r="U3303" s="84"/>
      <c r="V3303" s="54"/>
    </row>
    <row r="3304" spans="1:22" s="11" customFormat="1" ht="45" customHeight="1" x14ac:dyDescent="0.2">
      <c r="A3304" s="66" t="s">
        <v>1963</v>
      </c>
      <c r="B3304" s="66" t="s">
        <v>1155</v>
      </c>
      <c r="C3304" s="66" t="s">
        <v>9605</v>
      </c>
      <c r="D3304" s="66">
        <v>6974696612448</v>
      </c>
      <c r="E3304" s="68" t="s">
        <v>12323</v>
      </c>
      <c r="F3304" s="66" t="s">
        <v>12324</v>
      </c>
      <c r="G3304" s="71">
        <v>5356</v>
      </c>
      <c r="H3304" s="73"/>
      <c r="I3304" s="75">
        <v>0.2</v>
      </c>
      <c r="J3304" s="77"/>
      <c r="K3304" s="66"/>
      <c r="L3304" s="66"/>
      <c r="M3304" s="79" t="str">
        <f>HYPERLINK("http://www.pristavka.com/catalog/Genshin Impact/GEN21/")</f>
        <v>http://www.pristavka.com/catalog/Genshin Impact/GEN21/</v>
      </c>
      <c r="N3304" s="71">
        <v>8999</v>
      </c>
      <c r="O3304" s="66" t="s">
        <v>27</v>
      </c>
      <c r="P3304" s="82" t="s">
        <v>12325</v>
      </c>
      <c r="Q3304" s="84" t="s">
        <v>1963</v>
      </c>
      <c r="R3304" s="84" t="s">
        <v>9605</v>
      </c>
      <c r="S3304" s="84">
        <v>0.40600000000000003</v>
      </c>
      <c r="T3304" s="82" t="s">
        <v>11993</v>
      </c>
      <c r="U3304" s="84" t="s">
        <v>2255</v>
      </c>
      <c r="V3304" s="54"/>
    </row>
    <row r="3305" spans="1:22" s="11" customFormat="1" ht="45" customHeight="1" x14ac:dyDescent="0.2">
      <c r="A3305" s="66" t="s">
        <v>1963</v>
      </c>
      <c r="B3305" s="66" t="s">
        <v>1155</v>
      </c>
      <c r="C3305" s="66" t="s">
        <v>9605</v>
      </c>
      <c r="D3305" s="66">
        <v>6975628240289</v>
      </c>
      <c r="E3305" s="68" t="s">
        <v>12326</v>
      </c>
      <c r="F3305" s="66" t="s">
        <v>12327</v>
      </c>
      <c r="G3305" s="71">
        <v>2213</v>
      </c>
      <c r="H3305" s="73"/>
      <c r="I3305" s="75">
        <v>0.2</v>
      </c>
      <c r="J3305" s="77"/>
      <c r="K3305" s="66"/>
      <c r="L3305" s="66"/>
      <c r="M3305" s="79" t="str">
        <f>HYPERLINK("http://www.pristavka.com/catalog/Genshin Impact/GEN736/")</f>
        <v>http://www.pristavka.com/catalog/Genshin Impact/GEN736/</v>
      </c>
      <c r="N3305" s="71">
        <v>3699</v>
      </c>
      <c r="O3305" s="66" t="s">
        <v>28</v>
      </c>
      <c r="P3305" s="82" t="s">
        <v>12328</v>
      </c>
      <c r="Q3305" s="84" t="s">
        <v>1963</v>
      </c>
      <c r="R3305" s="84" t="s">
        <v>9605</v>
      </c>
      <c r="S3305" s="84">
        <v>3.2000000000000001E-2</v>
      </c>
      <c r="T3305" s="82" t="s">
        <v>12329</v>
      </c>
      <c r="U3305" s="84"/>
      <c r="V3305" s="54"/>
    </row>
    <row r="3306" spans="1:22" s="11" customFormat="1" ht="45" customHeight="1" x14ac:dyDescent="0.2">
      <c r="A3306" s="66" t="s">
        <v>1963</v>
      </c>
      <c r="B3306" s="66" t="s">
        <v>1155</v>
      </c>
      <c r="C3306" s="66" t="s">
        <v>9605</v>
      </c>
      <c r="D3306" s="66">
        <v>6975628240296</v>
      </c>
      <c r="E3306" s="68" t="s">
        <v>12330</v>
      </c>
      <c r="F3306" s="66" t="s">
        <v>12331</v>
      </c>
      <c r="G3306" s="71">
        <v>2213</v>
      </c>
      <c r="H3306" s="73"/>
      <c r="I3306" s="75">
        <v>0.2</v>
      </c>
      <c r="J3306" s="77"/>
      <c r="K3306" s="66"/>
      <c r="L3306" s="66"/>
      <c r="M3306" s="79" t="str">
        <f>HYPERLINK("http://www.pristavka.com/catalog/Genshin Impact/GEN737/")</f>
        <v>http://www.pristavka.com/catalog/Genshin Impact/GEN737/</v>
      </c>
      <c r="N3306" s="71">
        <v>3699</v>
      </c>
      <c r="O3306" s="66" t="s">
        <v>27</v>
      </c>
      <c r="P3306" s="82" t="s">
        <v>12332</v>
      </c>
      <c r="Q3306" s="84" t="s">
        <v>1963</v>
      </c>
      <c r="R3306" s="84" t="s">
        <v>9605</v>
      </c>
      <c r="S3306" s="84">
        <v>3.2000000000000001E-2</v>
      </c>
      <c r="T3306" s="82" t="s">
        <v>12329</v>
      </c>
      <c r="U3306" s="84"/>
      <c r="V3306" s="54"/>
    </row>
    <row r="3307" spans="1:22" s="11" customFormat="1" ht="45" customHeight="1" x14ac:dyDescent="0.2">
      <c r="A3307" s="66" t="s">
        <v>1963</v>
      </c>
      <c r="B3307" s="66" t="s">
        <v>1155</v>
      </c>
      <c r="C3307" s="66" t="s">
        <v>9605</v>
      </c>
      <c r="D3307" s="66">
        <v>6975213682807</v>
      </c>
      <c r="E3307" s="68" t="s">
        <v>12333</v>
      </c>
      <c r="F3307" s="66" t="s">
        <v>12334</v>
      </c>
      <c r="G3307" s="71">
        <v>2530</v>
      </c>
      <c r="H3307" s="73"/>
      <c r="I3307" s="75">
        <v>0.2</v>
      </c>
      <c r="J3307" s="77"/>
      <c r="K3307" s="66"/>
      <c r="L3307" s="66"/>
      <c r="M3307" s="79" t="str">
        <f>HYPERLINK("http://www.pristavka.com/catalog/Genshin Impact/GEN553/")</f>
        <v>http://www.pristavka.com/catalog/Genshin Impact/GEN553/</v>
      </c>
      <c r="N3307" s="71">
        <v>4299</v>
      </c>
      <c r="O3307" s="66" t="s">
        <v>28</v>
      </c>
      <c r="P3307" s="82" t="s">
        <v>12335</v>
      </c>
      <c r="Q3307" s="84" t="s">
        <v>1963</v>
      </c>
      <c r="R3307" s="84" t="s">
        <v>9605</v>
      </c>
      <c r="S3307" s="84">
        <v>2.3E-2</v>
      </c>
      <c r="T3307" s="82" t="s">
        <v>10602</v>
      </c>
      <c r="U3307" s="84"/>
      <c r="V3307" s="54"/>
    </row>
    <row r="3308" spans="1:22" s="11" customFormat="1" ht="45" customHeight="1" x14ac:dyDescent="0.2">
      <c r="A3308" s="66" t="s">
        <v>1963</v>
      </c>
      <c r="B3308" s="66" t="s">
        <v>1155</v>
      </c>
      <c r="C3308" s="66" t="s">
        <v>9605</v>
      </c>
      <c r="D3308" s="66">
        <v>6975213682760</v>
      </c>
      <c r="E3308" s="68" t="s">
        <v>12336</v>
      </c>
      <c r="F3308" s="66" t="s">
        <v>12337</v>
      </c>
      <c r="G3308" s="71">
        <v>2530</v>
      </c>
      <c r="H3308" s="73"/>
      <c r="I3308" s="75">
        <v>0.2</v>
      </c>
      <c r="J3308" s="77"/>
      <c r="K3308" s="66"/>
      <c r="L3308" s="66"/>
      <c r="M3308" s="79" t="str">
        <f>HYPERLINK("http://www.pristavka.com/catalog/Genshin Impact/GEN552/")</f>
        <v>http://www.pristavka.com/catalog/Genshin Impact/GEN552/</v>
      </c>
      <c r="N3308" s="71">
        <v>4299</v>
      </c>
      <c r="O3308" s="66" t="s">
        <v>27</v>
      </c>
      <c r="P3308" s="82" t="s">
        <v>12338</v>
      </c>
      <c r="Q3308" s="84" t="s">
        <v>1963</v>
      </c>
      <c r="R3308" s="84" t="s">
        <v>9605</v>
      </c>
      <c r="S3308" s="84">
        <v>2.4E-2</v>
      </c>
      <c r="T3308" s="82" t="s">
        <v>10602</v>
      </c>
      <c r="U3308" s="84"/>
      <c r="V3308" s="54"/>
    </row>
    <row r="3309" spans="1:22" s="11" customFormat="1" ht="45" customHeight="1" x14ac:dyDescent="0.2">
      <c r="A3309" s="66" t="s">
        <v>1963</v>
      </c>
      <c r="B3309" s="66" t="s">
        <v>1155</v>
      </c>
      <c r="C3309" s="66" t="s">
        <v>9605</v>
      </c>
      <c r="D3309" s="66">
        <v>6975628240333</v>
      </c>
      <c r="E3309" s="68" t="s">
        <v>12339</v>
      </c>
      <c r="F3309" s="66" t="s">
        <v>12340</v>
      </c>
      <c r="G3309" s="71">
        <v>1896</v>
      </c>
      <c r="H3309" s="73"/>
      <c r="I3309" s="75">
        <v>0.2</v>
      </c>
      <c r="J3309" s="77"/>
      <c r="K3309" s="66"/>
      <c r="L3309" s="66"/>
      <c r="M3309" s="79" t="str">
        <f>HYPERLINK("http://www.pristavka.com/catalog/Genshin Impact/GEN383/")</f>
        <v>http://www.pristavka.com/catalog/Genshin Impact/GEN383/</v>
      </c>
      <c r="N3309" s="71">
        <v>3199</v>
      </c>
      <c r="O3309" s="66" t="s">
        <v>27</v>
      </c>
      <c r="P3309" s="82" t="s">
        <v>12341</v>
      </c>
      <c r="Q3309" s="84" t="s">
        <v>1963</v>
      </c>
      <c r="R3309" s="84" t="s">
        <v>9605</v>
      </c>
      <c r="S3309" s="84">
        <v>3.2000000000000001E-2</v>
      </c>
      <c r="T3309" s="82" t="s">
        <v>10360</v>
      </c>
      <c r="U3309" s="84" t="s">
        <v>2255</v>
      </c>
      <c r="V3309" s="54"/>
    </row>
    <row r="3310" spans="1:22" s="11" customFormat="1" ht="45" customHeight="1" x14ac:dyDescent="0.2">
      <c r="A3310" s="66" t="s">
        <v>1963</v>
      </c>
      <c r="B3310" s="66" t="s">
        <v>1155</v>
      </c>
      <c r="C3310" s="66" t="s">
        <v>9605</v>
      </c>
      <c r="D3310" s="66">
        <v>6975628240302</v>
      </c>
      <c r="E3310" s="68" t="s">
        <v>12342</v>
      </c>
      <c r="F3310" s="66" t="s">
        <v>12343</v>
      </c>
      <c r="G3310" s="71">
        <v>1896</v>
      </c>
      <c r="H3310" s="73"/>
      <c r="I3310" s="75">
        <v>0.2</v>
      </c>
      <c r="J3310" s="77"/>
      <c r="K3310" s="66"/>
      <c r="L3310" s="66"/>
      <c r="M3310" s="79" t="str">
        <f>HYPERLINK("http://www.pristavka.com/catalog/Genshin Impact/GEN380/")</f>
        <v>http://www.pristavka.com/catalog/Genshin Impact/GEN380/</v>
      </c>
      <c r="N3310" s="71">
        <v>3199</v>
      </c>
      <c r="O3310" s="66" t="s">
        <v>27</v>
      </c>
      <c r="P3310" s="82" t="s">
        <v>12344</v>
      </c>
      <c r="Q3310" s="84" t="s">
        <v>1963</v>
      </c>
      <c r="R3310" s="84" t="s">
        <v>9605</v>
      </c>
      <c r="S3310" s="84">
        <v>3.2000000000000001E-2</v>
      </c>
      <c r="T3310" s="82" t="s">
        <v>12345</v>
      </c>
      <c r="U3310" s="84" t="s">
        <v>2255</v>
      </c>
      <c r="V3310" s="54"/>
    </row>
    <row r="3311" spans="1:22" s="11" customFormat="1" ht="45" customHeight="1" x14ac:dyDescent="0.2">
      <c r="A3311" s="66" t="s">
        <v>1963</v>
      </c>
      <c r="B3311" s="66" t="s">
        <v>1155</v>
      </c>
      <c r="C3311" s="66" t="s">
        <v>9605</v>
      </c>
      <c r="D3311" s="66">
        <v>6974696614336</v>
      </c>
      <c r="E3311" s="68" t="s">
        <v>12346</v>
      </c>
      <c r="F3311" s="66" t="s">
        <v>12347</v>
      </c>
      <c r="G3311" s="71">
        <v>2213</v>
      </c>
      <c r="H3311" s="73"/>
      <c r="I3311" s="75">
        <v>0.2</v>
      </c>
      <c r="J3311" s="77"/>
      <c r="K3311" s="66"/>
      <c r="L3311" s="66"/>
      <c r="M3311" s="79" t="str">
        <f>HYPERLINK("http://www.pristavka.com/catalog/Genshin Impact/GEN160/")</f>
        <v>http://www.pristavka.com/catalog/Genshin Impact/GEN160/</v>
      </c>
      <c r="N3311" s="71">
        <v>3699</v>
      </c>
      <c r="O3311" s="66" t="s">
        <v>27</v>
      </c>
      <c r="P3311" s="82" t="s">
        <v>12348</v>
      </c>
      <c r="Q3311" s="84" t="s">
        <v>1963</v>
      </c>
      <c r="R3311" s="84" t="s">
        <v>9605</v>
      </c>
      <c r="S3311" s="84">
        <v>2.4E-2</v>
      </c>
      <c r="T3311" s="82" t="s">
        <v>12349</v>
      </c>
      <c r="U3311" s="84" t="s">
        <v>2255</v>
      </c>
      <c r="V3311" s="54"/>
    </row>
    <row r="3312" spans="1:22" s="11" customFormat="1" ht="45" customHeight="1" x14ac:dyDescent="0.2">
      <c r="A3312" s="66" t="s">
        <v>1963</v>
      </c>
      <c r="B3312" s="66" t="s">
        <v>1155</v>
      </c>
      <c r="C3312" s="66" t="s">
        <v>9605</v>
      </c>
      <c r="D3312" s="66">
        <v>6975213682777</v>
      </c>
      <c r="E3312" s="68" t="s">
        <v>12350</v>
      </c>
      <c r="F3312" s="66" t="s">
        <v>12351</v>
      </c>
      <c r="G3312" s="71">
        <v>2213</v>
      </c>
      <c r="H3312" s="73"/>
      <c r="I3312" s="75">
        <v>0.2</v>
      </c>
      <c r="J3312" s="77"/>
      <c r="K3312" s="66"/>
      <c r="L3312" s="66"/>
      <c r="M3312" s="79" t="str">
        <f>HYPERLINK("http://www.pristavka.com/catalog/Genshin Impact/GEN162/")</f>
        <v>http://www.pristavka.com/catalog/Genshin Impact/GEN162/</v>
      </c>
      <c r="N3312" s="71">
        <v>3699</v>
      </c>
      <c r="O3312" s="66" t="s">
        <v>27</v>
      </c>
      <c r="P3312" s="82" t="s">
        <v>12352</v>
      </c>
      <c r="Q3312" s="84" t="s">
        <v>1963</v>
      </c>
      <c r="R3312" s="84" t="s">
        <v>9605</v>
      </c>
      <c r="S3312" s="84">
        <v>2.4E-2</v>
      </c>
      <c r="T3312" s="82" t="s">
        <v>12353</v>
      </c>
      <c r="U3312" s="84" t="s">
        <v>2255</v>
      </c>
      <c r="V3312" s="54"/>
    </row>
    <row r="3313" spans="1:22" s="11" customFormat="1" ht="45" customHeight="1" x14ac:dyDescent="0.2">
      <c r="A3313" s="66" t="s">
        <v>1963</v>
      </c>
      <c r="B3313" s="66" t="s">
        <v>1155</v>
      </c>
      <c r="C3313" s="66" t="s">
        <v>9605</v>
      </c>
      <c r="D3313" s="66">
        <v>6975213682791</v>
      </c>
      <c r="E3313" s="68" t="s">
        <v>12354</v>
      </c>
      <c r="F3313" s="66" t="s">
        <v>12355</v>
      </c>
      <c r="G3313" s="71">
        <v>2213</v>
      </c>
      <c r="H3313" s="73"/>
      <c r="I3313" s="75">
        <v>0.2</v>
      </c>
      <c r="J3313" s="77"/>
      <c r="K3313" s="66"/>
      <c r="L3313" s="66"/>
      <c r="M3313" s="79" t="str">
        <f>HYPERLINK("http://www.pristavka.com/catalog/Genshin Impact/GEN8/")</f>
        <v>http://www.pristavka.com/catalog/Genshin Impact/GEN8/</v>
      </c>
      <c r="N3313" s="71">
        <v>3699</v>
      </c>
      <c r="O3313" s="66" t="s">
        <v>27</v>
      </c>
      <c r="P3313" s="82" t="s">
        <v>12356</v>
      </c>
      <c r="Q3313" s="84" t="s">
        <v>1963</v>
      </c>
      <c r="R3313" s="84" t="s">
        <v>9605</v>
      </c>
      <c r="S3313" s="84">
        <v>2.3E-2</v>
      </c>
      <c r="T3313" s="82" t="s">
        <v>12357</v>
      </c>
      <c r="U3313" s="84" t="s">
        <v>2255</v>
      </c>
      <c r="V3313" s="54"/>
    </row>
    <row r="3314" spans="1:22" s="11" customFormat="1" ht="45" customHeight="1" x14ac:dyDescent="0.2">
      <c r="A3314" s="66" t="s">
        <v>1963</v>
      </c>
      <c r="B3314" s="66" t="s">
        <v>1155</v>
      </c>
      <c r="C3314" s="66" t="s">
        <v>9605</v>
      </c>
      <c r="D3314" s="66">
        <v>6974696614343</v>
      </c>
      <c r="E3314" s="68" t="s">
        <v>12358</v>
      </c>
      <c r="F3314" s="66" t="s">
        <v>12359</v>
      </c>
      <c r="G3314" s="71">
        <v>2213</v>
      </c>
      <c r="H3314" s="73"/>
      <c r="I3314" s="75">
        <v>0.2</v>
      </c>
      <c r="J3314" s="77"/>
      <c r="K3314" s="66"/>
      <c r="L3314" s="66"/>
      <c r="M3314" s="79" t="str">
        <f>HYPERLINK("http://www.pristavka.com/catalog/Genshin Impact/GEN161/")</f>
        <v>http://www.pristavka.com/catalog/Genshin Impact/GEN161/</v>
      </c>
      <c r="N3314" s="71">
        <v>3699</v>
      </c>
      <c r="O3314" s="66" t="s">
        <v>27</v>
      </c>
      <c r="P3314" s="82" t="s">
        <v>12360</v>
      </c>
      <c r="Q3314" s="84" t="s">
        <v>1963</v>
      </c>
      <c r="R3314" s="84" t="s">
        <v>9605</v>
      </c>
      <c r="S3314" s="84">
        <v>2.3E-2</v>
      </c>
      <c r="T3314" s="82" t="s">
        <v>12353</v>
      </c>
      <c r="U3314" s="84" t="s">
        <v>2255</v>
      </c>
      <c r="V3314" s="54"/>
    </row>
    <row r="3315" spans="1:22" s="11" customFormat="1" ht="45" customHeight="1" x14ac:dyDescent="0.2">
      <c r="A3315" s="66" t="s">
        <v>1963</v>
      </c>
      <c r="B3315" s="66" t="s">
        <v>1155</v>
      </c>
      <c r="C3315" s="66" t="s">
        <v>9605</v>
      </c>
      <c r="D3315" s="66">
        <v>6974696614312</v>
      </c>
      <c r="E3315" s="68" t="s">
        <v>12361</v>
      </c>
      <c r="F3315" s="66" t="s">
        <v>12362</v>
      </c>
      <c r="G3315" s="71">
        <v>2213</v>
      </c>
      <c r="H3315" s="73"/>
      <c r="I3315" s="75">
        <v>0.2</v>
      </c>
      <c r="J3315" s="77"/>
      <c r="K3315" s="66"/>
      <c r="L3315" s="66"/>
      <c r="M3315" s="79" t="str">
        <f>HYPERLINK("http://www.pristavka.com/catalog/Genshin Impact/GEN158/")</f>
        <v>http://www.pristavka.com/catalog/Genshin Impact/GEN158/</v>
      </c>
      <c r="N3315" s="71">
        <v>3699</v>
      </c>
      <c r="O3315" s="66" t="s">
        <v>27</v>
      </c>
      <c r="P3315" s="82" t="s">
        <v>12363</v>
      </c>
      <c r="Q3315" s="84" t="s">
        <v>1963</v>
      </c>
      <c r="R3315" s="84" t="s">
        <v>9605</v>
      </c>
      <c r="S3315" s="84">
        <v>2.4E-2</v>
      </c>
      <c r="T3315" s="82" t="s">
        <v>10695</v>
      </c>
      <c r="U3315" s="84" t="s">
        <v>2255</v>
      </c>
      <c r="V3315" s="54"/>
    </row>
    <row r="3316" spans="1:22" s="11" customFormat="1" ht="45" customHeight="1" x14ac:dyDescent="0.2">
      <c r="A3316" s="66" t="s">
        <v>1963</v>
      </c>
      <c r="B3316" s="66" t="s">
        <v>1155</v>
      </c>
      <c r="C3316" s="66" t="s">
        <v>9605</v>
      </c>
      <c r="D3316" s="66">
        <v>6975213682784</v>
      </c>
      <c r="E3316" s="68" t="s">
        <v>12364</v>
      </c>
      <c r="F3316" s="66" t="s">
        <v>12365</v>
      </c>
      <c r="G3316" s="71">
        <v>2213</v>
      </c>
      <c r="H3316" s="73"/>
      <c r="I3316" s="75">
        <v>0.2</v>
      </c>
      <c r="J3316" s="77"/>
      <c r="K3316" s="66"/>
      <c r="L3316" s="66"/>
      <c r="M3316" s="79" t="str">
        <f>HYPERLINK("http://www.pristavka.com/catalog/Genshin Impact/GEN163/")</f>
        <v>http://www.pristavka.com/catalog/Genshin Impact/GEN163/</v>
      </c>
      <c r="N3316" s="71">
        <v>3699</v>
      </c>
      <c r="O3316" s="66" t="s">
        <v>27</v>
      </c>
      <c r="P3316" s="82" t="s">
        <v>12366</v>
      </c>
      <c r="Q3316" s="84" t="s">
        <v>1963</v>
      </c>
      <c r="R3316" s="84" t="s">
        <v>9605</v>
      </c>
      <c r="S3316" s="84">
        <v>2.3E-2</v>
      </c>
      <c r="T3316" s="82" t="s">
        <v>10695</v>
      </c>
      <c r="U3316" s="84" t="s">
        <v>2255</v>
      </c>
      <c r="V3316" s="54"/>
    </row>
    <row r="3317" spans="1:22" s="11" customFormat="1" ht="45" customHeight="1" x14ac:dyDescent="0.2">
      <c r="A3317" s="66" t="s">
        <v>1963</v>
      </c>
      <c r="B3317" s="66" t="s">
        <v>1155</v>
      </c>
      <c r="C3317" s="66" t="s">
        <v>9605</v>
      </c>
      <c r="D3317" s="66">
        <v>6974696614305</v>
      </c>
      <c r="E3317" s="68" t="s">
        <v>12367</v>
      </c>
      <c r="F3317" s="66" t="s">
        <v>12368</v>
      </c>
      <c r="G3317" s="71">
        <v>2213</v>
      </c>
      <c r="H3317" s="73"/>
      <c r="I3317" s="75">
        <v>0.2</v>
      </c>
      <c r="J3317" s="77"/>
      <c r="K3317" s="66"/>
      <c r="L3317" s="66"/>
      <c r="M3317" s="79" t="str">
        <f>HYPERLINK("http://www.pristavka.com/catalog/Genshin Impact/GEN157/")</f>
        <v>http://www.pristavka.com/catalog/Genshin Impact/GEN157/</v>
      </c>
      <c r="N3317" s="71">
        <v>3699</v>
      </c>
      <c r="O3317" s="66" t="s">
        <v>27</v>
      </c>
      <c r="P3317" s="82" t="s">
        <v>12369</v>
      </c>
      <c r="Q3317" s="84" t="s">
        <v>1963</v>
      </c>
      <c r="R3317" s="84" t="s">
        <v>9605</v>
      </c>
      <c r="S3317" s="84">
        <v>2.3E-2</v>
      </c>
      <c r="T3317" s="82" t="s">
        <v>10695</v>
      </c>
      <c r="U3317" s="84" t="s">
        <v>2255</v>
      </c>
      <c r="V3317" s="54"/>
    </row>
    <row r="3318" spans="1:22" s="11" customFormat="1" ht="45" customHeight="1" x14ac:dyDescent="0.2">
      <c r="A3318" s="66" t="s">
        <v>1963</v>
      </c>
      <c r="B3318" s="66" t="s">
        <v>1155</v>
      </c>
      <c r="C3318" s="66" t="s">
        <v>9605</v>
      </c>
      <c r="D3318" s="66">
        <v>6975213682814</v>
      </c>
      <c r="E3318" s="68" t="s">
        <v>12370</v>
      </c>
      <c r="F3318" s="66" t="s">
        <v>12371</v>
      </c>
      <c r="G3318" s="71">
        <v>2213</v>
      </c>
      <c r="H3318" s="73"/>
      <c r="I3318" s="75">
        <v>0.2</v>
      </c>
      <c r="J3318" s="77"/>
      <c r="K3318" s="66"/>
      <c r="L3318" s="66"/>
      <c r="M3318" s="79" t="str">
        <f>HYPERLINK("http://www.pristavka.com/catalog/Genshin Impact/GEN164/")</f>
        <v>http://www.pristavka.com/catalog/Genshin Impact/GEN164/</v>
      </c>
      <c r="N3318" s="71">
        <v>3699</v>
      </c>
      <c r="O3318" s="66" t="s">
        <v>27</v>
      </c>
      <c r="P3318" s="82" t="s">
        <v>12372</v>
      </c>
      <c r="Q3318" s="84" t="s">
        <v>1963</v>
      </c>
      <c r="R3318" s="84" t="s">
        <v>9605</v>
      </c>
      <c r="S3318" s="84">
        <v>2.4E-2</v>
      </c>
      <c r="T3318" s="82" t="s">
        <v>10661</v>
      </c>
      <c r="U3318" s="84" t="s">
        <v>2255</v>
      </c>
      <c r="V3318" s="54"/>
    </row>
    <row r="3319" spans="1:22" s="11" customFormat="1" ht="45" customHeight="1" x14ac:dyDescent="0.2">
      <c r="A3319" s="66" t="s">
        <v>1963</v>
      </c>
      <c r="B3319" s="66" t="s">
        <v>1155</v>
      </c>
      <c r="C3319" s="66" t="s">
        <v>9605</v>
      </c>
      <c r="D3319" s="66">
        <v>6974696614329</v>
      </c>
      <c r="E3319" s="68" t="s">
        <v>12373</v>
      </c>
      <c r="F3319" s="66" t="s">
        <v>12374</v>
      </c>
      <c r="G3319" s="71">
        <v>2213</v>
      </c>
      <c r="H3319" s="73"/>
      <c r="I3319" s="75">
        <v>0.2</v>
      </c>
      <c r="J3319" s="77"/>
      <c r="K3319" s="66"/>
      <c r="L3319" s="66"/>
      <c r="M3319" s="79" t="str">
        <f>HYPERLINK("http://www.pristavka.com/catalog/Genshin Impact/GEN159/")</f>
        <v>http://www.pristavka.com/catalog/Genshin Impact/GEN159/</v>
      </c>
      <c r="N3319" s="71">
        <v>3699</v>
      </c>
      <c r="O3319" s="66" t="s">
        <v>27</v>
      </c>
      <c r="P3319" s="82" t="s">
        <v>12375</v>
      </c>
      <c r="Q3319" s="84" t="s">
        <v>1963</v>
      </c>
      <c r="R3319" s="84" t="s">
        <v>9605</v>
      </c>
      <c r="S3319" s="84">
        <v>2.3E-2</v>
      </c>
      <c r="T3319" s="82" t="s">
        <v>10695</v>
      </c>
      <c r="U3319" s="84" t="s">
        <v>2255</v>
      </c>
      <c r="V3319" s="54"/>
    </row>
    <row r="3320" spans="1:22" s="11" customFormat="1" ht="45" customHeight="1" x14ac:dyDescent="0.2">
      <c r="A3320" s="66" t="s">
        <v>1963</v>
      </c>
      <c r="B3320" s="66" t="s">
        <v>1155</v>
      </c>
      <c r="C3320" s="66" t="s">
        <v>9605</v>
      </c>
      <c r="D3320" s="66">
        <v>6976525001720</v>
      </c>
      <c r="E3320" s="68" t="s">
        <v>12376</v>
      </c>
      <c r="F3320" s="66" t="s">
        <v>12377</v>
      </c>
      <c r="G3320" s="71">
        <v>25957</v>
      </c>
      <c r="H3320" s="73"/>
      <c r="I3320" s="75">
        <v>0.2</v>
      </c>
      <c r="J3320" s="77"/>
      <c r="K3320" s="66"/>
      <c r="L3320" s="66"/>
      <c r="M3320" s="79" t="str">
        <f>HYPERLINK("http://www.pristavka.com/catalog/Genshin Impact/GEN1265/")</f>
        <v>http://www.pristavka.com/catalog/Genshin Impact/GEN1265/</v>
      </c>
      <c r="N3320" s="71">
        <v>43299</v>
      </c>
      <c r="O3320" s="66" t="s">
        <v>27</v>
      </c>
      <c r="P3320" s="82" t="s">
        <v>12378</v>
      </c>
      <c r="Q3320" s="84" t="s">
        <v>1963</v>
      </c>
      <c r="R3320" s="84" t="s">
        <v>9605</v>
      </c>
      <c r="S3320" s="84">
        <v>0.72099999999999997</v>
      </c>
      <c r="T3320" s="82" t="s">
        <v>12379</v>
      </c>
      <c r="U3320" s="84"/>
      <c r="V3320" s="54"/>
    </row>
    <row r="3321" spans="1:22" s="11" customFormat="1" ht="45" customHeight="1" x14ac:dyDescent="0.2">
      <c r="A3321" s="66" t="s">
        <v>1963</v>
      </c>
      <c r="B3321" s="66" t="s">
        <v>1155</v>
      </c>
      <c r="C3321" s="66" t="s">
        <v>9605</v>
      </c>
      <c r="D3321" s="66">
        <v>6974696615623</v>
      </c>
      <c r="E3321" s="68" t="s">
        <v>12380</v>
      </c>
      <c r="F3321" s="66" t="s">
        <v>12381</v>
      </c>
      <c r="G3321" s="71">
        <v>5039</v>
      </c>
      <c r="H3321" s="73"/>
      <c r="I3321" s="75">
        <v>0.2</v>
      </c>
      <c r="J3321" s="77"/>
      <c r="K3321" s="66"/>
      <c r="L3321" s="66"/>
      <c r="M3321" s="79" t="str">
        <f>HYPERLINK("http://www.pristavka.com/catalog/Genshin Impact/GEN424/")</f>
        <v>http://www.pristavka.com/catalog/Genshin Impact/GEN424/</v>
      </c>
      <c r="N3321" s="71">
        <v>8399</v>
      </c>
      <c r="O3321" s="66" t="s">
        <v>27</v>
      </c>
      <c r="P3321" s="82" t="s">
        <v>12382</v>
      </c>
      <c r="Q3321" s="84" t="s">
        <v>1963</v>
      </c>
      <c r="R3321" s="84" t="s">
        <v>9605</v>
      </c>
      <c r="S3321" s="84">
        <v>0.107</v>
      </c>
      <c r="T3321" s="82" t="s">
        <v>9609</v>
      </c>
      <c r="U3321" s="84" t="s">
        <v>2255</v>
      </c>
      <c r="V3321" s="54"/>
    </row>
    <row r="3322" spans="1:22" s="11" customFormat="1" ht="45" customHeight="1" x14ac:dyDescent="0.2">
      <c r="A3322" s="66" t="s">
        <v>1963</v>
      </c>
      <c r="B3322" s="66" t="s">
        <v>1155</v>
      </c>
      <c r="C3322" s="66" t="s">
        <v>9605</v>
      </c>
      <c r="D3322" s="66">
        <v>6974696617504</v>
      </c>
      <c r="E3322" s="68" t="s">
        <v>12383</v>
      </c>
      <c r="F3322" s="66" t="s">
        <v>12384</v>
      </c>
      <c r="G3322" s="71">
        <v>5039</v>
      </c>
      <c r="H3322" s="73"/>
      <c r="I3322" s="75">
        <v>0.2</v>
      </c>
      <c r="J3322" s="77"/>
      <c r="K3322" s="66"/>
      <c r="L3322" s="66"/>
      <c r="M3322" s="79" t="str">
        <f>HYPERLINK("http://www.pristavka.com/catalog/Genshin Impact/GEN426/")</f>
        <v>http://www.pristavka.com/catalog/Genshin Impact/GEN426/</v>
      </c>
      <c r="N3322" s="71">
        <v>8399</v>
      </c>
      <c r="O3322" s="66" t="s">
        <v>28</v>
      </c>
      <c r="P3322" s="82" t="s">
        <v>12385</v>
      </c>
      <c r="Q3322" s="84" t="s">
        <v>1963</v>
      </c>
      <c r="R3322" s="84" t="s">
        <v>9605</v>
      </c>
      <c r="S3322" s="84">
        <v>0.11700000000000001</v>
      </c>
      <c r="T3322" s="82" t="s">
        <v>9609</v>
      </c>
      <c r="U3322" s="84" t="s">
        <v>2255</v>
      </c>
      <c r="V3322" s="54"/>
    </row>
    <row r="3323" spans="1:22" s="11" customFormat="1" ht="45" customHeight="1" x14ac:dyDescent="0.2">
      <c r="A3323" s="66" t="s">
        <v>1963</v>
      </c>
      <c r="B3323" s="66" t="s">
        <v>1155</v>
      </c>
      <c r="C3323" s="66" t="s">
        <v>9605</v>
      </c>
      <c r="D3323" s="66">
        <v>6974096531707</v>
      </c>
      <c r="E3323" s="68" t="s">
        <v>12386</v>
      </c>
      <c r="F3323" s="66" t="s">
        <v>12387</v>
      </c>
      <c r="G3323" s="71">
        <v>4405</v>
      </c>
      <c r="H3323" s="73"/>
      <c r="I3323" s="75">
        <v>0.2</v>
      </c>
      <c r="J3323" s="77"/>
      <c r="K3323" s="66"/>
      <c r="L3323" s="66"/>
      <c r="M3323" s="79" t="str">
        <f>HYPERLINK("http://www.pristavka.com/catalog/Genshin Impact/GEN780/")</f>
        <v>http://www.pristavka.com/catalog/Genshin Impact/GEN780/</v>
      </c>
      <c r="N3323" s="71">
        <v>7399</v>
      </c>
      <c r="O3323" s="66" t="s">
        <v>27</v>
      </c>
      <c r="P3323" s="82" t="s">
        <v>12388</v>
      </c>
      <c r="Q3323" s="84" t="s">
        <v>1963</v>
      </c>
      <c r="R3323" s="84" t="s">
        <v>9605</v>
      </c>
      <c r="S3323" s="84">
        <v>0.106</v>
      </c>
      <c r="T3323" s="82" t="s">
        <v>12389</v>
      </c>
      <c r="U3323" s="84"/>
      <c r="V3323" s="54"/>
    </row>
    <row r="3324" spans="1:22" s="11" customFormat="1" ht="45" customHeight="1" x14ac:dyDescent="0.2">
      <c r="A3324" s="66" t="s">
        <v>1963</v>
      </c>
      <c r="B3324" s="66" t="s">
        <v>1155</v>
      </c>
      <c r="C3324" s="66" t="s">
        <v>9605</v>
      </c>
      <c r="D3324" s="66">
        <v>6942421108986</v>
      </c>
      <c r="E3324" s="68" t="s">
        <v>12390</v>
      </c>
      <c r="F3324" s="66" t="s">
        <v>12391</v>
      </c>
      <c r="G3324" s="71">
        <v>6307</v>
      </c>
      <c r="H3324" s="73"/>
      <c r="I3324" s="75">
        <v>0.2</v>
      </c>
      <c r="J3324" s="77"/>
      <c r="K3324" s="66"/>
      <c r="L3324" s="66"/>
      <c r="M3324" s="79" t="str">
        <f>HYPERLINK("http://www.pristavka.com/catalog/Genshin Impact/GEN1187/")</f>
        <v>http://www.pristavka.com/catalog/Genshin Impact/GEN1187/</v>
      </c>
      <c r="N3324" s="71">
        <v>10599</v>
      </c>
      <c r="O3324" s="66" t="s">
        <v>27</v>
      </c>
      <c r="P3324" s="82" t="s">
        <v>12392</v>
      </c>
      <c r="Q3324" s="84" t="s">
        <v>1963</v>
      </c>
      <c r="R3324" s="84" t="s">
        <v>9605</v>
      </c>
      <c r="S3324" s="84">
        <v>0.21099999999999999</v>
      </c>
      <c r="T3324" s="82" t="s">
        <v>12393</v>
      </c>
      <c r="U3324" s="84"/>
      <c r="V3324" s="54"/>
    </row>
    <row r="3325" spans="1:22" s="11" customFormat="1" ht="45" customHeight="1" x14ac:dyDescent="0.2">
      <c r="A3325" s="66" t="s">
        <v>1963</v>
      </c>
      <c r="B3325" s="66" t="s">
        <v>1155</v>
      </c>
      <c r="C3325" s="66" t="s">
        <v>9605</v>
      </c>
      <c r="D3325" s="66">
        <v>6942421108931</v>
      </c>
      <c r="E3325" s="68" t="s">
        <v>12394</v>
      </c>
      <c r="F3325" s="66" t="s">
        <v>12395</v>
      </c>
      <c r="G3325" s="71">
        <v>6307</v>
      </c>
      <c r="H3325" s="73"/>
      <c r="I3325" s="75">
        <v>0.2</v>
      </c>
      <c r="J3325" s="77"/>
      <c r="K3325" s="66"/>
      <c r="L3325" s="66"/>
      <c r="M3325" s="79" t="str">
        <f>HYPERLINK("http://www.pristavka.com/catalog/Genshin Impact/GEN1186/")</f>
        <v>http://www.pristavka.com/catalog/Genshin Impact/GEN1186/</v>
      </c>
      <c r="N3325" s="71">
        <v>10599</v>
      </c>
      <c r="O3325" s="66" t="s">
        <v>27</v>
      </c>
      <c r="P3325" s="82" t="s">
        <v>12396</v>
      </c>
      <c r="Q3325" s="84" t="s">
        <v>1963</v>
      </c>
      <c r="R3325" s="84" t="s">
        <v>9605</v>
      </c>
      <c r="S3325" s="84">
        <v>0.19600000000000001</v>
      </c>
      <c r="T3325" s="82" t="s">
        <v>12397</v>
      </c>
      <c r="U3325" s="84"/>
      <c r="V3325" s="54"/>
    </row>
    <row r="3326" spans="1:22" s="11" customFormat="1" ht="45" customHeight="1" x14ac:dyDescent="0.2">
      <c r="A3326" s="66" t="s">
        <v>1963</v>
      </c>
      <c r="B3326" s="66" t="s">
        <v>1155</v>
      </c>
      <c r="C3326" s="66" t="s">
        <v>9605</v>
      </c>
      <c r="D3326" s="66">
        <v>6942421109150</v>
      </c>
      <c r="E3326" s="68" t="s">
        <v>12398</v>
      </c>
      <c r="F3326" s="66" t="s">
        <v>12399</v>
      </c>
      <c r="G3326" s="71">
        <v>6307</v>
      </c>
      <c r="H3326" s="73"/>
      <c r="I3326" s="75">
        <v>0.2</v>
      </c>
      <c r="J3326" s="77"/>
      <c r="K3326" s="66"/>
      <c r="L3326" s="66"/>
      <c r="M3326" s="79" t="str">
        <f>HYPERLINK("http://www.pristavka.com/catalog/Genshin Impact/GEN1189/")</f>
        <v>http://www.pristavka.com/catalog/Genshin Impact/GEN1189/</v>
      </c>
      <c r="N3326" s="71">
        <v>10599</v>
      </c>
      <c r="O3326" s="66" t="s">
        <v>27</v>
      </c>
      <c r="P3326" s="82" t="s">
        <v>12400</v>
      </c>
      <c r="Q3326" s="84" t="s">
        <v>1963</v>
      </c>
      <c r="R3326" s="84" t="s">
        <v>9605</v>
      </c>
      <c r="S3326" s="84">
        <v>0.2</v>
      </c>
      <c r="T3326" s="82" t="s">
        <v>12397</v>
      </c>
      <c r="U3326" s="84"/>
      <c r="V3326" s="54"/>
    </row>
    <row r="3327" spans="1:22" s="11" customFormat="1" ht="45" customHeight="1" x14ac:dyDescent="0.2">
      <c r="A3327" s="66" t="s">
        <v>1963</v>
      </c>
      <c r="B3327" s="66" t="s">
        <v>1155</v>
      </c>
      <c r="C3327" s="66" t="s">
        <v>9605</v>
      </c>
      <c r="D3327" s="66">
        <v>6942421108993</v>
      </c>
      <c r="E3327" s="68" t="s">
        <v>12401</v>
      </c>
      <c r="F3327" s="66" t="s">
        <v>12402</v>
      </c>
      <c r="G3327" s="71">
        <v>6307</v>
      </c>
      <c r="H3327" s="73"/>
      <c r="I3327" s="75">
        <v>0.2</v>
      </c>
      <c r="J3327" s="77"/>
      <c r="K3327" s="66"/>
      <c r="L3327" s="66"/>
      <c r="M3327" s="79" t="str">
        <f>HYPERLINK("http://www.pristavka.com/catalog/Genshin Impact/GEN1188/")</f>
        <v>http://www.pristavka.com/catalog/Genshin Impact/GEN1188/</v>
      </c>
      <c r="N3327" s="71">
        <v>10599</v>
      </c>
      <c r="O3327" s="66" t="s">
        <v>27</v>
      </c>
      <c r="P3327" s="82" t="s">
        <v>12403</v>
      </c>
      <c r="Q3327" s="84" t="s">
        <v>1963</v>
      </c>
      <c r="R3327" s="84" t="s">
        <v>9605</v>
      </c>
      <c r="S3327" s="84">
        <v>0.21099999999999999</v>
      </c>
      <c r="T3327" s="82" t="s">
        <v>12404</v>
      </c>
      <c r="U3327" s="84"/>
      <c r="V3327" s="54"/>
    </row>
    <row r="3328" spans="1:22" s="11" customFormat="1" ht="45" customHeight="1" x14ac:dyDescent="0.2">
      <c r="A3328" s="66" t="s">
        <v>1963</v>
      </c>
      <c r="B3328" s="66" t="s">
        <v>1155</v>
      </c>
      <c r="C3328" s="66" t="s">
        <v>9605</v>
      </c>
      <c r="D3328" s="66">
        <v>6942421109181</v>
      </c>
      <c r="E3328" s="68" t="s">
        <v>12405</v>
      </c>
      <c r="F3328" s="66" t="s">
        <v>12406</v>
      </c>
      <c r="G3328" s="71">
        <v>6307</v>
      </c>
      <c r="H3328" s="73"/>
      <c r="I3328" s="75">
        <v>0.2</v>
      </c>
      <c r="J3328" s="77"/>
      <c r="K3328" s="66"/>
      <c r="L3328" s="66"/>
      <c r="M3328" s="79" t="str">
        <f>HYPERLINK("http://www.pristavka.com/catalog/Genshin Impact/GEN1190/")</f>
        <v>http://www.pristavka.com/catalog/Genshin Impact/GEN1190/</v>
      </c>
      <c r="N3328" s="71">
        <v>10599</v>
      </c>
      <c r="O3328" s="66" t="s">
        <v>27</v>
      </c>
      <c r="P3328" s="82" t="s">
        <v>12407</v>
      </c>
      <c r="Q3328" s="84" t="s">
        <v>1963</v>
      </c>
      <c r="R3328" s="84" t="s">
        <v>9605</v>
      </c>
      <c r="S3328" s="84">
        <v>0.19500000000000001</v>
      </c>
      <c r="T3328" s="82" t="s">
        <v>12408</v>
      </c>
      <c r="U3328" s="84"/>
      <c r="V3328" s="54"/>
    </row>
    <row r="3329" spans="1:22" s="11" customFormat="1" ht="45" customHeight="1" x14ac:dyDescent="0.2">
      <c r="A3329" s="66" t="s">
        <v>1963</v>
      </c>
      <c r="B3329" s="66" t="s">
        <v>1155</v>
      </c>
      <c r="C3329" s="66" t="s">
        <v>9605</v>
      </c>
      <c r="D3329" s="66">
        <v>6976068144755</v>
      </c>
      <c r="E3329" s="68" t="s">
        <v>12409</v>
      </c>
      <c r="F3329" s="66" t="s">
        <v>12410</v>
      </c>
      <c r="G3329" s="71">
        <v>8209</v>
      </c>
      <c r="H3329" s="73"/>
      <c r="I3329" s="75">
        <v>0.2</v>
      </c>
      <c r="J3329" s="77"/>
      <c r="K3329" s="66"/>
      <c r="L3329" s="66"/>
      <c r="M3329" s="79" t="str">
        <f>HYPERLINK("http://www.pristavka.com/catalog/Genshin Impact/GEN1167/")</f>
        <v>http://www.pristavka.com/catalog/Genshin Impact/GEN1167/</v>
      </c>
      <c r="N3329" s="71">
        <v>13699</v>
      </c>
      <c r="O3329" s="66" t="s">
        <v>27</v>
      </c>
      <c r="P3329" s="82" t="s">
        <v>12411</v>
      </c>
      <c r="Q3329" s="84" t="s">
        <v>1963</v>
      </c>
      <c r="R3329" s="84" t="s">
        <v>9605</v>
      </c>
      <c r="S3329" s="84">
        <v>9.5000000000000001E-2</v>
      </c>
      <c r="T3329" s="82" t="s">
        <v>12412</v>
      </c>
      <c r="U3329" s="84"/>
      <c r="V3329" s="54"/>
    </row>
    <row r="3330" spans="1:22" s="11" customFormat="1" ht="45" customHeight="1" x14ac:dyDescent="0.2">
      <c r="A3330" s="66" t="s">
        <v>1963</v>
      </c>
      <c r="B3330" s="66" t="s">
        <v>1155</v>
      </c>
      <c r="C3330" s="66" t="s">
        <v>9605</v>
      </c>
      <c r="D3330" s="66">
        <v>6942421104650</v>
      </c>
      <c r="E3330" s="68" t="s">
        <v>12413</v>
      </c>
      <c r="F3330" s="66" t="s">
        <v>12414</v>
      </c>
      <c r="G3330" s="71">
        <v>2847</v>
      </c>
      <c r="H3330" s="73"/>
      <c r="I3330" s="75">
        <v>0.2</v>
      </c>
      <c r="J3330" s="77"/>
      <c r="K3330" s="66"/>
      <c r="L3330" s="66"/>
      <c r="M3330" s="79" t="str">
        <f>HYPERLINK("http://www.pristavka.com/catalog/Genshin Impact/GEN1128/")</f>
        <v>http://www.pristavka.com/catalog/Genshin Impact/GEN1128/</v>
      </c>
      <c r="N3330" s="71">
        <v>4799</v>
      </c>
      <c r="O3330" s="66" t="s">
        <v>27</v>
      </c>
      <c r="P3330" s="82" t="s">
        <v>12415</v>
      </c>
      <c r="Q3330" s="84" t="s">
        <v>1963</v>
      </c>
      <c r="R3330" s="84" t="s">
        <v>9605</v>
      </c>
      <c r="S3330" s="84">
        <v>3.5000000000000003E-2</v>
      </c>
      <c r="T3330" s="82" t="s">
        <v>11296</v>
      </c>
      <c r="U3330" s="84"/>
      <c r="V3330" s="54"/>
    </row>
    <row r="3331" spans="1:22" s="11" customFormat="1" ht="45" customHeight="1" x14ac:dyDescent="0.2">
      <c r="A3331" s="66" t="s">
        <v>1963</v>
      </c>
      <c r="B3331" s="66" t="s">
        <v>1155</v>
      </c>
      <c r="C3331" s="66" t="s">
        <v>9605</v>
      </c>
      <c r="D3331" s="66">
        <v>6942421104674</v>
      </c>
      <c r="E3331" s="68" t="s">
        <v>12416</v>
      </c>
      <c r="F3331" s="66" t="s">
        <v>12417</v>
      </c>
      <c r="G3331" s="71">
        <v>2847</v>
      </c>
      <c r="H3331" s="73"/>
      <c r="I3331" s="75">
        <v>0.2</v>
      </c>
      <c r="J3331" s="77"/>
      <c r="K3331" s="66"/>
      <c r="L3331" s="66"/>
      <c r="M3331" s="79" t="str">
        <f>HYPERLINK("http://www.pristavka.com/catalog/Genshin Impact/GEN1130/")</f>
        <v>http://www.pristavka.com/catalog/Genshin Impact/GEN1130/</v>
      </c>
      <c r="N3331" s="71">
        <v>4799</v>
      </c>
      <c r="O3331" s="66" t="s">
        <v>27</v>
      </c>
      <c r="P3331" s="82" t="s">
        <v>12418</v>
      </c>
      <c r="Q3331" s="84" t="s">
        <v>1963</v>
      </c>
      <c r="R3331" s="84" t="s">
        <v>9605</v>
      </c>
      <c r="S3331" s="84">
        <v>3.7999999999999999E-2</v>
      </c>
      <c r="T3331" s="82" t="s">
        <v>12419</v>
      </c>
      <c r="U3331" s="84"/>
      <c r="V3331" s="54"/>
    </row>
    <row r="3332" spans="1:22" s="11" customFormat="1" ht="45" customHeight="1" x14ac:dyDescent="0.2">
      <c r="A3332" s="66" t="s">
        <v>1963</v>
      </c>
      <c r="B3332" s="66" t="s">
        <v>1155</v>
      </c>
      <c r="C3332" s="66" t="s">
        <v>9605</v>
      </c>
      <c r="D3332" s="66">
        <v>6942421150787</v>
      </c>
      <c r="E3332" s="68" t="s">
        <v>12420</v>
      </c>
      <c r="F3332" s="66" t="s">
        <v>12421</v>
      </c>
      <c r="G3332" s="71">
        <v>11061</v>
      </c>
      <c r="H3332" s="73"/>
      <c r="I3332" s="75">
        <v>0.2</v>
      </c>
      <c r="J3332" s="77"/>
      <c r="K3332" s="66"/>
      <c r="L3332" s="66"/>
      <c r="M3332" s="79" t="str">
        <f>HYPERLINK("http://www.pristavka.com/catalog/Genshin Impact/GEN1430/")</f>
        <v>http://www.pristavka.com/catalog/Genshin Impact/GEN1430/</v>
      </c>
      <c r="N3332" s="71">
        <v>18499</v>
      </c>
      <c r="O3332" s="66" t="s">
        <v>28</v>
      </c>
      <c r="P3332" s="82" t="s">
        <v>12422</v>
      </c>
      <c r="Q3332" s="84" t="s">
        <v>1963</v>
      </c>
      <c r="R3332" s="84" t="s">
        <v>9605</v>
      </c>
      <c r="S3332" s="84">
        <v>0.65</v>
      </c>
      <c r="T3332" s="82" t="s">
        <v>12423</v>
      </c>
      <c r="U3332" s="84"/>
      <c r="V3332" s="54"/>
    </row>
    <row r="3333" spans="1:22" s="11" customFormat="1" ht="45" customHeight="1" x14ac:dyDescent="0.2">
      <c r="A3333" s="66" t="s">
        <v>1963</v>
      </c>
      <c r="B3333" s="66" t="s">
        <v>1155</v>
      </c>
      <c r="C3333" s="66" t="s">
        <v>9605</v>
      </c>
      <c r="D3333" s="66">
        <v>6974096535538</v>
      </c>
      <c r="E3333" s="68" t="s">
        <v>12424</v>
      </c>
      <c r="F3333" s="66" t="s">
        <v>12425</v>
      </c>
      <c r="G3333" s="71">
        <v>7892</v>
      </c>
      <c r="H3333" s="73"/>
      <c r="I3333" s="75">
        <v>0.2</v>
      </c>
      <c r="J3333" s="77"/>
      <c r="K3333" s="66"/>
      <c r="L3333" s="66"/>
      <c r="M3333" s="79" t="str">
        <f>HYPERLINK("http://www.pristavka.com/catalog/Genshin Impact/GEN582/")</f>
        <v>http://www.pristavka.com/catalog/Genshin Impact/GEN582/</v>
      </c>
      <c r="N3333" s="71">
        <v>13199</v>
      </c>
      <c r="O3333" s="66" t="s">
        <v>27</v>
      </c>
      <c r="P3333" s="82" t="s">
        <v>12426</v>
      </c>
      <c r="Q3333" s="84" t="s">
        <v>1963</v>
      </c>
      <c r="R3333" s="84" t="s">
        <v>9605</v>
      </c>
      <c r="S3333" s="84">
        <v>0.67200000000000004</v>
      </c>
      <c r="T3333" s="82" t="s">
        <v>12427</v>
      </c>
      <c r="U3333" s="84"/>
      <c r="V3333" s="54"/>
    </row>
    <row r="3334" spans="1:22" s="11" customFormat="1" ht="45" customHeight="1" x14ac:dyDescent="0.2">
      <c r="A3334" s="66" t="s">
        <v>1963</v>
      </c>
      <c r="B3334" s="66" t="s">
        <v>1155</v>
      </c>
      <c r="C3334" s="66" t="s">
        <v>9605</v>
      </c>
      <c r="D3334" s="66">
        <v>6974096535545</v>
      </c>
      <c r="E3334" s="68" t="s">
        <v>12428</v>
      </c>
      <c r="F3334" s="66" t="s">
        <v>12429</v>
      </c>
      <c r="G3334" s="71">
        <v>7892</v>
      </c>
      <c r="H3334" s="73"/>
      <c r="I3334" s="75">
        <v>0.2</v>
      </c>
      <c r="J3334" s="77"/>
      <c r="K3334" s="66"/>
      <c r="L3334" s="66"/>
      <c r="M3334" s="79" t="str">
        <f>HYPERLINK("http://www.pristavka.com/catalog/Genshin Impact/GEN581/")</f>
        <v>http://www.pristavka.com/catalog/Genshin Impact/GEN581/</v>
      </c>
      <c r="N3334" s="71">
        <v>13199</v>
      </c>
      <c r="O3334" s="66" t="s">
        <v>28</v>
      </c>
      <c r="P3334" s="82" t="s">
        <v>12430</v>
      </c>
      <c r="Q3334" s="84" t="s">
        <v>1963</v>
      </c>
      <c r="R3334" s="84" t="s">
        <v>9605</v>
      </c>
      <c r="S3334" s="84">
        <v>0.67200000000000004</v>
      </c>
      <c r="T3334" s="82" t="s">
        <v>12427</v>
      </c>
      <c r="U3334" s="84"/>
      <c r="V3334" s="54"/>
    </row>
    <row r="3335" spans="1:22" s="11" customFormat="1" ht="45" customHeight="1" x14ac:dyDescent="0.2">
      <c r="A3335" s="66" t="s">
        <v>1963</v>
      </c>
      <c r="B3335" s="66" t="s">
        <v>1155</v>
      </c>
      <c r="C3335" s="66" t="s">
        <v>9605</v>
      </c>
      <c r="D3335" s="66">
        <v>6974096536399</v>
      </c>
      <c r="E3335" s="68" t="s">
        <v>12431</v>
      </c>
      <c r="F3335" s="66" t="s">
        <v>12432</v>
      </c>
      <c r="G3335" s="71">
        <v>10744</v>
      </c>
      <c r="H3335" s="73"/>
      <c r="I3335" s="75">
        <v>0.2</v>
      </c>
      <c r="J3335" s="77"/>
      <c r="K3335" s="66"/>
      <c r="L3335" s="66"/>
      <c r="M3335" s="79" t="str">
        <f>HYPERLINK("http://www.pristavka.com/catalog/Genshin Impact/GEN586/")</f>
        <v>http://www.pristavka.com/catalog/Genshin Impact/GEN586/</v>
      </c>
      <c r="N3335" s="71">
        <v>17999</v>
      </c>
      <c r="O3335" s="66" t="s">
        <v>28</v>
      </c>
      <c r="P3335" s="82" t="s">
        <v>12433</v>
      </c>
      <c r="Q3335" s="84" t="s">
        <v>1963</v>
      </c>
      <c r="R3335" s="84" t="s">
        <v>9605</v>
      </c>
      <c r="S3335" s="84">
        <v>0.54100000000000004</v>
      </c>
      <c r="T3335" s="82" t="s">
        <v>12434</v>
      </c>
      <c r="U3335" s="84"/>
      <c r="V3335" s="54"/>
    </row>
    <row r="3336" spans="1:22" s="11" customFormat="1" ht="45" customHeight="1" x14ac:dyDescent="0.2">
      <c r="A3336" s="66" t="s">
        <v>1963</v>
      </c>
      <c r="B3336" s="66" t="s">
        <v>1155</v>
      </c>
      <c r="C3336" s="66" t="s">
        <v>9605</v>
      </c>
      <c r="D3336" s="66">
        <v>6974096534883</v>
      </c>
      <c r="E3336" s="68" t="s">
        <v>12435</v>
      </c>
      <c r="F3336" s="66" t="s">
        <v>12436</v>
      </c>
      <c r="G3336" s="71">
        <v>1896</v>
      </c>
      <c r="H3336" s="73"/>
      <c r="I3336" s="75">
        <v>0.2</v>
      </c>
      <c r="J3336" s="77"/>
      <c r="K3336" s="66"/>
      <c r="L3336" s="66"/>
      <c r="M3336" s="79" t="str">
        <f>HYPERLINK("http://www.pristavka.com/catalog/Genshin Impact/GEN649/")</f>
        <v>http://www.pristavka.com/catalog/Genshin Impact/GEN649/</v>
      </c>
      <c r="N3336" s="71">
        <v>3199</v>
      </c>
      <c r="O3336" s="66" t="s">
        <v>27</v>
      </c>
      <c r="P3336" s="82" t="s">
        <v>12437</v>
      </c>
      <c r="Q3336" s="84" t="s">
        <v>1963</v>
      </c>
      <c r="R3336" s="84" t="s">
        <v>9605</v>
      </c>
      <c r="S3336" s="84">
        <v>0.115</v>
      </c>
      <c r="T3336" s="82" t="s">
        <v>12438</v>
      </c>
      <c r="U3336" s="84"/>
      <c r="V3336" s="54"/>
    </row>
    <row r="3337" spans="1:22" s="11" customFormat="1" ht="45" customHeight="1" x14ac:dyDescent="0.2">
      <c r="A3337" s="66" t="s">
        <v>1963</v>
      </c>
      <c r="B3337" s="66" t="s">
        <v>1155</v>
      </c>
      <c r="C3337" s="66" t="s">
        <v>9605</v>
      </c>
      <c r="D3337" s="66">
        <v>6974696610956</v>
      </c>
      <c r="E3337" s="68" t="s">
        <v>12439</v>
      </c>
      <c r="F3337" s="66" t="s">
        <v>12440</v>
      </c>
      <c r="G3337" s="71">
        <v>24689</v>
      </c>
      <c r="H3337" s="73"/>
      <c r="I3337" s="75">
        <v>0.2</v>
      </c>
      <c r="J3337" s="77"/>
      <c r="K3337" s="66"/>
      <c r="L3337" s="66"/>
      <c r="M3337" s="79" t="str">
        <f>HYPERLINK("http://www.pristavka.com/catalog/Genshin Impact/GEN29/")</f>
        <v>http://www.pristavka.com/catalog/Genshin Impact/GEN29/</v>
      </c>
      <c r="N3337" s="71">
        <v>41199</v>
      </c>
      <c r="O3337" s="66" t="s">
        <v>27</v>
      </c>
      <c r="P3337" s="82" t="s">
        <v>12441</v>
      </c>
      <c r="Q3337" s="84" t="s">
        <v>1963</v>
      </c>
      <c r="R3337" s="84" t="s">
        <v>9605</v>
      </c>
      <c r="S3337" s="84">
        <v>0.51</v>
      </c>
      <c r="T3337" s="82" t="s">
        <v>12442</v>
      </c>
      <c r="U3337" s="84" t="s">
        <v>2255</v>
      </c>
      <c r="V3337" s="54"/>
    </row>
    <row r="3338" spans="1:22" s="11" customFormat="1" ht="45" customHeight="1" x14ac:dyDescent="0.2">
      <c r="A3338" s="66" t="s">
        <v>1963</v>
      </c>
      <c r="B3338" s="66" t="s">
        <v>1155</v>
      </c>
      <c r="C3338" s="66" t="s">
        <v>9605</v>
      </c>
      <c r="D3338" s="66">
        <v>6974696615371</v>
      </c>
      <c r="E3338" s="68" t="s">
        <v>12443</v>
      </c>
      <c r="F3338" s="66" t="s">
        <v>12444</v>
      </c>
      <c r="G3338" s="71">
        <v>7258</v>
      </c>
      <c r="H3338" s="73"/>
      <c r="I3338" s="75">
        <v>0.2</v>
      </c>
      <c r="J3338" s="77"/>
      <c r="K3338" s="66"/>
      <c r="L3338" s="66"/>
      <c r="M3338" s="79" t="str">
        <f>HYPERLINK("http://www.pristavka.com/catalog/Genshin Impact/GEN812/")</f>
        <v>http://www.pristavka.com/catalog/Genshin Impact/GEN812/</v>
      </c>
      <c r="N3338" s="71">
        <v>12099</v>
      </c>
      <c r="O3338" s="66" t="s">
        <v>28</v>
      </c>
      <c r="P3338" s="82" t="s">
        <v>12445</v>
      </c>
      <c r="Q3338" s="84" t="s">
        <v>1963</v>
      </c>
      <c r="R3338" s="84" t="s">
        <v>9605</v>
      </c>
      <c r="S3338" s="84">
        <v>0.60199999999999998</v>
      </c>
      <c r="T3338" s="82" t="s">
        <v>12446</v>
      </c>
      <c r="U3338" s="84"/>
      <c r="V3338" s="54"/>
    </row>
    <row r="3339" spans="1:22" s="11" customFormat="1" ht="45" customHeight="1" x14ac:dyDescent="0.2">
      <c r="A3339" s="66" t="s">
        <v>1963</v>
      </c>
      <c r="B3339" s="66" t="s">
        <v>1155</v>
      </c>
      <c r="C3339" s="66" t="s">
        <v>9605</v>
      </c>
      <c r="D3339" s="66">
        <v>6975628244232</v>
      </c>
      <c r="E3339" s="68" t="s">
        <v>12447</v>
      </c>
      <c r="F3339" s="66" t="s">
        <v>12448</v>
      </c>
      <c r="G3339" s="71">
        <v>30711</v>
      </c>
      <c r="H3339" s="73"/>
      <c r="I3339" s="75">
        <v>0.2</v>
      </c>
      <c r="J3339" s="77" t="s">
        <v>18271</v>
      </c>
      <c r="K3339" s="66"/>
      <c r="L3339" s="66"/>
      <c r="M3339" s="79" t="str">
        <f>HYPERLINK("http://www.pristavka.com/catalog/Genshin Impact/GEN862/")</f>
        <v>http://www.pristavka.com/catalog/Genshin Impact/GEN862/</v>
      </c>
      <c r="N3339" s="71">
        <v>51199</v>
      </c>
      <c r="O3339" s="66" t="s">
        <v>28</v>
      </c>
      <c r="P3339" s="82" t="s">
        <v>12449</v>
      </c>
      <c r="Q3339" s="84" t="s">
        <v>1963</v>
      </c>
      <c r="R3339" s="84" t="s">
        <v>9605</v>
      </c>
      <c r="S3339" s="84">
        <v>0.504</v>
      </c>
      <c r="T3339" s="82" t="s">
        <v>12450</v>
      </c>
      <c r="U3339" s="84"/>
      <c r="V3339" s="54"/>
    </row>
    <row r="3340" spans="1:22" s="11" customFormat="1" ht="45" customHeight="1" x14ac:dyDescent="0.2">
      <c r="A3340" s="66" t="s">
        <v>1963</v>
      </c>
      <c r="B3340" s="66" t="s">
        <v>1155</v>
      </c>
      <c r="C3340" s="66" t="s">
        <v>9605</v>
      </c>
      <c r="D3340" s="66">
        <v>6975213682678</v>
      </c>
      <c r="E3340" s="68" t="s">
        <v>12451</v>
      </c>
      <c r="F3340" s="66" t="s">
        <v>12452</v>
      </c>
      <c r="G3340" s="71">
        <v>1236</v>
      </c>
      <c r="H3340" s="73"/>
      <c r="I3340" s="75">
        <v>0.2</v>
      </c>
      <c r="J3340" s="77"/>
      <c r="K3340" s="66"/>
      <c r="L3340" s="66"/>
      <c r="M3340" s="79" t="str">
        <f>HYPERLINK("http://www.pristavka.com/catalog/Genshin Impact/GEN843/")</f>
        <v>http://www.pristavka.com/catalog/Genshin Impact/GEN843/</v>
      </c>
      <c r="N3340" s="71">
        <v>2099</v>
      </c>
      <c r="O3340" s="66" t="s">
        <v>27</v>
      </c>
      <c r="P3340" s="82" t="s">
        <v>12453</v>
      </c>
      <c r="Q3340" s="84" t="s">
        <v>1963</v>
      </c>
      <c r="R3340" s="84" t="s">
        <v>9605</v>
      </c>
      <c r="S3340" s="84">
        <v>2.3E-2</v>
      </c>
      <c r="T3340" s="82" t="s">
        <v>12454</v>
      </c>
      <c r="U3340" s="84"/>
      <c r="V3340" s="54"/>
    </row>
    <row r="3341" spans="1:22" s="11" customFormat="1" ht="45" customHeight="1" x14ac:dyDescent="0.2">
      <c r="A3341" s="66" t="s">
        <v>1963</v>
      </c>
      <c r="B3341" s="66" t="s">
        <v>1155</v>
      </c>
      <c r="C3341" s="66" t="s">
        <v>9605</v>
      </c>
      <c r="D3341" s="66">
        <v>6975213682692</v>
      </c>
      <c r="E3341" s="68" t="s">
        <v>12455</v>
      </c>
      <c r="F3341" s="66" t="s">
        <v>12456</v>
      </c>
      <c r="G3341" s="71">
        <v>1236</v>
      </c>
      <c r="H3341" s="73"/>
      <c r="I3341" s="75">
        <v>0.2</v>
      </c>
      <c r="J3341" s="77"/>
      <c r="K3341" s="66"/>
      <c r="L3341" s="66"/>
      <c r="M3341" s="79" t="str">
        <f>HYPERLINK("http://www.pristavka.com/catalog/Genshin Impact/GEN845/")</f>
        <v>http://www.pristavka.com/catalog/Genshin Impact/GEN845/</v>
      </c>
      <c r="N3341" s="71">
        <v>2099</v>
      </c>
      <c r="O3341" s="66" t="s">
        <v>27</v>
      </c>
      <c r="P3341" s="82" t="s">
        <v>12457</v>
      </c>
      <c r="Q3341" s="84" t="s">
        <v>1963</v>
      </c>
      <c r="R3341" s="84" t="s">
        <v>9605</v>
      </c>
      <c r="S3341" s="84">
        <v>2.3E-2</v>
      </c>
      <c r="T3341" s="82" t="s">
        <v>12458</v>
      </c>
      <c r="U3341" s="84"/>
      <c r="V3341" s="54"/>
    </row>
    <row r="3342" spans="1:22" s="11" customFormat="1" ht="45" customHeight="1" x14ac:dyDescent="0.2">
      <c r="A3342" s="66" t="s">
        <v>1963</v>
      </c>
      <c r="B3342" s="66" t="s">
        <v>1155</v>
      </c>
      <c r="C3342" s="66" t="s">
        <v>9605</v>
      </c>
      <c r="D3342" s="66">
        <v>6975213682685</v>
      </c>
      <c r="E3342" s="68" t="s">
        <v>12459</v>
      </c>
      <c r="F3342" s="66" t="s">
        <v>12460</v>
      </c>
      <c r="G3342" s="71">
        <v>1236</v>
      </c>
      <c r="H3342" s="73"/>
      <c r="I3342" s="75">
        <v>0.2</v>
      </c>
      <c r="J3342" s="77"/>
      <c r="K3342" s="66"/>
      <c r="L3342" s="66"/>
      <c r="M3342" s="79" t="str">
        <f>HYPERLINK("http://www.pristavka.com/catalog/Genshin Impact/GEN844/")</f>
        <v>http://www.pristavka.com/catalog/Genshin Impact/GEN844/</v>
      </c>
      <c r="N3342" s="71">
        <v>2099</v>
      </c>
      <c r="O3342" s="66" t="s">
        <v>27</v>
      </c>
      <c r="P3342" s="82" t="s">
        <v>12461</v>
      </c>
      <c r="Q3342" s="84" t="s">
        <v>1963</v>
      </c>
      <c r="R3342" s="84" t="s">
        <v>9605</v>
      </c>
      <c r="S3342" s="84">
        <v>2.1999999999999999E-2</v>
      </c>
      <c r="T3342" s="82" t="s">
        <v>12454</v>
      </c>
      <c r="U3342" s="84"/>
      <c r="V3342" s="54"/>
    </row>
    <row r="3343" spans="1:22" s="11" customFormat="1" ht="45" customHeight="1" x14ac:dyDescent="0.2">
      <c r="A3343" s="66" t="s">
        <v>1963</v>
      </c>
      <c r="B3343" s="66" t="s">
        <v>1155</v>
      </c>
      <c r="C3343" s="66" t="s">
        <v>9605</v>
      </c>
      <c r="D3343" s="66">
        <v>6975213682708</v>
      </c>
      <c r="E3343" s="68" t="s">
        <v>12462</v>
      </c>
      <c r="F3343" s="66" t="s">
        <v>12463</v>
      </c>
      <c r="G3343" s="71">
        <v>1236</v>
      </c>
      <c r="H3343" s="73"/>
      <c r="I3343" s="75">
        <v>0.2</v>
      </c>
      <c r="J3343" s="77"/>
      <c r="K3343" s="66"/>
      <c r="L3343" s="66"/>
      <c r="M3343" s="79" t="str">
        <f>HYPERLINK("http://www.pristavka.com/catalog/Genshin Impact/GEN846/")</f>
        <v>http://www.pristavka.com/catalog/Genshin Impact/GEN846/</v>
      </c>
      <c r="N3343" s="71">
        <v>2099</v>
      </c>
      <c r="O3343" s="66" t="s">
        <v>27</v>
      </c>
      <c r="P3343" s="82" t="s">
        <v>12464</v>
      </c>
      <c r="Q3343" s="84" t="s">
        <v>1963</v>
      </c>
      <c r="R3343" s="84" t="s">
        <v>9605</v>
      </c>
      <c r="S3343" s="84">
        <v>2.3E-2</v>
      </c>
      <c r="T3343" s="82" t="s">
        <v>12454</v>
      </c>
      <c r="U3343" s="84"/>
      <c r="V3343" s="54"/>
    </row>
    <row r="3344" spans="1:22" s="11" customFormat="1" ht="45" customHeight="1" x14ac:dyDescent="0.2">
      <c r="A3344" s="66" t="s">
        <v>1963</v>
      </c>
      <c r="B3344" s="66" t="s">
        <v>1155</v>
      </c>
      <c r="C3344" s="66" t="s">
        <v>9605</v>
      </c>
      <c r="D3344" s="66">
        <v>6975213682654</v>
      </c>
      <c r="E3344" s="68" t="s">
        <v>12465</v>
      </c>
      <c r="F3344" s="66" t="s">
        <v>12466</v>
      </c>
      <c r="G3344" s="71">
        <v>1236</v>
      </c>
      <c r="H3344" s="73"/>
      <c r="I3344" s="75">
        <v>0.2</v>
      </c>
      <c r="J3344" s="77"/>
      <c r="K3344" s="66"/>
      <c r="L3344" s="66"/>
      <c r="M3344" s="79" t="str">
        <f>HYPERLINK("http://www.pristavka.com/catalog/Genshin Impact/GEN842/")</f>
        <v>http://www.pristavka.com/catalog/Genshin Impact/GEN842/</v>
      </c>
      <c r="N3344" s="71">
        <v>2099</v>
      </c>
      <c r="O3344" s="66" t="s">
        <v>27</v>
      </c>
      <c r="P3344" s="82" t="s">
        <v>12467</v>
      </c>
      <c r="Q3344" s="84" t="s">
        <v>1963</v>
      </c>
      <c r="R3344" s="84" t="s">
        <v>9605</v>
      </c>
      <c r="S3344" s="84">
        <v>2.1999999999999999E-2</v>
      </c>
      <c r="T3344" s="82" t="s">
        <v>12454</v>
      </c>
      <c r="U3344" s="84"/>
      <c r="V3344" s="54"/>
    </row>
    <row r="3345" spans="1:22" s="11" customFormat="1" ht="45" customHeight="1" x14ac:dyDescent="0.2">
      <c r="A3345" s="66" t="s">
        <v>1963</v>
      </c>
      <c r="B3345" s="66" t="s">
        <v>1155</v>
      </c>
      <c r="C3345" s="66" t="s">
        <v>9605</v>
      </c>
      <c r="D3345" s="66">
        <v>6975213682647</v>
      </c>
      <c r="E3345" s="68" t="s">
        <v>12468</v>
      </c>
      <c r="F3345" s="66" t="s">
        <v>12469</v>
      </c>
      <c r="G3345" s="71">
        <v>1236</v>
      </c>
      <c r="H3345" s="73"/>
      <c r="I3345" s="75">
        <v>0.2</v>
      </c>
      <c r="J3345" s="77"/>
      <c r="K3345" s="66"/>
      <c r="L3345" s="66"/>
      <c r="M3345" s="79" t="str">
        <f>HYPERLINK("http://www.pristavka.com/catalog/Genshin Impact/GEN841/")</f>
        <v>http://www.pristavka.com/catalog/Genshin Impact/GEN841/</v>
      </c>
      <c r="N3345" s="71">
        <v>2099</v>
      </c>
      <c r="O3345" s="66" t="s">
        <v>27</v>
      </c>
      <c r="P3345" s="82" t="s">
        <v>12470</v>
      </c>
      <c r="Q3345" s="84" t="s">
        <v>1963</v>
      </c>
      <c r="R3345" s="84" t="s">
        <v>9605</v>
      </c>
      <c r="S3345" s="84">
        <v>0.02</v>
      </c>
      <c r="T3345" s="82" t="s">
        <v>12454</v>
      </c>
      <c r="U3345" s="84"/>
      <c r="V3345" s="54"/>
    </row>
    <row r="3346" spans="1:22" s="11" customFormat="1" ht="45" customHeight="1" x14ac:dyDescent="0.2">
      <c r="A3346" s="66" t="s">
        <v>1963</v>
      </c>
      <c r="B3346" s="66" t="s">
        <v>1155</v>
      </c>
      <c r="C3346" s="66" t="s">
        <v>9605</v>
      </c>
      <c r="D3346" s="66">
        <v>6942421122999</v>
      </c>
      <c r="E3346" s="68" t="s">
        <v>12471</v>
      </c>
      <c r="F3346" s="66" t="s">
        <v>12472</v>
      </c>
      <c r="G3346" s="71">
        <v>3164</v>
      </c>
      <c r="H3346" s="73"/>
      <c r="I3346" s="75">
        <v>0.2</v>
      </c>
      <c r="J3346" s="77"/>
      <c r="K3346" s="66"/>
      <c r="L3346" s="66"/>
      <c r="M3346" s="79" t="str">
        <f>HYPERLINK("http://www.pristavka.com/catalog/Genshin Impact/GEN1279/")</f>
        <v>http://www.pristavka.com/catalog/Genshin Impact/GEN1279/</v>
      </c>
      <c r="N3346" s="71">
        <v>5299</v>
      </c>
      <c r="O3346" s="66" t="s">
        <v>27</v>
      </c>
      <c r="P3346" s="82" t="s">
        <v>12473</v>
      </c>
      <c r="Q3346" s="84" t="s">
        <v>1963</v>
      </c>
      <c r="R3346" s="84" t="s">
        <v>9605</v>
      </c>
      <c r="S3346" s="84">
        <v>0.04</v>
      </c>
      <c r="T3346" s="82" t="s">
        <v>12474</v>
      </c>
      <c r="U3346" s="84"/>
      <c r="V3346" s="54"/>
    </row>
    <row r="3347" spans="1:22" s="11" customFormat="1" ht="45" customHeight="1" x14ac:dyDescent="0.2">
      <c r="A3347" s="66" t="s">
        <v>1963</v>
      </c>
      <c r="B3347" s="66" t="s">
        <v>1155</v>
      </c>
      <c r="C3347" s="66" t="s">
        <v>9605</v>
      </c>
      <c r="D3347" s="66">
        <v>6942421123064</v>
      </c>
      <c r="E3347" s="68" t="s">
        <v>12475</v>
      </c>
      <c r="F3347" s="66" t="s">
        <v>12476</v>
      </c>
      <c r="G3347" s="71">
        <v>3164</v>
      </c>
      <c r="H3347" s="73"/>
      <c r="I3347" s="75">
        <v>0.2</v>
      </c>
      <c r="J3347" s="77"/>
      <c r="K3347" s="66"/>
      <c r="L3347" s="66"/>
      <c r="M3347" s="79" t="str">
        <f>HYPERLINK("http://www.pristavka.com/catalog/Genshin Impact/GEN1283/")</f>
        <v>http://www.pristavka.com/catalog/Genshin Impact/GEN1283/</v>
      </c>
      <c r="N3347" s="71">
        <v>5299</v>
      </c>
      <c r="O3347" s="66" t="s">
        <v>27</v>
      </c>
      <c r="P3347" s="82" t="s">
        <v>12477</v>
      </c>
      <c r="Q3347" s="84" t="s">
        <v>1963</v>
      </c>
      <c r="R3347" s="84" t="s">
        <v>9605</v>
      </c>
      <c r="S3347" s="84">
        <v>3.7999999999999999E-2</v>
      </c>
      <c r="T3347" s="82" t="s">
        <v>12478</v>
      </c>
      <c r="U3347" s="84"/>
      <c r="V3347" s="54"/>
    </row>
    <row r="3348" spans="1:22" s="11" customFormat="1" ht="45" customHeight="1" x14ac:dyDescent="0.2">
      <c r="A3348" s="66" t="s">
        <v>1963</v>
      </c>
      <c r="B3348" s="66" t="s">
        <v>1155</v>
      </c>
      <c r="C3348" s="66" t="s">
        <v>9605</v>
      </c>
      <c r="D3348" s="66">
        <v>6942421123019</v>
      </c>
      <c r="E3348" s="68" t="s">
        <v>12479</v>
      </c>
      <c r="F3348" s="66" t="s">
        <v>12480</v>
      </c>
      <c r="G3348" s="71">
        <v>3164</v>
      </c>
      <c r="H3348" s="73"/>
      <c r="I3348" s="75">
        <v>0.2</v>
      </c>
      <c r="J3348" s="77"/>
      <c r="K3348" s="66"/>
      <c r="L3348" s="66"/>
      <c r="M3348" s="79" t="str">
        <f>HYPERLINK("http://www.pristavka.com/catalog/Genshin Impact/GEN1280/")</f>
        <v>http://www.pristavka.com/catalog/Genshin Impact/GEN1280/</v>
      </c>
      <c r="N3348" s="71">
        <v>5299</v>
      </c>
      <c r="O3348" s="66" t="s">
        <v>27</v>
      </c>
      <c r="P3348" s="82" t="s">
        <v>12481</v>
      </c>
      <c r="Q3348" s="84" t="s">
        <v>1963</v>
      </c>
      <c r="R3348" s="84" t="s">
        <v>9605</v>
      </c>
      <c r="S3348" s="84">
        <v>0.04</v>
      </c>
      <c r="T3348" s="82" t="s">
        <v>12482</v>
      </c>
      <c r="U3348" s="84"/>
      <c r="V3348" s="54"/>
    </row>
    <row r="3349" spans="1:22" s="11" customFormat="1" ht="45" customHeight="1" x14ac:dyDescent="0.2">
      <c r="A3349" s="66" t="s">
        <v>1963</v>
      </c>
      <c r="B3349" s="66" t="s">
        <v>1155</v>
      </c>
      <c r="C3349" s="66" t="s">
        <v>9605</v>
      </c>
      <c r="D3349" s="66">
        <v>6942421123026</v>
      </c>
      <c r="E3349" s="68" t="s">
        <v>12483</v>
      </c>
      <c r="F3349" s="66" t="s">
        <v>12484</v>
      </c>
      <c r="G3349" s="71">
        <v>3164</v>
      </c>
      <c r="H3349" s="73"/>
      <c r="I3349" s="75">
        <v>0.2</v>
      </c>
      <c r="J3349" s="77"/>
      <c r="K3349" s="66"/>
      <c r="L3349" s="66"/>
      <c r="M3349" s="79" t="str">
        <f>HYPERLINK("http://www.pristavka.com/catalog/Genshin Impact/GEN1281/")</f>
        <v>http://www.pristavka.com/catalog/Genshin Impact/GEN1281/</v>
      </c>
      <c r="N3349" s="71">
        <v>5299</v>
      </c>
      <c r="O3349" s="66" t="s">
        <v>27</v>
      </c>
      <c r="P3349" s="82" t="s">
        <v>12485</v>
      </c>
      <c r="Q3349" s="84" t="s">
        <v>1963</v>
      </c>
      <c r="R3349" s="84" t="s">
        <v>9605</v>
      </c>
      <c r="S3349" s="84">
        <v>0.04</v>
      </c>
      <c r="T3349" s="82" t="s">
        <v>12482</v>
      </c>
      <c r="U3349" s="84"/>
      <c r="V3349" s="54"/>
    </row>
    <row r="3350" spans="1:22" s="11" customFormat="1" ht="45" customHeight="1" x14ac:dyDescent="0.2">
      <c r="A3350" s="66" t="s">
        <v>1963</v>
      </c>
      <c r="B3350" s="66" t="s">
        <v>1155</v>
      </c>
      <c r="C3350" s="66" t="s">
        <v>9605</v>
      </c>
      <c r="D3350" s="66">
        <v>6942421123033</v>
      </c>
      <c r="E3350" s="68" t="s">
        <v>12486</v>
      </c>
      <c r="F3350" s="66" t="s">
        <v>12487</v>
      </c>
      <c r="G3350" s="71">
        <v>3164</v>
      </c>
      <c r="H3350" s="73"/>
      <c r="I3350" s="75">
        <v>0.2</v>
      </c>
      <c r="J3350" s="77"/>
      <c r="K3350" s="66"/>
      <c r="L3350" s="66"/>
      <c r="M3350" s="79" t="str">
        <f>HYPERLINK("http://www.pristavka.com/catalog/Genshin Impact/GEN1282/")</f>
        <v>http://www.pristavka.com/catalog/Genshin Impact/GEN1282/</v>
      </c>
      <c r="N3350" s="71">
        <v>5299</v>
      </c>
      <c r="O3350" s="66" t="s">
        <v>27</v>
      </c>
      <c r="P3350" s="82" t="s">
        <v>12488</v>
      </c>
      <c r="Q3350" s="84" t="s">
        <v>1963</v>
      </c>
      <c r="R3350" s="84" t="s">
        <v>9605</v>
      </c>
      <c r="S3350" s="84">
        <v>0.04</v>
      </c>
      <c r="T3350" s="82" t="s">
        <v>12482</v>
      </c>
      <c r="U3350" s="84"/>
      <c r="V3350" s="54"/>
    </row>
    <row r="3351" spans="1:22" s="11" customFormat="1" ht="45" customHeight="1" x14ac:dyDescent="0.2">
      <c r="A3351" s="66" t="s">
        <v>1963</v>
      </c>
      <c r="B3351" s="66" t="s">
        <v>1155</v>
      </c>
      <c r="C3351" s="66" t="s">
        <v>9605</v>
      </c>
      <c r="D3351" s="66">
        <v>6976068140627</v>
      </c>
      <c r="E3351" s="68" t="s">
        <v>12489</v>
      </c>
      <c r="F3351" s="66" t="s">
        <v>12490</v>
      </c>
      <c r="G3351" s="71">
        <v>11695</v>
      </c>
      <c r="H3351" s="73"/>
      <c r="I3351" s="75">
        <v>0.2</v>
      </c>
      <c r="J3351" s="77"/>
      <c r="K3351" s="66"/>
      <c r="L3351" s="66"/>
      <c r="M3351" s="79" t="str">
        <f>HYPERLINK("http://www.pristavka.com/catalog/Genshin Impact/GEN874/")</f>
        <v>http://www.pristavka.com/catalog/Genshin Impact/GEN874/</v>
      </c>
      <c r="N3351" s="71">
        <v>19499</v>
      </c>
      <c r="O3351" s="66" t="s">
        <v>28</v>
      </c>
      <c r="P3351" s="82" t="s">
        <v>12491</v>
      </c>
      <c r="Q3351" s="84" t="s">
        <v>1963</v>
      </c>
      <c r="R3351" s="84" t="s">
        <v>9605</v>
      </c>
      <c r="S3351" s="84">
        <v>0.14099999999999999</v>
      </c>
      <c r="T3351" s="82" t="s">
        <v>12492</v>
      </c>
      <c r="U3351" s="84"/>
      <c r="V3351" s="54"/>
    </row>
    <row r="3352" spans="1:22" s="11" customFormat="1" ht="45" customHeight="1" x14ac:dyDescent="0.2">
      <c r="A3352" s="66" t="s">
        <v>1963</v>
      </c>
      <c r="B3352" s="66" t="s">
        <v>1155</v>
      </c>
      <c r="C3352" s="66" t="s">
        <v>9605</v>
      </c>
      <c r="D3352" s="66">
        <v>6975213686539</v>
      </c>
      <c r="E3352" s="68" t="s">
        <v>12493</v>
      </c>
      <c r="F3352" s="66" t="s">
        <v>12494</v>
      </c>
      <c r="G3352" s="71">
        <v>1104</v>
      </c>
      <c r="H3352" s="73"/>
      <c r="I3352" s="75">
        <v>0.2</v>
      </c>
      <c r="J3352" s="77"/>
      <c r="K3352" s="66"/>
      <c r="L3352" s="66"/>
      <c r="M3352" s="79" t="str">
        <f>HYPERLINK("http://www.pristavka.com/catalog/Genshin Impact/GEN729/")</f>
        <v>http://www.pristavka.com/catalog/Genshin Impact/GEN729/</v>
      </c>
      <c r="N3352" s="71">
        <v>1899</v>
      </c>
      <c r="O3352" s="66" t="s">
        <v>27</v>
      </c>
      <c r="P3352" s="82" t="s">
        <v>12495</v>
      </c>
      <c r="Q3352" s="84" t="s">
        <v>1963</v>
      </c>
      <c r="R3352" s="84" t="s">
        <v>9605</v>
      </c>
      <c r="S3352" s="84">
        <v>7.1999999999999995E-2</v>
      </c>
      <c r="T3352" s="82" t="s">
        <v>12496</v>
      </c>
      <c r="U3352" s="84"/>
      <c r="V3352" s="54"/>
    </row>
    <row r="3353" spans="1:22" s="11" customFormat="1" ht="45" customHeight="1" x14ac:dyDescent="0.2">
      <c r="A3353" s="66" t="s">
        <v>1963</v>
      </c>
      <c r="B3353" s="66" t="s">
        <v>1155</v>
      </c>
      <c r="C3353" s="66" t="s">
        <v>9605</v>
      </c>
      <c r="D3353" s="66">
        <v>6975628248957</v>
      </c>
      <c r="E3353" s="68" t="s">
        <v>12497</v>
      </c>
      <c r="F3353" s="66" t="s">
        <v>12498</v>
      </c>
      <c r="G3353" s="71">
        <v>1738</v>
      </c>
      <c r="H3353" s="73"/>
      <c r="I3353" s="75">
        <v>0.2</v>
      </c>
      <c r="J3353" s="77"/>
      <c r="K3353" s="66"/>
      <c r="L3353" s="66"/>
      <c r="M3353" s="79" t="str">
        <f>HYPERLINK("http://www.pristavka.com/catalog/Genshin Impact/GEN796/")</f>
        <v>http://www.pristavka.com/catalog/Genshin Impact/GEN796/</v>
      </c>
      <c r="N3353" s="71">
        <v>2899</v>
      </c>
      <c r="O3353" s="66" t="s">
        <v>27</v>
      </c>
      <c r="P3353" s="82" t="s">
        <v>12499</v>
      </c>
      <c r="Q3353" s="84" t="s">
        <v>1963</v>
      </c>
      <c r="R3353" s="84" t="s">
        <v>9605</v>
      </c>
      <c r="S3353" s="84">
        <v>4.3999999999999997E-2</v>
      </c>
      <c r="T3353" s="82" t="s">
        <v>12500</v>
      </c>
      <c r="U3353" s="84"/>
      <c r="V3353" s="54"/>
    </row>
    <row r="3354" spans="1:22" s="11" customFormat="1" ht="45" customHeight="1" x14ac:dyDescent="0.2">
      <c r="A3354" s="66" t="s">
        <v>1963</v>
      </c>
      <c r="B3354" s="66" t="s">
        <v>1155</v>
      </c>
      <c r="C3354" s="66" t="s">
        <v>9605</v>
      </c>
      <c r="D3354" s="66">
        <v>6975628248919</v>
      </c>
      <c r="E3354" s="68" t="s">
        <v>12501</v>
      </c>
      <c r="F3354" s="66" t="s">
        <v>12502</v>
      </c>
      <c r="G3354" s="71">
        <v>1738</v>
      </c>
      <c r="H3354" s="73"/>
      <c r="I3354" s="75">
        <v>0.2</v>
      </c>
      <c r="J3354" s="77"/>
      <c r="K3354" s="66"/>
      <c r="L3354" s="66"/>
      <c r="M3354" s="79" t="str">
        <f>HYPERLINK("http://www.pristavka.com/catalog/Genshin Impact/GEN792/")</f>
        <v>http://www.pristavka.com/catalog/Genshin Impact/GEN792/</v>
      </c>
      <c r="N3354" s="71">
        <v>2899</v>
      </c>
      <c r="O3354" s="66" t="s">
        <v>27</v>
      </c>
      <c r="P3354" s="82" t="s">
        <v>12503</v>
      </c>
      <c r="Q3354" s="84" t="s">
        <v>1963</v>
      </c>
      <c r="R3354" s="84" t="s">
        <v>9605</v>
      </c>
      <c r="S3354" s="84">
        <v>4.4999999999999998E-2</v>
      </c>
      <c r="T3354" s="82" t="s">
        <v>12500</v>
      </c>
      <c r="U3354" s="84"/>
      <c r="V3354" s="54"/>
    </row>
    <row r="3355" spans="1:22" s="11" customFormat="1" ht="45" customHeight="1" x14ac:dyDescent="0.2">
      <c r="A3355" s="66" t="s">
        <v>1963</v>
      </c>
      <c r="B3355" s="66" t="s">
        <v>1155</v>
      </c>
      <c r="C3355" s="66" t="s">
        <v>9605</v>
      </c>
      <c r="D3355" s="66">
        <v>6975628248940</v>
      </c>
      <c r="E3355" s="68" t="s">
        <v>12504</v>
      </c>
      <c r="F3355" s="66" t="s">
        <v>12505</v>
      </c>
      <c r="G3355" s="71">
        <v>1738</v>
      </c>
      <c r="H3355" s="73"/>
      <c r="I3355" s="75">
        <v>0.2</v>
      </c>
      <c r="J3355" s="77"/>
      <c r="K3355" s="66"/>
      <c r="L3355" s="66"/>
      <c r="M3355" s="79" t="str">
        <f>HYPERLINK("http://www.pristavka.com/catalog/Genshin Impact/GEN795/")</f>
        <v>http://www.pristavka.com/catalog/Genshin Impact/GEN795/</v>
      </c>
      <c r="N3355" s="71">
        <v>2899</v>
      </c>
      <c r="O3355" s="66" t="s">
        <v>27</v>
      </c>
      <c r="P3355" s="82" t="s">
        <v>12506</v>
      </c>
      <c r="Q3355" s="84" t="s">
        <v>1963</v>
      </c>
      <c r="R3355" s="84" t="s">
        <v>9605</v>
      </c>
      <c r="S3355" s="84">
        <v>4.3999999999999997E-2</v>
      </c>
      <c r="T3355" s="82" t="s">
        <v>12500</v>
      </c>
      <c r="U3355" s="84"/>
      <c r="V3355" s="54"/>
    </row>
    <row r="3356" spans="1:22" s="11" customFormat="1" ht="45" customHeight="1" x14ac:dyDescent="0.2">
      <c r="A3356" s="66" t="s">
        <v>1963</v>
      </c>
      <c r="B3356" s="66" t="s">
        <v>1155</v>
      </c>
      <c r="C3356" s="66" t="s">
        <v>9605</v>
      </c>
      <c r="D3356" s="66">
        <v>6976068141907</v>
      </c>
      <c r="E3356" s="68" t="s">
        <v>12507</v>
      </c>
      <c r="F3356" s="66" t="s">
        <v>12508</v>
      </c>
      <c r="G3356" s="71">
        <v>1738</v>
      </c>
      <c r="H3356" s="73"/>
      <c r="I3356" s="75">
        <v>0.2</v>
      </c>
      <c r="J3356" s="77"/>
      <c r="K3356" s="66"/>
      <c r="L3356" s="66"/>
      <c r="M3356" s="79" t="str">
        <f>HYPERLINK("http://www.pristavka.com/catalog/Genshin Impact/GEN802/")</f>
        <v>http://www.pristavka.com/catalog/Genshin Impact/GEN802/</v>
      </c>
      <c r="N3356" s="71">
        <v>2899</v>
      </c>
      <c r="O3356" s="66" t="s">
        <v>27</v>
      </c>
      <c r="P3356" s="82" t="s">
        <v>12509</v>
      </c>
      <c r="Q3356" s="84" t="s">
        <v>1963</v>
      </c>
      <c r="R3356" s="84" t="s">
        <v>9605</v>
      </c>
      <c r="S3356" s="84">
        <v>4.4999999999999998E-2</v>
      </c>
      <c r="T3356" s="82" t="s">
        <v>12500</v>
      </c>
      <c r="U3356" s="84"/>
      <c r="V3356" s="54"/>
    </row>
    <row r="3357" spans="1:22" s="11" customFormat="1" ht="45" customHeight="1" x14ac:dyDescent="0.2">
      <c r="A3357" s="66" t="s">
        <v>1963</v>
      </c>
      <c r="B3357" s="66" t="s">
        <v>1155</v>
      </c>
      <c r="C3357" s="66" t="s">
        <v>9605</v>
      </c>
      <c r="D3357" s="66">
        <v>6975628248933</v>
      </c>
      <c r="E3357" s="68" t="s">
        <v>12510</v>
      </c>
      <c r="F3357" s="66" t="s">
        <v>12511</v>
      </c>
      <c r="G3357" s="71">
        <v>1738</v>
      </c>
      <c r="H3357" s="73"/>
      <c r="I3357" s="75">
        <v>0.2</v>
      </c>
      <c r="J3357" s="77"/>
      <c r="K3357" s="66"/>
      <c r="L3357" s="66"/>
      <c r="M3357" s="79" t="str">
        <f>HYPERLINK("http://www.pristavka.com/catalog/Genshin Impact/GEN794/")</f>
        <v>http://www.pristavka.com/catalog/Genshin Impact/GEN794/</v>
      </c>
      <c r="N3357" s="71">
        <v>2899</v>
      </c>
      <c r="O3357" s="66" t="s">
        <v>27</v>
      </c>
      <c r="P3357" s="82" t="s">
        <v>12512</v>
      </c>
      <c r="Q3357" s="84" t="s">
        <v>1963</v>
      </c>
      <c r="R3357" s="84" t="s">
        <v>9605</v>
      </c>
      <c r="S3357" s="84">
        <v>4.4999999999999998E-2</v>
      </c>
      <c r="T3357" s="82" t="s">
        <v>12500</v>
      </c>
      <c r="U3357" s="84"/>
      <c r="V3357" s="54"/>
    </row>
    <row r="3358" spans="1:22" s="11" customFormat="1" ht="45" customHeight="1" x14ac:dyDescent="0.2">
      <c r="A3358" s="66" t="s">
        <v>1963</v>
      </c>
      <c r="B3358" s="66" t="s">
        <v>1155</v>
      </c>
      <c r="C3358" s="66" t="s">
        <v>9605</v>
      </c>
      <c r="D3358" s="66">
        <v>6975628248995</v>
      </c>
      <c r="E3358" s="68" t="s">
        <v>12513</v>
      </c>
      <c r="F3358" s="66" t="s">
        <v>12514</v>
      </c>
      <c r="G3358" s="71">
        <v>1738</v>
      </c>
      <c r="H3358" s="73"/>
      <c r="I3358" s="75">
        <v>0.2</v>
      </c>
      <c r="J3358" s="77"/>
      <c r="K3358" s="66"/>
      <c r="L3358" s="66"/>
      <c r="M3358" s="79" t="str">
        <f>HYPERLINK("http://www.pristavka.com/catalog/Genshin Impact/GEN800/")</f>
        <v>http://www.pristavka.com/catalog/Genshin Impact/GEN800/</v>
      </c>
      <c r="N3358" s="71">
        <v>2899</v>
      </c>
      <c r="O3358" s="66" t="s">
        <v>27</v>
      </c>
      <c r="P3358" s="82" t="s">
        <v>12515</v>
      </c>
      <c r="Q3358" s="84" t="s">
        <v>1963</v>
      </c>
      <c r="R3358" s="84" t="s">
        <v>9605</v>
      </c>
      <c r="S3358" s="84">
        <v>4.4999999999999998E-2</v>
      </c>
      <c r="T3358" s="82" t="s">
        <v>12500</v>
      </c>
      <c r="U3358" s="84"/>
      <c r="V3358" s="54"/>
    </row>
    <row r="3359" spans="1:22" s="11" customFormat="1" ht="45" customHeight="1" x14ac:dyDescent="0.2">
      <c r="A3359" s="66" t="s">
        <v>1963</v>
      </c>
      <c r="B3359" s="66" t="s">
        <v>1155</v>
      </c>
      <c r="C3359" s="66" t="s">
        <v>9605</v>
      </c>
      <c r="D3359" s="66">
        <v>6975628248971</v>
      </c>
      <c r="E3359" s="68" t="s">
        <v>12516</v>
      </c>
      <c r="F3359" s="66" t="s">
        <v>12517</v>
      </c>
      <c r="G3359" s="71">
        <v>1738</v>
      </c>
      <c r="H3359" s="73"/>
      <c r="I3359" s="75">
        <v>0.2</v>
      </c>
      <c r="J3359" s="77"/>
      <c r="K3359" s="66"/>
      <c r="L3359" s="66"/>
      <c r="M3359" s="79" t="str">
        <f>HYPERLINK("http://www.pristavka.com/catalog/Genshin Impact/GEN798/")</f>
        <v>http://www.pristavka.com/catalog/Genshin Impact/GEN798/</v>
      </c>
      <c r="N3359" s="71">
        <v>2899</v>
      </c>
      <c r="O3359" s="66" t="s">
        <v>27</v>
      </c>
      <c r="P3359" s="82" t="s">
        <v>12518</v>
      </c>
      <c r="Q3359" s="84" t="s">
        <v>1963</v>
      </c>
      <c r="R3359" s="84" t="s">
        <v>9605</v>
      </c>
      <c r="S3359" s="84">
        <v>4.4999999999999998E-2</v>
      </c>
      <c r="T3359" s="82" t="s">
        <v>12500</v>
      </c>
      <c r="U3359" s="84"/>
      <c r="V3359" s="54"/>
    </row>
    <row r="3360" spans="1:22" s="11" customFormat="1" ht="45" customHeight="1" x14ac:dyDescent="0.2">
      <c r="A3360" s="66" t="s">
        <v>1963</v>
      </c>
      <c r="B3360" s="66" t="s">
        <v>1155</v>
      </c>
      <c r="C3360" s="66" t="s">
        <v>9605</v>
      </c>
      <c r="D3360" s="66">
        <v>6975628248964</v>
      </c>
      <c r="E3360" s="68" t="s">
        <v>12519</v>
      </c>
      <c r="F3360" s="66" t="s">
        <v>12520</v>
      </c>
      <c r="G3360" s="71">
        <v>1738</v>
      </c>
      <c r="H3360" s="73"/>
      <c r="I3360" s="75">
        <v>0.2</v>
      </c>
      <c r="J3360" s="77"/>
      <c r="K3360" s="66"/>
      <c r="L3360" s="66"/>
      <c r="M3360" s="79" t="str">
        <f>HYPERLINK("http://www.pristavka.com/catalog/Genshin Impact/GEN797/")</f>
        <v>http://www.pristavka.com/catalog/Genshin Impact/GEN797/</v>
      </c>
      <c r="N3360" s="71">
        <v>2899</v>
      </c>
      <c r="O3360" s="66" t="s">
        <v>27</v>
      </c>
      <c r="P3360" s="82" t="s">
        <v>12521</v>
      </c>
      <c r="Q3360" s="84" t="s">
        <v>1963</v>
      </c>
      <c r="R3360" s="84" t="s">
        <v>9605</v>
      </c>
      <c r="S3360" s="84">
        <v>4.5999999999999999E-2</v>
      </c>
      <c r="T3360" s="82" t="s">
        <v>12522</v>
      </c>
      <c r="U3360" s="84"/>
      <c r="V3360" s="54"/>
    </row>
    <row r="3361" spans="1:22" s="11" customFormat="1" ht="45" customHeight="1" x14ac:dyDescent="0.2">
      <c r="A3361" s="66" t="s">
        <v>1963</v>
      </c>
      <c r="B3361" s="66" t="s">
        <v>1155</v>
      </c>
      <c r="C3361" s="66" t="s">
        <v>9605</v>
      </c>
      <c r="D3361" s="66">
        <v>6975628248926</v>
      </c>
      <c r="E3361" s="68" t="s">
        <v>12523</v>
      </c>
      <c r="F3361" s="66" t="s">
        <v>12524</v>
      </c>
      <c r="G3361" s="71">
        <v>1738</v>
      </c>
      <c r="H3361" s="73"/>
      <c r="I3361" s="75">
        <v>0.2</v>
      </c>
      <c r="J3361" s="77"/>
      <c r="K3361" s="66"/>
      <c r="L3361" s="66"/>
      <c r="M3361" s="79" t="str">
        <f>HYPERLINK("http://www.pristavka.com/catalog/Genshin Impact/GEN793/")</f>
        <v>http://www.pristavka.com/catalog/Genshin Impact/GEN793/</v>
      </c>
      <c r="N3361" s="71">
        <v>2899</v>
      </c>
      <c r="O3361" s="66" t="s">
        <v>27</v>
      </c>
      <c r="P3361" s="82" t="s">
        <v>12525</v>
      </c>
      <c r="Q3361" s="84" t="s">
        <v>1963</v>
      </c>
      <c r="R3361" s="84" t="s">
        <v>9605</v>
      </c>
      <c r="S3361" s="84">
        <v>4.2999999999999997E-2</v>
      </c>
      <c r="T3361" s="82" t="s">
        <v>12500</v>
      </c>
      <c r="U3361" s="84"/>
      <c r="V3361" s="54"/>
    </row>
    <row r="3362" spans="1:22" s="11" customFormat="1" ht="45" customHeight="1" x14ac:dyDescent="0.2">
      <c r="A3362" s="66" t="s">
        <v>1963</v>
      </c>
      <c r="B3362" s="66" t="s">
        <v>1155</v>
      </c>
      <c r="C3362" s="66" t="s">
        <v>9605</v>
      </c>
      <c r="D3362" s="66">
        <v>6972957485855</v>
      </c>
      <c r="E3362" s="68" t="s">
        <v>12526</v>
      </c>
      <c r="F3362" s="66" t="s">
        <v>12527</v>
      </c>
      <c r="G3362" s="71">
        <v>2372</v>
      </c>
      <c r="H3362" s="73"/>
      <c r="I3362" s="75">
        <v>0.2</v>
      </c>
      <c r="J3362" s="77"/>
      <c r="K3362" s="66"/>
      <c r="L3362" s="66"/>
      <c r="M3362" s="79" t="str">
        <f>HYPERLINK("http://www.pristavka.com/catalog/Genshin Impact/GEN790/")</f>
        <v>http://www.pristavka.com/catalog/Genshin Impact/GEN790/</v>
      </c>
      <c r="N3362" s="71">
        <v>3999</v>
      </c>
      <c r="O3362" s="66" t="s">
        <v>27</v>
      </c>
      <c r="P3362" s="82" t="s">
        <v>12528</v>
      </c>
      <c r="Q3362" s="84" t="s">
        <v>1963</v>
      </c>
      <c r="R3362" s="84" t="s">
        <v>9605</v>
      </c>
      <c r="S3362" s="84">
        <v>0.08</v>
      </c>
      <c r="T3362" s="82" t="s">
        <v>12529</v>
      </c>
      <c r="U3362" s="84"/>
      <c r="V3362" s="54"/>
    </row>
    <row r="3363" spans="1:22" s="11" customFormat="1" ht="45" customHeight="1" x14ac:dyDescent="0.2">
      <c r="A3363" s="66" t="s">
        <v>1963</v>
      </c>
      <c r="B3363" s="66" t="s">
        <v>1155</v>
      </c>
      <c r="C3363" s="66" t="s">
        <v>9605</v>
      </c>
      <c r="D3363" s="66">
        <v>6975213681749</v>
      </c>
      <c r="E3363" s="68" t="s">
        <v>12530</v>
      </c>
      <c r="F3363" s="66" t="s">
        <v>12531</v>
      </c>
      <c r="G3363" s="71">
        <v>5356</v>
      </c>
      <c r="H3363" s="73"/>
      <c r="I3363" s="75">
        <v>0.2</v>
      </c>
      <c r="J3363" s="77"/>
      <c r="K3363" s="66"/>
      <c r="L3363" s="66"/>
      <c r="M3363" s="79" t="str">
        <f>HYPERLINK("http://www.pristavka.com/catalog/Genshin Impact/GEN1168/")</f>
        <v>http://www.pristavka.com/catalog/Genshin Impact/GEN1168/</v>
      </c>
      <c r="N3363" s="71">
        <v>8999</v>
      </c>
      <c r="O3363" s="66" t="s">
        <v>27</v>
      </c>
      <c r="P3363" s="82" t="s">
        <v>12532</v>
      </c>
      <c r="Q3363" s="84" t="s">
        <v>1963</v>
      </c>
      <c r="R3363" s="84" t="s">
        <v>9605</v>
      </c>
      <c r="S3363" s="84">
        <v>0.114</v>
      </c>
      <c r="T3363" s="82" t="s">
        <v>12533</v>
      </c>
      <c r="U3363" s="84"/>
      <c r="V3363" s="54"/>
    </row>
    <row r="3364" spans="1:22" s="11" customFormat="1" ht="45" customHeight="1" x14ac:dyDescent="0.2">
      <c r="A3364" s="66" t="s">
        <v>1963</v>
      </c>
      <c r="B3364" s="66" t="s">
        <v>1155</v>
      </c>
      <c r="C3364" s="66" t="s">
        <v>9605</v>
      </c>
      <c r="D3364" s="66">
        <v>6976068149651</v>
      </c>
      <c r="E3364" s="68" t="s">
        <v>12534</v>
      </c>
      <c r="F3364" s="66" t="s">
        <v>12535</v>
      </c>
      <c r="G3364" s="71">
        <v>1738</v>
      </c>
      <c r="H3364" s="73"/>
      <c r="I3364" s="75">
        <v>0.2</v>
      </c>
      <c r="J3364" s="77"/>
      <c r="K3364" s="66"/>
      <c r="L3364" s="66"/>
      <c r="M3364" s="79" t="str">
        <f>HYPERLINK("http://www.pristavka.com/catalog/Genshin Impact/GEN963/")</f>
        <v>http://www.pristavka.com/catalog/Genshin Impact/GEN963/</v>
      </c>
      <c r="N3364" s="71">
        <v>2899</v>
      </c>
      <c r="O3364" s="66" t="s">
        <v>27</v>
      </c>
      <c r="P3364" s="82" t="s">
        <v>12536</v>
      </c>
      <c r="Q3364" s="84" t="s">
        <v>1963</v>
      </c>
      <c r="R3364" s="84" t="s">
        <v>9605</v>
      </c>
      <c r="S3364" s="84">
        <v>4.4999999999999998E-2</v>
      </c>
      <c r="T3364" s="82" t="s">
        <v>12522</v>
      </c>
      <c r="U3364" s="84"/>
      <c r="V3364" s="54"/>
    </row>
    <row r="3365" spans="1:22" s="11" customFormat="1" ht="45" customHeight="1" x14ac:dyDescent="0.2">
      <c r="A3365" s="66" t="s">
        <v>1963</v>
      </c>
      <c r="B3365" s="66" t="s">
        <v>1155</v>
      </c>
      <c r="C3365" s="66" t="s">
        <v>9605</v>
      </c>
      <c r="D3365" s="66">
        <v>6942421137313</v>
      </c>
      <c r="E3365" s="68" t="s">
        <v>12537</v>
      </c>
      <c r="F3365" s="66" t="s">
        <v>12538</v>
      </c>
      <c r="G3365" s="71">
        <v>38634</v>
      </c>
      <c r="H3365" s="73"/>
      <c r="I3365" s="75">
        <v>0.2</v>
      </c>
      <c r="J3365" s="77"/>
      <c r="K3365" s="66"/>
      <c r="L3365" s="66"/>
      <c r="M3365" s="79" t="str">
        <f>HYPERLINK("http://www.pristavka.com/catalog/Genshin Impact/GEN1360/")</f>
        <v>http://www.pristavka.com/catalog/Genshin Impact/GEN1360/</v>
      </c>
      <c r="N3365" s="71">
        <v>64399</v>
      </c>
      <c r="O3365" s="66" t="s">
        <v>28</v>
      </c>
      <c r="P3365" s="82" t="s">
        <v>12539</v>
      </c>
      <c r="Q3365" s="84" t="s">
        <v>1963</v>
      </c>
      <c r="R3365" s="84" t="s">
        <v>9605</v>
      </c>
      <c r="S3365" s="84">
        <v>1.1399999999999999</v>
      </c>
      <c r="T3365" s="82" t="s">
        <v>12540</v>
      </c>
      <c r="U3365" s="84"/>
      <c r="V3365" s="54"/>
    </row>
    <row r="3366" spans="1:22" s="11" customFormat="1" ht="45" customHeight="1" x14ac:dyDescent="0.2">
      <c r="A3366" s="66" t="s">
        <v>1963</v>
      </c>
      <c r="B3366" s="66" t="s">
        <v>1155</v>
      </c>
      <c r="C3366" s="66" t="s">
        <v>9605</v>
      </c>
      <c r="D3366" s="66">
        <v>6942421137320</v>
      </c>
      <c r="E3366" s="68" t="s">
        <v>12541</v>
      </c>
      <c r="F3366" s="66" t="s">
        <v>12542</v>
      </c>
      <c r="G3366" s="71">
        <v>38634</v>
      </c>
      <c r="H3366" s="73"/>
      <c r="I3366" s="75">
        <v>0.2</v>
      </c>
      <c r="J3366" s="77"/>
      <c r="K3366" s="66"/>
      <c r="L3366" s="66"/>
      <c r="M3366" s="79" t="str">
        <f>HYPERLINK("http://www.pristavka.com/catalog/Genshin Impact/GEN1361/")</f>
        <v>http://www.pristavka.com/catalog/Genshin Impact/GEN1361/</v>
      </c>
      <c r="N3366" s="71">
        <v>64399</v>
      </c>
      <c r="O3366" s="66" t="s">
        <v>27</v>
      </c>
      <c r="P3366" s="82" t="s">
        <v>12543</v>
      </c>
      <c r="Q3366" s="84" t="s">
        <v>1963</v>
      </c>
      <c r="R3366" s="84" t="s">
        <v>9605</v>
      </c>
      <c r="S3366" s="84">
        <v>1.175</v>
      </c>
      <c r="T3366" s="82" t="s">
        <v>12544</v>
      </c>
      <c r="U3366" s="84"/>
      <c r="V3366" s="54"/>
    </row>
    <row r="3367" spans="1:22" s="11" customFormat="1" ht="45" customHeight="1" x14ac:dyDescent="0.2">
      <c r="A3367" s="66" t="s">
        <v>1963</v>
      </c>
      <c r="B3367" s="66" t="s">
        <v>1155</v>
      </c>
      <c r="C3367" s="66" t="s">
        <v>9605</v>
      </c>
      <c r="D3367" s="66">
        <v>6942421137290</v>
      </c>
      <c r="E3367" s="68" t="s">
        <v>12545</v>
      </c>
      <c r="F3367" s="66" t="s">
        <v>12546</v>
      </c>
      <c r="G3367" s="71">
        <v>38634</v>
      </c>
      <c r="H3367" s="73"/>
      <c r="I3367" s="75">
        <v>0.2</v>
      </c>
      <c r="J3367" s="77"/>
      <c r="K3367" s="66"/>
      <c r="L3367" s="66"/>
      <c r="M3367" s="79" t="str">
        <f>HYPERLINK("http://www.pristavka.com/catalog/Genshin Impact/GEN1358/")</f>
        <v>http://www.pristavka.com/catalog/Genshin Impact/GEN1358/</v>
      </c>
      <c r="N3367" s="71">
        <v>64399</v>
      </c>
      <c r="O3367" s="66" t="s">
        <v>27</v>
      </c>
      <c r="P3367" s="82" t="s">
        <v>12547</v>
      </c>
      <c r="Q3367" s="84" t="s">
        <v>1963</v>
      </c>
      <c r="R3367" s="84" t="s">
        <v>9605</v>
      </c>
      <c r="S3367" s="84">
        <v>1.1579999999999999</v>
      </c>
      <c r="T3367" s="82" t="s">
        <v>12548</v>
      </c>
      <c r="U3367" s="84"/>
      <c r="V3367" s="54"/>
    </row>
    <row r="3368" spans="1:22" s="11" customFormat="1" ht="45" customHeight="1" x14ac:dyDescent="0.2">
      <c r="A3368" s="66" t="s">
        <v>1963</v>
      </c>
      <c r="B3368" s="66" t="s">
        <v>1155</v>
      </c>
      <c r="C3368" s="66" t="s">
        <v>9605</v>
      </c>
      <c r="D3368" s="66">
        <v>6942421137306</v>
      </c>
      <c r="E3368" s="68" t="s">
        <v>12549</v>
      </c>
      <c r="F3368" s="66" t="s">
        <v>12550</v>
      </c>
      <c r="G3368" s="71">
        <v>38634</v>
      </c>
      <c r="H3368" s="73"/>
      <c r="I3368" s="75">
        <v>0.2</v>
      </c>
      <c r="J3368" s="77"/>
      <c r="K3368" s="66"/>
      <c r="L3368" s="66"/>
      <c r="M3368" s="79" t="str">
        <f>HYPERLINK("http://www.pristavka.com/catalog/Genshin Impact/GEN1359/")</f>
        <v>http://www.pristavka.com/catalog/Genshin Impact/GEN1359/</v>
      </c>
      <c r="N3368" s="71">
        <v>64399</v>
      </c>
      <c r="O3368" s="66" t="s">
        <v>27</v>
      </c>
      <c r="P3368" s="82" t="s">
        <v>12551</v>
      </c>
      <c r="Q3368" s="84" t="s">
        <v>1963</v>
      </c>
      <c r="R3368" s="84" t="s">
        <v>9605</v>
      </c>
      <c r="S3368" s="84">
        <v>1.1879999999999999</v>
      </c>
      <c r="T3368" s="82" t="s">
        <v>12548</v>
      </c>
      <c r="U3368" s="84"/>
      <c r="V3368" s="54"/>
    </row>
    <row r="3369" spans="1:22" s="11" customFormat="1" ht="45" customHeight="1" x14ac:dyDescent="0.2">
      <c r="A3369" s="66" t="s">
        <v>1963</v>
      </c>
      <c r="B3369" s="66" t="s">
        <v>1155</v>
      </c>
      <c r="C3369" s="66" t="s">
        <v>9605</v>
      </c>
      <c r="D3369" s="66">
        <v>6942421146285</v>
      </c>
      <c r="E3369" s="68" t="s">
        <v>12552</v>
      </c>
      <c r="F3369" s="66" t="s">
        <v>12553</v>
      </c>
      <c r="G3369" s="71">
        <v>18033</v>
      </c>
      <c r="H3369" s="73"/>
      <c r="I3369" s="75">
        <v>0.2</v>
      </c>
      <c r="J3369" s="77"/>
      <c r="K3369" s="66"/>
      <c r="L3369" s="66"/>
      <c r="M3369" s="79" t="str">
        <f>HYPERLINK("http://www.pristavka.com/catalog/Genshin Impact/GEN1369/")</f>
        <v>http://www.pristavka.com/catalog/Genshin Impact/GEN1369/</v>
      </c>
      <c r="N3369" s="71">
        <v>30099</v>
      </c>
      <c r="O3369" s="66" t="s">
        <v>27</v>
      </c>
      <c r="P3369" s="82" t="s">
        <v>12554</v>
      </c>
      <c r="Q3369" s="84" t="s">
        <v>1963</v>
      </c>
      <c r="R3369" s="84" t="s">
        <v>9605</v>
      </c>
      <c r="S3369" s="84">
        <v>0.58499999999999996</v>
      </c>
      <c r="T3369" s="82" t="s">
        <v>12555</v>
      </c>
      <c r="U3369" s="84"/>
      <c r="V3369" s="54"/>
    </row>
    <row r="3370" spans="1:22" s="11" customFormat="1" ht="45" customHeight="1" x14ac:dyDescent="0.2">
      <c r="A3370" s="66" t="s">
        <v>1963</v>
      </c>
      <c r="B3370" s="66" t="s">
        <v>1155</v>
      </c>
      <c r="C3370" s="66" t="s">
        <v>9605</v>
      </c>
      <c r="D3370" s="66">
        <v>6942421146278</v>
      </c>
      <c r="E3370" s="68" t="s">
        <v>12556</v>
      </c>
      <c r="F3370" s="66" t="s">
        <v>12557</v>
      </c>
      <c r="G3370" s="71">
        <v>18033</v>
      </c>
      <c r="H3370" s="73"/>
      <c r="I3370" s="75">
        <v>0.2</v>
      </c>
      <c r="J3370" s="77"/>
      <c r="K3370" s="66"/>
      <c r="L3370" s="66"/>
      <c r="M3370" s="79" t="str">
        <f>HYPERLINK("http://www.pristavka.com/catalog/Genshin Impact/GEN1368/")</f>
        <v>http://www.pristavka.com/catalog/Genshin Impact/GEN1368/</v>
      </c>
      <c r="N3370" s="71">
        <v>30099</v>
      </c>
      <c r="O3370" s="66" t="s">
        <v>27</v>
      </c>
      <c r="P3370" s="82" t="s">
        <v>12558</v>
      </c>
      <c r="Q3370" s="84" t="s">
        <v>1963</v>
      </c>
      <c r="R3370" s="84" t="s">
        <v>9605</v>
      </c>
      <c r="S3370" s="84">
        <v>0.55000000000000004</v>
      </c>
      <c r="T3370" s="82" t="s">
        <v>12559</v>
      </c>
      <c r="U3370" s="84"/>
      <c r="V3370" s="54"/>
    </row>
    <row r="3371" spans="1:22" s="11" customFormat="1" ht="45" customHeight="1" x14ac:dyDescent="0.2">
      <c r="A3371" s="66" t="s">
        <v>1963</v>
      </c>
      <c r="B3371" s="66" t="s">
        <v>1155</v>
      </c>
      <c r="C3371" s="66" t="s">
        <v>9605</v>
      </c>
      <c r="D3371" s="66">
        <v>6942421120940</v>
      </c>
      <c r="E3371" s="68" t="s">
        <v>12560</v>
      </c>
      <c r="F3371" s="66" t="s">
        <v>12561</v>
      </c>
      <c r="G3371" s="71">
        <v>22154</v>
      </c>
      <c r="H3371" s="73"/>
      <c r="I3371" s="75">
        <v>0.2</v>
      </c>
      <c r="J3371" s="77"/>
      <c r="K3371" s="66"/>
      <c r="L3371" s="66"/>
      <c r="M3371" s="79" t="str">
        <f>HYPERLINK("http://www.pristavka.com/catalog/Genshin Impact/GEN1315/")</f>
        <v>http://www.pristavka.com/catalog/Genshin Impact/GEN1315/</v>
      </c>
      <c r="N3371" s="71">
        <v>36999</v>
      </c>
      <c r="O3371" s="66" t="s">
        <v>27</v>
      </c>
      <c r="P3371" s="82" t="s">
        <v>12562</v>
      </c>
      <c r="Q3371" s="84" t="s">
        <v>1963</v>
      </c>
      <c r="R3371" s="84" t="s">
        <v>9605</v>
      </c>
      <c r="S3371" s="84">
        <v>0.504</v>
      </c>
      <c r="T3371" s="82" t="s">
        <v>12563</v>
      </c>
      <c r="U3371" s="84"/>
      <c r="V3371" s="54"/>
    </row>
    <row r="3372" spans="1:22" s="11" customFormat="1" ht="45" customHeight="1" x14ac:dyDescent="0.2">
      <c r="A3372" s="66" t="s">
        <v>1963</v>
      </c>
      <c r="B3372" s="66" t="s">
        <v>1155</v>
      </c>
      <c r="C3372" s="66" t="s">
        <v>9605</v>
      </c>
      <c r="D3372" s="66">
        <v>6976068146155</v>
      </c>
      <c r="E3372" s="68" t="s">
        <v>12564</v>
      </c>
      <c r="F3372" s="66" t="s">
        <v>12565</v>
      </c>
      <c r="G3372" s="71">
        <v>12646</v>
      </c>
      <c r="H3372" s="73"/>
      <c r="I3372" s="75">
        <v>0.2</v>
      </c>
      <c r="J3372" s="77"/>
      <c r="K3372" s="66"/>
      <c r="L3372" s="66"/>
      <c r="M3372" s="79" t="str">
        <f>HYPERLINK("http://www.pristavka.com/catalog/Genshin Impact/GEN1311/")</f>
        <v>http://www.pristavka.com/catalog/Genshin Impact/GEN1311/</v>
      </c>
      <c r="N3372" s="71">
        <v>21099</v>
      </c>
      <c r="O3372" s="66" t="s">
        <v>27</v>
      </c>
      <c r="P3372" s="82" t="s">
        <v>12566</v>
      </c>
      <c r="Q3372" s="84" t="s">
        <v>1963</v>
      </c>
      <c r="R3372" s="84" t="s">
        <v>9605</v>
      </c>
      <c r="S3372" s="84">
        <v>0.191</v>
      </c>
      <c r="T3372" s="82" t="s">
        <v>12567</v>
      </c>
      <c r="U3372" s="84"/>
      <c r="V3372" s="54"/>
    </row>
    <row r="3373" spans="1:22" s="11" customFormat="1" ht="45" customHeight="1" x14ac:dyDescent="0.2">
      <c r="A3373" s="66" t="s">
        <v>1963</v>
      </c>
      <c r="B3373" s="66" t="s">
        <v>1155</v>
      </c>
      <c r="C3373" s="66" t="s">
        <v>9605</v>
      </c>
      <c r="D3373" s="66">
        <v>6974096536023</v>
      </c>
      <c r="E3373" s="68" t="s">
        <v>12568</v>
      </c>
      <c r="F3373" s="66" t="s">
        <v>12569</v>
      </c>
      <c r="G3373" s="71">
        <v>130697</v>
      </c>
      <c r="H3373" s="73"/>
      <c r="I3373" s="75">
        <v>0.2</v>
      </c>
      <c r="J3373" s="77"/>
      <c r="K3373" s="66"/>
      <c r="L3373" s="66"/>
      <c r="M3373" s="79" t="str">
        <f>HYPERLINK("http://www.pristavka.com/catalog/Genshin Impact/GEN438/")</f>
        <v>http://www.pristavka.com/catalog/Genshin Impact/GEN438/</v>
      </c>
      <c r="N3373" s="71">
        <v>174299</v>
      </c>
      <c r="O3373" s="66" t="s">
        <v>27</v>
      </c>
      <c r="P3373" s="82" t="s">
        <v>12570</v>
      </c>
      <c r="Q3373" s="84" t="s">
        <v>1963</v>
      </c>
      <c r="R3373" s="84" t="s">
        <v>9605</v>
      </c>
      <c r="S3373" s="84">
        <v>7.92</v>
      </c>
      <c r="T3373" s="82" t="s">
        <v>12571</v>
      </c>
      <c r="U3373" s="84" t="s">
        <v>2255</v>
      </c>
      <c r="V3373" s="54"/>
    </row>
    <row r="3374" spans="1:22" s="11" customFormat="1" ht="45" customHeight="1" x14ac:dyDescent="0.2">
      <c r="A3374" s="66" t="s">
        <v>1963</v>
      </c>
      <c r="B3374" s="66" t="s">
        <v>1155</v>
      </c>
      <c r="C3374" s="66" t="s">
        <v>9605</v>
      </c>
      <c r="D3374" s="66">
        <v>6972826761844</v>
      </c>
      <c r="E3374" s="68" t="s">
        <v>12572</v>
      </c>
      <c r="F3374" s="66" t="s">
        <v>12573</v>
      </c>
      <c r="G3374" s="71">
        <v>6941</v>
      </c>
      <c r="H3374" s="73"/>
      <c r="I3374" s="75">
        <v>0.2</v>
      </c>
      <c r="J3374" s="77"/>
      <c r="K3374" s="66"/>
      <c r="L3374" s="66"/>
      <c r="M3374" s="79" t="str">
        <f>HYPERLINK("http://www.pristavka.com/catalog/Genshin Impact/GEN1313/")</f>
        <v>http://www.pristavka.com/catalog/Genshin Impact/GEN1313/</v>
      </c>
      <c r="N3374" s="71">
        <v>11599</v>
      </c>
      <c r="O3374" s="66" t="s">
        <v>27</v>
      </c>
      <c r="P3374" s="82" t="s">
        <v>12574</v>
      </c>
      <c r="Q3374" s="84" t="s">
        <v>1963</v>
      </c>
      <c r="R3374" s="84" t="s">
        <v>9605</v>
      </c>
      <c r="S3374" s="84">
        <v>7.0000000000000007E-2</v>
      </c>
      <c r="T3374" s="82" t="s">
        <v>12575</v>
      </c>
      <c r="U3374" s="84"/>
      <c r="V3374" s="54"/>
    </row>
    <row r="3375" spans="1:22" s="11" customFormat="1" ht="45" customHeight="1" x14ac:dyDescent="0.2">
      <c r="A3375" s="66" t="s">
        <v>1963</v>
      </c>
      <c r="B3375" s="66" t="s">
        <v>1155</v>
      </c>
      <c r="C3375" s="66" t="s">
        <v>9605</v>
      </c>
      <c r="D3375" s="66">
        <v>6942421135876</v>
      </c>
      <c r="E3375" s="68" t="s">
        <v>12576</v>
      </c>
      <c r="F3375" s="66" t="s">
        <v>12577</v>
      </c>
      <c r="G3375" s="71">
        <v>15815</v>
      </c>
      <c r="H3375" s="73"/>
      <c r="I3375" s="75">
        <v>0.2</v>
      </c>
      <c r="J3375" s="77"/>
      <c r="K3375" s="66"/>
      <c r="L3375" s="66"/>
      <c r="M3375" s="79" t="str">
        <f>HYPERLINK("http://www.pristavka.com/catalog/Genshin Impact/GEN1317/")</f>
        <v>http://www.pristavka.com/catalog/Genshin Impact/GEN1317/</v>
      </c>
      <c r="N3375" s="71">
        <v>26399</v>
      </c>
      <c r="O3375" s="66" t="s">
        <v>27</v>
      </c>
      <c r="P3375" s="82" t="s">
        <v>12578</v>
      </c>
      <c r="Q3375" s="84" t="s">
        <v>1963</v>
      </c>
      <c r="R3375" s="84" t="s">
        <v>9605</v>
      </c>
      <c r="S3375" s="84">
        <v>0.35799999999999998</v>
      </c>
      <c r="T3375" s="82" t="s">
        <v>12579</v>
      </c>
      <c r="U3375" s="84"/>
      <c r="V3375" s="54"/>
    </row>
    <row r="3376" spans="1:22" s="11" customFormat="1" ht="45" customHeight="1" x14ac:dyDescent="0.2">
      <c r="A3376" s="66" t="s">
        <v>1963</v>
      </c>
      <c r="B3376" s="66" t="s">
        <v>1155</v>
      </c>
      <c r="C3376" s="66" t="s">
        <v>9605</v>
      </c>
      <c r="D3376" s="66">
        <v>6942421135913</v>
      </c>
      <c r="E3376" s="68" t="s">
        <v>12580</v>
      </c>
      <c r="F3376" s="66" t="s">
        <v>12581</v>
      </c>
      <c r="G3376" s="71">
        <v>15815</v>
      </c>
      <c r="H3376" s="73"/>
      <c r="I3376" s="75">
        <v>0.2</v>
      </c>
      <c r="J3376" s="77"/>
      <c r="K3376" s="66"/>
      <c r="L3376" s="66"/>
      <c r="M3376" s="79" t="str">
        <f>HYPERLINK("http://www.pristavka.com/catalog/Genshin Impact/GEN1319/")</f>
        <v>http://www.pristavka.com/catalog/Genshin Impact/GEN1319/</v>
      </c>
      <c r="N3376" s="71">
        <v>26399</v>
      </c>
      <c r="O3376" s="66" t="s">
        <v>28</v>
      </c>
      <c r="P3376" s="82" t="s">
        <v>12582</v>
      </c>
      <c r="Q3376" s="84" t="s">
        <v>1963</v>
      </c>
      <c r="R3376" s="84" t="s">
        <v>9605</v>
      </c>
      <c r="S3376" s="84">
        <v>0.33</v>
      </c>
      <c r="T3376" s="82" t="s">
        <v>12583</v>
      </c>
      <c r="U3376" s="84"/>
      <c r="V3376" s="54"/>
    </row>
    <row r="3377" spans="1:22" s="11" customFormat="1" ht="45" customHeight="1" x14ac:dyDescent="0.2">
      <c r="A3377" s="66" t="s">
        <v>1963</v>
      </c>
      <c r="B3377" s="66" t="s">
        <v>1155</v>
      </c>
      <c r="C3377" s="66" t="s">
        <v>9605</v>
      </c>
      <c r="D3377" s="66">
        <v>6942421135906</v>
      </c>
      <c r="E3377" s="68" t="s">
        <v>12584</v>
      </c>
      <c r="F3377" s="66" t="s">
        <v>12585</v>
      </c>
      <c r="G3377" s="71">
        <v>15815</v>
      </c>
      <c r="H3377" s="73"/>
      <c r="I3377" s="75">
        <v>0.2</v>
      </c>
      <c r="J3377" s="77"/>
      <c r="K3377" s="66"/>
      <c r="L3377" s="66"/>
      <c r="M3377" s="79" t="str">
        <f>HYPERLINK("http://www.pristavka.com/catalog/Genshin Impact/GEN1320/")</f>
        <v>http://www.pristavka.com/catalog/Genshin Impact/GEN1320/</v>
      </c>
      <c r="N3377" s="71">
        <v>26399</v>
      </c>
      <c r="O3377" s="66" t="s">
        <v>27</v>
      </c>
      <c r="P3377" s="82" t="s">
        <v>12586</v>
      </c>
      <c r="Q3377" s="84" t="s">
        <v>1963</v>
      </c>
      <c r="R3377" s="84" t="s">
        <v>9605</v>
      </c>
      <c r="S3377" s="84">
        <v>0.38</v>
      </c>
      <c r="T3377" s="82" t="s">
        <v>12587</v>
      </c>
      <c r="U3377" s="84"/>
      <c r="V3377" s="54"/>
    </row>
    <row r="3378" spans="1:22" s="11" customFormat="1" ht="45" customHeight="1" x14ac:dyDescent="0.2">
      <c r="A3378" s="66" t="s">
        <v>1963</v>
      </c>
      <c r="B3378" s="66" t="s">
        <v>1155</v>
      </c>
      <c r="C3378" s="66" t="s">
        <v>9605</v>
      </c>
      <c r="D3378" s="66">
        <v>6942421135883</v>
      </c>
      <c r="E3378" s="68" t="s">
        <v>12588</v>
      </c>
      <c r="F3378" s="66" t="s">
        <v>12589</v>
      </c>
      <c r="G3378" s="71">
        <v>14230</v>
      </c>
      <c r="H3378" s="73"/>
      <c r="I3378" s="75">
        <v>0.2</v>
      </c>
      <c r="J3378" s="77"/>
      <c r="K3378" s="66"/>
      <c r="L3378" s="66"/>
      <c r="M3378" s="79" t="str">
        <f>HYPERLINK("http://www.pristavka.com/catalog/Genshin Impact/GEN1316/")</f>
        <v>http://www.pristavka.com/catalog/Genshin Impact/GEN1316/</v>
      </c>
      <c r="N3378" s="71">
        <v>23799</v>
      </c>
      <c r="O3378" s="66" t="s">
        <v>27</v>
      </c>
      <c r="P3378" s="82" t="s">
        <v>12590</v>
      </c>
      <c r="Q3378" s="84" t="s">
        <v>1963</v>
      </c>
      <c r="R3378" s="84" t="s">
        <v>9605</v>
      </c>
      <c r="S3378" s="84">
        <v>0.39100000000000001</v>
      </c>
      <c r="T3378" s="82" t="s">
        <v>12591</v>
      </c>
      <c r="U3378" s="84"/>
      <c r="V3378" s="54"/>
    </row>
    <row r="3379" spans="1:22" s="11" customFormat="1" ht="45" customHeight="1" x14ac:dyDescent="0.2">
      <c r="A3379" s="66" t="s">
        <v>1963</v>
      </c>
      <c r="B3379" s="66" t="s">
        <v>1155</v>
      </c>
      <c r="C3379" s="66" t="s">
        <v>9605</v>
      </c>
      <c r="D3379" s="66">
        <v>6942421135890</v>
      </c>
      <c r="E3379" s="68" t="s">
        <v>12592</v>
      </c>
      <c r="F3379" s="66" t="s">
        <v>12593</v>
      </c>
      <c r="G3379" s="71">
        <v>15815</v>
      </c>
      <c r="H3379" s="73"/>
      <c r="I3379" s="75">
        <v>0.2</v>
      </c>
      <c r="J3379" s="77"/>
      <c r="K3379" s="66"/>
      <c r="L3379" s="66"/>
      <c r="M3379" s="79" t="str">
        <f>HYPERLINK("http://www.pristavka.com/catalog/Genshin Impact/GEN1318/")</f>
        <v>http://www.pristavka.com/catalog/Genshin Impact/GEN1318/</v>
      </c>
      <c r="N3379" s="71">
        <v>26399</v>
      </c>
      <c r="O3379" s="66" t="s">
        <v>27</v>
      </c>
      <c r="P3379" s="82" t="s">
        <v>12594</v>
      </c>
      <c r="Q3379" s="84" t="s">
        <v>1963</v>
      </c>
      <c r="R3379" s="84" t="s">
        <v>9605</v>
      </c>
      <c r="S3379" s="84">
        <v>0.375</v>
      </c>
      <c r="T3379" s="82" t="s">
        <v>12595</v>
      </c>
      <c r="U3379" s="84"/>
      <c r="V3379" s="54"/>
    </row>
    <row r="3380" spans="1:22" s="11" customFormat="1" ht="45" customHeight="1" x14ac:dyDescent="0.2">
      <c r="A3380" s="66" t="s">
        <v>1963</v>
      </c>
      <c r="B3380" s="66" t="s">
        <v>1155</v>
      </c>
      <c r="C3380" s="66" t="s">
        <v>9605</v>
      </c>
      <c r="D3380" s="66">
        <v>6942421102106</v>
      </c>
      <c r="E3380" s="68" t="s">
        <v>12596</v>
      </c>
      <c r="F3380" s="66" t="s">
        <v>12597</v>
      </c>
      <c r="G3380" s="71">
        <v>13913</v>
      </c>
      <c r="H3380" s="73"/>
      <c r="I3380" s="75">
        <v>0.2</v>
      </c>
      <c r="J3380" s="77"/>
      <c r="K3380" s="66"/>
      <c r="L3380" s="66"/>
      <c r="M3380" s="79" t="str">
        <f>HYPERLINK("http://www.pristavka.com/catalog/Genshin Impact/GEN1165/")</f>
        <v>http://www.pristavka.com/catalog/Genshin Impact/GEN1165/</v>
      </c>
      <c r="N3380" s="71">
        <v>23199</v>
      </c>
      <c r="O3380" s="66" t="s">
        <v>27</v>
      </c>
      <c r="P3380" s="82" t="s">
        <v>12598</v>
      </c>
      <c r="Q3380" s="84" t="s">
        <v>1963</v>
      </c>
      <c r="R3380" s="84" t="s">
        <v>9605</v>
      </c>
      <c r="S3380" s="84">
        <v>0.94499999999999995</v>
      </c>
      <c r="T3380" s="82" t="s">
        <v>12599</v>
      </c>
      <c r="U3380" s="84"/>
      <c r="V3380" s="54"/>
    </row>
    <row r="3381" spans="1:22" s="11" customFormat="1" ht="45" customHeight="1" x14ac:dyDescent="0.2">
      <c r="A3381" s="66" t="s">
        <v>1963</v>
      </c>
      <c r="B3381" s="66" t="s">
        <v>1155</v>
      </c>
      <c r="C3381" s="66" t="s">
        <v>9605</v>
      </c>
      <c r="D3381" s="66">
        <v>6976525006008</v>
      </c>
      <c r="E3381" s="68" t="s">
        <v>12600</v>
      </c>
      <c r="F3381" s="66" t="s">
        <v>12601</v>
      </c>
      <c r="G3381" s="71">
        <v>21520</v>
      </c>
      <c r="H3381" s="73"/>
      <c r="I3381" s="75">
        <v>0.2</v>
      </c>
      <c r="J3381" s="77"/>
      <c r="K3381" s="66"/>
      <c r="L3381" s="66"/>
      <c r="M3381" s="79" t="str">
        <f>HYPERLINK("http://www.pristavka.com/catalog/Genshin Impact/GEN1169/")</f>
        <v>http://www.pristavka.com/catalog/Genshin Impact/GEN1169/</v>
      </c>
      <c r="N3381" s="71">
        <v>35899</v>
      </c>
      <c r="O3381" s="66" t="s">
        <v>27</v>
      </c>
      <c r="P3381" s="82" t="s">
        <v>12602</v>
      </c>
      <c r="Q3381" s="84" t="s">
        <v>1963</v>
      </c>
      <c r="R3381" s="84" t="s">
        <v>9605</v>
      </c>
      <c r="S3381" s="84">
        <v>0.77200000000000002</v>
      </c>
      <c r="T3381" s="82" t="s">
        <v>12603</v>
      </c>
      <c r="U3381" s="84"/>
      <c r="V3381" s="54"/>
    </row>
    <row r="3382" spans="1:22" s="11" customFormat="1" ht="45" customHeight="1" x14ac:dyDescent="0.2">
      <c r="A3382" s="66" t="s">
        <v>1963</v>
      </c>
      <c r="B3382" s="66" t="s">
        <v>1155</v>
      </c>
      <c r="C3382" s="66" t="s">
        <v>9605</v>
      </c>
      <c r="D3382" s="66">
        <v>6976525004158</v>
      </c>
      <c r="E3382" s="68" t="s">
        <v>12604</v>
      </c>
      <c r="F3382" s="66" t="s">
        <v>12605</v>
      </c>
      <c r="G3382" s="71">
        <v>6941</v>
      </c>
      <c r="H3382" s="73"/>
      <c r="I3382" s="75">
        <v>0.2</v>
      </c>
      <c r="J3382" s="77"/>
      <c r="K3382" s="66"/>
      <c r="L3382" s="66"/>
      <c r="M3382" s="79" t="str">
        <f>HYPERLINK("http://www.pristavka.com/catalog/Genshin Impact/GEN1059/")</f>
        <v>http://www.pristavka.com/catalog/Genshin Impact/GEN1059/</v>
      </c>
      <c r="N3382" s="71">
        <v>11599</v>
      </c>
      <c r="O3382" s="66" t="s">
        <v>27</v>
      </c>
      <c r="P3382" s="82" t="s">
        <v>12606</v>
      </c>
      <c r="Q3382" s="84" t="s">
        <v>1963</v>
      </c>
      <c r="R3382" s="84" t="s">
        <v>9605</v>
      </c>
      <c r="S3382" s="84">
        <v>0.10299999999999999</v>
      </c>
      <c r="T3382" s="82" t="s">
        <v>12607</v>
      </c>
      <c r="U3382" s="84"/>
      <c r="V3382" s="54"/>
    </row>
    <row r="3383" spans="1:22" s="11" customFormat="1" ht="45" customHeight="1" x14ac:dyDescent="0.2">
      <c r="A3383" s="66" t="s">
        <v>1963</v>
      </c>
      <c r="B3383" s="66" t="s">
        <v>1155</v>
      </c>
      <c r="C3383" s="66" t="s">
        <v>9605</v>
      </c>
      <c r="D3383" s="66">
        <v>6976525004165</v>
      </c>
      <c r="E3383" s="68" t="s">
        <v>12608</v>
      </c>
      <c r="F3383" s="66" t="s">
        <v>12609</v>
      </c>
      <c r="G3383" s="71">
        <v>6941</v>
      </c>
      <c r="H3383" s="73"/>
      <c r="I3383" s="75">
        <v>0.2</v>
      </c>
      <c r="J3383" s="77"/>
      <c r="K3383" s="66"/>
      <c r="L3383" s="66"/>
      <c r="M3383" s="79" t="str">
        <f>HYPERLINK("http://www.pristavka.com/catalog/Genshin Impact/GEN1058/")</f>
        <v>http://www.pristavka.com/catalog/Genshin Impact/GEN1058/</v>
      </c>
      <c r="N3383" s="71">
        <v>11599</v>
      </c>
      <c r="O3383" s="66" t="s">
        <v>28</v>
      </c>
      <c r="P3383" s="82" t="s">
        <v>12610</v>
      </c>
      <c r="Q3383" s="84" t="s">
        <v>1963</v>
      </c>
      <c r="R3383" s="84" t="s">
        <v>9605</v>
      </c>
      <c r="S3383" s="84">
        <v>0.106</v>
      </c>
      <c r="T3383" s="82" t="s">
        <v>12611</v>
      </c>
      <c r="U3383" s="84"/>
      <c r="V3383" s="54"/>
    </row>
    <row r="3384" spans="1:22" s="11" customFormat="1" ht="45" customHeight="1" x14ac:dyDescent="0.2">
      <c r="A3384" s="66" t="s">
        <v>1963</v>
      </c>
      <c r="B3384" s="66" t="s">
        <v>1155</v>
      </c>
      <c r="C3384" s="66" t="s">
        <v>9605</v>
      </c>
      <c r="D3384" s="66">
        <v>6975628244119</v>
      </c>
      <c r="E3384" s="68" t="s">
        <v>12612</v>
      </c>
      <c r="F3384" s="66" t="s">
        <v>12613</v>
      </c>
      <c r="G3384" s="71">
        <v>22787</v>
      </c>
      <c r="H3384" s="73"/>
      <c r="I3384" s="75">
        <v>0.2</v>
      </c>
      <c r="J3384" s="77"/>
      <c r="K3384" s="66"/>
      <c r="L3384" s="66"/>
      <c r="M3384" s="79" t="str">
        <f>HYPERLINK("http://www.pristavka.com/catalog/Genshin Impact/GEN855/")</f>
        <v>http://www.pristavka.com/catalog/Genshin Impact/GEN855/</v>
      </c>
      <c r="N3384" s="71">
        <v>37999</v>
      </c>
      <c r="O3384" s="66" t="s">
        <v>27</v>
      </c>
      <c r="P3384" s="82" t="s">
        <v>12614</v>
      </c>
      <c r="Q3384" s="84" t="s">
        <v>1963</v>
      </c>
      <c r="R3384" s="84" t="s">
        <v>9605</v>
      </c>
      <c r="S3384" s="84">
        <v>0.39800000000000002</v>
      </c>
      <c r="T3384" s="82" t="s">
        <v>12615</v>
      </c>
      <c r="U3384" s="84"/>
      <c r="V3384" s="54"/>
    </row>
    <row r="3385" spans="1:22" s="11" customFormat="1" ht="45" customHeight="1" x14ac:dyDescent="0.2">
      <c r="A3385" s="66" t="s">
        <v>12616</v>
      </c>
      <c r="B3385" s="66" t="s">
        <v>1707</v>
      </c>
      <c r="C3385" s="66" t="s">
        <v>12616</v>
      </c>
      <c r="D3385" s="66">
        <v>4580416927734</v>
      </c>
      <c r="E3385" s="68" t="s">
        <v>12617</v>
      </c>
      <c r="F3385" s="66" t="s">
        <v>12618</v>
      </c>
      <c r="G3385" s="71">
        <v>30182</v>
      </c>
      <c r="H3385" s="73"/>
      <c r="I3385" s="75">
        <v>0.2</v>
      </c>
      <c r="J3385" s="77"/>
      <c r="K3385" s="66"/>
      <c r="L3385" s="66"/>
      <c r="M3385" s="79" t="str">
        <f>HYPERLINK("http://www.pristavka.com/catalog/good_smile_company/GDS1009/")</f>
        <v>http://www.pristavka.com/catalog/good_smile_company/GDS1009/</v>
      </c>
      <c r="N3385" s="71">
        <v>46499</v>
      </c>
      <c r="O3385" s="66" t="s">
        <v>27</v>
      </c>
      <c r="P3385" s="82" t="s">
        <v>12619</v>
      </c>
      <c r="Q3385" s="84" t="s">
        <v>1505</v>
      </c>
      <c r="R3385" s="84" t="s">
        <v>1068</v>
      </c>
      <c r="S3385" s="84">
        <v>0.2</v>
      </c>
      <c r="T3385" s="82" t="s">
        <v>12620</v>
      </c>
      <c r="U3385" s="84"/>
      <c r="V3385" s="54"/>
    </row>
    <row r="3386" spans="1:22" s="11" customFormat="1" ht="45" customHeight="1" x14ac:dyDescent="0.2">
      <c r="A3386" s="66" t="s">
        <v>12616</v>
      </c>
      <c r="B3386" s="66" t="s">
        <v>1707</v>
      </c>
      <c r="C3386" s="66" t="s">
        <v>12616</v>
      </c>
      <c r="D3386" s="66">
        <v>4580416927727</v>
      </c>
      <c r="E3386" s="68" t="s">
        <v>12621</v>
      </c>
      <c r="F3386" s="66" t="s">
        <v>12622</v>
      </c>
      <c r="G3386" s="71">
        <v>20226</v>
      </c>
      <c r="H3386" s="73"/>
      <c r="I3386" s="75">
        <v>0.2</v>
      </c>
      <c r="J3386" s="77"/>
      <c r="K3386" s="66"/>
      <c r="L3386" s="66"/>
      <c r="M3386" s="79" t="str">
        <f>HYPERLINK("http://www.pristavka.com/catalog/good_smile_company/GDS1010/")</f>
        <v>http://www.pristavka.com/catalog/good_smile_company/GDS1010/</v>
      </c>
      <c r="N3386" s="71">
        <v>31199</v>
      </c>
      <c r="O3386" s="66" t="s">
        <v>27</v>
      </c>
      <c r="P3386" s="82" t="s">
        <v>12623</v>
      </c>
      <c r="Q3386" s="84" t="s">
        <v>1505</v>
      </c>
      <c r="R3386" s="84" t="s">
        <v>1068</v>
      </c>
      <c r="S3386" s="84">
        <v>0.16</v>
      </c>
      <c r="T3386" s="82" t="s">
        <v>12624</v>
      </c>
      <c r="U3386" s="84"/>
      <c r="V3386" s="54"/>
    </row>
    <row r="3387" spans="1:22" s="11" customFormat="1" ht="45" customHeight="1" x14ac:dyDescent="0.2">
      <c r="A3387" s="66" t="s">
        <v>12616</v>
      </c>
      <c r="B3387" s="66" t="s">
        <v>2223</v>
      </c>
      <c r="C3387" s="66" t="s">
        <v>12616</v>
      </c>
      <c r="D3387" s="66">
        <v>4580736401082</v>
      </c>
      <c r="E3387" s="68" t="s">
        <v>12625</v>
      </c>
      <c r="F3387" s="66" t="s">
        <v>12626</v>
      </c>
      <c r="G3387" s="71">
        <v>8837</v>
      </c>
      <c r="H3387" s="73"/>
      <c r="I3387" s="75">
        <v>0.2</v>
      </c>
      <c r="J3387" s="77"/>
      <c r="K3387" s="66"/>
      <c r="L3387" s="66"/>
      <c r="M3387" s="79" t="str">
        <f>HYPERLINK("http://www.pristavka.com/catalog/good_smile_company/GDS921/")</f>
        <v>http://www.pristavka.com/catalog/good_smile_company/GDS921/</v>
      </c>
      <c r="N3387" s="71">
        <v>12699</v>
      </c>
      <c r="O3387" s="66" t="s">
        <v>27</v>
      </c>
      <c r="P3387" s="82" t="s">
        <v>12627</v>
      </c>
      <c r="Q3387" s="84" t="s">
        <v>1522</v>
      </c>
      <c r="R3387" s="84" t="s">
        <v>1068</v>
      </c>
      <c r="S3387" s="84">
        <v>5.3999999999999999E-2</v>
      </c>
      <c r="T3387" s="82" t="s">
        <v>12628</v>
      </c>
      <c r="U3387" s="84" t="s">
        <v>2255</v>
      </c>
      <c r="V3387" s="54"/>
    </row>
    <row r="3388" spans="1:22" s="11" customFormat="1" ht="45" customHeight="1" x14ac:dyDescent="0.2">
      <c r="A3388" s="66" t="s">
        <v>12616</v>
      </c>
      <c r="B3388" s="66" t="s">
        <v>1707</v>
      </c>
      <c r="C3388" s="66" t="s">
        <v>12616</v>
      </c>
      <c r="D3388" s="66">
        <v>4580779515692</v>
      </c>
      <c r="E3388" s="68" t="s">
        <v>12629</v>
      </c>
      <c r="F3388" s="66" t="s">
        <v>12630</v>
      </c>
      <c r="G3388" s="71">
        <v>10316</v>
      </c>
      <c r="H3388" s="73"/>
      <c r="I3388" s="75">
        <v>0.2</v>
      </c>
      <c r="J3388" s="77"/>
      <c r="K3388" s="66"/>
      <c r="L3388" s="66"/>
      <c r="M3388" s="79" t="str">
        <f>HYPERLINK("http://www.pristavka.com/catalog/good_smile_company/GDS679/")</f>
        <v>http://www.pristavka.com/catalog/good_smile_company/GDS679/</v>
      </c>
      <c r="N3388" s="71">
        <v>14799</v>
      </c>
      <c r="O3388" s="66" t="s">
        <v>28</v>
      </c>
      <c r="P3388" s="82" t="s">
        <v>12631</v>
      </c>
      <c r="Q3388" s="84" t="s">
        <v>1091</v>
      </c>
      <c r="R3388" s="84" t="s">
        <v>1068</v>
      </c>
      <c r="S3388" s="84">
        <v>0.20300000000000001</v>
      </c>
      <c r="T3388" s="82" t="s">
        <v>12632</v>
      </c>
      <c r="U3388" s="84"/>
      <c r="V3388" s="54"/>
    </row>
    <row r="3389" spans="1:22" s="11" customFormat="1" ht="45" customHeight="1" x14ac:dyDescent="0.2">
      <c r="A3389" s="66" t="s">
        <v>12616</v>
      </c>
      <c r="B3389" s="66" t="s">
        <v>2223</v>
      </c>
      <c r="C3389" s="66" t="s">
        <v>12616</v>
      </c>
      <c r="D3389" s="66">
        <v>4570001965319</v>
      </c>
      <c r="E3389" s="68" t="s">
        <v>12633</v>
      </c>
      <c r="F3389" s="66" t="s">
        <v>12634</v>
      </c>
      <c r="G3389" s="71">
        <v>11299</v>
      </c>
      <c r="H3389" s="73"/>
      <c r="I3389" s="75">
        <v>0.2</v>
      </c>
      <c r="J3389" s="77"/>
      <c r="K3389" s="66"/>
      <c r="L3389" s="66"/>
      <c r="M3389" s="79" t="str">
        <f>HYPERLINK("http://www.pristavka.com/catalog/good_smile_company/GDS729/")</f>
        <v>http://www.pristavka.com/catalog/good_smile_company/GDS729/</v>
      </c>
      <c r="N3389" s="71">
        <v>17399</v>
      </c>
      <c r="O3389" s="66" t="s">
        <v>28</v>
      </c>
      <c r="P3389" s="82" t="s">
        <v>12635</v>
      </c>
      <c r="Q3389" s="84" t="s">
        <v>2696</v>
      </c>
      <c r="R3389" s="84" t="s">
        <v>1068</v>
      </c>
      <c r="S3389" s="84">
        <v>0.31</v>
      </c>
      <c r="T3389" s="82" t="s">
        <v>12636</v>
      </c>
      <c r="U3389" s="84"/>
      <c r="V3389" s="54"/>
    </row>
    <row r="3390" spans="1:22" s="11" customFormat="1" ht="45" customHeight="1" x14ac:dyDescent="0.2">
      <c r="A3390" s="66" t="s">
        <v>12616</v>
      </c>
      <c r="B3390" s="66" t="s">
        <v>2223</v>
      </c>
      <c r="C3390" s="66" t="s">
        <v>12616</v>
      </c>
      <c r="D3390" s="66">
        <v>4570001965326</v>
      </c>
      <c r="E3390" s="68" t="s">
        <v>12637</v>
      </c>
      <c r="F3390" s="66" t="s">
        <v>12638</v>
      </c>
      <c r="G3390" s="71">
        <v>11299</v>
      </c>
      <c r="H3390" s="73"/>
      <c r="I3390" s="75">
        <v>0.2</v>
      </c>
      <c r="J3390" s="77"/>
      <c r="K3390" s="66"/>
      <c r="L3390" s="66"/>
      <c r="M3390" s="79" t="str">
        <f>HYPERLINK("http://www.pristavka.com/catalog/good_smile_company/GDS730/")</f>
        <v>http://www.pristavka.com/catalog/good_smile_company/GDS730/</v>
      </c>
      <c r="N3390" s="71">
        <v>17399</v>
      </c>
      <c r="O3390" s="66" t="s">
        <v>28</v>
      </c>
      <c r="P3390" s="82" t="s">
        <v>12639</v>
      </c>
      <c r="Q3390" s="84" t="s">
        <v>2696</v>
      </c>
      <c r="R3390" s="84" t="s">
        <v>1068</v>
      </c>
      <c r="S3390" s="84">
        <v>0.31</v>
      </c>
      <c r="T3390" s="82" t="s">
        <v>12636</v>
      </c>
      <c r="U3390" s="84"/>
      <c r="V3390" s="54"/>
    </row>
    <row r="3391" spans="1:22" s="11" customFormat="1" ht="45" customHeight="1" x14ac:dyDescent="0.2">
      <c r="A3391" s="66" t="s">
        <v>12616</v>
      </c>
      <c r="B3391" s="66" t="s">
        <v>2223</v>
      </c>
      <c r="C3391" s="66" t="s">
        <v>12616</v>
      </c>
      <c r="D3391" s="66">
        <v>4570001965296</v>
      </c>
      <c r="E3391" s="68" t="s">
        <v>12640</v>
      </c>
      <c r="F3391" s="66" t="s">
        <v>12641</v>
      </c>
      <c r="G3391" s="71">
        <v>11299</v>
      </c>
      <c r="H3391" s="73"/>
      <c r="I3391" s="75">
        <v>0.2</v>
      </c>
      <c r="J3391" s="77"/>
      <c r="K3391" s="66"/>
      <c r="L3391" s="66"/>
      <c r="M3391" s="79" t="str">
        <f>HYPERLINK("http://www.pristavka.com/catalog/good_smile_company/GDS727/")</f>
        <v>http://www.pristavka.com/catalog/good_smile_company/GDS727/</v>
      </c>
      <c r="N3391" s="71">
        <v>17399</v>
      </c>
      <c r="O3391" s="66" t="s">
        <v>28</v>
      </c>
      <c r="P3391" s="82" t="s">
        <v>12642</v>
      </c>
      <c r="Q3391" s="84" t="s">
        <v>2696</v>
      </c>
      <c r="R3391" s="84" t="s">
        <v>1068</v>
      </c>
      <c r="S3391" s="84">
        <v>0.31</v>
      </c>
      <c r="T3391" s="82" t="s">
        <v>12636</v>
      </c>
      <c r="U3391" s="84"/>
      <c r="V3391" s="54"/>
    </row>
    <row r="3392" spans="1:22" s="11" customFormat="1" ht="45" customHeight="1" x14ac:dyDescent="0.2">
      <c r="A3392" s="66" t="s">
        <v>12616</v>
      </c>
      <c r="B3392" s="66" t="s">
        <v>2223</v>
      </c>
      <c r="C3392" s="66" t="s">
        <v>12616</v>
      </c>
      <c r="D3392" s="66">
        <v>4570001965289</v>
      </c>
      <c r="E3392" s="68" t="s">
        <v>12643</v>
      </c>
      <c r="F3392" s="66" t="s">
        <v>12644</v>
      </c>
      <c r="G3392" s="71">
        <v>11299</v>
      </c>
      <c r="H3392" s="73"/>
      <c r="I3392" s="75">
        <v>0.2</v>
      </c>
      <c r="J3392" s="77"/>
      <c r="K3392" s="66"/>
      <c r="L3392" s="66"/>
      <c r="M3392" s="79" t="str">
        <f>HYPERLINK("http://www.pristavka.com/catalog/good_smile_company/GDS726/")</f>
        <v>http://www.pristavka.com/catalog/good_smile_company/GDS726/</v>
      </c>
      <c r="N3392" s="71">
        <v>17399</v>
      </c>
      <c r="O3392" s="66" t="s">
        <v>28</v>
      </c>
      <c r="P3392" s="82" t="s">
        <v>12645</v>
      </c>
      <c r="Q3392" s="84" t="s">
        <v>2696</v>
      </c>
      <c r="R3392" s="84" t="s">
        <v>1068</v>
      </c>
      <c r="S3392" s="84">
        <v>0.31</v>
      </c>
      <c r="T3392" s="82" t="s">
        <v>12636</v>
      </c>
      <c r="U3392" s="84"/>
      <c r="V3392" s="54"/>
    </row>
    <row r="3393" spans="1:22" s="11" customFormat="1" ht="45" customHeight="1" x14ac:dyDescent="0.2">
      <c r="A3393" s="66" t="s">
        <v>12616</v>
      </c>
      <c r="B3393" s="66" t="s">
        <v>1707</v>
      </c>
      <c r="C3393" s="66" t="s">
        <v>12616</v>
      </c>
      <c r="D3393" s="66">
        <v>4582638233587</v>
      </c>
      <c r="E3393" s="68" t="s">
        <v>12646</v>
      </c>
      <c r="F3393" s="66" t="s">
        <v>12647</v>
      </c>
      <c r="G3393" s="71">
        <v>32352</v>
      </c>
      <c r="H3393" s="73"/>
      <c r="I3393" s="75">
        <v>0.2</v>
      </c>
      <c r="J3393" s="77"/>
      <c r="K3393" s="66"/>
      <c r="L3393" s="66"/>
      <c r="M3393" s="79" t="str">
        <f>HYPERLINK("http://www.pristavka.com/catalog/good_smile_company/GDS1047/")</f>
        <v>http://www.pristavka.com/catalog/good_smile_company/GDS1047/</v>
      </c>
      <c r="N3393" s="71">
        <v>49799</v>
      </c>
      <c r="O3393" s="66" t="s">
        <v>28</v>
      </c>
      <c r="P3393" s="82" t="s">
        <v>12648</v>
      </c>
      <c r="Q3393" s="84" t="s">
        <v>1442</v>
      </c>
      <c r="R3393" s="84" t="s">
        <v>1068</v>
      </c>
      <c r="S3393" s="84">
        <v>0.23699999999999999</v>
      </c>
      <c r="T3393" s="82" t="s">
        <v>12649</v>
      </c>
      <c r="U3393" s="84"/>
      <c r="V3393" s="54"/>
    </row>
    <row r="3394" spans="1:22" s="11" customFormat="1" ht="45" customHeight="1" x14ac:dyDescent="0.2">
      <c r="A3394" s="66" t="s">
        <v>12616</v>
      </c>
      <c r="B3394" s="66" t="s">
        <v>1707</v>
      </c>
      <c r="C3394" s="66" t="s">
        <v>12616</v>
      </c>
      <c r="D3394" s="66">
        <v>4534530766083</v>
      </c>
      <c r="E3394" s="68" t="s">
        <v>12650</v>
      </c>
      <c r="F3394" s="66" t="s">
        <v>12651</v>
      </c>
      <c r="G3394" s="71">
        <v>67998</v>
      </c>
      <c r="H3394" s="73"/>
      <c r="I3394" s="75">
        <v>0.2</v>
      </c>
      <c r="J3394" s="77"/>
      <c r="K3394" s="66"/>
      <c r="L3394" s="66"/>
      <c r="M3394" s="79" t="str">
        <f>HYPERLINK("http://www.pristavka.com/catalog/good_smile_company/GDS883/")</f>
        <v>http://www.pristavka.com/catalog/good_smile_company/GDS883/</v>
      </c>
      <c r="N3394" s="71">
        <v>97199</v>
      </c>
      <c r="O3394" s="66" t="s">
        <v>28</v>
      </c>
      <c r="P3394" s="82" t="s">
        <v>12652</v>
      </c>
      <c r="Q3394" s="84" t="s">
        <v>1068</v>
      </c>
      <c r="R3394" s="84" t="s">
        <v>1068</v>
      </c>
      <c r="S3394" s="84">
        <v>0.375</v>
      </c>
      <c r="T3394" s="82" t="s">
        <v>12653</v>
      </c>
      <c r="U3394" s="84" t="s">
        <v>3708</v>
      </c>
      <c r="V3394" s="54"/>
    </row>
    <row r="3395" spans="1:22" s="11" customFormat="1" ht="45" customHeight="1" x14ac:dyDescent="0.2">
      <c r="A3395" s="66" t="s">
        <v>12616</v>
      </c>
      <c r="B3395" s="66" t="s">
        <v>1155</v>
      </c>
      <c r="C3395" s="66" t="s">
        <v>12616</v>
      </c>
      <c r="D3395" s="66">
        <v>6976068146599</v>
      </c>
      <c r="E3395" s="68" t="s">
        <v>12654</v>
      </c>
      <c r="F3395" s="66" t="s">
        <v>12655</v>
      </c>
      <c r="G3395" s="71">
        <v>92402</v>
      </c>
      <c r="H3395" s="73"/>
      <c r="I3395" s="75">
        <v>0.2</v>
      </c>
      <c r="J3395" s="77"/>
      <c r="K3395" s="66"/>
      <c r="L3395" s="66"/>
      <c r="M3395" s="79" t="str">
        <f>HYPERLINK("http://www.pristavka.com/catalog/good_smile_company/GDS1158/")</f>
        <v>http://www.pristavka.com/catalog/good_smile_company/GDS1158/</v>
      </c>
      <c r="N3395" s="71">
        <v>132099</v>
      </c>
      <c r="O3395" s="66" t="s">
        <v>28</v>
      </c>
      <c r="P3395" s="82" t="s">
        <v>12656</v>
      </c>
      <c r="Q3395" s="84" t="s">
        <v>1963</v>
      </c>
      <c r="R3395" s="84" t="s">
        <v>1068</v>
      </c>
      <c r="S3395" s="84">
        <v>0.90900000000000003</v>
      </c>
      <c r="T3395" s="82" t="s">
        <v>12657</v>
      </c>
      <c r="U3395" s="84"/>
      <c r="V3395" s="54"/>
    </row>
    <row r="3396" spans="1:22" s="11" customFormat="1" ht="45" customHeight="1" x14ac:dyDescent="0.2">
      <c r="A3396" s="66" t="s">
        <v>12616</v>
      </c>
      <c r="B3396" s="66" t="s">
        <v>1155</v>
      </c>
      <c r="C3396" s="66" t="s">
        <v>12616</v>
      </c>
      <c r="D3396" s="66">
        <v>6971995421269</v>
      </c>
      <c r="E3396" s="68" t="s">
        <v>12658</v>
      </c>
      <c r="F3396" s="66" t="s">
        <v>12659</v>
      </c>
      <c r="G3396" s="71">
        <v>81309</v>
      </c>
      <c r="H3396" s="73"/>
      <c r="I3396" s="75">
        <v>0.2</v>
      </c>
      <c r="J3396" s="77"/>
      <c r="K3396" s="66"/>
      <c r="L3396" s="66"/>
      <c r="M3396" s="79" t="str">
        <f>HYPERLINK("http://www.pristavka.com/catalog/good_smile_company/GDS1160/")</f>
        <v>http://www.pristavka.com/catalog/good_smile_company/GDS1160/</v>
      </c>
      <c r="N3396" s="71">
        <v>116199</v>
      </c>
      <c r="O3396" s="66" t="s">
        <v>28</v>
      </c>
      <c r="P3396" s="82" t="s">
        <v>12660</v>
      </c>
      <c r="Q3396" s="84" t="s">
        <v>1963</v>
      </c>
      <c r="R3396" s="84" t="s">
        <v>1068</v>
      </c>
      <c r="S3396" s="84">
        <v>0.71799999999999997</v>
      </c>
      <c r="T3396" s="82" t="s">
        <v>12661</v>
      </c>
      <c r="U3396" s="84"/>
      <c r="V3396" s="54"/>
    </row>
    <row r="3397" spans="1:22" s="11" customFormat="1" ht="45" customHeight="1" x14ac:dyDescent="0.2">
      <c r="A3397" s="66" t="s">
        <v>12616</v>
      </c>
      <c r="B3397" s="66" t="s">
        <v>1155</v>
      </c>
      <c r="C3397" s="66" t="s">
        <v>12616</v>
      </c>
      <c r="D3397" s="66">
        <v>6971995420804</v>
      </c>
      <c r="E3397" s="68" t="s">
        <v>12662</v>
      </c>
      <c r="F3397" s="66" t="s">
        <v>12663</v>
      </c>
      <c r="G3397" s="71">
        <v>96099</v>
      </c>
      <c r="H3397" s="73"/>
      <c r="I3397" s="75">
        <v>0.2</v>
      </c>
      <c r="J3397" s="77"/>
      <c r="K3397" s="66"/>
      <c r="L3397" s="66"/>
      <c r="M3397" s="79" t="str">
        <f>HYPERLINK("http://www.pristavka.com/catalog/good_smile_company/GDS1159/")</f>
        <v>http://www.pristavka.com/catalog/good_smile_company/GDS1159/</v>
      </c>
      <c r="N3397" s="71">
        <v>137299</v>
      </c>
      <c r="O3397" s="66" t="s">
        <v>27</v>
      </c>
      <c r="P3397" s="82" t="s">
        <v>12664</v>
      </c>
      <c r="Q3397" s="84" t="s">
        <v>1963</v>
      </c>
      <c r="R3397" s="84" t="s">
        <v>1068</v>
      </c>
      <c r="S3397" s="84">
        <v>1.3979999999999999</v>
      </c>
      <c r="T3397" s="82" t="s">
        <v>12665</v>
      </c>
      <c r="U3397" s="84"/>
      <c r="V3397" s="54"/>
    </row>
    <row r="3398" spans="1:22" s="11" customFormat="1" ht="45" customHeight="1" x14ac:dyDescent="0.2">
      <c r="A3398" s="66" t="s">
        <v>12616</v>
      </c>
      <c r="B3398" s="66" t="s">
        <v>1155</v>
      </c>
      <c r="C3398" s="66" t="s">
        <v>12616</v>
      </c>
      <c r="D3398" s="66">
        <v>6971995420859</v>
      </c>
      <c r="E3398" s="68" t="s">
        <v>12666</v>
      </c>
      <c r="F3398" s="66" t="s">
        <v>12667</v>
      </c>
      <c r="G3398" s="71">
        <v>81309</v>
      </c>
      <c r="H3398" s="73"/>
      <c r="I3398" s="75">
        <v>0.2</v>
      </c>
      <c r="J3398" s="77"/>
      <c r="K3398" s="66"/>
      <c r="L3398" s="66"/>
      <c r="M3398" s="79" t="str">
        <f>HYPERLINK("http://www.pristavka.com/catalog/good_smile_company/GDS1161/")</f>
        <v>http://www.pristavka.com/catalog/good_smile_company/GDS1161/</v>
      </c>
      <c r="N3398" s="71">
        <v>116199</v>
      </c>
      <c r="O3398" s="66" t="s">
        <v>27</v>
      </c>
      <c r="P3398" s="82" t="s">
        <v>12668</v>
      </c>
      <c r="Q3398" s="84" t="s">
        <v>1963</v>
      </c>
      <c r="R3398" s="84" t="s">
        <v>1068</v>
      </c>
      <c r="S3398" s="84">
        <v>0.61</v>
      </c>
      <c r="T3398" s="82" t="s">
        <v>12669</v>
      </c>
      <c r="U3398" s="84"/>
      <c r="V3398" s="54"/>
    </row>
    <row r="3399" spans="1:22" s="11" customFormat="1" ht="45" customHeight="1" x14ac:dyDescent="0.2">
      <c r="A3399" s="66" t="s">
        <v>12616</v>
      </c>
      <c r="B3399" s="66" t="s">
        <v>1155</v>
      </c>
      <c r="C3399" s="66" t="s">
        <v>12616</v>
      </c>
      <c r="D3399" s="66">
        <v>6971995421191</v>
      </c>
      <c r="E3399" s="68" t="s">
        <v>12670</v>
      </c>
      <c r="F3399" s="66" t="s">
        <v>12671</v>
      </c>
      <c r="G3399" s="71">
        <v>110889</v>
      </c>
      <c r="H3399" s="73"/>
      <c r="I3399" s="75">
        <v>0.2</v>
      </c>
      <c r="J3399" s="77"/>
      <c r="K3399" s="66"/>
      <c r="L3399" s="66"/>
      <c r="M3399" s="79" t="str">
        <f>HYPERLINK("http://www.pristavka.com/catalog/good_smile_company/GDS1157/")</f>
        <v>http://www.pristavka.com/catalog/good_smile_company/GDS1157/</v>
      </c>
      <c r="N3399" s="71">
        <v>158499</v>
      </c>
      <c r="O3399" s="66" t="s">
        <v>27</v>
      </c>
      <c r="P3399" s="82" t="s">
        <v>12672</v>
      </c>
      <c r="Q3399" s="84" t="s">
        <v>1963</v>
      </c>
      <c r="R3399" s="84" t="s">
        <v>1068</v>
      </c>
      <c r="S3399" s="84">
        <v>1.3140000000000001</v>
      </c>
      <c r="T3399" s="82" t="s">
        <v>12673</v>
      </c>
      <c r="U3399" s="84"/>
      <c r="V3399" s="54"/>
    </row>
    <row r="3400" spans="1:22" s="11" customFormat="1" ht="45" customHeight="1" x14ac:dyDescent="0.2">
      <c r="A3400" s="66" t="s">
        <v>12616</v>
      </c>
      <c r="B3400" s="66" t="s">
        <v>1707</v>
      </c>
      <c r="C3400" s="66" t="s">
        <v>12616</v>
      </c>
      <c r="D3400" s="66">
        <v>4570017771157</v>
      </c>
      <c r="E3400" s="68" t="s">
        <v>12674</v>
      </c>
      <c r="F3400" s="66" t="s">
        <v>12675</v>
      </c>
      <c r="G3400" s="71">
        <v>50044</v>
      </c>
      <c r="H3400" s="73"/>
      <c r="I3400" s="75">
        <v>0.2</v>
      </c>
      <c r="J3400" s="77"/>
      <c r="K3400" s="66"/>
      <c r="L3400" s="66"/>
      <c r="M3400" s="79" t="str">
        <f>HYPERLINK("http://www.pristavka.com/catalog/good_smile_company/GDS714/")</f>
        <v>http://www.pristavka.com/catalog/good_smile_company/GDS714/</v>
      </c>
      <c r="N3400" s="71">
        <v>83499</v>
      </c>
      <c r="O3400" s="66" t="s">
        <v>28</v>
      </c>
      <c r="P3400" s="82" t="s">
        <v>12676</v>
      </c>
      <c r="Q3400" s="84" t="s">
        <v>1442</v>
      </c>
      <c r="R3400" s="84" t="s">
        <v>1068</v>
      </c>
      <c r="S3400" s="84">
        <v>0.34</v>
      </c>
      <c r="T3400" s="82" t="s">
        <v>12677</v>
      </c>
      <c r="U3400" s="84"/>
      <c r="V3400" s="54"/>
    </row>
    <row r="3401" spans="1:22" s="11" customFormat="1" ht="45" customHeight="1" x14ac:dyDescent="0.2">
      <c r="A3401" s="66" t="s">
        <v>12616</v>
      </c>
      <c r="B3401" s="66" t="s">
        <v>1155</v>
      </c>
      <c r="C3401" s="66" t="s">
        <v>12616</v>
      </c>
      <c r="D3401" s="66">
        <v>4545784067956</v>
      </c>
      <c r="E3401" s="68" t="s">
        <v>12678</v>
      </c>
      <c r="F3401" s="66" t="s">
        <v>12679</v>
      </c>
      <c r="G3401" s="71">
        <v>51470</v>
      </c>
      <c r="H3401" s="73"/>
      <c r="I3401" s="75">
        <v>0.2</v>
      </c>
      <c r="J3401" s="77"/>
      <c r="K3401" s="66"/>
      <c r="L3401" s="66"/>
      <c r="M3401" s="79" t="str">
        <f>HYPERLINK("http://www.pristavka.com/catalog/good_smile_company/GDS1162/")</f>
        <v>http://www.pristavka.com/catalog/good_smile_company/GDS1162/</v>
      </c>
      <c r="N3401" s="71">
        <v>79199</v>
      </c>
      <c r="O3401" s="66" t="s">
        <v>27</v>
      </c>
      <c r="P3401" s="82" t="s">
        <v>12680</v>
      </c>
      <c r="Q3401" s="84" t="s">
        <v>1963</v>
      </c>
      <c r="R3401" s="84" t="s">
        <v>1068</v>
      </c>
      <c r="S3401" s="84">
        <v>0.29199999999999998</v>
      </c>
      <c r="T3401" s="82" t="s">
        <v>12681</v>
      </c>
      <c r="U3401" s="84"/>
      <c r="V3401" s="54"/>
    </row>
    <row r="3402" spans="1:22" s="11" customFormat="1" ht="45" customHeight="1" x14ac:dyDescent="0.2">
      <c r="A3402" s="66" t="s">
        <v>12616</v>
      </c>
      <c r="B3402" s="66" t="s">
        <v>1707</v>
      </c>
      <c r="C3402" s="66" t="s">
        <v>12616</v>
      </c>
      <c r="D3402" s="66">
        <v>4580590128521</v>
      </c>
      <c r="E3402" s="68" t="s">
        <v>12682</v>
      </c>
      <c r="F3402" s="66" t="s">
        <v>12683</v>
      </c>
      <c r="G3402" s="71">
        <v>48459</v>
      </c>
      <c r="H3402" s="73"/>
      <c r="I3402" s="75">
        <v>0.2</v>
      </c>
      <c r="J3402" s="77"/>
      <c r="K3402" s="66"/>
      <c r="L3402" s="66"/>
      <c r="M3402" s="79" t="str">
        <f>HYPERLINK("http://www.pristavka.com/catalog/good_smile_company/GDS821/")</f>
        <v>http://www.pristavka.com/catalog/good_smile_company/GDS821/</v>
      </c>
      <c r="N3402" s="71">
        <v>80799</v>
      </c>
      <c r="O3402" s="66" t="s">
        <v>28</v>
      </c>
      <c r="P3402" s="82" t="s">
        <v>12684</v>
      </c>
      <c r="Q3402" s="84" t="s">
        <v>1068</v>
      </c>
      <c r="R3402" s="84" t="s">
        <v>1068</v>
      </c>
      <c r="S3402" s="84">
        <v>0.375</v>
      </c>
      <c r="T3402" s="82" t="s">
        <v>12685</v>
      </c>
      <c r="U3402" s="84" t="s">
        <v>3708</v>
      </c>
      <c r="V3402" s="54"/>
    </row>
    <row r="3403" spans="1:22" s="11" customFormat="1" ht="45" customHeight="1" x14ac:dyDescent="0.2">
      <c r="A3403" s="66" t="s">
        <v>12616</v>
      </c>
      <c r="B3403" s="66" t="s">
        <v>1707</v>
      </c>
      <c r="C3403" s="66" t="s">
        <v>12616</v>
      </c>
      <c r="D3403" s="66">
        <v>4545784068342</v>
      </c>
      <c r="E3403" s="68" t="s">
        <v>12686</v>
      </c>
      <c r="F3403" s="66" t="s">
        <v>12687</v>
      </c>
      <c r="G3403" s="71">
        <v>62082</v>
      </c>
      <c r="H3403" s="73"/>
      <c r="I3403" s="75">
        <v>0.2</v>
      </c>
      <c r="J3403" s="77"/>
      <c r="K3403" s="66"/>
      <c r="L3403" s="66"/>
      <c r="M3403" s="79" t="str">
        <f>HYPERLINK("http://www.pristavka.com/catalog/good_smile_company/GDS900/")</f>
        <v>http://www.pristavka.com/catalog/good_smile_company/GDS900/</v>
      </c>
      <c r="N3403" s="71">
        <v>88699</v>
      </c>
      <c r="O3403" s="66" t="s">
        <v>28</v>
      </c>
      <c r="P3403" s="82" t="s">
        <v>12688</v>
      </c>
      <c r="Q3403" s="84" t="s">
        <v>1522</v>
      </c>
      <c r="R3403" s="84" t="s">
        <v>1068</v>
      </c>
      <c r="S3403" s="84">
        <v>0.41399999999999998</v>
      </c>
      <c r="T3403" s="82" t="s">
        <v>12689</v>
      </c>
      <c r="U3403" s="84" t="s">
        <v>3708</v>
      </c>
      <c r="V3403" s="54"/>
    </row>
    <row r="3404" spans="1:22" s="11" customFormat="1" ht="45" customHeight="1" x14ac:dyDescent="0.2">
      <c r="A3404" s="66" t="s">
        <v>12616</v>
      </c>
      <c r="B3404" s="66" t="s">
        <v>1707</v>
      </c>
      <c r="C3404" s="66" t="s">
        <v>12616</v>
      </c>
      <c r="D3404" s="66">
        <v>4545784068618</v>
      </c>
      <c r="E3404" s="68" t="s">
        <v>12690</v>
      </c>
      <c r="F3404" s="66" t="s">
        <v>12691</v>
      </c>
      <c r="G3404" s="71">
        <v>84431</v>
      </c>
      <c r="H3404" s="73"/>
      <c r="I3404" s="75">
        <v>0.2</v>
      </c>
      <c r="J3404" s="77"/>
      <c r="K3404" s="66"/>
      <c r="L3404" s="66"/>
      <c r="M3404" s="79" t="str">
        <f>HYPERLINK("http://www.pristavka.com/catalog/good_smile_company/GDS749/")</f>
        <v>http://www.pristavka.com/catalog/good_smile_company/GDS749/</v>
      </c>
      <c r="N3404" s="71">
        <v>129899</v>
      </c>
      <c r="O3404" s="66" t="s">
        <v>28</v>
      </c>
      <c r="P3404" s="82" t="s">
        <v>12692</v>
      </c>
      <c r="Q3404" s="84" t="s">
        <v>1091</v>
      </c>
      <c r="R3404" s="84" t="s">
        <v>1068</v>
      </c>
      <c r="S3404" s="84">
        <v>0.27</v>
      </c>
      <c r="T3404" s="82" t="s">
        <v>12685</v>
      </c>
      <c r="U3404" s="84"/>
      <c r="V3404" s="54"/>
    </row>
    <row r="3405" spans="1:22" s="11" customFormat="1" ht="45" customHeight="1" x14ac:dyDescent="0.2">
      <c r="A3405" s="66" t="s">
        <v>12616</v>
      </c>
      <c r="B3405" s="66" t="s">
        <v>1707</v>
      </c>
      <c r="C3405" s="66" t="s">
        <v>12616</v>
      </c>
      <c r="D3405" s="66">
        <v>4580736400184</v>
      </c>
      <c r="E3405" s="68" t="s">
        <v>12693</v>
      </c>
      <c r="F3405" s="66" t="s">
        <v>12694</v>
      </c>
      <c r="G3405" s="71">
        <v>10110</v>
      </c>
      <c r="H3405" s="73"/>
      <c r="I3405" s="75">
        <v>0.2</v>
      </c>
      <c r="J3405" s="77"/>
      <c r="K3405" s="66"/>
      <c r="L3405" s="66"/>
      <c r="M3405" s="79" t="str">
        <f>HYPERLINK("http://www.pristavka.com/catalog/good_smile_company/GDS917/")</f>
        <v>http://www.pristavka.com/catalog/good_smile_company/GDS917/</v>
      </c>
      <c r="N3405" s="71">
        <v>16899</v>
      </c>
      <c r="O3405" s="66" t="s">
        <v>27</v>
      </c>
      <c r="P3405" s="82" t="s">
        <v>12695</v>
      </c>
      <c r="Q3405" s="84" t="s">
        <v>1117</v>
      </c>
      <c r="R3405" s="84" t="s">
        <v>1068</v>
      </c>
      <c r="S3405" s="84">
        <v>7.9000000000000001E-2</v>
      </c>
      <c r="T3405" s="82" t="s">
        <v>12696</v>
      </c>
      <c r="U3405" s="84" t="s">
        <v>3708</v>
      </c>
      <c r="V3405" s="54"/>
    </row>
    <row r="3406" spans="1:22" s="11" customFormat="1" ht="45" customHeight="1" x14ac:dyDescent="0.2">
      <c r="A3406" s="66" t="s">
        <v>12616</v>
      </c>
      <c r="B3406" s="66" t="s">
        <v>1707</v>
      </c>
      <c r="C3406" s="66" t="s">
        <v>12616</v>
      </c>
      <c r="D3406" s="66">
        <v>4580590177444</v>
      </c>
      <c r="E3406" s="68" t="s">
        <v>12697</v>
      </c>
      <c r="F3406" s="66" t="s">
        <v>12698</v>
      </c>
      <c r="G3406" s="71">
        <v>10110</v>
      </c>
      <c r="H3406" s="73"/>
      <c r="I3406" s="75">
        <v>0.2</v>
      </c>
      <c r="J3406" s="77"/>
      <c r="K3406" s="66"/>
      <c r="L3406" s="66"/>
      <c r="M3406" s="79" t="str">
        <f>HYPERLINK("http://www.pristavka.com/catalog/good_smile_company/GDS879/")</f>
        <v>http://www.pristavka.com/catalog/good_smile_company/GDS879/</v>
      </c>
      <c r="N3406" s="71">
        <v>16899</v>
      </c>
      <c r="O3406" s="66" t="s">
        <v>28</v>
      </c>
      <c r="P3406" s="82" t="s">
        <v>12699</v>
      </c>
      <c r="Q3406" s="84" t="s">
        <v>1067</v>
      </c>
      <c r="R3406" s="84" t="s">
        <v>1068</v>
      </c>
      <c r="S3406" s="84">
        <v>9.5000000000000001E-2</v>
      </c>
      <c r="T3406" s="82" t="s">
        <v>12700</v>
      </c>
      <c r="U3406" s="84" t="s">
        <v>3708</v>
      </c>
      <c r="V3406" s="54"/>
    </row>
    <row r="3407" spans="1:22" s="11" customFormat="1" ht="45" customHeight="1" x14ac:dyDescent="0.2">
      <c r="A3407" s="66" t="s">
        <v>12616</v>
      </c>
      <c r="B3407" s="66" t="s">
        <v>1707</v>
      </c>
      <c r="C3407" s="66" t="s">
        <v>12616</v>
      </c>
      <c r="D3407" s="66">
        <v>4580590177468</v>
      </c>
      <c r="E3407" s="68" t="s">
        <v>12701</v>
      </c>
      <c r="F3407" s="66" t="s">
        <v>12702</v>
      </c>
      <c r="G3407" s="71">
        <v>10110</v>
      </c>
      <c r="H3407" s="73"/>
      <c r="I3407" s="75">
        <v>0.2</v>
      </c>
      <c r="J3407" s="77"/>
      <c r="K3407" s="66"/>
      <c r="L3407" s="66"/>
      <c r="M3407" s="79" t="str">
        <f>HYPERLINK("http://www.pristavka.com/catalog/good_smile_company/GDS878/")</f>
        <v>http://www.pristavka.com/catalog/good_smile_company/GDS878/</v>
      </c>
      <c r="N3407" s="71">
        <v>16899</v>
      </c>
      <c r="O3407" s="66" t="s">
        <v>27</v>
      </c>
      <c r="P3407" s="82" t="s">
        <v>12703</v>
      </c>
      <c r="Q3407" s="84" t="s">
        <v>1067</v>
      </c>
      <c r="R3407" s="84" t="s">
        <v>1068</v>
      </c>
      <c r="S3407" s="84">
        <v>0.08</v>
      </c>
      <c r="T3407" s="82" t="s">
        <v>12700</v>
      </c>
      <c r="U3407" s="84" t="s">
        <v>3708</v>
      </c>
      <c r="V3407" s="54"/>
    </row>
    <row r="3408" spans="1:22" s="11" customFormat="1" ht="45" customHeight="1" x14ac:dyDescent="0.2">
      <c r="A3408" s="66" t="s">
        <v>12616</v>
      </c>
      <c r="B3408" s="66" t="s">
        <v>1707</v>
      </c>
      <c r="C3408" s="66" t="s">
        <v>12616</v>
      </c>
      <c r="D3408" s="66">
        <v>4580736400177</v>
      </c>
      <c r="E3408" s="68" t="s">
        <v>12704</v>
      </c>
      <c r="F3408" s="66" t="s">
        <v>12705</v>
      </c>
      <c r="G3408" s="71">
        <v>10110</v>
      </c>
      <c r="H3408" s="73"/>
      <c r="I3408" s="75">
        <v>0.2</v>
      </c>
      <c r="J3408" s="77"/>
      <c r="K3408" s="66"/>
      <c r="L3408" s="66"/>
      <c r="M3408" s="79" t="str">
        <f>HYPERLINK("http://www.pristavka.com/catalog/good_smile_company/GDS547/")</f>
        <v>http://www.pristavka.com/catalog/good_smile_company/GDS547/</v>
      </c>
      <c r="N3408" s="71">
        <v>16899</v>
      </c>
      <c r="O3408" s="66" t="s">
        <v>27</v>
      </c>
      <c r="P3408" s="82" t="s">
        <v>12706</v>
      </c>
      <c r="Q3408" s="84" t="s">
        <v>1068</v>
      </c>
      <c r="R3408" s="84" t="s">
        <v>1068</v>
      </c>
      <c r="S3408" s="84">
        <v>8.6999999999999994E-2</v>
      </c>
      <c r="T3408" s="82" t="s">
        <v>12696</v>
      </c>
      <c r="U3408" s="84"/>
      <c r="V3408" s="54"/>
    </row>
    <row r="3409" spans="1:22" s="11" customFormat="1" ht="45" customHeight="1" x14ac:dyDescent="0.2">
      <c r="A3409" s="66" t="s">
        <v>12616</v>
      </c>
      <c r="B3409" s="66" t="s">
        <v>1707</v>
      </c>
      <c r="C3409" s="66" t="s">
        <v>12616</v>
      </c>
      <c r="D3409" s="66">
        <v>4580590129511</v>
      </c>
      <c r="E3409" s="68" t="s">
        <v>12707</v>
      </c>
      <c r="F3409" s="66" t="s">
        <v>12708</v>
      </c>
      <c r="G3409" s="71">
        <v>32929</v>
      </c>
      <c r="H3409" s="73"/>
      <c r="I3409" s="75">
        <v>0.2</v>
      </c>
      <c r="J3409" s="77"/>
      <c r="K3409" s="66"/>
      <c r="L3409" s="66"/>
      <c r="M3409" s="79" t="str">
        <f>HYPERLINK("http://www.pristavka.com/catalog/good_smile_company/GDS684/")</f>
        <v>http://www.pristavka.com/catalog/good_smile_company/GDS684/</v>
      </c>
      <c r="N3409" s="71">
        <v>54899</v>
      </c>
      <c r="O3409" s="66" t="s">
        <v>28</v>
      </c>
      <c r="P3409" s="82" t="s">
        <v>12709</v>
      </c>
      <c r="Q3409" s="84" t="s">
        <v>1067</v>
      </c>
      <c r="R3409" s="84" t="s">
        <v>1068</v>
      </c>
      <c r="S3409" s="84">
        <v>0.255</v>
      </c>
      <c r="T3409" s="82" t="s">
        <v>3255</v>
      </c>
      <c r="U3409" s="84"/>
      <c r="V3409" s="54"/>
    </row>
    <row r="3410" spans="1:22" s="11" customFormat="1" ht="45" customHeight="1" x14ac:dyDescent="0.2">
      <c r="A3410" s="66" t="s">
        <v>12616</v>
      </c>
      <c r="B3410" s="66" t="s">
        <v>1707</v>
      </c>
      <c r="C3410" s="66" t="s">
        <v>12616</v>
      </c>
      <c r="D3410" s="66">
        <v>4580590170438</v>
      </c>
      <c r="E3410" s="68" t="s">
        <v>12710</v>
      </c>
      <c r="F3410" s="66" t="s">
        <v>12711</v>
      </c>
      <c r="G3410" s="71">
        <v>28492</v>
      </c>
      <c r="H3410" s="73"/>
      <c r="I3410" s="75">
        <v>0.2</v>
      </c>
      <c r="J3410" s="77"/>
      <c r="K3410" s="66"/>
      <c r="L3410" s="66"/>
      <c r="M3410" s="79" t="str">
        <f>HYPERLINK("http://www.pristavka.com/catalog/good_smile_company/GDS686/")</f>
        <v>http://www.pristavka.com/catalog/good_smile_company/GDS686/</v>
      </c>
      <c r="N3410" s="71">
        <v>47499</v>
      </c>
      <c r="O3410" s="66" t="s">
        <v>28</v>
      </c>
      <c r="P3410" s="82" t="s">
        <v>12712</v>
      </c>
      <c r="Q3410" s="84" t="s">
        <v>1068</v>
      </c>
      <c r="R3410" s="84" t="s">
        <v>1068</v>
      </c>
      <c r="S3410" s="84">
        <v>0.22500000000000001</v>
      </c>
      <c r="T3410" s="82" t="s">
        <v>3255</v>
      </c>
      <c r="U3410" s="84"/>
      <c r="V3410" s="54"/>
    </row>
    <row r="3411" spans="1:22" s="11" customFormat="1" ht="45" customHeight="1" x14ac:dyDescent="0.2">
      <c r="A3411" s="66" t="s">
        <v>12616</v>
      </c>
      <c r="B3411" s="66" t="s">
        <v>1707</v>
      </c>
      <c r="C3411" s="66" t="s">
        <v>12616</v>
      </c>
      <c r="D3411" s="66">
        <v>4580590172760</v>
      </c>
      <c r="E3411" s="68" t="s">
        <v>12713</v>
      </c>
      <c r="F3411" s="66" t="s">
        <v>12714</v>
      </c>
      <c r="G3411" s="71">
        <v>44973</v>
      </c>
      <c r="H3411" s="73"/>
      <c r="I3411" s="75">
        <v>0.2</v>
      </c>
      <c r="J3411" s="77"/>
      <c r="K3411" s="66"/>
      <c r="L3411" s="66"/>
      <c r="M3411" s="79" t="str">
        <f>HYPERLINK("http://www.pristavka.com/catalog/good_smile_company/GDS798/")</f>
        <v>http://www.pristavka.com/catalog/good_smile_company/GDS798/</v>
      </c>
      <c r="N3411" s="71">
        <v>74999</v>
      </c>
      <c r="O3411" s="66" t="s">
        <v>28</v>
      </c>
      <c r="P3411" s="82" t="s">
        <v>12715</v>
      </c>
      <c r="Q3411" s="84" t="s">
        <v>4158</v>
      </c>
      <c r="R3411" s="84" t="s">
        <v>1068</v>
      </c>
      <c r="S3411" s="84">
        <v>0.22500000000000001</v>
      </c>
      <c r="T3411" s="82" t="s">
        <v>2784</v>
      </c>
      <c r="U3411" s="84" t="s">
        <v>3708</v>
      </c>
      <c r="V3411" s="54"/>
    </row>
    <row r="3412" spans="1:22" s="11" customFormat="1" ht="45" customHeight="1" x14ac:dyDescent="0.2">
      <c r="A3412" s="66" t="s">
        <v>12616</v>
      </c>
      <c r="B3412" s="66" t="s">
        <v>1707</v>
      </c>
      <c r="C3412" s="66" t="s">
        <v>12616</v>
      </c>
      <c r="D3412" s="66">
        <v>4580590129894</v>
      </c>
      <c r="E3412" s="68" t="s">
        <v>12716</v>
      </c>
      <c r="F3412" s="66" t="s">
        <v>12717</v>
      </c>
      <c r="G3412" s="71">
        <v>33246</v>
      </c>
      <c r="H3412" s="73"/>
      <c r="I3412" s="75">
        <v>0.2</v>
      </c>
      <c r="J3412" s="77"/>
      <c r="K3412" s="66"/>
      <c r="L3412" s="66"/>
      <c r="M3412" s="79" t="str">
        <f>HYPERLINK("http://www.pristavka.com/catalog/good_smile_company/GDS585/")</f>
        <v>http://www.pristavka.com/catalog/good_smile_company/GDS585/</v>
      </c>
      <c r="N3412" s="71">
        <v>55499</v>
      </c>
      <c r="O3412" s="66" t="s">
        <v>28</v>
      </c>
      <c r="P3412" s="82" t="s">
        <v>12718</v>
      </c>
      <c r="Q3412" s="84" t="s">
        <v>4158</v>
      </c>
      <c r="R3412" s="84" t="s">
        <v>1068</v>
      </c>
      <c r="S3412" s="84">
        <v>0.22800000000000001</v>
      </c>
      <c r="T3412" s="82" t="s">
        <v>2784</v>
      </c>
      <c r="U3412" s="84"/>
      <c r="V3412" s="54"/>
    </row>
    <row r="3413" spans="1:22" s="11" customFormat="1" ht="45" customHeight="1" x14ac:dyDescent="0.2">
      <c r="A3413" s="66" t="s">
        <v>12616</v>
      </c>
      <c r="B3413" s="66" t="s">
        <v>1707</v>
      </c>
      <c r="C3413" s="66" t="s">
        <v>12616</v>
      </c>
      <c r="D3413" s="66">
        <v>4580590179097</v>
      </c>
      <c r="E3413" s="68" t="s">
        <v>12719</v>
      </c>
      <c r="F3413" s="66" t="s">
        <v>12720</v>
      </c>
      <c r="G3413" s="71">
        <v>36415</v>
      </c>
      <c r="H3413" s="73"/>
      <c r="I3413" s="75">
        <v>0.2</v>
      </c>
      <c r="J3413" s="77"/>
      <c r="K3413" s="66"/>
      <c r="L3413" s="66"/>
      <c r="M3413" s="79" t="str">
        <f>HYPERLINK("http://www.pristavka.com/catalog/good_smile_company/GDS941/")</f>
        <v>http://www.pristavka.com/catalog/good_smile_company/GDS941/</v>
      </c>
      <c r="N3413" s="71">
        <v>60699</v>
      </c>
      <c r="O3413" s="66" t="s">
        <v>28</v>
      </c>
      <c r="P3413" s="82" t="s">
        <v>12721</v>
      </c>
      <c r="Q3413" s="84" t="s">
        <v>1068</v>
      </c>
      <c r="R3413" s="84" t="s">
        <v>1068</v>
      </c>
      <c r="S3413" s="84">
        <v>0.23899999999999999</v>
      </c>
      <c r="T3413" s="82" t="s">
        <v>2784</v>
      </c>
      <c r="U3413" s="84"/>
      <c r="V3413" s="54"/>
    </row>
    <row r="3414" spans="1:22" s="11" customFormat="1" ht="45" customHeight="1" x14ac:dyDescent="0.2">
      <c r="A3414" s="66" t="s">
        <v>12616</v>
      </c>
      <c r="B3414" s="66" t="s">
        <v>1707</v>
      </c>
      <c r="C3414" s="66" t="s">
        <v>12616</v>
      </c>
      <c r="D3414" s="66">
        <v>4580590179103</v>
      </c>
      <c r="E3414" s="68" t="s">
        <v>12722</v>
      </c>
      <c r="F3414" s="66" t="s">
        <v>12723</v>
      </c>
      <c r="G3414" s="71">
        <v>35148</v>
      </c>
      <c r="H3414" s="73"/>
      <c r="I3414" s="75">
        <v>0.2</v>
      </c>
      <c r="J3414" s="77"/>
      <c r="K3414" s="66"/>
      <c r="L3414" s="66"/>
      <c r="M3414" s="79" t="str">
        <f>HYPERLINK("http://www.pristavka.com/catalog/good_smile_company/GDS942/")</f>
        <v>http://www.pristavka.com/catalog/good_smile_company/GDS942/</v>
      </c>
      <c r="N3414" s="71">
        <v>58599</v>
      </c>
      <c r="O3414" s="66" t="s">
        <v>28</v>
      </c>
      <c r="P3414" s="82" t="s">
        <v>12724</v>
      </c>
      <c r="Q3414" s="84" t="s">
        <v>1068</v>
      </c>
      <c r="R3414" s="84" t="s">
        <v>1068</v>
      </c>
      <c r="S3414" s="84">
        <v>0.222</v>
      </c>
      <c r="T3414" s="82" t="s">
        <v>3255</v>
      </c>
      <c r="U3414" s="84"/>
      <c r="V3414" s="54"/>
    </row>
    <row r="3415" spans="1:22" s="11" customFormat="1" ht="45" customHeight="1" x14ac:dyDescent="0.2">
      <c r="A3415" s="66" t="s">
        <v>12616</v>
      </c>
      <c r="B3415" s="66" t="s">
        <v>1155</v>
      </c>
      <c r="C3415" s="66" t="s">
        <v>12616</v>
      </c>
      <c r="D3415" s="66">
        <v>4580590127852</v>
      </c>
      <c r="E3415" s="68" t="s">
        <v>12725</v>
      </c>
      <c r="F3415" s="66" t="s">
        <v>12726</v>
      </c>
      <c r="G3415" s="71">
        <v>37736</v>
      </c>
      <c r="H3415" s="73"/>
      <c r="I3415" s="75">
        <v>0.2</v>
      </c>
      <c r="J3415" s="77"/>
      <c r="K3415" s="66"/>
      <c r="L3415" s="66"/>
      <c r="M3415" s="79" t="str">
        <f>HYPERLINK("http://www.pristavka.com/catalog/good_smile_company/GDS1163/")</f>
        <v>http://www.pristavka.com/catalog/good_smile_company/GDS1163/</v>
      </c>
      <c r="N3415" s="71">
        <v>58099</v>
      </c>
      <c r="O3415" s="66" t="s">
        <v>27</v>
      </c>
      <c r="P3415" s="82" t="s">
        <v>12727</v>
      </c>
      <c r="Q3415" s="84" t="s">
        <v>1963</v>
      </c>
      <c r="R3415" s="84" t="s">
        <v>1068</v>
      </c>
      <c r="S3415" s="84">
        <v>0.28199999999999997</v>
      </c>
      <c r="T3415" s="82" t="s">
        <v>12728</v>
      </c>
      <c r="U3415" s="84"/>
      <c r="V3415" s="54"/>
    </row>
    <row r="3416" spans="1:22" s="11" customFormat="1" ht="45" customHeight="1" x14ac:dyDescent="0.2">
      <c r="A3416" s="66" t="s">
        <v>12616</v>
      </c>
      <c r="B3416" s="66" t="s">
        <v>1155</v>
      </c>
      <c r="C3416" s="66" t="s">
        <v>12616</v>
      </c>
      <c r="D3416" s="66">
        <v>4580590126268</v>
      </c>
      <c r="E3416" s="68" t="s">
        <v>12729</v>
      </c>
      <c r="F3416" s="66" t="s">
        <v>12730</v>
      </c>
      <c r="G3416" s="71">
        <v>34303</v>
      </c>
      <c r="H3416" s="73"/>
      <c r="I3416" s="75">
        <v>0.2</v>
      </c>
      <c r="J3416" s="77"/>
      <c r="K3416" s="66"/>
      <c r="L3416" s="66"/>
      <c r="M3416" s="79" t="str">
        <f>HYPERLINK("http://www.pristavka.com/catalog/good_smile_company/GDS1164/")</f>
        <v>http://www.pristavka.com/catalog/good_smile_company/GDS1164/</v>
      </c>
      <c r="N3416" s="71">
        <v>52799</v>
      </c>
      <c r="O3416" s="66" t="s">
        <v>27</v>
      </c>
      <c r="P3416" s="82" t="s">
        <v>12731</v>
      </c>
      <c r="Q3416" s="84" t="s">
        <v>1963</v>
      </c>
      <c r="R3416" s="84" t="s">
        <v>1068</v>
      </c>
      <c r="S3416" s="84">
        <v>0.23499999999999999</v>
      </c>
      <c r="T3416" s="82" t="s">
        <v>2784</v>
      </c>
      <c r="U3416" s="84"/>
      <c r="V3416" s="54"/>
    </row>
    <row r="3417" spans="1:22" s="11" customFormat="1" ht="45" customHeight="1" x14ac:dyDescent="0.2">
      <c r="A3417" s="66" t="s">
        <v>12616</v>
      </c>
      <c r="B3417" s="66" t="s">
        <v>1707</v>
      </c>
      <c r="C3417" s="66" t="s">
        <v>12616</v>
      </c>
      <c r="D3417" s="66">
        <v>4580590129696</v>
      </c>
      <c r="E3417" s="68" t="s">
        <v>12732</v>
      </c>
      <c r="F3417" s="66" t="s">
        <v>12733</v>
      </c>
      <c r="G3417" s="71">
        <v>22787</v>
      </c>
      <c r="H3417" s="73"/>
      <c r="I3417" s="75">
        <v>0.2</v>
      </c>
      <c r="J3417" s="77"/>
      <c r="K3417" s="66"/>
      <c r="L3417" s="66"/>
      <c r="M3417" s="79" t="str">
        <f>HYPERLINK("http://www.pristavka.com/catalog/good_smile_company/GDS582/")</f>
        <v>http://www.pristavka.com/catalog/good_smile_company/GDS582/</v>
      </c>
      <c r="N3417" s="71">
        <v>37999</v>
      </c>
      <c r="O3417" s="66" t="s">
        <v>27</v>
      </c>
      <c r="P3417" s="82" t="s">
        <v>12734</v>
      </c>
      <c r="Q3417" s="84" t="s">
        <v>4500</v>
      </c>
      <c r="R3417" s="84" t="s">
        <v>1068</v>
      </c>
      <c r="S3417" s="84">
        <v>0.27800000000000002</v>
      </c>
      <c r="T3417" s="82" t="s">
        <v>12735</v>
      </c>
      <c r="U3417" s="84"/>
      <c r="V3417" s="54"/>
    </row>
    <row r="3418" spans="1:22" s="11" customFormat="1" ht="45" customHeight="1" x14ac:dyDescent="0.2">
      <c r="A3418" s="66" t="s">
        <v>12616</v>
      </c>
      <c r="B3418" s="66" t="s">
        <v>1707</v>
      </c>
      <c r="C3418" s="66" t="s">
        <v>12616</v>
      </c>
      <c r="D3418" s="66">
        <v>4580590129702</v>
      </c>
      <c r="E3418" s="68" t="s">
        <v>12736</v>
      </c>
      <c r="F3418" s="66" t="s">
        <v>12737</v>
      </c>
      <c r="G3418" s="71">
        <v>23421</v>
      </c>
      <c r="H3418" s="73"/>
      <c r="I3418" s="75">
        <v>0.2</v>
      </c>
      <c r="J3418" s="77"/>
      <c r="K3418" s="66"/>
      <c r="L3418" s="66"/>
      <c r="M3418" s="79" t="str">
        <f>HYPERLINK("http://www.pristavka.com/catalog/good_smile_company/GDS583/")</f>
        <v>http://www.pristavka.com/catalog/good_smile_company/GDS583/</v>
      </c>
      <c r="N3418" s="71">
        <v>39099</v>
      </c>
      <c r="O3418" s="66" t="s">
        <v>28</v>
      </c>
      <c r="P3418" s="82" t="s">
        <v>12738</v>
      </c>
      <c r="Q3418" s="84" t="s">
        <v>4500</v>
      </c>
      <c r="R3418" s="84" t="s">
        <v>1068</v>
      </c>
      <c r="S3418" s="84">
        <v>0.24299999999999999</v>
      </c>
      <c r="T3418" s="82" t="s">
        <v>3255</v>
      </c>
      <c r="U3418" s="84"/>
      <c r="V3418" s="54"/>
    </row>
    <row r="3419" spans="1:22" s="11" customFormat="1" ht="45" customHeight="1" x14ac:dyDescent="0.2">
      <c r="A3419" s="66" t="s">
        <v>12616</v>
      </c>
      <c r="B3419" s="66" t="s">
        <v>1707</v>
      </c>
      <c r="C3419" s="66" t="s">
        <v>12616</v>
      </c>
      <c r="D3419" s="66">
        <v>4580590128880</v>
      </c>
      <c r="E3419" s="68" t="s">
        <v>12739</v>
      </c>
      <c r="F3419" s="66" t="s">
        <v>12740</v>
      </c>
      <c r="G3419" s="71">
        <v>24055</v>
      </c>
      <c r="H3419" s="73"/>
      <c r="I3419" s="75">
        <v>0.2</v>
      </c>
      <c r="J3419" s="77"/>
      <c r="K3419" s="66"/>
      <c r="L3419" s="66"/>
      <c r="M3419" s="79" t="str">
        <f>HYPERLINK("http://www.pristavka.com/catalog/good_smile_company/GDS763/")</f>
        <v>http://www.pristavka.com/catalog/good_smile_company/GDS763/</v>
      </c>
      <c r="N3419" s="71">
        <v>40099</v>
      </c>
      <c r="O3419" s="66" t="s">
        <v>27</v>
      </c>
      <c r="P3419" s="82" t="s">
        <v>12741</v>
      </c>
      <c r="Q3419" s="84" t="s">
        <v>4500</v>
      </c>
      <c r="R3419" s="84" t="s">
        <v>1068</v>
      </c>
      <c r="S3419" s="84">
        <v>0.28000000000000003</v>
      </c>
      <c r="T3419" s="82" t="s">
        <v>12735</v>
      </c>
      <c r="U3419" s="84"/>
      <c r="V3419" s="54"/>
    </row>
    <row r="3420" spans="1:22" s="11" customFormat="1" ht="45" customHeight="1" x14ac:dyDescent="0.2">
      <c r="A3420" s="66" t="s">
        <v>12616</v>
      </c>
      <c r="B3420" s="66" t="s">
        <v>1707</v>
      </c>
      <c r="C3420" s="66" t="s">
        <v>12616</v>
      </c>
      <c r="D3420" s="66">
        <v>4580590128569</v>
      </c>
      <c r="E3420" s="68" t="s">
        <v>12742</v>
      </c>
      <c r="F3420" s="66" t="s">
        <v>12743</v>
      </c>
      <c r="G3420" s="71">
        <v>30394</v>
      </c>
      <c r="H3420" s="73"/>
      <c r="I3420" s="75">
        <v>0.2</v>
      </c>
      <c r="J3420" s="77"/>
      <c r="K3420" s="66"/>
      <c r="L3420" s="66"/>
      <c r="M3420" s="79" t="str">
        <f>HYPERLINK("http://www.pristavka.com/catalog/good_smile_company/GDS898/")</f>
        <v>http://www.pristavka.com/catalog/good_smile_company/GDS898/</v>
      </c>
      <c r="N3420" s="71">
        <v>50699</v>
      </c>
      <c r="O3420" s="66" t="s">
        <v>27</v>
      </c>
      <c r="P3420" s="82" t="s">
        <v>12744</v>
      </c>
      <c r="Q3420" s="84" t="s">
        <v>1068</v>
      </c>
      <c r="R3420" s="84" t="s">
        <v>1068</v>
      </c>
      <c r="S3420" s="84">
        <v>0.26200000000000001</v>
      </c>
      <c r="T3420" s="82" t="s">
        <v>2784</v>
      </c>
      <c r="U3420" s="84" t="s">
        <v>3708</v>
      </c>
      <c r="V3420" s="54"/>
    </row>
    <row r="3421" spans="1:22" s="11" customFormat="1" ht="45" customHeight="1" x14ac:dyDescent="0.2">
      <c r="A3421" s="66" t="s">
        <v>12616</v>
      </c>
      <c r="B3421" s="66" t="s">
        <v>1707</v>
      </c>
      <c r="C3421" s="66" t="s">
        <v>12616</v>
      </c>
      <c r="D3421" s="66">
        <v>4580749617333</v>
      </c>
      <c r="E3421" s="68" t="s">
        <v>12745</v>
      </c>
      <c r="F3421" s="66" t="s">
        <v>12746</v>
      </c>
      <c r="G3421" s="71">
        <v>28492</v>
      </c>
      <c r="H3421" s="73"/>
      <c r="I3421" s="75">
        <v>0.2</v>
      </c>
      <c r="J3421" s="77"/>
      <c r="K3421" s="66"/>
      <c r="L3421" s="66"/>
      <c r="M3421" s="79" t="str">
        <f>HYPERLINK("http://www.pristavka.com/catalog/good_smile_company/GDS623/")</f>
        <v>http://www.pristavka.com/catalog/good_smile_company/GDS623/</v>
      </c>
      <c r="N3421" s="71">
        <v>47499</v>
      </c>
      <c r="O3421" s="66" t="s">
        <v>27</v>
      </c>
      <c r="P3421" s="82" t="s">
        <v>12747</v>
      </c>
      <c r="Q3421" s="84" t="s">
        <v>1442</v>
      </c>
      <c r="R3421" s="84" t="s">
        <v>1068</v>
      </c>
      <c r="S3421" s="84">
        <v>0.25</v>
      </c>
      <c r="T3421" s="82" t="s">
        <v>2784</v>
      </c>
      <c r="U3421" s="84"/>
      <c r="V3421" s="54"/>
    </row>
    <row r="3422" spans="1:22" s="11" customFormat="1" ht="45" customHeight="1" x14ac:dyDescent="0.2">
      <c r="A3422" s="66" t="s">
        <v>12616</v>
      </c>
      <c r="B3422" s="66" t="s">
        <v>1707</v>
      </c>
      <c r="C3422" s="66" t="s">
        <v>12616</v>
      </c>
      <c r="D3422" s="66">
        <v>4580749611881</v>
      </c>
      <c r="E3422" s="68" t="s">
        <v>12748</v>
      </c>
      <c r="F3422" s="66" t="s">
        <v>12749</v>
      </c>
      <c r="G3422" s="71">
        <v>30711</v>
      </c>
      <c r="H3422" s="73"/>
      <c r="I3422" s="75">
        <v>0.2</v>
      </c>
      <c r="J3422" s="77"/>
      <c r="K3422" s="66"/>
      <c r="L3422" s="66"/>
      <c r="M3422" s="79" t="str">
        <f>HYPERLINK("http://www.pristavka.com/catalog/good_smile_company/GDS535/")</f>
        <v>http://www.pristavka.com/catalog/good_smile_company/GDS535/</v>
      </c>
      <c r="N3422" s="71">
        <v>51199</v>
      </c>
      <c r="O3422" s="66" t="s">
        <v>27</v>
      </c>
      <c r="P3422" s="82" t="s">
        <v>12750</v>
      </c>
      <c r="Q3422" s="84" t="s">
        <v>1442</v>
      </c>
      <c r="R3422" s="84" t="s">
        <v>1068</v>
      </c>
      <c r="S3422" s="84">
        <v>0.29399999999999998</v>
      </c>
      <c r="T3422" s="82" t="s">
        <v>2784</v>
      </c>
      <c r="U3422" s="84"/>
      <c r="V3422" s="54"/>
    </row>
    <row r="3423" spans="1:22" s="11" customFormat="1" ht="45" customHeight="1" x14ac:dyDescent="0.2">
      <c r="A3423" s="66" t="s">
        <v>12616</v>
      </c>
      <c r="B3423" s="66" t="s">
        <v>1707</v>
      </c>
      <c r="C3423" s="66" t="s">
        <v>12616</v>
      </c>
      <c r="D3423" s="66">
        <v>4580749604708</v>
      </c>
      <c r="E3423" s="68" t="s">
        <v>12751</v>
      </c>
      <c r="F3423" s="66" t="s">
        <v>12752</v>
      </c>
      <c r="G3423" s="71">
        <v>36732</v>
      </c>
      <c r="H3423" s="73"/>
      <c r="I3423" s="75">
        <v>0.2</v>
      </c>
      <c r="J3423" s="77"/>
      <c r="K3423" s="66"/>
      <c r="L3423" s="66"/>
      <c r="M3423" s="79" t="str">
        <f>HYPERLINK("http://www.pristavka.com/catalog/good_smile_company/GDS534/")</f>
        <v>http://www.pristavka.com/catalog/good_smile_company/GDS534/</v>
      </c>
      <c r="N3423" s="71">
        <v>61299</v>
      </c>
      <c r="O3423" s="66" t="s">
        <v>28</v>
      </c>
      <c r="P3423" s="82" t="s">
        <v>12753</v>
      </c>
      <c r="Q3423" s="84" t="s">
        <v>1442</v>
      </c>
      <c r="R3423" s="84" t="s">
        <v>1068</v>
      </c>
      <c r="S3423" s="84">
        <v>0.26200000000000001</v>
      </c>
      <c r="T3423" s="82" t="s">
        <v>2784</v>
      </c>
      <c r="U3423" s="84"/>
      <c r="V3423" s="54"/>
    </row>
    <row r="3424" spans="1:22" s="11" customFormat="1" ht="45" customHeight="1" x14ac:dyDescent="0.2">
      <c r="A3424" s="66" t="s">
        <v>12616</v>
      </c>
      <c r="B3424" s="66" t="s">
        <v>1707</v>
      </c>
      <c r="C3424" s="66" t="s">
        <v>12616</v>
      </c>
      <c r="D3424" s="66">
        <v>4582638213428</v>
      </c>
      <c r="E3424" s="68" t="s">
        <v>12754</v>
      </c>
      <c r="F3424" s="66" t="s">
        <v>12755</v>
      </c>
      <c r="G3424" s="71">
        <v>29760</v>
      </c>
      <c r="H3424" s="73"/>
      <c r="I3424" s="75">
        <v>0.2</v>
      </c>
      <c r="J3424" s="77"/>
      <c r="K3424" s="66"/>
      <c r="L3424" s="66"/>
      <c r="M3424" s="79" t="str">
        <f>HYPERLINK("http://www.pristavka.com/catalog/good_smile_company/GDS698/")</f>
        <v>http://www.pristavka.com/catalog/good_smile_company/GDS698/</v>
      </c>
      <c r="N3424" s="71">
        <v>49599</v>
      </c>
      <c r="O3424" s="66" t="s">
        <v>28</v>
      </c>
      <c r="P3424" s="82" t="s">
        <v>12756</v>
      </c>
      <c r="Q3424" s="84" t="s">
        <v>1442</v>
      </c>
      <c r="R3424" s="84" t="s">
        <v>1068</v>
      </c>
      <c r="S3424" s="84">
        <v>0.254</v>
      </c>
      <c r="T3424" s="82" t="s">
        <v>3255</v>
      </c>
      <c r="U3424" s="84"/>
      <c r="V3424" s="54"/>
    </row>
    <row r="3425" spans="1:22" s="11" customFormat="1" ht="45" customHeight="1" x14ac:dyDescent="0.2">
      <c r="A3425" s="66" t="s">
        <v>12616</v>
      </c>
      <c r="B3425" s="66" t="s">
        <v>1707</v>
      </c>
      <c r="C3425" s="66" t="s">
        <v>12616</v>
      </c>
      <c r="D3425" s="66">
        <v>4580590127074</v>
      </c>
      <c r="E3425" s="68" t="s">
        <v>12757</v>
      </c>
      <c r="F3425" s="66" t="s">
        <v>12758</v>
      </c>
      <c r="G3425" s="71">
        <v>43388</v>
      </c>
      <c r="H3425" s="73"/>
      <c r="I3425" s="75">
        <v>0.2</v>
      </c>
      <c r="J3425" s="77"/>
      <c r="K3425" s="66"/>
      <c r="L3425" s="66"/>
      <c r="M3425" s="79" t="str">
        <f>HYPERLINK("http://www.pristavka.com/catalog/good_smile_company/GDS511/")</f>
        <v>http://www.pristavka.com/catalog/good_smile_company/GDS511/</v>
      </c>
      <c r="N3425" s="71">
        <v>72399</v>
      </c>
      <c r="O3425" s="66" t="s">
        <v>28</v>
      </c>
      <c r="P3425" s="82" t="s">
        <v>12759</v>
      </c>
      <c r="Q3425" s="84" t="s">
        <v>1068</v>
      </c>
      <c r="R3425" s="84" t="s">
        <v>1068</v>
      </c>
      <c r="S3425" s="84">
        <v>0.253</v>
      </c>
      <c r="T3425" s="82" t="s">
        <v>12760</v>
      </c>
      <c r="U3425" s="84"/>
      <c r="V3425" s="54"/>
    </row>
    <row r="3426" spans="1:22" s="11" customFormat="1" ht="45" customHeight="1" x14ac:dyDescent="0.2">
      <c r="A3426" s="66" t="s">
        <v>12616</v>
      </c>
      <c r="B3426" s="66" t="s">
        <v>1707</v>
      </c>
      <c r="C3426" s="66" t="s">
        <v>12616</v>
      </c>
      <c r="D3426" s="66">
        <v>4580590128408</v>
      </c>
      <c r="E3426" s="68" t="s">
        <v>12761</v>
      </c>
      <c r="F3426" s="66" t="s">
        <v>12762</v>
      </c>
      <c r="G3426" s="71">
        <v>32612</v>
      </c>
      <c r="H3426" s="73"/>
      <c r="I3426" s="75">
        <v>0.2</v>
      </c>
      <c r="J3426" s="77"/>
      <c r="K3426" s="66"/>
      <c r="L3426" s="66"/>
      <c r="M3426" s="79" t="str">
        <f>HYPERLINK("http://www.pristavka.com/catalog/good_smile_company/GDS899/")</f>
        <v>http://www.pristavka.com/catalog/good_smile_company/GDS899/</v>
      </c>
      <c r="N3426" s="71">
        <v>54399</v>
      </c>
      <c r="O3426" s="66" t="s">
        <v>28</v>
      </c>
      <c r="P3426" s="82" t="s">
        <v>12763</v>
      </c>
      <c r="Q3426" s="84" t="s">
        <v>1117</v>
      </c>
      <c r="R3426" s="84" t="s">
        <v>1068</v>
      </c>
      <c r="S3426" s="84">
        <v>0.39900000000000002</v>
      </c>
      <c r="T3426" s="82" t="s">
        <v>12764</v>
      </c>
      <c r="U3426" s="84" t="s">
        <v>3708</v>
      </c>
      <c r="V3426" s="54"/>
    </row>
    <row r="3427" spans="1:22" s="11" customFormat="1" ht="45" customHeight="1" x14ac:dyDescent="0.2">
      <c r="A3427" s="66" t="s">
        <v>12616</v>
      </c>
      <c r="B3427" s="66" t="s">
        <v>1707</v>
      </c>
      <c r="C3427" s="66" t="s">
        <v>12616</v>
      </c>
      <c r="D3427" s="66">
        <v>4580590126947</v>
      </c>
      <c r="E3427" s="68" t="s">
        <v>12765</v>
      </c>
      <c r="F3427" s="66" t="s">
        <v>12766</v>
      </c>
      <c r="G3427" s="71">
        <v>34514</v>
      </c>
      <c r="H3427" s="73"/>
      <c r="I3427" s="75">
        <v>0.2</v>
      </c>
      <c r="J3427" s="77"/>
      <c r="K3427" s="66"/>
      <c r="L3427" s="66"/>
      <c r="M3427" s="79" t="str">
        <f>HYPERLINK("http://www.pristavka.com/catalog/good_smile_company/GDS509/")</f>
        <v>http://www.pristavka.com/catalog/good_smile_company/GDS509/</v>
      </c>
      <c r="N3427" s="71">
        <v>57599</v>
      </c>
      <c r="O3427" s="66" t="s">
        <v>28</v>
      </c>
      <c r="P3427" s="82" t="s">
        <v>12767</v>
      </c>
      <c r="Q3427" s="84" t="s">
        <v>1117</v>
      </c>
      <c r="R3427" s="84" t="s">
        <v>1068</v>
      </c>
      <c r="S3427" s="84">
        <v>0.23400000000000001</v>
      </c>
      <c r="T3427" s="82" t="s">
        <v>12768</v>
      </c>
      <c r="U3427" s="84"/>
      <c r="V3427" s="54"/>
    </row>
    <row r="3428" spans="1:22" s="11" customFormat="1" ht="45" customHeight="1" x14ac:dyDescent="0.2">
      <c r="A3428" s="66" t="s">
        <v>12616</v>
      </c>
      <c r="B3428" s="66" t="s">
        <v>1707</v>
      </c>
      <c r="C3428" s="66" t="s">
        <v>12616</v>
      </c>
      <c r="D3428" s="66">
        <v>4580590125834</v>
      </c>
      <c r="E3428" s="68" t="s">
        <v>12769</v>
      </c>
      <c r="F3428" s="66" t="s">
        <v>12770</v>
      </c>
      <c r="G3428" s="71">
        <v>60740</v>
      </c>
      <c r="H3428" s="73"/>
      <c r="I3428" s="75">
        <v>0.2</v>
      </c>
      <c r="J3428" s="77"/>
      <c r="K3428" s="66"/>
      <c r="L3428" s="66"/>
      <c r="M3428" s="79" t="str">
        <f>HYPERLINK("http://www.pristavka.com/catalog/good_smile_company/GDS928/")</f>
        <v>http://www.pristavka.com/catalog/good_smile_company/GDS928/</v>
      </c>
      <c r="N3428" s="71">
        <v>93499</v>
      </c>
      <c r="O3428" s="66" t="s">
        <v>28</v>
      </c>
      <c r="P3428" s="82" t="s">
        <v>12771</v>
      </c>
      <c r="Q3428" s="84" t="s">
        <v>5344</v>
      </c>
      <c r="R3428" s="84" t="s">
        <v>3512</v>
      </c>
      <c r="S3428" s="84">
        <v>0.28899999999999998</v>
      </c>
      <c r="T3428" s="82" t="s">
        <v>12764</v>
      </c>
      <c r="U3428" s="84"/>
      <c r="V3428" s="54"/>
    </row>
    <row r="3429" spans="1:22" s="11" customFormat="1" ht="45" customHeight="1" x14ac:dyDescent="0.2">
      <c r="A3429" s="66" t="s">
        <v>12616</v>
      </c>
      <c r="B3429" s="66" t="s">
        <v>1707</v>
      </c>
      <c r="C3429" s="66" t="s">
        <v>12616</v>
      </c>
      <c r="D3429" s="66">
        <v>4580590127111</v>
      </c>
      <c r="E3429" s="68" t="s">
        <v>12772</v>
      </c>
      <c r="F3429" s="66" t="s">
        <v>12773</v>
      </c>
      <c r="G3429" s="71">
        <v>42120</v>
      </c>
      <c r="H3429" s="73"/>
      <c r="I3429" s="75">
        <v>0.2</v>
      </c>
      <c r="J3429" s="77"/>
      <c r="K3429" s="66"/>
      <c r="L3429" s="66"/>
      <c r="M3429" s="79" t="str">
        <f>HYPERLINK("http://www.pristavka.com/catalog/good_smile_company/GDS929/")</f>
        <v>http://www.pristavka.com/catalog/good_smile_company/GDS929/</v>
      </c>
      <c r="N3429" s="71">
        <v>70299</v>
      </c>
      <c r="O3429" s="66" t="s">
        <v>28</v>
      </c>
      <c r="P3429" s="82" t="s">
        <v>12774</v>
      </c>
      <c r="Q3429" s="84" t="s">
        <v>5545</v>
      </c>
      <c r="R3429" s="84" t="s">
        <v>3512</v>
      </c>
      <c r="S3429" s="84">
        <v>0.32600000000000001</v>
      </c>
      <c r="T3429" s="82" t="s">
        <v>12764</v>
      </c>
      <c r="U3429" s="84"/>
      <c r="V3429" s="54"/>
    </row>
    <row r="3430" spans="1:22" s="11" customFormat="1" ht="45" customHeight="1" x14ac:dyDescent="0.2">
      <c r="A3430" s="66" t="s">
        <v>12616</v>
      </c>
      <c r="B3430" s="66" t="s">
        <v>1707</v>
      </c>
      <c r="C3430" s="66" t="s">
        <v>12616</v>
      </c>
      <c r="D3430" s="66">
        <v>4580590129238</v>
      </c>
      <c r="E3430" s="68" t="s">
        <v>12775</v>
      </c>
      <c r="F3430" s="66" t="s">
        <v>12776</v>
      </c>
      <c r="G3430" s="71">
        <v>23104</v>
      </c>
      <c r="H3430" s="73"/>
      <c r="I3430" s="75">
        <v>0.2</v>
      </c>
      <c r="J3430" s="77"/>
      <c r="K3430" s="66"/>
      <c r="L3430" s="66"/>
      <c r="M3430" s="79" t="str">
        <f>HYPERLINK("http://www.pristavka.com/catalog/good_smile_company/GDS576/")</f>
        <v>http://www.pristavka.com/catalog/good_smile_company/GDS576/</v>
      </c>
      <c r="N3430" s="71">
        <v>38599</v>
      </c>
      <c r="O3430" s="66" t="s">
        <v>28</v>
      </c>
      <c r="P3430" s="82" t="s">
        <v>12777</v>
      </c>
      <c r="Q3430" s="84" t="s">
        <v>1334</v>
      </c>
      <c r="R3430" s="84" t="s">
        <v>1068</v>
      </c>
      <c r="S3430" s="84">
        <v>0.24</v>
      </c>
      <c r="T3430" s="82" t="s">
        <v>2784</v>
      </c>
      <c r="U3430" s="84"/>
      <c r="V3430" s="54"/>
    </row>
    <row r="3431" spans="1:22" s="11" customFormat="1" ht="45" customHeight="1" x14ac:dyDescent="0.2">
      <c r="A3431" s="66" t="s">
        <v>12616</v>
      </c>
      <c r="B3431" s="66" t="s">
        <v>1707</v>
      </c>
      <c r="C3431" s="66" t="s">
        <v>12616</v>
      </c>
      <c r="D3431" s="66">
        <v>4580590129115</v>
      </c>
      <c r="E3431" s="68" t="s">
        <v>12778</v>
      </c>
      <c r="F3431" s="66" t="s">
        <v>12779</v>
      </c>
      <c r="G3431" s="71">
        <v>25006</v>
      </c>
      <c r="H3431" s="73"/>
      <c r="I3431" s="75">
        <v>0.2</v>
      </c>
      <c r="J3431" s="77"/>
      <c r="K3431" s="66"/>
      <c r="L3431" s="66"/>
      <c r="M3431" s="79" t="str">
        <f>HYPERLINK("http://www.pristavka.com/catalog/good_smile_company/GDS573/")</f>
        <v>http://www.pristavka.com/catalog/good_smile_company/GDS573/</v>
      </c>
      <c r="N3431" s="71">
        <v>41699</v>
      </c>
      <c r="O3431" s="66" t="s">
        <v>28</v>
      </c>
      <c r="P3431" s="82" t="s">
        <v>12780</v>
      </c>
      <c r="Q3431" s="84" t="s">
        <v>1334</v>
      </c>
      <c r="R3431" s="84" t="s">
        <v>1068</v>
      </c>
      <c r="S3431" s="84">
        <v>0.28000000000000003</v>
      </c>
      <c r="T3431" s="82" t="s">
        <v>12735</v>
      </c>
      <c r="U3431" s="84"/>
      <c r="V3431" s="54"/>
    </row>
    <row r="3432" spans="1:22" s="11" customFormat="1" ht="45" customHeight="1" x14ac:dyDescent="0.2">
      <c r="A3432" s="66" t="s">
        <v>12616</v>
      </c>
      <c r="B3432" s="66" t="s">
        <v>1707</v>
      </c>
      <c r="C3432" s="66" t="s">
        <v>12616</v>
      </c>
      <c r="D3432" s="66">
        <v>4580590129641</v>
      </c>
      <c r="E3432" s="68" t="s">
        <v>12781</v>
      </c>
      <c r="F3432" s="66" t="s">
        <v>12782</v>
      </c>
      <c r="G3432" s="71">
        <v>24055</v>
      </c>
      <c r="H3432" s="73"/>
      <c r="I3432" s="75">
        <v>0.2</v>
      </c>
      <c r="J3432" s="77"/>
      <c r="K3432" s="66"/>
      <c r="L3432" s="66"/>
      <c r="M3432" s="79" t="str">
        <f>HYPERLINK("http://www.pristavka.com/catalog/good_smile_company/GDS579/")</f>
        <v>http://www.pristavka.com/catalog/good_smile_company/GDS579/</v>
      </c>
      <c r="N3432" s="71">
        <v>40099</v>
      </c>
      <c r="O3432" s="66" t="s">
        <v>27</v>
      </c>
      <c r="P3432" s="82" t="s">
        <v>12783</v>
      </c>
      <c r="Q3432" s="84" t="s">
        <v>1334</v>
      </c>
      <c r="R3432" s="84" t="s">
        <v>1068</v>
      </c>
      <c r="S3432" s="84">
        <v>0.33</v>
      </c>
      <c r="T3432" s="82" t="s">
        <v>12784</v>
      </c>
      <c r="U3432" s="84"/>
      <c r="V3432" s="54"/>
    </row>
    <row r="3433" spans="1:22" s="11" customFormat="1" ht="45" customHeight="1" x14ac:dyDescent="0.2">
      <c r="A3433" s="66" t="s">
        <v>12616</v>
      </c>
      <c r="B3433" s="66" t="s">
        <v>1707</v>
      </c>
      <c r="C3433" s="66" t="s">
        <v>12616</v>
      </c>
      <c r="D3433" s="66">
        <v>4580590128316</v>
      </c>
      <c r="E3433" s="68" t="s">
        <v>12785</v>
      </c>
      <c r="F3433" s="66" t="s">
        <v>12786</v>
      </c>
      <c r="G3433" s="71">
        <v>30711</v>
      </c>
      <c r="H3433" s="73"/>
      <c r="I3433" s="75">
        <v>0.2</v>
      </c>
      <c r="J3433" s="77"/>
      <c r="K3433" s="66"/>
      <c r="L3433" s="66"/>
      <c r="M3433" s="79" t="str">
        <f>HYPERLINK("http://www.pristavka.com/catalog/good_smile_company/GDS904/")</f>
        <v>http://www.pristavka.com/catalog/good_smile_company/GDS904/</v>
      </c>
      <c r="N3433" s="71">
        <v>51199</v>
      </c>
      <c r="O3433" s="66" t="s">
        <v>28</v>
      </c>
      <c r="P3433" s="82" t="s">
        <v>12787</v>
      </c>
      <c r="Q3433" s="84" t="s">
        <v>1068</v>
      </c>
      <c r="R3433" s="84" t="s">
        <v>1068</v>
      </c>
      <c r="S3433" s="84">
        <v>0.28499999999999998</v>
      </c>
      <c r="T3433" s="82" t="s">
        <v>2784</v>
      </c>
      <c r="U3433" s="84" t="s">
        <v>3708</v>
      </c>
      <c r="V3433" s="54"/>
    </row>
    <row r="3434" spans="1:22" s="11" customFormat="1" ht="45" customHeight="1" x14ac:dyDescent="0.2">
      <c r="A3434" s="66" t="s">
        <v>12616</v>
      </c>
      <c r="B3434" s="66" t="s">
        <v>1707</v>
      </c>
      <c r="C3434" s="66" t="s">
        <v>12616</v>
      </c>
      <c r="D3434" s="66">
        <v>4580590128507</v>
      </c>
      <c r="E3434" s="68" t="s">
        <v>12788</v>
      </c>
      <c r="F3434" s="66" t="s">
        <v>12789</v>
      </c>
      <c r="G3434" s="71">
        <v>44973</v>
      </c>
      <c r="H3434" s="73"/>
      <c r="I3434" s="75">
        <v>0.2</v>
      </c>
      <c r="J3434" s="77"/>
      <c r="K3434" s="66"/>
      <c r="L3434" s="66"/>
      <c r="M3434" s="79" t="str">
        <f>HYPERLINK("http://www.pristavka.com/catalog/good_smile_company/GDS932/")</f>
        <v>http://www.pristavka.com/catalog/good_smile_company/GDS932/</v>
      </c>
      <c r="N3434" s="71">
        <v>74999</v>
      </c>
      <c r="O3434" s="66" t="s">
        <v>27</v>
      </c>
      <c r="P3434" s="82" t="s">
        <v>12790</v>
      </c>
      <c r="Q3434" s="84" t="s">
        <v>1068</v>
      </c>
      <c r="R3434" s="84" t="s">
        <v>1068</v>
      </c>
      <c r="S3434" s="84">
        <v>0.27700000000000002</v>
      </c>
      <c r="T3434" s="82" t="s">
        <v>3255</v>
      </c>
      <c r="U3434" s="84"/>
      <c r="V3434" s="54"/>
    </row>
    <row r="3435" spans="1:22" s="11" customFormat="1" ht="45" customHeight="1" x14ac:dyDescent="0.2">
      <c r="A3435" s="66" t="s">
        <v>12616</v>
      </c>
      <c r="B3435" s="66" t="s">
        <v>1707</v>
      </c>
      <c r="C3435" s="66" t="s">
        <v>12616</v>
      </c>
      <c r="D3435" s="66">
        <v>4580590128484</v>
      </c>
      <c r="E3435" s="68" t="s">
        <v>12791</v>
      </c>
      <c r="F3435" s="66" t="s">
        <v>12792</v>
      </c>
      <c r="G3435" s="71">
        <v>44973</v>
      </c>
      <c r="H3435" s="73"/>
      <c r="I3435" s="75">
        <v>0.2</v>
      </c>
      <c r="J3435" s="77"/>
      <c r="K3435" s="66"/>
      <c r="L3435" s="66"/>
      <c r="M3435" s="79" t="str">
        <f>HYPERLINK("http://www.pristavka.com/catalog/good_smile_company/GDS931/")</f>
        <v>http://www.pristavka.com/catalog/good_smile_company/GDS931/</v>
      </c>
      <c r="N3435" s="71">
        <v>74999</v>
      </c>
      <c r="O3435" s="66" t="s">
        <v>27</v>
      </c>
      <c r="P3435" s="82" t="s">
        <v>12793</v>
      </c>
      <c r="Q3435" s="84" t="s">
        <v>1068</v>
      </c>
      <c r="R3435" s="84" t="s">
        <v>1068</v>
      </c>
      <c r="S3435" s="84">
        <v>0.26900000000000002</v>
      </c>
      <c r="T3435" s="82" t="s">
        <v>2784</v>
      </c>
      <c r="U3435" s="84"/>
      <c r="V3435" s="54"/>
    </row>
    <row r="3436" spans="1:22" s="11" customFormat="1" ht="45" customHeight="1" x14ac:dyDescent="0.2">
      <c r="A3436" s="66" t="s">
        <v>12616</v>
      </c>
      <c r="B3436" s="66" t="s">
        <v>1707</v>
      </c>
      <c r="C3436" s="66" t="s">
        <v>12616</v>
      </c>
      <c r="D3436" s="66">
        <v>4580590170292</v>
      </c>
      <c r="E3436" s="68" t="s">
        <v>12794</v>
      </c>
      <c r="F3436" s="66" t="s">
        <v>12795</v>
      </c>
      <c r="G3436" s="71">
        <v>32295</v>
      </c>
      <c r="H3436" s="73"/>
      <c r="I3436" s="75">
        <v>0.2</v>
      </c>
      <c r="J3436" s="77"/>
      <c r="K3436" s="66"/>
      <c r="L3436" s="66"/>
      <c r="M3436" s="79" t="str">
        <f>HYPERLINK("http://www.pristavka.com/catalog/good_smile_company/GDS685/")</f>
        <v>http://www.pristavka.com/catalog/good_smile_company/GDS685/</v>
      </c>
      <c r="N3436" s="71">
        <v>53899</v>
      </c>
      <c r="O3436" s="66" t="s">
        <v>28</v>
      </c>
      <c r="P3436" s="82" t="s">
        <v>12796</v>
      </c>
      <c r="Q3436" s="84" t="s">
        <v>1068</v>
      </c>
      <c r="R3436" s="84" t="s">
        <v>1068</v>
      </c>
      <c r="S3436" s="84">
        <v>0.28599999999999998</v>
      </c>
      <c r="T3436" s="82" t="s">
        <v>12797</v>
      </c>
      <c r="U3436" s="84"/>
      <c r="V3436" s="54"/>
    </row>
    <row r="3437" spans="1:22" s="11" customFormat="1" ht="45" customHeight="1" x14ac:dyDescent="0.2">
      <c r="A3437" s="66" t="s">
        <v>12616</v>
      </c>
      <c r="B3437" s="66" t="s">
        <v>1707</v>
      </c>
      <c r="C3437" s="66" t="s">
        <v>12616</v>
      </c>
      <c r="D3437" s="66">
        <v>4580590171299</v>
      </c>
      <c r="E3437" s="68" t="s">
        <v>12798</v>
      </c>
      <c r="F3437" s="66" t="s">
        <v>12799</v>
      </c>
      <c r="G3437" s="71">
        <v>43705</v>
      </c>
      <c r="H3437" s="73"/>
      <c r="I3437" s="75">
        <v>0.2</v>
      </c>
      <c r="J3437" s="77"/>
      <c r="K3437" s="66"/>
      <c r="L3437" s="66"/>
      <c r="M3437" s="79" t="str">
        <f>HYPERLINK("http://www.pristavka.com/catalog/good_smile_company/GDS912/")</f>
        <v>http://www.pristavka.com/catalog/good_smile_company/GDS912/</v>
      </c>
      <c r="N3437" s="71">
        <v>72899</v>
      </c>
      <c r="O3437" s="66" t="s">
        <v>28</v>
      </c>
      <c r="P3437" s="82" t="s">
        <v>12800</v>
      </c>
      <c r="Q3437" s="84" t="s">
        <v>1505</v>
      </c>
      <c r="R3437" s="84" t="s">
        <v>1068</v>
      </c>
      <c r="S3437" s="84">
        <v>0.23799999999999999</v>
      </c>
      <c r="T3437" s="82" t="s">
        <v>12801</v>
      </c>
      <c r="U3437" s="84" t="s">
        <v>3708</v>
      </c>
      <c r="V3437" s="54"/>
    </row>
    <row r="3438" spans="1:22" s="11" customFormat="1" ht="45" customHeight="1" x14ac:dyDescent="0.2">
      <c r="A3438" s="66" t="s">
        <v>12616</v>
      </c>
      <c r="B3438" s="66" t="s">
        <v>1707</v>
      </c>
      <c r="C3438" s="66" t="s">
        <v>12616</v>
      </c>
      <c r="D3438" s="66">
        <v>4580590127845</v>
      </c>
      <c r="E3438" s="68" t="s">
        <v>12802</v>
      </c>
      <c r="F3438" s="66" t="s">
        <v>12803</v>
      </c>
      <c r="G3438" s="71">
        <v>27224</v>
      </c>
      <c r="H3438" s="73"/>
      <c r="I3438" s="75">
        <v>0.2</v>
      </c>
      <c r="J3438" s="77"/>
      <c r="K3438" s="66"/>
      <c r="L3438" s="66"/>
      <c r="M3438" s="79" t="str">
        <f>HYPERLINK("http://www.pristavka.com/catalog/good_smile_company/GDS560/")</f>
        <v>http://www.pristavka.com/catalog/good_smile_company/GDS560/</v>
      </c>
      <c r="N3438" s="71">
        <v>45399</v>
      </c>
      <c r="O3438" s="66" t="s">
        <v>28</v>
      </c>
      <c r="P3438" s="82" t="s">
        <v>12804</v>
      </c>
      <c r="Q3438" s="84" t="s">
        <v>1505</v>
      </c>
      <c r="R3438" s="84" t="s">
        <v>1068</v>
      </c>
      <c r="S3438" s="84">
        <v>0.26700000000000002</v>
      </c>
      <c r="T3438" s="82" t="s">
        <v>3255</v>
      </c>
      <c r="U3438" s="84"/>
      <c r="V3438" s="54"/>
    </row>
    <row r="3439" spans="1:22" s="11" customFormat="1" ht="45" customHeight="1" x14ac:dyDescent="0.2">
      <c r="A3439" s="66" t="s">
        <v>12616</v>
      </c>
      <c r="B3439" s="66" t="s">
        <v>1707</v>
      </c>
      <c r="C3439" s="66" t="s">
        <v>12616</v>
      </c>
      <c r="D3439" s="66">
        <v>4580590170568</v>
      </c>
      <c r="E3439" s="68" t="s">
        <v>12805</v>
      </c>
      <c r="F3439" s="66" t="s">
        <v>12806</v>
      </c>
      <c r="G3439" s="71">
        <v>32612</v>
      </c>
      <c r="H3439" s="73"/>
      <c r="I3439" s="75">
        <v>0.2</v>
      </c>
      <c r="J3439" s="77"/>
      <c r="K3439" s="66"/>
      <c r="L3439" s="66"/>
      <c r="M3439" s="79" t="str">
        <f>HYPERLINK("http://www.pristavka.com/catalog/good_smile_company/GDS740/")</f>
        <v>http://www.pristavka.com/catalog/good_smile_company/GDS740/</v>
      </c>
      <c r="N3439" s="71">
        <v>54399</v>
      </c>
      <c r="O3439" s="66" t="s">
        <v>28</v>
      </c>
      <c r="P3439" s="82" t="s">
        <v>12807</v>
      </c>
      <c r="Q3439" s="84" t="s">
        <v>4158</v>
      </c>
      <c r="R3439" s="84" t="s">
        <v>1068</v>
      </c>
      <c r="S3439" s="84">
        <v>0.26</v>
      </c>
      <c r="T3439" s="82" t="s">
        <v>2784</v>
      </c>
      <c r="U3439" s="84"/>
      <c r="V3439" s="54"/>
    </row>
    <row r="3440" spans="1:22" s="11" customFormat="1" ht="45" customHeight="1" x14ac:dyDescent="0.2">
      <c r="A3440" s="66" t="s">
        <v>12616</v>
      </c>
      <c r="B3440" s="66" t="s">
        <v>1707</v>
      </c>
      <c r="C3440" s="66" t="s">
        <v>12616</v>
      </c>
      <c r="D3440" s="66">
        <v>4580590170377</v>
      </c>
      <c r="E3440" s="68" t="s">
        <v>12808</v>
      </c>
      <c r="F3440" s="66" t="s">
        <v>12809</v>
      </c>
      <c r="G3440" s="71">
        <v>38634</v>
      </c>
      <c r="H3440" s="73"/>
      <c r="I3440" s="75">
        <v>0.2</v>
      </c>
      <c r="J3440" s="77"/>
      <c r="K3440" s="66"/>
      <c r="L3440" s="66"/>
      <c r="M3440" s="79" t="str">
        <f>HYPERLINK("http://www.pristavka.com/catalog/good_smile_company/GDS739/")</f>
        <v>http://www.pristavka.com/catalog/good_smile_company/GDS739/</v>
      </c>
      <c r="N3440" s="71">
        <v>64399</v>
      </c>
      <c r="O3440" s="66" t="s">
        <v>27</v>
      </c>
      <c r="P3440" s="82" t="s">
        <v>12810</v>
      </c>
      <c r="Q3440" s="84" t="s">
        <v>4158</v>
      </c>
      <c r="R3440" s="84" t="s">
        <v>1068</v>
      </c>
      <c r="S3440" s="84">
        <v>0.26</v>
      </c>
      <c r="T3440" s="82" t="s">
        <v>2784</v>
      </c>
      <c r="U3440" s="84"/>
      <c r="V3440" s="54"/>
    </row>
    <row r="3441" spans="1:22" s="11" customFormat="1" ht="45" customHeight="1" x14ac:dyDescent="0.2">
      <c r="A3441" s="66" t="s">
        <v>12616</v>
      </c>
      <c r="B3441" s="66" t="s">
        <v>1707</v>
      </c>
      <c r="C3441" s="66" t="s">
        <v>12616</v>
      </c>
      <c r="D3441" s="66">
        <v>4580590178045</v>
      </c>
      <c r="E3441" s="68" t="s">
        <v>12811</v>
      </c>
      <c r="F3441" s="66" t="s">
        <v>12812</v>
      </c>
      <c r="G3441" s="71">
        <v>23714</v>
      </c>
      <c r="H3441" s="73"/>
      <c r="I3441" s="75">
        <v>0.2</v>
      </c>
      <c r="J3441" s="77"/>
      <c r="K3441" s="66"/>
      <c r="L3441" s="66"/>
      <c r="M3441" s="79" t="str">
        <f>HYPERLINK("http://www.pristavka.com/catalog/good_smile_company/GDS1089/")</f>
        <v>http://www.pristavka.com/catalog/good_smile_company/GDS1089/</v>
      </c>
      <c r="N3441" s="71">
        <v>36499</v>
      </c>
      <c r="O3441" s="66" t="s">
        <v>28</v>
      </c>
      <c r="P3441" s="82" t="s">
        <v>12813</v>
      </c>
      <c r="Q3441" s="84" t="s">
        <v>4933</v>
      </c>
      <c r="R3441" s="84" t="s">
        <v>1068</v>
      </c>
      <c r="S3441" s="84">
        <v>0.27900000000000003</v>
      </c>
      <c r="T3441" s="82" t="s">
        <v>12814</v>
      </c>
      <c r="U3441" s="84"/>
      <c r="V3441" s="54"/>
    </row>
    <row r="3442" spans="1:22" s="11" customFormat="1" ht="45" customHeight="1" x14ac:dyDescent="0.2">
      <c r="A3442" s="66" t="s">
        <v>12616</v>
      </c>
      <c r="B3442" s="66" t="s">
        <v>1707</v>
      </c>
      <c r="C3442" s="66" t="s">
        <v>12616</v>
      </c>
      <c r="D3442" s="66">
        <v>4580590177130</v>
      </c>
      <c r="E3442" s="68" t="s">
        <v>12815</v>
      </c>
      <c r="F3442" s="66" t="s">
        <v>12816</v>
      </c>
      <c r="G3442" s="71">
        <v>35676</v>
      </c>
      <c r="H3442" s="73"/>
      <c r="I3442" s="75">
        <v>0.2</v>
      </c>
      <c r="J3442" s="77"/>
      <c r="K3442" s="66"/>
      <c r="L3442" s="66"/>
      <c r="M3442" s="79" t="str">
        <f>HYPERLINK("http://www.pristavka.com/catalog/good_smile_company/GDS987/")</f>
        <v>http://www.pristavka.com/catalog/good_smile_company/GDS987/</v>
      </c>
      <c r="N3442" s="71">
        <v>54899</v>
      </c>
      <c r="O3442" s="66" t="s">
        <v>27</v>
      </c>
      <c r="P3442" s="82" t="s">
        <v>12817</v>
      </c>
      <c r="Q3442" s="84" t="s">
        <v>12818</v>
      </c>
      <c r="R3442" s="84" t="s">
        <v>1068</v>
      </c>
      <c r="S3442" s="84">
        <v>0.26700000000000002</v>
      </c>
      <c r="T3442" s="82" t="s">
        <v>2784</v>
      </c>
      <c r="U3442" s="84"/>
      <c r="V3442" s="54"/>
    </row>
    <row r="3443" spans="1:22" s="11" customFormat="1" ht="45" customHeight="1" x14ac:dyDescent="0.2">
      <c r="A3443" s="66" t="s">
        <v>12616</v>
      </c>
      <c r="B3443" s="66" t="s">
        <v>1707</v>
      </c>
      <c r="C3443" s="66" t="s">
        <v>12616</v>
      </c>
      <c r="D3443" s="66">
        <v>4560308575823</v>
      </c>
      <c r="E3443" s="68" t="s">
        <v>12819</v>
      </c>
      <c r="F3443" s="66" t="s">
        <v>12820</v>
      </c>
      <c r="G3443" s="71">
        <v>23104</v>
      </c>
      <c r="H3443" s="73"/>
      <c r="I3443" s="75">
        <v>0.2</v>
      </c>
      <c r="J3443" s="77"/>
      <c r="K3443" s="66"/>
      <c r="L3443" s="66"/>
      <c r="M3443" s="79" t="str">
        <f>HYPERLINK("http://www.pristavka.com/catalog/good_smile_company/GDS975/")</f>
        <v>http://www.pristavka.com/catalog/good_smile_company/GDS975/</v>
      </c>
      <c r="N3443" s="71">
        <v>38599</v>
      </c>
      <c r="O3443" s="66" t="s">
        <v>27</v>
      </c>
      <c r="P3443" s="82" t="s">
        <v>12821</v>
      </c>
      <c r="Q3443" s="84" t="s">
        <v>12822</v>
      </c>
      <c r="R3443" s="84" t="s">
        <v>1068</v>
      </c>
      <c r="S3443" s="84">
        <v>0.28100000000000003</v>
      </c>
      <c r="T3443" s="82" t="s">
        <v>3255</v>
      </c>
      <c r="U3443" s="84"/>
      <c r="V3443" s="54"/>
    </row>
    <row r="3444" spans="1:22" s="11" customFormat="1" ht="45" customHeight="1" x14ac:dyDescent="0.2">
      <c r="A3444" s="66" t="s">
        <v>12616</v>
      </c>
      <c r="B3444" s="66" t="s">
        <v>1707</v>
      </c>
      <c r="C3444" s="66" t="s">
        <v>12616</v>
      </c>
      <c r="D3444" s="66">
        <v>4580590170704</v>
      </c>
      <c r="E3444" s="68" t="s">
        <v>12823</v>
      </c>
      <c r="F3444" s="66" t="s">
        <v>12824</v>
      </c>
      <c r="G3444" s="71">
        <v>41169</v>
      </c>
      <c r="H3444" s="73"/>
      <c r="I3444" s="75">
        <v>0.2</v>
      </c>
      <c r="J3444" s="77"/>
      <c r="K3444" s="66"/>
      <c r="L3444" s="66"/>
      <c r="M3444" s="79" t="str">
        <f>HYPERLINK("http://www.pristavka.com/catalog/good_smile_company/GDS765/")</f>
        <v>http://www.pristavka.com/catalog/good_smile_company/GDS765/</v>
      </c>
      <c r="N3444" s="71">
        <v>68699</v>
      </c>
      <c r="O3444" s="66" t="s">
        <v>28</v>
      </c>
      <c r="P3444" s="82" t="s">
        <v>12825</v>
      </c>
      <c r="Q3444" s="84" t="s">
        <v>1522</v>
      </c>
      <c r="R3444" s="84" t="s">
        <v>1068</v>
      </c>
      <c r="S3444" s="84">
        <v>0.25</v>
      </c>
      <c r="T3444" s="82" t="s">
        <v>2784</v>
      </c>
      <c r="U3444" s="84"/>
      <c r="V3444" s="54"/>
    </row>
    <row r="3445" spans="1:22" s="11" customFormat="1" ht="45" customHeight="1" x14ac:dyDescent="0.2">
      <c r="A3445" s="66" t="s">
        <v>12616</v>
      </c>
      <c r="B3445" s="66" t="s">
        <v>1707</v>
      </c>
      <c r="C3445" s="66" t="s">
        <v>12616</v>
      </c>
      <c r="D3445" s="66">
        <v>4580590128064</v>
      </c>
      <c r="E3445" s="68" t="s">
        <v>12826</v>
      </c>
      <c r="F3445" s="66" t="s">
        <v>12827</v>
      </c>
      <c r="G3445" s="71">
        <v>33880</v>
      </c>
      <c r="H3445" s="73"/>
      <c r="I3445" s="75">
        <v>0.2</v>
      </c>
      <c r="J3445" s="77"/>
      <c r="K3445" s="66"/>
      <c r="L3445" s="66"/>
      <c r="M3445" s="79" t="str">
        <f>HYPERLINK("http://www.pristavka.com/catalog/good_smile_company/GDS764/")</f>
        <v>http://www.pristavka.com/catalog/good_smile_company/GDS764/</v>
      </c>
      <c r="N3445" s="71">
        <v>56499</v>
      </c>
      <c r="O3445" s="66" t="s">
        <v>28</v>
      </c>
      <c r="P3445" s="82" t="s">
        <v>12828</v>
      </c>
      <c r="Q3445" s="84" t="s">
        <v>1522</v>
      </c>
      <c r="R3445" s="84" t="s">
        <v>1068</v>
      </c>
      <c r="S3445" s="84">
        <v>0.25</v>
      </c>
      <c r="T3445" s="82" t="s">
        <v>2784</v>
      </c>
      <c r="U3445" s="84"/>
      <c r="V3445" s="54"/>
    </row>
    <row r="3446" spans="1:22" s="11" customFormat="1" ht="45" customHeight="1" x14ac:dyDescent="0.2">
      <c r="A3446" s="66" t="s">
        <v>12616</v>
      </c>
      <c r="B3446" s="66" t="s">
        <v>1707</v>
      </c>
      <c r="C3446" s="66" t="s">
        <v>12616</v>
      </c>
      <c r="D3446" s="66">
        <v>4580590178465</v>
      </c>
      <c r="E3446" s="68" t="s">
        <v>12829</v>
      </c>
      <c r="F3446" s="66" t="s">
        <v>12830</v>
      </c>
      <c r="G3446" s="71">
        <v>37534</v>
      </c>
      <c r="H3446" s="73"/>
      <c r="I3446" s="75">
        <v>0.2</v>
      </c>
      <c r="J3446" s="77"/>
      <c r="K3446" s="66"/>
      <c r="L3446" s="66"/>
      <c r="M3446" s="79" t="str">
        <f>HYPERLINK("http://www.pristavka.com/catalog/good_smile_company/GDS1025/")</f>
        <v>http://www.pristavka.com/catalog/good_smile_company/GDS1025/</v>
      </c>
      <c r="N3446" s="71">
        <v>57799</v>
      </c>
      <c r="O3446" s="66" t="s">
        <v>27</v>
      </c>
      <c r="P3446" s="82" t="s">
        <v>12831</v>
      </c>
      <c r="Q3446" s="84" t="s">
        <v>12832</v>
      </c>
      <c r="R3446" s="84" t="s">
        <v>1068</v>
      </c>
      <c r="S3446" s="84">
        <v>0.218</v>
      </c>
      <c r="T3446" s="82" t="s">
        <v>3255</v>
      </c>
      <c r="U3446" s="84"/>
      <c r="V3446" s="54"/>
    </row>
    <row r="3447" spans="1:22" s="11" customFormat="1" ht="45" customHeight="1" x14ac:dyDescent="0.2">
      <c r="A3447" s="66" t="s">
        <v>12616</v>
      </c>
      <c r="B3447" s="66" t="s">
        <v>1707</v>
      </c>
      <c r="C3447" s="66" t="s">
        <v>12616</v>
      </c>
      <c r="D3447" s="66">
        <v>4580590179745</v>
      </c>
      <c r="E3447" s="68" t="s">
        <v>12833</v>
      </c>
      <c r="F3447" s="66" t="s">
        <v>12834</v>
      </c>
      <c r="G3447" s="71">
        <v>23714</v>
      </c>
      <c r="H3447" s="73"/>
      <c r="I3447" s="75">
        <v>0.2</v>
      </c>
      <c r="J3447" s="77"/>
      <c r="K3447" s="66"/>
      <c r="L3447" s="66"/>
      <c r="M3447" s="79" t="str">
        <f>HYPERLINK("http://www.pristavka.com/catalog/good_smile_company/GDS1147/")</f>
        <v>http://www.pristavka.com/catalog/good_smile_company/GDS1147/</v>
      </c>
      <c r="N3447" s="71">
        <v>36499</v>
      </c>
      <c r="O3447" s="66" t="s">
        <v>28</v>
      </c>
      <c r="P3447" s="82" t="s">
        <v>12835</v>
      </c>
      <c r="Q3447" s="84" t="s">
        <v>1419</v>
      </c>
      <c r="R3447" s="84" t="s">
        <v>1068</v>
      </c>
      <c r="S3447" s="84">
        <v>0.21199999999999999</v>
      </c>
      <c r="T3447" s="82" t="s">
        <v>12728</v>
      </c>
      <c r="U3447" s="84"/>
      <c r="V3447" s="54"/>
    </row>
    <row r="3448" spans="1:22" s="11" customFormat="1" ht="45" customHeight="1" x14ac:dyDescent="0.2">
      <c r="A3448" s="66" t="s">
        <v>12616</v>
      </c>
      <c r="B3448" s="66" t="s">
        <v>1707</v>
      </c>
      <c r="C3448" s="66" t="s">
        <v>12616</v>
      </c>
      <c r="D3448" s="66">
        <v>4560308575830</v>
      </c>
      <c r="E3448" s="68" t="s">
        <v>12836</v>
      </c>
      <c r="F3448" s="66" t="s">
        <v>12837</v>
      </c>
      <c r="G3448" s="71">
        <v>38000</v>
      </c>
      <c r="H3448" s="73"/>
      <c r="I3448" s="75">
        <v>0.2</v>
      </c>
      <c r="J3448" s="77"/>
      <c r="K3448" s="66"/>
      <c r="L3448" s="66"/>
      <c r="M3448" s="79" t="str">
        <f>HYPERLINK("http://www.pristavka.com/catalog/good_smile_company/GDS943/")</f>
        <v>http://www.pristavka.com/catalog/good_smile_company/GDS943/</v>
      </c>
      <c r="N3448" s="71">
        <v>63399</v>
      </c>
      <c r="O3448" s="66" t="s">
        <v>27</v>
      </c>
      <c r="P3448" s="82" t="s">
        <v>12838</v>
      </c>
      <c r="Q3448" s="84" t="s">
        <v>12822</v>
      </c>
      <c r="R3448" s="84" t="s">
        <v>1068</v>
      </c>
      <c r="S3448" s="84">
        <v>0.32900000000000001</v>
      </c>
      <c r="T3448" s="82" t="s">
        <v>3255</v>
      </c>
      <c r="U3448" s="84"/>
      <c r="V3448" s="54"/>
    </row>
    <row r="3449" spans="1:22" s="11" customFormat="1" ht="45" customHeight="1" x14ac:dyDescent="0.2">
      <c r="A3449" s="66" t="s">
        <v>12616</v>
      </c>
      <c r="B3449" s="66" t="s">
        <v>1707</v>
      </c>
      <c r="C3449" s="66" t="s">
        <v>12616</v>
      </c>
      <c r="D3449" s="66">
        <v>4580590176850</v>
      </c>
      <c r="E3449" s="68" t="s">
        <v>12839</v>
      </c>
      <c r="F3449" s="66" t="s">
        <v>12840</v>
      </c>
      <c r="G3449" s="71">
        <v>33563</v>
      </c>
      <c r="H3449" s="73"/>
      <c r="I3449" s="75">
        <v>0.2</v>
      </c>
      <c r="J3449" s="77"/>
      <c r="K3449" s="66"/>
      <c r="L3449" s="66"/>
      <c r="M3449" s="79" t="str">
        <f>HYPERLINK("http://www.pristavka.com/catalog/good_smile_company/GDS875/")</f>
        <v>http://www.pristavka.com/catalog/good_smile_company/GDS875/</v>
      </c>
      <c r="N3449" s="71">
        <v>55999</v>
      </c>
      <c r="O3449" s="66" t="s">
        <v>28</v>
      </c>
      <c r="P3449" s="82" t="s">
        <v>12841</v>
      </c>
      <c r="Q3449" s="84" t="s">
        <v>1068</v>
      </c>
      <c r="R3449" s="84" t="s">
        <v>1068</v>
      </c>
      <c r="S3449" s="84">
        <v>0.22800000000000001</v>
      </c>
      <c r="T3449" s="82" t="s">
        <v>2784</v>
      </c>
      <c r="U3449" s="84" t="s">
        <v>3708</v>
      </c>
      <c r="V3449" s="54"/>
    </row>
    <row r="3450" spans="1:22" s="11" customFormat="1" ht="45" customHeight="1" x14ac:dyDescent="0.2">
      <c r="A3450" s="66" t="s">
        <v>12616</v>
      </c>
      <c r="B3450" s="66" t="s">
        <v>1707</v>
      </c>
      <c r="C3450" s="66" t="s">
        <v>12616</v>
      </c>
      <c r="D3450" s="66">
        <v>4580416946292</v>
      </c>
      <c r="E3450" s="68" t="s">
        <v>12842</v>
      </c>
      <c r="F3450" s="66" t="s">
        <v>12843</v>
      </c>
      <c r="G3450" s="71">
        <v>24055</v>
      </c>
      <c r="H3450" s="73"/>
      <c r="I3450" s="75">
        <v>0.2</v>
      </c>
      <c r="J3450" s="77"/>
      <c r="K3450" s="66"/>
      <c r="L3450" s="66"/>
      <c r="M3450" s="79" t="str">
        <f>HYPERLINK("http://www.pristavka.com/catalog/good_smile_company/GDS889/")</f>
        <v>http://www.pristavka.com/catalog/good_smile_company/GDS889/</v>
      </c>
      <c r="N3450" s="71">
        <v>40099</v>
      </c>
      <c r="O3450" s="66" t="s">
        <v>28</v>
      </c>
      <c r="P3450" s="82" t="s">
        <v>12844</v>
      </c>
      <c r="Q3450" s="84" t="s">
        <v>1068</v>
      </c>
      <c r="R3450" s="84" t="s">
        <v>1068</v>
      </c>
      <c r="S3450" s="84">
        <v>0.33600000000000002</v>
      </c>
      <c r="T3450" s="82" t="s">
        <v>12845</v>
      </c>
      <c r="U3450" s="84" t="s">
        <v>3708</v>
      </c>
      <c r="V3450" s="54"/>
    </row>
    <row r="3451" spans="1:22" s="11" customFormat="1" ht="45" customHeight="1" x14ac:dyDescent="0.2">
      <c r="A3451" s="66" t="s">
        <v>12616</v>
      </c>
      <c r="B3451" s="66" t="s">
        <v>1707</v>
      </c>
      <c r="C3451" s="66" t="s">
        <v>12616</v>
      </c>
      <c r="D3451" s="66">
        <v>4580416948715</v>
      </c>
      <c r="E3451" s="68" t="s">
        <v>12846</v>
      </c>
      <c r="F3451" s="66" t="s">
        <v>12847</v>
      </c>
      <c r="G3451" s="71">
        <v>22787</v>
      </c>
      <c r="H3451" s="73"/>
      <c r="I3451" s="75">
        <v>0.2</v>
      </c>
      <c r="J3451" s="77"/>
      <c r="K3451" s="66"/>
      <c r="L3451" s="66"/>
      <c r="M3451" s="79" t="str">
        <f>HYPERLINK("http://www.pristavka.com/catalog/good_smile_company/GDS867/")</f>
        <v>http://www.pristavka.com/catalog/good_smile_company/GDS867/</v>
      </c>
      <c r="N3451" s="71">
        <v>37999</v>
      </c>
      <c r="O3451" s="66" t="s">
        <v>28</v>
      </c>
      <c r="P3451" s="82" t="s">
        <v>12848</v>
      </c>
      <c r="Q3451" s="84" t="s">
        <v>1436</v>
      </c>
      <c r="R3451" s="84" t="s">
        <v>1068</v>
      </c>
      <c r="S3451" s="84">
        <v>0.32400000000000001</v>
      </c>
      <c r="T3451" s="82" t="s">
        <v>12845</v>
      </c>
      <c r="U3451" s="84" t="s">
        <v>3708</v>
      </c>
      <c r="V3451" s="54"/>
    </row>
    <row r="3452" spans="1:22" s="11" customFormat="1" ht="45" customHeight="1" x14ac:dyDescent="0.2">
      <c r="A3452" s="66" t="s">
        <v>12616</v>
      </c>
      <c r="B3452" s="66" t="s">
        <v>1707</v>
      </c>
      <c r="C3452" s="66" t="s">
        <v>12616</v>
      </c>
      <c r="D3452" s="66">
        <v>4580416948678</v>
      </c>
      <c r="E3452" s="68" t="s">
        <v>12849</v>
      </c>
      <c r="F3452" s="66" t="s">
        <v>12850</v>
      </c>
      <c r="G3452" s="71">
        <v>24055</v>
      </c>
      <c r="H3452" s="73"/>
      <c r="I3452" s="75">
        <v>0.2</v>
      </c>
      <c r="J3452" s="77"/>
      <c r="K3452" s="66"/>
      <c r="L3452" s="66"/>
      <c r="M3452" s="79" t="str">
        <f>HYPERLINK("http://www.pristavka.com/catalog/good_smile_company/GDS876/")</f>
        <v>http://www.pristavka.com/catalog/good_smile_company/GDS876/</v>
      </c>
      <c r="N3452" s="71">
        <v>40099</v>
      </c>
      <c r="O3452" s="66" t="s">
        <v>28</v>
      </c>
      <c r="P3452" s="82" t="s">
        <v>12851</v>
      </c>
      <c r="Q3452" s="84" t="s">
        <v>1068</v>
      </c>
      <c r="R3452" s="84" t="s">
        <v>1068</v>
      </c>
      <c r="S3452" s="84">
        <v>0.35799999999999998</v>
      </c>
      <c r="T3452" s="82" t="s">
        <v>12845</v>
      </c>
      <c r="U3452" s="84" t="s">
        <v>3708</v>
      </c>
      <c r="V3452" s="54"/>
    </row>
    <row r="3453" spans="1:22" s="11" customFormat="1" ht="45" customHeight="1" x14ac:dyDescent="0.2">
      <c r="A3453" s="66" t="s">
        <v>12616</v>
      </c>
      <c r="B3453" s="66" t="s">
        <v>1707</v>
      </c>
      <c r="C3453" s="66" t="s">
        <v>12616</v>
      </c>
      <c r="D3453" s="66">
        <v>4580416945424</v>
      </c>
      <c r="E3453" s="68" t="s">
        <v>12852</v>
      </c>
      <c r="F3453" s="66" t="s">
        <v>12853</v>
      </c>
      <c r="G3453" s="71">
        <v>18033</v>
      </c>
      <c r="H3453" s="73"/>
      <c r="I3453" s="75">
        <v>0.2</v>
      </c>
      <c r="J3453" s="77"/>
      <c r="K3453" s="66"/>
      <c r="L3453" s="66"/>
      <c r="M3453" s="79" t="str">
        <f>HYPERLINK("http://www.pristavka.com/catalog/good_smile_company/GDS606/")</f>
        <v>http://www.pristavka.com/catalog/good_smile_company/GDS606/</v>
      </c>
      <c r="N3453" s="71">
        <v>30099</v>
      </c>
      <c r="O3453" s="66" t="s">
        <v>27</v>
      </c>
      <c r="P3453" s="82" t="s">
        <v>12854</v>
      </c>
      <c r="Q3453" s="84" t="s">
        <v>1334</v>
      </c>
      <c r="R3453" s="84" t="s">
        <v>1068</v>
      </c>
      <c r="S3453" s="84">
        <v>0.40200000000000002</v>
      </c>
      <c r="T3453" s="82" t="s">
        <v>12855</v>
      </c>
      <c r="U3453" s="84"/>
      <c r="V3453" s="54"/>
    </row>
    <row r="3454" spans="1:22" s="11" customFormat="1" ht="45" customHeight="1" x14ac:dyDescent="0.2">
      <c r="A3454" s="66" t="s">
        <v>12616</v>
      </c>
      <c r="B3454" s="66" t="s">
        <v>1707</v>
      </c>
      <c r="C3454" s="66" t="s">
        <v>12616</v>
      </c>
      <c r="D3454" s="66">
        <v>4580416945356</v>
      </c>
      <c r="E3454" s="68" t="s">
        <v>12856</v>
      </c>
      <c r="F3454" s="66" t="s">
        <v>12857</v>
      </c>
      <c r="G3454" s="71">
        <v>21203</v>
      </c>
      <c r="H3454" s="73"/>
      <c r="I3454" s="75">
        <v>0.2</v>
      </c>
      <c r="J3454" s="77"/>
      <c r="K3454" s="66"/>
      <c r="L3454" s="66"/>
      <c r="M3454" s="79" t="str">
        <f>HYPERLINK("http://www.pristavka.com/catalog/good_smile_company/GDS602/")</f>
        <v>http://www.pristavka.com/catalog/good_smile_company/GDS602/</v>
      </c>
      <c r="N3454" s="71">
        <v>35399</v>
      </c>
      <c r="O3454" s="66" t="s">
        <v>27</v>
      </c>
      <c r="P3454" s="82" t="s">
        <v>12858</v>
      </c>
      <c r="Q3454" s="84" t="s">
        <v>2808</v>
      </c>
      <c r="R3454" s="84" t="s">
        <v>1068</v>
      </c>
      <c r="S3454" s="84">
        <v>0.312</v>
      </c>
      <c r="T3454" s="82" t="s">
        <v>12845</v>
      </c>
      <c r="U3454" s="84"/>
      <c r="V3454" s="54"/>
    </row>
    <row r="3455" spans="1:22" s="11" customFormat="1" ht="45" customHeight="1" x14ac:dyDescent="0.2">
      <c r="A3455" s="66" t="s">
        <v>12616</v>
      </c>
      <c r="B3455" s="66" t="s">
        <v>1707</v>
      </c>
      <c r="C3455" s="66" t="s">
        <v>12616</v>
      </c>
      <c r="D3455" s="66">
        <v>4580416949668</v>
      </c>
      <c r="E3455" s="68" t="s">
        <v>12859</v>
      </c>
      <c r="F3455" s="66" t="s">
        <v>12860</v>
      </c>
      <c r="G3455" s="71">
        <v>23738</v>
      </c>
      <c r="H3455" s="73"/>
      <c r="I3455" s="75">
        <v>0.2</v>
      </c>
      <c r="J3455" s="77"/>
      <c r="K3455" s="66"/>
      <c r="L3455" s="66"/>
      <c r="M3455" s="79" t="str">
        <f>HYPERLINK("http://www.pristavka.com/catalog/good_smile_company/GDS930/")</f>
        <v>http://www.pristavka.com/catalog/good_smile_company/GDS930/</v>
      </c>
      <c r="N3455" s="71">
        <v>39599</v>
      </c>
      <c r="O3455" s="66" t="s">
        <v>28</v>
      </c>
      <c r="P3455" s="82" t="s">
        <v>12861</v>
      </c>
      <c r="Q3455" s="84" t="s">
        <v>1201</v>
      </c>
      <c r="R3455" s="84" t="s">
        <v>1068</v>
      </c>
      <c r="S3455" s="84">
        <v>0.29499999999999998</v>
      </c>
      <c r="T3455" s="82" t="s">
        <v>12845</v>
      </c>
      <c r="U3455" s="84"/>
      <c r="V3455" s="54"/>
    </row>
    <row r="3456" spans="1:22" s="11" customFormat="1" ht="45" customHeight="1" x14ac:dyDescent="0.2">
      <c r="A3456" s="66" t="s">
        <v>12616</v>
      </c>
      <c r="B3456" s="66" t="s">
        <v>1707</v>
      </c>
      <c r="C3456" s="66" t="s">
        <v>12616</v>
      </c>
      <c r="D3456" s="66">
        <v>4580416946254</v>
      </c>
      <c r="E3456" s="68" t="s">
        <v>12862</v>
      </c>
      <c r="F3456" s="66" t="s">
        <v>12863</v>
      </c>
      <c r="G3456" s="71">
        <v>22154</v>
      </c>
      <c r="H3456" s="73"/>
      <c r="I3456" s="75">
        <v>0.2</v>
      </c>
      <c r="J3456" s="77"/>
      <c r="K3456" s="66"/>
      <c r="L3456" s="66"/>
      <c r="M3456" s="79" t="str">
        <f>HYPERLINK("http://www.pristavka.com/catalog/good_smile_company/GDS693/")</f>
        <v>http://www.pristavka.com/catalog/good_smile_company/GDS693/</v>
      </c>
      <c r="N3456" s="71">
        <v>36999</v>
      </c>
      <c r="O3456" s="66" t="s">
        <v>28</v>
      </c>
      <c r="P3456" s="82" t="s">
        <v>12864</v>
      </c>
      <c r="Q3456" s="84" t="s">
        <v>1068</v>
      </c>
      <c r="R3456" s="84" t="s">
        <v>1068</v>
      </c>
      <c r="S3456" s="84">
        <v>0.26600000000000001</v>
      </c>
      <c r="T3456" s="82" t="s">
        <v>12865</v>
      </c>
      <c r="U3456" s="84"/>
      <c r="V3456" s="54"/>
    </row>
    <row r="3457" spans="1:22" s="11" customFormat="1" ht="45" customHeight="1" x14ac:dyDescent="0.2">
      <c r="A3457" s="66" t="s">
        <v>12616</v>
      </c>
      <c r="B3457" s="66" t="s">
        <v>1707</v>
      </c>
      <c r="C3457" s="66" t="s">
        <v>12616</v>
      </c>
      <c r="D3457" s="66">
        <v>4580779542834</v>
      </c>
      <c r="E3457" s="68" t="s">
        <v>12866</v>
      </c>
      <c r="F3457" s="66" t="s">
        <v>12867</v>
      </c>
      <c r="G3457" s="71">
        <v>8731</v>
      </c>
      <c r="H3457" s="73"/>
      <c r="I3457" s="75">
        <v>0.2</v>
      </c>
      <c r="J3457" s="77"/>
      <c r="K3457" s="66"/>
      <c r="L3457" s="66"/>
      <c r="M3457" s="79" t="str">
        <f>HYPERLINK("http://www.pristavka.com/catalog/good_smile_company/GDS1152/")</f>
        <v>http://www.pristavka.com/catalog/good_smile_company/GDS1152/</v>
      </c>
      <c r="N3457" s="71">
        <v>14599</v>
      </c>
      <c r="O3457" s="66" t="s">
        <v>28</v>
      </c>
      <c r="P3457" s="82" t="s">
        <v>12868</v>
      </c>
      <c r="Q3457" s="84" t="s">
        <v>12869</v>
      </c>
      <c r="R3457" s="84" t="s">
        <v>1068</v>
      </c>
      <c r="S3457" s="84">
        <v>0.18</v>
      </c>
      <c r="T3457" s="82" t="s">
        <v>2284</v>
      </c>
      <c r="U3457" s="84"/>
      <c r="V3457" s="54"/>
    </row>
    <row r="3458" spans="1:22" s="11" customFormat="1" ht="45" customHeight="1" x14ac:dyDescent="0.2">
      <c r="A3458" s="66" t="s">
        <v>12616</v>
      </c>
      <c r="B3458" s="66" t="s">
        <v>1707</v>
      </c>
      <c r="C3458" s="66" t="s">
        <v>12616</v>
      </c>
      <c r="D3458" s="66">
        <v>4580779544807</v>
      </c>
      <c r="E3458" s="68" t="s">
        <v>12870</v>
      </c>
      <c r="F3458" s="66" t="s">
        <v>12871</v>
      </c>
      <c r="G3458" s="71">
        <v>13279</v>
      </c>
      <c r="H3458" s="73"/>
      <c r="I3458" s="75">
        <v>0.2</v>
      </c>
      <c r="J3458" s="77"/>
      <c r="K3458" s="66"/>
      <c r="L3458" s="66"/>
      <c r="M3458" s="79" t="str">
        <f>HYPERLINK("http://www.pristavka.com/catalog/good_smile_company/GDS873/")</f>
        <v>http://www.pristavka.com/catalog/good_smile_company/GDS873/</v>
      </c>
      <c r="N3458" s="71">
        <v>22199</v>
      </c>
      <c r="O3458" s="66" t="s">
        <v>28</v>
      </c>
      <c r="P3458" s="82" t="s">
        <v>12872</v>
      </c>
      <c r="Q3458" s="84" t="s">
        <v>1068</v>
      </c>
      <c r="R3458" s="84" t="s">
        <v>1068</v>
      </c>
      <c r="S3458" s="84">
        <v>0.501</v>
      </c>
      <c r="T3458" s="82" t="s">
        <v>12873</v>
      </c>
      <c r="U3458" s="84" t="s">
        <v>3708</v>
      </c>
      <c r="V3458" s="54"/>
    </row>
    <row r="3459" spans="1:22" s="11" customFormat="1" ht="45" customHeight="1" x14ac:dyDescent="0.2">
      <c r="A3459" s="66" t="s">
        <v>12616</v>
      </c>
      <c r="B3459" s="66" t="s">
        <v>1707</v>
      </c>
      <c r="C3459" s="66" t="s">
        <v>12616</v>
      </c>
      <c r="D3459" s="66">
        <v>4580779530442</v>
      </c>
      <c r="E3459" s="68" t="s">
        <v>12874</v>
      </c>
      <c r="F3459" s="66" t="s">
        <v>12875</v>
      </c>
      <c r="G3459" s="71">
        <v>12646</v>
      </c>
      <c r="H3459" s="73"/>
      <c r="I3459" s="75">
        <v>0.2</v>
      </c>
      <c r="J3459" s="77"/>
      <c r="K3459" s="66"/>
      <c r="L3459" s="66"/>
      <c r="M3459" s="79" t="str">
        <f>HYPERLINK("http://www.pristavka.com/catalog/good_smile_company/GDS915/")</f>
        <v>http://www.pristavka.com/catalog/good_smile_company/GDS915/</v>
      </c>
      <c r="N3459" s="71">
        <v>21099</v>
      </c>
      <c r="O3459" s="66" t="s">
        <v>28</v>
      </c>
      <c r="P3459" s="82" t="s">
        <v>12876</v>
      </c>
      <c r="Q3459" s="84" t="s">
        <v>1067</v>
      </c>
      <c r="R3459" s="84" t="s">
        <v>1068</v>
      </c>
      <c r="S3459" s="84">
        <v>0.14399999999999999</v>
      </c>
      <c r="T3459" s="82" t="s">
        <v>12877</v>
      </c>
      <c r="U3459" s="84" t="s">
        <v>3708</v>
      </c>
      <c r="V3459" s="54"/>
    </row>
    <row r="3460" spans="1:22" s="11" customFormat="1" ht="45" customHeight="1" x14ac:dyDescent="0.2">
      <c r="A3460" s="66" t="s">
        <v>12616</v>
      </c>
      <c r="B3460" s="66" t="s">
        <v>1707</v>
      </c>
      <c r="C3460" s="66" t="s">
        <v>12616</v>
      </c>
      <c r="D3460" s="66">
        <v>4580779544784</v>
      </c>
      <c r="E3460" s="68" t="s">
        <v>12878</v>
      </c>
      <c r="F3460" s="66" t="s">
        <v>12879</v>
      </c>
      <c r="G3460" s="71">
        <v>12646</v>
      </c>
      <c r="H3460" s="73"/>
      <c r="I3460" s="75">
        <v>0.2</v>
      </c>
      <c r="J3460" s="77"/>
      <c r="K3460" s="66"/>
      <c r="L3460" s="66"/>
      <c r="M3460" s="79" t="str">
        <f>HYPERLINK("http://www.pristavka.com/catalog/good_smile_company/GDS936/")</f>
        <v>http://www.pristavka.com/catalog/good_smile_company/GDS936/</v>
      </c>
      <c r="N3460" s="71">
        <v>21099</v>
      </c>
      <c r="O3460" s="66" t="s">
        <v>27</v>
      </c>
      <c r="P3460" s="82" t="s">
        <v>12880</v>
      </c>
      <c r="Q3460" s="84" t="s">
        <v>1068</v>
      </c>
      <c r="R3460" s="84" t="s">
        <v>1068</v>
      </c>
      <c r="S3460" s="84">
        <v>0.192</v>
      </c>
      <c r="T3460" s="82" t="s">
        <v>2293</v>
      </c>
      <c r="U3460" s="84"/>
      <c r="V3460" s="54"/>
    </row>
    <row r="3461" spans="1:22" s="11" customFormat="1" ht="45" customHeight="1" x14ac:dyDescent="0.2">
      <c r="A3461" s="66" t="s">
        <v>12616</v>
      </c>
      <c r="B3461" s="66" t="s">
        <v>1707</v>
      </c>
      <c r="C3461" s="66" t="s">
        <v>12616</v>
      </c>
      <c r="D3461" s="66">
        <v>4580779542827</v>
      </c>
      <c r="E3461" s="68" t="s">
        <v>12881</v>
      </c>
      <c r="F3461" s="66" t="s">
        <v>12882</v>
      </c>
      <c r="G3461" s="71">
        <v>8731</v>
      </c>
      <c r="H3461" s="73"/>
      <c r="I3461" s="75">
        <v>0.2</v>
      </c>
      <c r="J3461" s="77"/>
      <c r="K3461" s="66"/>
      <c r="L3461" s="66"/>
      <c r="M3461" s="79" t="str">
        <f>HYPERLINK("http://www.pristavka.com/catalog/good_smile_company/GDS1142/")</f>
        <v>http://www.pristavka.com/catalog/good_smile_company/GDS1142/</v>
      </c>
      <c r="N3461" s="71">
        <v>14599</v>
      </c>
      <c r="O3461" s="66" t="s">
        <v>28</v>
      </c>
      <c r="P3461" s="82" t="s">
        <v>12883</v>
      </c>
      <c r="Q3461" s="84" t="s">
        <v>12869</v>
      </c>
      <c r="R3461" s="84" t="s">
        <v>1068</v>
      </c>
      <c r="S3461" s="84">
        <v>0.182</v>
      </c>
      <c r="T3461" s="82" t="s">
        <v>2284</v>
      </c>
      <c r="U3461" s="84"/>
      <c r="V3461" s="54"/>
    </row>
    <row r="3462" spans="1:22" s="11" customFormat="1" ht="45" customHeight="1" x14ac:dyDescent="0.2">
      <c r="A3462" s="66" t="s">
        <v>12616</v>
      </c>
      <c r="B3462" s="66" t="s">
        <v>1707</v>
      </c>
      <c r="C3462" s="66" t="s">
        <v>12616</v>
      </c>
      <c r="D3462" s="66">
        <v>4580779528272</v>
      </c>
      <c r="E3462" s="68" t="s">
        <v>12884</v>
      </c>
      <c r="F3462" s="66" t="s">
        <v>12885</v>
      </c>
      <c r="G3462" s="71">
        <v>12329</v>
      </c>
      <c r="H3462" s="73"/>
      <c r="I3462" s="75">
        <v>0.2</v>
      </c>
      <c r="J3462" s="77"/>
      <c r="K3462" s="66"/>
      <c r="L3462" s="66"/>
      <c r="M3462" s="79" t="str">
        <f>HYPERLINK("http://www.pristavka.com/catalog/good_smile_company/GDS860/")</f>
        <v>http://www.pristavka.com/catalog/good_smile_company/GDS860/</v>
      </c>
      <c r="N3462" s="71">
        <v>20599</v>
      </c>
      <c r="O3462" s="66" t="s">
        <v>28</v>
      </c>
      <c r="P3462" s="82" t="s">
        <v>12886</v>
      </c>
      <c r="Q3462" s="84" t="s">
        <v>1522</v>
      </c>
      <c r="R3462" s="84" t="s">
        <v>1068</v>
      </c>
      <c r="S3462" s="84">
        <v>0.54</v>
      </c>
      <c r="T3462" s="82" t="s">
        <v>12887</v>
      </c>
      <c r="U3462" s="84" t="s">
        <v>3708</v>
      </c>
      <c r="V3462" s="54"/>
    </row>
    <row r="3463" spans="1:22" s="11" customFormat="1" ht="45" customHeight="1" x14ac:dyDescent="0.2">
      <c r="A3463" s="66" t="s">
        <v>12616</v>
      </c>
      <c r="B3463" s="66" t="s">
        <v>1707</v>
      </c>
      <c r="C3463" s="66" t="s">
        <v>12616</v>
      </c>
      <c r="D3463" s="66">
        <v>4580749604197</v>
      </c>
      <c r="E3463" s="68" t="s">
        <v>12888</v>
      </c>
      <c r="F3463" s="66" t="s">
        <v>12889</v>
      </c>
      <c r="G3463" s="71">
        <v>38830</v>
      </c>
      <c r="H3463" s="73"/>
      <c r="I3463" s="75">
        <v>0.2</v>
      </c>
      <c r="J3463" s="77"/>
      <c r="K3463" s="66"/>
      <c r="L3463" s="66"/>
      <c r="M3463" s="79" t="str">
        <f>HYPERLINK("http://www.pristavka.com/catalog/good_smile_company/GDS1052/")</f>
        <v>http://www.pristavka.com/catalog/good_smile_company/GDS1052/</v>
      </c>
      <c r="N3463" s="71">
        <v>59799</v>
      </c>
      <c r="O3463" s="66" t="s">
        <v>28</v>
      </c>
      <c r="P3463" s="82" t="s">
        <v>12890</v>
      </c>
      <c r="Q3463" s="84" t="s">
        <v>1442</v>
      </c>
      <c r="R3463" s="84" t="s">
        <v>1068</v>
      </c>
      <c r="S3463" s="84">
        <v>0.23499999999999999</v>
      </c>
      <c r="T3463" s="82" t="s">
        <v>12891</v>
      </c>
      <c r="U3463" s="84"/>
      <c r="V3463" s="54"/>
    </row>
    <row r="3464" spans="1:22" s="11" customFormat="1" ht="45" customHeight="1" x14ac:dyDescent="0.2">
      <c r="A3464" s="66" t="s">
        <v>12616</v>
      </c>
      <c r="B3464" s="66" t="s">
        <v>1707</v>
      </c>
      <c r="C3464" s="66" t="s">
        <v>12616</v>
      </c>
      <c r="D3464" s="66">
        <v>4580749604203</v>
      </c>
      <c r="E3464" s="68" t="s">
        <v>12892</v>
      </c>
      <c r="F3464" s="66" t="s">
        <v>12893</v>
      </c>
      <c r="G3464" s="71">
        <v>31056</v>
      </c>
      <c r="H3464" s="73"/>
      <c r="I3464" s="75">
        <v>0.2</v>
      </c>
      <c r="J3464" s="77"/>
      <c r="K3464" s="66"/>
      <c r="L3464" s="66"/>
      <c r="M3464" s="79" t="str">
        <f>HYPERLINK("http://www.pristavka.com/catalog/good_smile_company/GDS1053/")</f>
        <v>http://www.pristavka.com/catalog/good_smile_company/GDS1053/</v>
      </c>
      <c r="N3464" s="71">
        <v>47799</v>
      </c>
      <c r="O3464" s="66" t="s">
        <v>28</v>
      </c>
      <c r="P3464" s="82" t="s">
        <v>12894</v>
      </c>
      <c r="Q3464" s="84" t="s">
        <v>1442</v>
      </c>
      <c r="R3464" s="84" t="s">
        <v>1068</v>
      </c>
      <c r="S3464" s="84">
        <v>0.21</v>
      </c>
      <c r="T3464" s="82" t="s">
        <v>12891</v>
      </c>
      <c r="U3464" s="84"/>
      <c r="V3464" s="54"/>
    </row>
    <row r="3465" spans="1:22" s="11" customFormat="1" ht="45" customHeight="1" x14ac:dyDescent="0.2">
      <c r="A3465" s="66" t="s">
        <v>12616</v>
      </c>
      <c r="B3465" s="66" t="s">
        <v>1707</v>
      </c>
      <c r="C3465" s="66" t="s">
        <v>12616</v>
      </c>
      <c r="D3465" s="66">
        <v>4582638227913</v>
      </c>
      <c r="E3465" s="68" t="s">
        <v>12895</v>
      </c>
      <c r="F3465" s="66" t="s">
        <v>12896</v>
      </c>
      <c r="G3465" s="71">
        <v>32352</v>
      </c>
      <c r="H3465" s="73"/>
      <c r="I3465" s="75">
        <v>0.2</v>
      </c>
      <c r="J3465" s="77"/>
      <c r="K3465" s="66"/>
      <c r="L3465" s="66"/>
      <c r="M3465" s="79" t="str">
        <f>HYPERLINK("http://www.pristavka.com/catalog/good_smile_company/GDS704/")</f>
        <v>http://www.pristavka.com/catalog/good_smile_company/GDS704/</v>
      </c>
      <c r="N3465" s="71">
        <v>49799</v>
      </c>
      <c r="O3465" s="66" t="s">
        <v>28</v>
      </c>
      <c r="P3465" s="82" t="s">
        <v>12897</v>
      </c>
      <c r="Q3465" s="84" t="s">
        <v>1442</v>
      </c>
      <c r="R3465" s="84" t="s">
        <v>1068</v>
      </c>
      <c r="S3465" s="84">
        <v>0.224</v>
      </c>
      <c r="T3465" s="82" t="s">
        <v>12649</v>
      </c>
      <c r="U3465" s="84"/>
      <c r="V3465" s="54"/>
    </row>
    <row r="3466" spans="1:22" s="11" customFormat="1" ht="45" customHeight="1" x14ac:dyDescent="0.2">
      <c r="A3466" s="66" t="s">
        <v>12616</v>
      </c>
      <c r="B3466" s="66" t="s">
        <v>1707</v>
      </c>
      <c r="C3466" s="66" t="s">
        <v>12616</v>
      </c>
      <c r="D3466" s="66">
        <v>4582638233570</v>
      </c>
      <c r="E3466" s="68" t="s">
        <v>12898</v>
      </c>
      <c r="F3466" s="66" t="s">
        <v>12899</v>
      </c>
      <c r="G3466" s="71">
        <v>32352</v>
      </c>
      <c r="H3466" s="73"/>
      <c r="I3466" s="75">
        <v>0.2</v>
      </c>
      <c r="J3466" s="77"/>
      <c r="K3466" s="66"/>
      <c r="L3466" s="66"/>
      <c r="M3466" s="79" t="str">
        <f>HYPERLINK("http://www.pristavka.com/catalog/good_smile_company/GDS1046/")</f>
        <v>http://www.pristavka.com/catalog/good_smile_company/GDS1046/</v>
      </c>
      <c r="N3466" s="71">
        <v>49799</v>
      </c>
      <c r="O3466" s="66" t="s">
        <v>28</v>
      </c>
      <c r="P3466" s="82" t="s">
        <v>12900</v>
      </c>
      <c r="Q3466" s="84" t="s">
        <v>1442</v>
      </c>
      <c r="R3466" s="84" t="s">
        <v>1068</v>
      </c>
      <c r="S3466" s="84">
        <v>0.23</v>
      </c>
      <c r="T3466" s="82" t="s">
        <v>12649</v>
      </c>
      <c r="U3466" s="84"/>
      <c r="V3466" s="54"/>
    </row>
    <row r="3467" spans="1:22" s="11" customFormat="1" ht="45" customHeight="1" x14ac:dyDescent="0.2">
      <c r="A3467" s="66" t="s">
        <v>12616</v>
      </c>
      <c r="B3467" s="66" t="s">
        <v>1707</v>
      </c>
      <c r="C3467" s="66" t="s">
        <v>12616</v>
      </c>
      <c r="D3467" s="66">
        <v>4582638227791</v>
      </c>
      <c r="E3467" s="68" t="s">
        <v>12901</v>
      </c>
      <c r="F3467" s="66" t="s">
        <v>12902</v>
      </c>
      <c r="G3467" s="71">
        <v>35375</v>
      </c>
      <c r="H3467" s="73"/>
      <c r="I3467" s="75">
        <v>0.2</v>
      </c>
      <c r="J3467" s="77"/>
      <c r="K3467" s="66"/>
      <c r="L3467" s="66"/>
      <c r="M3467" s="79" t="str">
        <f>HYPERLINK("http://www.pristavka.com/catalog/good_smile_company/GDS1039/")</f>
        <v>http://www.pristavka.com/catalog/good_smile_company/GDS1039/</v>
      </c>
      <c r="N3467" s="71">
        <v>54499</v>
      </c>
      <c r="O3467" s="66" t="s">
        <v>28</v>
      </c>
      <c r="P3467" s="82" t="s">
        <v>12903</v>
      </c>
      <c r="Q3467" s="84" t="s">
        <v>1442</v>
      </c>
      <c r="R3467" s="84" t="s">
        <v>1068</v>
      </c>
      <c r="S3467" s="84">
        <v>0.25800000000000001</v>
      </c>
      <c r="T3467" s="82" t="s">
        <v>12904</v>
      </c>
      <c r="U3467" s="84"/>
      <c r="V3467" s="54"/>
    </row>
    <row r="3468" spans="1:22" s="11" customFormat="1" ht="45" customHeight="1" x14ac:dyDescent="0.2">
      <c r="A3468" s="66" t="s">
        <v>12616</v>
      </c>
      <c r="B3468" s="66" t="s">
        <v>1707</v>
      </c>
      <c r="C3468" s="66" t="s">
        <v>12616</v>
      </c>
      <c r="D3468" s="66">
        <v>4582638237097</v>
      </c>
      <c r="E3468" s="68" t="s">
        <v>12905</v>
      </c>
      <c r="F3468" s="66" t="s">
        <v>12906</v>
      </c>
      <c r="G3468" s="71">
        <v>35375</v>
      </c>
      <c r="H3468" s="73"/>
      <c r="I3468" s="75">
        <v>0.2</v>
      </c>
      <c r="J3468" s="77"/>
      <c r="K3468" s="66"/>
      <c r="L3468" s="66"/>
      <c r="M3468" s="79" t="str">
        <f>HYPERLINK("http://www.pristavka.com/catalog/good_smile_company/GDS1054/")</f>
        <v>http://www.pristavka.com/catalog/good_smile_company/GDS1054/</v>
      </c>
      <c r="N3468" s="71">
        <v>54499</v>
      </c>
      <c r="O3468" s="66" t="s">
        <v>28</v>
      </c>
      <c r="P3468" s="82" t="s">
        <v>12907</v>
      </c>
      <c r="Q3468" s="84" t="s">
        <v>1442</v>
      </c>
      <c r="R3468" s="84" t="s">
        <v>1068</v>
      </c>
      <c r="S3468" s="84">
        <v>0.39500000000000002</v>
      </c>
      <c r="T3468" s="82" t="s">
        <v>12908</v>
      </c>
      <c r="U3468" s="84"/>
      <c r="V3468" s="54"/>
    </row>
    <row r="3469" spans="1:22" s="11" customFormat="1" ht="45" customHeight="1" x14ac:dyDescent="0.2">
      <c r="A3469" s="66" t="s">
        <v>12616</v>
      </c>
      <c r="B3469" s="66" t="s">
        <v>1707</v>
      </c>
      <c r="C3469" s="66" t="s">
        <v>12616</v>
      </c>
      <c r="D3469" s="66">
        <v>4582638227920</v>
      </c>
      <c r="E3469" s="68" t="s">
        <v>12909</v>
      </c>
      <c r="F3469" s="66" t="s">
        <v>12910</v>
      </c>
      <c r="G3469" s="71">
        <v>32352</v>
      </c>
      <c r="H3469" s="73"/>
      <c r="I3469" s="75">
        <v>0.2</v>
      </c>
      <c r="J3469" s="77"/>
      <c r="K3469" s="66"/>
      <c r="L3469" s="66"/>
      <c r="M3469" s="79" t="str">
        <f>HYPERLINK("http://www.pristavka.com/catalog/good_smile_company/GDS705/")</f>
        <v>http://www.pristavka.com/catalog/good_smile_company/GDS705/</v>
      </c>
      <c r="N3469" s="71">
        <v>49799</v>
      </c>
      <c r="O3469" s="66" t="s">
        <v>28</v>
      </c>
      <c r="P3469" s="82" t="s">
        <v>12911</v>
      </c>
      <c r="Q3469" s="84" t="s">
        <v>1442</v>
      </c>
      <c r="R3469" s="84" t="s">
        <v>1068</v>
      </c>
      <c r="S3469" s="84">
        <v>0.23100000000000001</v>
      </c>
      <c r="T3469" s="82" t="s">
        <v>12649</v>
      </c>
      <c r="U3469" s="84"/>
      <c r="V3469" s="54"/>
    </row>
    <row r="3470" spans="1:22" s="11" customFormat="1" ht="45" customHeight="1" x14ac:dyDescent="0.2">
      <c r="A3470" s="66" t="s">
        <v>12616</v>
      </c>
      <c r="B3470" s="66" t="s">
        <v>1707</v>
      </c>
      <c r="C3470" s="66" t="s">
        <v>12616</v>
      </c>
      <c r="D3470" s="66">
        <v>4582638231675</v>
      </c>
      <c r="E3470" s="68" t="s">
        <v>12912</v>
      </c>
      <c r="F3470" s="66" t="s">
        <v>12913</v>
      </c>
      <c r="G3470" s="71">
        <v>32352</v>
      </c>
      <c r="H3470" s="73"/>
      <c r="I3470" s="75">
        <v>0.2</v>
      </c>
      <c r="J3470" s="77"/>
      <c r="K3470" s="66"/>
      <c r="L3470" s="66"/>
      <c r="M3470" s="79" t="str">
        <f>HYPERLINK("http://www.pristavka.com/catalog/good_smile_company/GDS708/")</f>
        <v>http://www.pristavka.com/catalog/good_smile_company/GDS708/</v>
      </c>
      <c r="N3470" s="71">
        <v>49799</v>
      </c>
      <c r="O3470" s="66" t="s">
        <v>28</v>
      </c>
      <c r="P3470" s="82" t="s">
        <v>12914</v>
      </c>
      <c r="Q3470" s="84" t="s">
        <v>1442</v>
      </c>
      <c r="R3470" s="84" t="s">
        <v>1068</v>
      </c>
      <c r="S3470" s="84">
        <v>0.28999999999999998</v>
      </c>
      <c r="T3470" s="82" t="s">
        <v>12915</v>
      </c>
      <c r="U3470" s="84"/>
      <c r="V3470" s="54"/>
    </row>
    <row r="3471" spans="1:22" s="11" customFormat="1" ht="45" customHeight="1" x14ac:dyDescent="0.2">
      <c r="A3471" s="66" t="s">
        <v>12616</v>
      </c>
      <c r="B3471" s="66" t="s">
        <v>1707</v>
      </c>
      <c r="C3471" s="66" t="s">
        <v>12616</v>
      </c>
      <c r="D3471" s="66">
        <v>4582655074514</v>
      </c>
      <c r="E3471" s="68" t="s">
        <v>12916</v>
      </c>
      <c r="F3471" s="66" t="s">
        <v>12917</v>
      </c>
      <c r="G3471" s="71">
        <v>12319</v>
      </c>
      <c r="H3471" s="73"/>
      <c r="I3471" s="75">
        <v>0.2</v>
      </c>
      <c r="J3471" s="77"/>
      <c r="K3471" s="66"/>
      <c r="L3471" s="66"/>
      <c r="M3471" s="79" t="str">
        <f>HYPERLINK("http://www.pristavka.com/catalog/good_smile_company/GDS1110/")</f>
        <v>http://www.pristavka.com/catalog/good_smile_company/GDS1110/</v>
      </c>
      <c r="N3471" s="71">
        <v>20599</v>
      </c>
      <c r="O3471" s="66" t="s">
        <v>28</v>
      </c>
      <c r="P3471" s="82" t="s">
        <v>12918</v>
      </c>
      <c r="Q3471" s="84" t="s">
        <v>12919</v>
      </c>
      <c r="R3471" s="84" t="s">
        <v>1068</v>
      </c>
      <c r="S3471" s="84">
        <v>0.151</v>
      </c>
      <c r="T3471" s="82" t="s">
        <v>12920</v>
      </c>
      <c r="U3471" s="84"/>
      <c r="V3471" s="54"/>
    </row>
    <row r="3472" spans="1:22" s="11" customFormat="1" ht="45" customHeight="1" x14ac:dyDescent="0.2">
      <c r="A3472" s="66" t="s">
        <v>12616</v>
      </c>
      <c r="B3472" s="66" t="s">
        <v>1707</v>
      </c>
      <c r="C3472" s="66" t="s">
        <v>12616</v>
      </c>
      <c r="D3472" s="66">
        <v>4582655075573</v>
      </c>
      <c r="E3472" s="68" t="s">
        <v>12921</v>
      </c>
      <c r="F3472" s="66" t="s">
        <v>12922</v>
      </c>
      <c r="G3472" s="71">
        <v>12319</v>
      </c>
      <c r="H3472" s="73"/>
      <c r="I3472" s="75">
        <v>0.2</v>
      </c>
      <c r="J3472" s="77"/>
      <c r="K3472" s="66"/>
      <c r="L3472" s="66"/>
      <c r="M3472" s="79" t="str">
        <f>HYPERLINK("http://www.pristavka.com/catalog/good_smile_company/GDS1133/")</f>
        <v>http://www.pristavka.com/catalog/good_smile_company/GDS1133/</v>
      </c>
      <c r="N3472" s="71">
        <v>20599</v>
      </c>
      <c r="O3472" s="66" t="s">
        <v>28</v>
      </c>
      <c r="P3472" s="82" t="s">
        <v>12923</v>
      </c>
      <c r="Q3472" s="84" t="s">
        <v>1522</v>
      </c>
      <c r="R3472" s="84" t="s">
        <v>1068</v>
      </c>
      <c r="S3472" s="84">
        <v>0.188</v>
      </c>
      <c r="T3472" s="82" t="s">
        <v>12924</v>
      </c>
      <c r="U3472" s="84"/>
      <c r="V3472" s="54"/>
    </row>
    <row r="3473" spans="1:22" s="11" customFormat="1" ht="45" customHeight="1" x14ac:dyDescent="0.2">
      <c r="A3473" s="66" t="s">
        <v>12616</v>
      </c>
      <c r="B3473" s="66" t="s">
        <v>1707</v>
      </c>
      <c r="C3473" s="66" t="s">
        <v>12616</v>
      </c>
      <c r="D3473" s="66">
        <v>4582655075542</v>
      </c>
      <c r="E3473" s="68" t="s">
        <v>12925</v>
      </c>
      <c r="F3473" s="66" t="s">
        <v>12926</v>
      </c>
      <c r="G3473" s="71">
        <v>12319</v>
      </c>
      <c r="H3473" s="73"/>
      <c r="I3473" s="75">
        <v>0.2</v>
      </c>
      <c r="J3473" s="77"/>
      <c r="K3473" s="66"/>
      <c r="L3473" s="66"/>
      <c r="M3473" s="79" t="str">
        <f>HYPERLINK("http://www.pristavka.com/catalog/good_smile_company/GDS1131/")</f>
        <v>http://www.pristavka.com/catalog/good_smile_company/GDS1131/</v>
      </c>
      <c r="N3473" s="71">
        <v>20599</v>
      </c>
      <c r="O3473" s="66" t="s">
        <v>27</v>
      </c>
      <c r="P3473" s="82" t="s">
        <v>12927</v>
      </c>
      <c r="Q3473" s="84" t="s">
        <v>12928</v>
      </c>
      <c r="R3473" s="84" t="s">
        <v>1068</v>
      </c>
      <c r="S3473" s="84">
        <v>0.185</v>
      </c>
      <c r="T3473" s="82" t="s">
        <v>12920</v>
      </c>
      <c r="U3473" s="84"/>
      <c r="V3473" s="54"/>
    </row>
    <row r="3474" spans="1:22" s="11" customFormat="1" ht="45" customHeight="1" x14ac:dyDescent="0.2">
      <c r="A3474" s="66" t="s">
        <v>12616</v>
      </c>
      <c r="B3474" s="66" t="s">
        <v>1707</v>
      </c>
      <c r="C3474" s="66" t="s">
        <v>12616</v>
      </c>
      <c r="D3474" s="66">
        <v>4580736405479</v>
      </c>
      <c r="E3474" s="68" t="s">
        <v>12929</v>
      </c>
      <c r="F3474" s="66" t="s">
        <v>12930</v>
      </c>
      <c r="G3474" s="71">
        <v>9528</v>
      </c>
      <c r="H3474" s="73"/>
      <c r="I3474" s="75">
        <v>0.2</v>
      </c>
      <c r="J3474" s="77"/>
      <c r="K3474" s="66"/>
      <c r="L3474" s="66"/>
      <c r="M3474" s="79" t="str">
        <f>HYPERLINK("http://www.pristavka.com/catalog/good_smile_company/GDS1045/")</f>
        <v>http://www.pristavka.com/catalog/good_smile_company/GDS1045/</v>
      </c>
      <c r="N3474" s="71">
        <v>15899</v>
      </c>
      <c r="O3474" s="66" t="s">
        <v>27</v>
      </c>
      <c r="P3474" s="82" t="s">
        <v>12931</v>
      </c>
      <c r="Q3474" s="84" t="s">
        <v>2808</v>
      </c>
      <c r="R3474" s="84" t="s">
        <v>1068</v>
      </c>
      <c r="S3474" s="84">
        <v>0.29499999999999998</v>
      </c>
      <c r="T3474" s="82" t="s">
        <v>12932</v>
      </c>
      <c r="U3474" s="84"/>
      <c r="V3474" s="54"/>
    </row>
    <row r="3475" spans="1:22" s="11" customFormat="1" ht="45" customHeight="1" x14ac:dyDescent="0.2">
      <c r="A3475" s="66" t="s">
        <v>12616</v>
      </c>
      <c r="B3475" s="66" t="s">
        <v>1707</v>
      </c>
      <c r="C3475" s="66" t="s">
        <v>12616</v>
      </c>
      <c r="D3475" s="66">
        <v>4582655075566</v>
      </c>
      <c r="E3475" s="68" t="s">
        <v>12933</v>
      </c>
      <c r="F3475" s="66" t="s">
        <v>12934</v>
      </c>
      <c r="G3475" s="71">
        <v>12717</v>
      </c>
      <c r="H3475" s="73"/>
      <c r="I3475" s="75">
        <v>0.2</v>
      </c>
      <c r="J3475" s="77"/>
      <c r="K3475" s="66"/>
      <c r="L3475" s="66"/>
      <c r="M3475" s="79" t="str">
        <f>HYPERLINK("http://www.pristavka.com/catalog/good_smile_company/GDS1132/")</f>
        <v>http://www.pristavka.com/catalog/good_smile_company/GDS1132/</v>
      </c>
      <c r="N3475" s="71">
        <v>21199</v>
      </c>
      <c r="O3475" s="66" t="s">
        <v>28</v>
      </c>
      <c r="P3475" s="82" t="s">
        <v>12935</v>
      </c>
      <c r="Q3475" s="84" t="s">
        <v>2808</v>
      </c>
      <c r="R3475" s="84" t="s">
        <v>1068</v>
      </c>
      <c r="S3475" s="84">
        <v>0.28000000000000003</v>
      </c>
      <c r="T3475" s="82" t="s">
        <v>12936</v>
      </c>
      <c r="U3475" s="84"/>
      <c r="V3475" s="54"/>
    </row>
    <row r="3476" spans="1:22" s="11" customFormat="1" ht="45" customHeight="1" x14ac:dyDescent="0.2">
      <c r="A3476" s="66" t="s">
        <v>12616</v>
      </c>
      <c r="B3476" s="66" t="s">
        <v>1707</v>
      </c>
      <c r="C3476" s="66" t="s">
        <v>12616</v>
      </c>
      <c r="D3476" s="66">
        <v>4580736402782</v>
      </c>
      <c r="E3476" s="68" t="s">
        <v>12937</v>
      </c>
      <c r="F3476" s="66" t="s">
        <v>12938</v>
      </c>
      <c r="G3476" s="71">
        <v>6656</v>
      </c>
      <c r="H3476" s="73"/>
      <c r="I3476" s="75">
        <v>0.2</v>
      </c>
      <c r="J3476" s="77"/>
      <c r="K3476" s="66"/>
      <c r="L3476" s="66"/>
      <c r="M3476" s="79" t="str">
        <f>HYPERLINK("http://www.pristavka.com/catalog/good_smile_company/GDS950/")</f>
        <v>http://www.pristavka.com/catalog/good_smile_company/GDS950/</v>
      </c>
      <c r="N3476" s="71">
        <v>12099</v>
      </c>
      <c r="O3476" s="66" t="s">
        <v>27</v>
      </c>
      <c r="P3476" s="82" t="s">
        <v>12939</v>
      </c>
      <c r="Q3476" s="84" t="s">
        <v>2808</v>
      </c>
      <c r="R3476" s="84" t="s">
        <v>1068</v>
      </c>
      <c r="S3476" s="84">
        <v>0.36</v>
      </c>
      <c r="T3476" s="82" t="s">
        <v>12940</v>
      </c>
      <c r="U3476" s="84"/>
      <c r="V3476" s="54"/>
    </row>
    <row r="3477" spans="1:22" s="11" customFormat="1" ht="45" customHeight="1" x14ac:dyDescent="0.2">
      <c r="A3477" s="66" t="s">
        <v>12616</v>
      </c>
      <c r="B3477" s="66" t="s">
        <v>1707</v>
      </c>
      <c r="C3477" s="66" t="s">
        <v>12616</v>
      </c>
      <c r="D3477" s="66">
        <v>4580736402508</v>
      </c>
      <c r="E3477" s="68" t="s">
        <v>12941</v>
      </c>
      <c r="F3477" s="66" t="s">
        <v>12942</v>
      </c>
      <c r="G3477" s="71">
        <v>6656</v>
      </c>
      <c r="H3477" s="73"/>
      <c r="I3477" s="75">
        <v>0.2</v>
      </c>
      <c r="J3477" s="77"/>
      <c r="K3477" s="66"/>
      <c r="L3477" s="66"/>
      <c r="M3477" s="79" t="str">
        <f>HYPERLINK("http://www.pristavka.com/catalog/good_smile_company/GDS965/")</f>
        <v>http://www.pristavka.com/catalog/good_smile_company/GDS965/</v>
      </c>
      <c r="N3477" s="71">
        <v>12099</v>
      </c>
      <c r="O3477" s="66" t="s">
        <v>27</v>
      </c>
      <c r="P3477" s="82" t="s">
        <v>12943</v>
      </c>
      <c r="Q3477" s="84" t="s">
        <v>2808</v>
      </c>
      <c r="R3477" s="84" t="s">
        <v>1068</v>
      </c>
      <c r="S3477" s="84">
        <v>0.185</v>
      </c>
      <c r="T3477" s="82" t="s">
        <v>12944</v>
      </c>
      <c r="U3477" s="84"/>
      <c r="V3477" s="54"/>
    </row>
    <row r="3478" spans="1:22" s="11" customFormat="1" ht="45" customHeight="1" x14ac:dyDescent="0.2">
      <c r="A3478" s="66" t="s">
        <v>12616</v>
      </c>
      <c r="B3478" s="66" t="s">
        <v>1707</v>
      </c>
      <c r="C3478" s="66" t="s">
        <v>12616</v>
      </c>
      <c r="D3478" s="66">
        <v>4580736403161</v>
      </c>
      <c r="E3478" s="68" t="s">
        <v>12945</v>
      </c>
      <c r="F3478" s="66" t="s">
        <v>12946</v>
      </c>
      <c r="G3478" s="71">
        <v>6656</v>
      </c>
      <c r="H3478" s="73"/>
      <c r="I3478" s="75">
        <v>0.2</v>
      </c>
      <c r="J3478" s="77"/>
      <c r="K3478" s="66"/>
      <c r="L3478" s="66"/>
      <c r="M3478" s="79" t="str">
        <f>HYPERLINK("http://www.pristavka.com/catalog/good_smile_company/GDS960/")</f>
        <v>http://www.pristavka.com/catalog/good_smile_company/GDS960/</v>
      </c>
      <c r="N3478" s="71">
        <v>12099</v>
      </c>
      <c r="O3478" s="66" t="s">
        <v>28</v>
      </c>
      <c r="P3478" s="82" t="s">
        <v>12947</v>
      </c>
      <c r="Q3478" s="84" t="s">
        <v>2808</v>
      </c>
      <c r="R3478" s="84" t="s">
        <v>1068</v>
      </c>
      <c r="S3478" s="84">
        <v>0.22600000000000001</v>
      </c>
      <c r="T3478" s="82" t="s">
        <v>12948</v>
      </c>
      <c r="U3478" s="84"/>
      <c r="V3478" s="54"/>
    </row>
    <row r="3479" spans="1:22" s="11" customFormat="1" ht="45" customHeight="1" x14ac:dyDescent="0.2">
      <c r="A3479" s="66" t="s">
        <v>12616</v>
      </c>
      <c r="B3479" s="66" t="s">
        <v>1707</v>
      </c>
      <c r="C3479" s="66" t="s">
        <v>12616</v>
      </c>
      <c r="D3479" s="66">
        <v>4580736402263</v>
      </c>
      <c r="E3479" s="68" t="s">
        <v>12949</v>
      </c>
      <c r="F3479" s="66" t="s">
        <v>12950</v>
      </c>
      <c r="G3479" s="71">
        <v>6656</v>
      </c>
      <c r="H3479" s="73"/>
      <c r="I3479" s="75">
        <v>0.2</v>
      </c>
      <c r="J3479" s="77"/>
      <c r="K3479" s="66"/>
      <c r="L3479" s="66"/>
      <c r="M3479" s="79" t="str">
        <f>HYPERLINK("http://www.pristavka.com/catalog/good_smile_company/GDS961/")</f>
        <v>http://www.pristavka.com/catalog/good_smile_company/GDS961/</v>
      </c>
      <c r="N3479" s="71">
        <v>12099</v>
      </c>
      <c r="O3479" s="66" t="s">
        <v>27</v>
      </c>
      <c r="P3479" s="82" t="s">
        <v>12951</v>
      </c>
      <c r="Q3479" s="84" t="s">
        <v>12952</v>
      </c>
      <c r="R3479" s="84" t="s">
        <v>1068</v>
      </c>
      <c r="S3479" s="84">
        <v>0.21</v>
      </c>
      <c r="T3479" s="82" t="s">
        <v>3081</v>
      </c>
      <c r="U3479" s="84"/>
      <c r="V3479" s="54"/>
    </row>
    <row r="3480" spans="1:22" s="11" customFormat="1" ht="45" customHeight="1" x14ac:dyDescent="0.2">
      <c r="A3480" s="66" t="s">
        <v>12616</v>
      </c>
      <c r="B3480" s="66" t="s">
        <v>1707</v>
      </c>
      <c r="C3480" s="66" t="s">
        <v>12616</v>
      </c>
      <c r="D3480" s="66">
        <v>4580416944120</v>
      </c>
      <c r="E3480" s="68" t="s">
        <v>12953</v>
      </c>
      <c r="F3480" s="66" t="s">
        <v>12954</v>
      </c>
      <c r="G3480" s="71">
        <v>4345</v>
      </c>
      <c r="H3480" s="73"/>
      <c r="I3480" s="75">
        <v>0.2</v>
      </c>
      <c r="J3480" s="77"/>
      <c r="K3480" s="66"/>
      <c r="L3480" s="66"/>
      <c r="M3480" s="79" t="str">
        <f>HYPERLINK("http://www.pristavka.com/catalog/good_smile_company/GDS1062/")</f>
        <v>http://www.pristavka.com/catalog/good_smile_company/GDS1062/</v>
      </c>
      <c r="N3480" s="71">
        <v>7299</v>
      </c>
      <c r="O3480" s="66" t="s">
        <v>28</v>
      </c>
      <c r="P3480" s="82" t="s">
        <v>12955</v>
      </c>
      <c r="Q3480" s="84" t="s">
        <v>12956</v>
      </c>
      <c r="R3480" s="84" t="s">
        <v>1068</v>
      </c>
      <c r="S3480" s="84">
        <v>0.1</v>
      </c>
      <c r="T3480" s="82" t="s">
        <v>12957</v>
      </c>
      <c r="U3480" s="84"/>
      <c r="V3480" s="54"/>
    </row>
    <row r="3481" spans="1:22" s="11" customFormat="1" ht="45" customHeight="1" x14ac:dyDescent="0.2">
      <c r="A3481" s="66" t="s">
        <v>12616</v>
      </c>
      <c r="B3481" s="66" t="s">
        <v>1707</v>
      </c>
      <c r="C3481" s="66" t="s">
        <v>12616</v>
      </c>
      <c r="D3481" s="66">
        <v>4580590192881</v>
      </c>
      <c r="E3481" s="68" t="s">
        <v>12958</v>
      </c>
      <c r="F3481" s="66" t="s">
        <v>12959</v>
      </c>
      <c r="G3481" s="71">
        <v>5143</v>
      </c>
      <c r="H3481" s="73"/>
      <c r="I3481" s="75">
        <v>0.2</v>
      </c>
      <c r="J3481" s="77"/>
      <c r="K3481" s="66"/>
      <c r="L3481" s="66"/>
      <c r="M3481" s="79" t="str">
        <f>HYPERLINK("http://www.pristavka.com/catalog/good_smile_company/GDS1059/")</f>
        <v>http://www.pristavka.com/catalog/good_smile_company/GDS1059/</v>
      </c>
      <c r="N3481" s="71">
        <v>8599</v>
      </c>
      <c r="O3481" s="66" t="s">
        <v>27</v>
      </c>
      <c r="P3481" s="82" t="s">
        <v>12960</v>
      </c>
      <c r="Q3481" s="84" t="s">
        <v>12961</v>
      </c>
      <c r="R3481" s="84" t="s">
        <v>1068</v>
      </c>
      <c r="S3481" s="84">
        <v>0.108</v>
      </c>
      <c r="T3481" s="82" t="s">
        <v>12962</v>
      </c>
      <c r="U3481" s="84"/>
      <c r="V3481" s="54"/>
    </row>
    <row r="3482" spans="1:22" s="11" customFormat="1" ht="45" customHeight="1" x14ac:dyDescent="0.2">
      <c r="A3482" s="66" t="s">
        <v>12616</v>
      </c>
      <c r="B3482" s="66" t="s">
        <v>1707</v>
      </c>
      <c r="C3482" s="66" t="s">
        <v>12616</v>
      </c>
      <c r="D3482" s="66">
        <v>4580590198036</v>
      </c>
      <c r="E3482" s="68" t="s">
        <v>12963</v>
      </c>
      <c r="F3482" s="66" t="s">
        <v>12964</v>
      </c>
      <c r="G3482" s="71">
        <v>6737</v>
      </c>
      <c r="H3482" s="73"/>
      <c r="I3482" s="75">
        <v>0.2</v>
      </c>
      <c r="J3482" s="77"/>
      <c r="K3482" s="66"/>
      <c r="L3482" s="66"/>
      <c r="M3482" s="79" t="str">
        <f>HYPERLINK("http://www.pristavka.com/catalog/good_smile_company/GDS1074/")</f>
        <v>http://www.pristavka.com/catalog/good_smile_company/GDS1074/</v>
      </c>
      <c r="N3482" s="71">
        <v>11299</v>
      </c>
      <c r="O3482" s="66" t="s">
        <v>27</v>
      </c>
      <c r="P3482" s="82" t="s">
        <v>12965</v>
      </c>
      <c r="Q3482" s="84" t="s">
        <v>12966</v>
      </c>
      <c r="R3482" s="84" t="s">
        <v>1068</v>
      </c>
      <c r="S3482" s="84">
        <v>9.2999999999999999E-2</v>
      </c>
      <c r="T3482" s="82" t="s">
        <v>12967</v>
      </c>
      <c r="U3482" s="84"/>
      <c r="V3482" s="54"/>
    </row>
    <row r="3483" spans="1:22" s="11" customFormat="1" ht="45" customHeight="1" x14ac:dyDescent="0.2">
      <c r="A3483" s="66" t="s">
        <v>12616</v>
      </c>
      <c r="B3483" s="66" t="s">
        <v>1707</v>
      </c>
      <c r="C3483" s="66" t="s">
        <v>12616</v>
      </c>
      <c r="D3483" s="66">
        <v>4580590198067</v>
      </c>
      <c r="E3483" s="68" t="s">
        <v>12968</v>
      </c>
      <c r="F3483" s="66" t="s">
        <v>12969</v>
      </c>
      <c r="G3483" s="71">
        <v>5940</v>
      </c>
      <c r="H3483" s="73"/>
      <c r="I3483" s="75">
        <v>0.2</v>
      </c>
      <c r="J3483" s="77"/>
      <c r="K3483" s="66"/>
      <c r="L3483" s="66"/>
      <c r="M3483" s="79" t="str">
        <f>HYPERLINK("http://www.pristavka.com/catalog/good_smile_company/GDS1033/")</f>
        <v>http://www.pristavka.com/catalog/good_smile_company/GDS1033/</v>
      </c>
      <c r="N3483" s="71">
        <v>9999</v>
      </c>
      <c r="O3483" s="66" t="s">
        <v>27</v>
      </c>
      <c r="P3483" s="82" t="s">
        <v>12970</v>
      </c>
      <c r="Q3483" s="84" t="s">
        <v>1426</v>
      </c>
      <c r="R3483" s="84" t="s">
        <v>1068</v>
      </c>
      <c r="S3483" s="84">
        <v>0.13200000000000001</v>
      </c>
      <c r="T3483" s="82" t="s">
        <v>12962</v>
      </c>
      <c r="U3483" s="84"/>
      <c r="V3483" s="54"/>
    </row>
    <row r="3484" spans="1:22" s="11" customFormat="1" ht="45" customHeight="1" x14ac:dyDescent="0.2">
      <c r="A3484" s="66" t="s">
        <v>12616</v>
      </c>
      <c r="B3484" s="66" t="s">
        <v>1707</v>
      </c>
      <c r="C3484" s="66" t="s">
        <v>12616</v>
      </c>
      <c r="D3484" s="66">
        <v>4580590198050</v>
      </c>
      <c r="E3484" s="68" t="s">
        <v>12971</v>
      </c>
      <c r="F3484" s="66" t="s">
        <v>12972</v>
      </c>
      <c r="G3484" s="71">
        <v>5940</v>
      </c>
      <c r="H3484" s="73"/>
      <c r="I3484" s="75">
        <v>0.2</v>
      </c>
      <c r="J3484" s="77"/>
      <c r="K3484" s="66"/>
      <c r="L3484" s="66"/>
      <c r="M3484" s="79" t="str">
        <f>HYPERLINK("http://www.pristavka.com/catalog/good_smile_company/GDS1034/")</f>
        <v>http://www.pristavka.com/catalog/good_smile_company/GDS1034/</v>
      </c>
      <c r="N3484" s="71">
        <v>9999</v>
      </c>
      <c r="O3484" s="66" t="s">
        <v>28</v>
      </c>
      <c r="P3484" s="82" t="s">
        <v>12973</v>
      </c>
      <c r="Q3484" s="84" t="s">
        <v>1426</v>
      </c>
      <c r="R3484" s="84" t="s">
        <v>1068</v>
      </c>
      <c r="S3484" s="84">
        <v>9.6000000000000002E-2</v>
      </c>
      <c r="T3484" s="82" t="s">
        <v>12962</v>
      </c>
      <c r="U3484" s="84"/>
      <c r="V3484" s="54"/>
    </row>
    <row r="3485" spans="1:22" s="11" customFormat="1" ht="45" customHeight="1" x14ac:dyDescent="0.2">
      <c r="A3485" s="66" t="s">
        <v>12616</v>
      </c>
      <c r="B3485" s="66" t="s">
        <v>1707</v>
      </c>
      <c r="C3485" s="66" t="s">
        <v>12616</v>
      </c>
      <c r="D3485" s="66">
        <v>4582638224226</v>
      </c>
      <c r="E3485" s="68" t="s">
        <v>12974</v>
      </c>
      <c r="F3485" s="66" t="s">
        <v>12975</v>
      </c>
      <c r="G3485" s="71">
        <v>28175</v>
      </c>
      <c r="H3485" s="73"/>
      <c r="I3485" s="75">
        <v>0.2</v>
      </c>
      <c r="J3485" s="77"/>
      <c r="K3485" s="66"/>
      <c r="L3485" s="66"/>
      <c r="M3485" s="79" t="str">
        <f>HYPERLINK("http://www.pristavka.com/catalog/good_smile_company/GDS701/")</f>
        <v>http://www.pristavka.com/catalog/good_smile_company/GDS701/</v>
      </c>
      <c r="N3485" s="71">
        <v>46999</v>
      </c>
      <c r="O3485" s="66" t="s">
        <v>27</v>
      </c>
      <c r="P3485" s="82" t="s">
        <v>12976</v>
      </c>
      <c r="Q3485" s="84" t="s">
        <v>1442</v>
      </c>
      <c r="R3485" s="84" t="s">
        <v>1068</v>
      </c>
      <c r="S3485" s="84">
        <v>0.22600000000000001</v>
      </c>
      <c r="T3485" s="82" t="s">
        <v>12977</v>
      </c>
      <c r="U3485" s="84"/>
      <c r="V3485" s="54"/>
    </row>
    <row r="3486" spans="1:22" s="11" customFormat="1" ht="45" customHeight="1" x14ac:dyDescent="0.2">
      <c r="A3486" s="66" t="s">
        <v>12616</v>
      </c>
      <c r="B3486" s="66" t="s">
        <v>1707</v>
      </c>
      <c r="C3486" s="66" t="s">
        <v>12616</v>
      </c>
      <c r="D3486" s="66">
        <v>4582638210458</v>
      </c>
      <c r="E3486" s="68" t="s">
        <v>12978</v>
      </c>
      <c r="F3486" s="66" t="s">
        <v>12979</v>
      </c>
      <c r="G3486" s="71">
        <v>29443</v>
      </c>
      <c r="H3486" s="73"/>
      <c r="I3486" s="75">
        <v>0.2</v>
      </c>
      <c r="J3486" s="77"/>
      <c r="K3486" s="66"/>
      <c r="L3486" s="66"/>
      <c r="M3486" s="79" t="str">
        <f>HYPERLINK("http://www.pristavka.com/catalog/good_smile_company/GDS958/")</f>
        <v>http://www.pristavka.com/catalog/good_smile_company/GDS958/</v>
      </c>
      <c r="N3486" s="71">
        <v>49099</v>
      </c>
      <c r="O3486" s="66" t="s">
        <v>27</v>
      </c>
      <c r="P3486" s="82" t="s">
        <v>12980</v>
      </c>
      <c r="Q3486" s="84" t="s">
        <v>1442</v>
      </c>
      <c r="R3486" s="84" t="s">
        <v>1068</v>
      </c>
      <c r="S3486" s="84">
        <v>0.2</v>
      </c>
      <c r="T3486" s="82" t="s">
        <v>12981</v>
      </c>
      <c r="U3486" s="84"/>
      <c r="V3486" s="54"/>
    </row>
    <row r="3487" spans="1:22" s="11" customFormat="1" ht="45" customHeight="1" x14ac:dyDescent="0.2">
      <c r="A3487" s="66" t="s">
        <v>12616</v>
      </c>
      <c r="B3487" s="66" t="s">
        <v>1707</v>
      </c>
      <c r="C3487" s="66" t="s">
        <v>12616</v>
      </c>
      <c r="D3487" s="66">
        <v>4580590179608</v>
      </c>
      <c r="E3487" s="68" t="s">
        <v>12982</v>
      </c>
      <c r="F3487" s="66" t="s">
        <v>12983</v>
      </c>
      <c r="G3487" s="71">
        <v>25010</v>
      </c>
      <c r="H3487" s="73"/>
      <c r="I3487" s="75">
        <v>0.2</v>
      </c>
      <c r="J3487" s="77"/>
      <c r="K3487" s="66"/>
      <c r="L3487" s="66"/>
      <c r="M3487" s="79" t="str">
        <f>HYPERLINK("http://www.pristavka.com/catalog/good_smile_company/GDS1137/")</f>
        <v>http://www.pristavka.com/catalog/good_smile_company/GDS1137/</v>
      </c>
      <c r="N3487" s="71">
        <v>38499</v>
      </c>
      <c r="O3487" s="66" t="s">
        <v>28</v>
      </c>
      <c r="P3487" s="82" t="s">
        <v>12984</v>
      </c>
      <c r="Q3487" s="84" t="s">
        <v>12985</v>
      </c>
      <c r="R3487" s="84" t="s">
        <v>1068</v>
      </c>
      <c r="S3487" s="84">
        <v>0.222</v>
      </c>
      <c r="T3487" s="82" t="s">
        <v>12728</v>
      </c>
      <c r="U3487" s="84"/>
      <c r="V3487" s="54"/>
    </row>
    <row r="3488" spans="1:22" s="11" customFormat="1" ht="45" customHeight="1" x14ac:dyDescent="0.2">
      <c r="A3488" s="66" t="s">
        <v>12616</v>
      </c>
      <c r="B3488" s="66" t="s">
        <v>1707</v>
      </c>
      <c r="C3488" s="66" t="s">
        <v>12616</v>
      </c>
      <c r="D3488" s="66">
        <v>4580590175730</v>
      </c>
      <c r="E3488" s="68" t="s">
        <v>12986</v>
      </c>
      <c r="F3488" s="66" t="s">
        <v>12987</v>
      </c>
      <c r="G3488" s="71">
        <v>32352</v>
      </c>
      <c r="H3488" s="73"/>
      <c r="I3488" s="75">
        <v>0.2</v>
      </c>
      <c r="J3488" s="77"/>
      <c r="K3488" s="66"/>
      <c r="L3488" s="66"/>
      <c r="M3488" s="79" t="str">
        <f>HYPERLINK("http://www.pristavka.com/catalog/good_smile_company/GDS1084/")</f>
        <v>http://www.pristavka.com/catalog/good_smile_company/GDS1084/</v>
      </c>
      <c r="N3488" s="71">
        <v>49799</v>
      </c>
      <c r="O3488" s="66" t="s">
        <v>28</v>
      </c>
      <c r="P3488" s="82" t="s">
        <v>12988</v>
      </c>
      <c r="Q3488" s="84" t="s">
        <v>1522</v>
      </c>
      <c r="R3488" s="84" t="s">
        <v>1068</v>
      </c>
      <c r="S3488" s="84">
        <v>0.25800000000000001</v>
      </c>
      <c r="T3488" s="82" t="s">
        <v>12989</v>
      </c>
      <c r="U3488" s="84"/>
      <c r="V3488" s="54"/>
    </row>
    <row r="3489" spans="1:22" s="11" customFormat="1" ht="45" customHeight="1" x14ac:dyDescent="0.2">
      <c r="A3489" s="66" t="s">
        <v>12616</v>
      </c>
      <c r="B3489" s="66" t="s">
        <v>1707</v>
      </c>
      <c r="C3489" s="66" t="s">
        <v>12616</v>
      </c>
      <c r="D3489" s="66">
        <v>4580590173026</v>
      </c>
      <c r="E3489" s="68" t="s">
        <v>12990</v>
      </c>
      <c r="F3489" s="66" t="s">
        <v>12991</v>
      </c>
      <c r="G3489" s="71">
        <v>25873</v>
      </c>
      <c r="H3489" s="73"/>
      <c r="I3489" s="75">
        <v>0.2</v>
      </c>
      <c r="J3489" s="77"/>
      <c r="K3489" s="66"/>
      <c r="L3489" s="66"/>
      <c r="M3489" s="79" t="str">
        <f>HYPERLINK("http://www.pristavka.com/catalog/good_smile_company/GDS752/")</f>
        <v>http://www.pristavka.com/catalog/good_smile_company/GDS752/</v>
      </c>
      <c r="N3489" s="71">
        <v>39799</v>
      </c>
      <c r="O3489" s="66" t="s">
        <v>28</v>
      </c>
      <c r="P3489" s="82" t="s">
        <v>12992</v>
      </c>
      <c r="Q3489" s="84" t="s">
        <v>1091</v>
      </c>
      <c r="R3489" s="84" t="s">
        <v>1068</v>
      </c>
      <c r="S3489" s="84">
        <v>0.36499999999999999</v>
      </c>
      <c r="T3489" s="82" t="s">
        <v>12764</v>
      </c>
      <c r="U3489" s="84"/>
      <c r="V3489" s="54"/>
    </row>
    <row r="3490" spans="1:22" s="11" customFormat="1" ht="45" customHeight="1" x14ac:dyDescent="0.2">
      <c r="A3490" s="66" t="s">
        <v>12616</v>
      </c>
      <c r="B3490" s="66" t="s">
        <v>1707</v>
      </c>
      <c r="C3490" s="66" t="s">
        <v>12616</v>
      </c>
      <c r="D3490" s="66">
        <v>4580590177635</v>
      </c>
      <c r="E3490" s="68" t="s">
        <v>12993</v>
      </c>
      <c r="F3490" s="66" t="s">
        <v>12994</v>
      </c>
      <c r="G3490" s="71">
        <v>43149</v>
      </c>
      <c r="H3490" s="73"/>
      <c r="I3490" s="75">
        <v>0.2</v>
      </c>
      <c r="J3490" s="77"/>
      <c r="K3490" s="66"/>
      <c r="L3490" s="66"/>
      <c r="M3490" s="79" t="str">
        <f>HYPERLINK("http://www.pristavka.com/catalog/good_smile_company/GDS1022/")</f>
        <v>http://www.pristavka.com/catalog/good_smile_company/GDS1022/</v>
      </c>
      <c r="N3490" s="71">
        <v>66399</v>
      </c>
      <c r="O3490" s="66" t="s">
        <v>28</v>
      </c>
      <c r="P3490" s="82" t="s">
        <v>12995</v>
      </c>
      <c r="Q3490" s="84" t="s">
        <v>12996</v>
      </c>
      <c r="R3490" s="84" t="s">
        <v>1068</v>
      </c>
      <c r="S3490" s="84">
        <v>0.38</v>
      </c>
      <c r="T3490" s="82" t="s">
        <v>12997</v>
      </c>
      <c r="U3490" s="84"/>
      <c r="V3490" s="54"/>
    </row>
    <row r="3491" spans="1:22" s="11" customFormat="1" ht="45" customHeight="1" x14ac:dyDescent="0.2">
      <c r="A3491" s="66" t="s">
        <v>12616</v>
      </c>
      <c r="B3491" s="66" t="s">
        <v>1707</v>
      </c>
      <c r="C3491" s="66" t="s">
        <v>12616</v>
      </c>
      <c r="D3491" s="66">
        <v>4580590192973</v>
      </c>
      <c r="E3491" s="68" t="s">
        <v>12998</v>
      </c>
      <c r="F3491" s="66" t="s">
        <v>12999</v>
      </c>
      <c r="G3491" s="71">
        <v>43149</v>
      </c>
      <c r="H3491" s="73"/>
      <c r="I3491" s="75">
        <v>0.2</v>
      </c>
      <c r="J3491" s="77"/>
      <c r="K3491" s="66"/>
      <c r="L3491" s="66"/>
      <c r="M3491" s="79" t="str">
        <f>HYPERLINK("http://www.pristavka.com/catalog/good_smile_company/GDS1068/")</f>
        <v>http://www.pristavka.com/catalog/good_smile_company/GDS1068/</v>
      </c>
      <c r="N3491" s="71">
        <v>66399</v>
      </c>
      <c r="O3491" s="66" t="s">
        <v>27</v>
      </c>
      <c r="P3491" s="82" t="s">
        <v>13000</v>
      </c>
      <c r="Q3491" s="84" t="s">
        <v>12818</v>
      </c>
      <c r="R3491" s="84" t="s">
        <v>1068</v>
      </c>
      <c r="S3491" s="84">
        <v>0.312</v>
      </c>
      <c r="T3491" s="82" t="s">
        <v>13001</v>
      </c>
      <c r="U3491" s="84"/>
      <c r="V3491" s="54"/>
    </row>
    <row r="3492" spans="1:22" s="11" customFormat="1" ht="45" customHeight="1" x14ac:dyDescent="0.2">
      <c r="A3492" s="66" t="s">
        <v>12616</v>
      </c>
      <c r="B3492" s="66" t="s">
        <v>1707</v>
      </c>
      <c r="C3492" s="66" t="s">
        <v>12616</v>
      </c>
      <c r="D3492" s="66">
        <v>4570188459090</v>
      </c>
      <c r="E3492" s="68" t="s">
        <v>13002</v>
      </c>
      <c r="F3492" s="66" t="s">
        <v>13003</v>
      </c>
      <c r="G3492" s="71">
        <v>23714</v>
      </c>
      <c r="H3492" s="73"/>
      <c r="I3492" s="75">
        <v>0.2</v>
      </c>
      <c r="J3492" s="77"/>
      <c r="K3492" s="66"/>
      <c r="L3492" s="66"/>
      <c r="M3492" s="79" t="str">
        <f>HYPERLINK("http://www.pristavka.com/catalog/good_smile_company/GDS939/")</f>
        <v>http://www.pristavka.com/catalog/good_smile_company/GDS939/</v>
      </c>
      <c r="N3492" s="71">
        <v>36499</v>
      </c>
      <c r="O3492" s="66" t="s">
        <v>28</v>
      </c>
      <c r="P3492" s="82" t="s">
        <v>13004</v>
      </c>
      <c r="Q3492" s="84" t="s">
        <v>1442</v>
      </c>
      <c r="R3492" s="84" t="s">
        <v>1068</v>
      </c>
      <c r="S3492" s="84">
        <v>0.26100000000000001</v>
      </c>
      <c r="T3492" s="82" t="s">
        <v>3255</v>
      </c>
      <c r="U3492" s="84"/>
      <c r="V3492" s="54"/>
    </row>
    <row r="3493" spans="1:22" s="11" customFormat="1" ht="45" customHeight="1" x14ac:dyDescent="0.2">
      <c r="A3493" s="66" t="s">
        <v>12616</v>
      </c>
      <c r="B3493" s="66" t="s">
        <v>1707</v>
      </c>
      <c r="C3493" s="66" t="s">
        <v>12616</v>
      </c>
      <c r="D3493" s="66">
        <v>4582638235833</v>
      </c>
      <c r="E3493" s="68" t="s">
        <v>13005</v>
      </c>
      <c r="F3493" s="66" t="s">
        <v>13006</v>
      </c>
      <c r="G3493" s="71">
        <v>18697</v>
      </c>
      <c r="H3493" s="73"/>
      <c r="I3493" s="75">
        <v>0.2</v>
      </c>
      <c r="J3493" s="77"/>
      <c r="K3493" s="66"/>
      <c r="L3493" s="66"/>
      <c r="M3493" s="79" t="str">
        <f>HYPERLINK("http://www.pristavka.com/catalog/good_smile_company/GDS709/")</f>
        <v>http://www.pristavka.com/catalog/good_smile_company/GDS709/</v>
      </c>
      <c r="N3493" s="71">
        <v>31199</v>
      </c>
      <c r="O3493" s="66" t="s">
        <v>28</v>
      </c>
      <c r="P3493" s="82" t="s">
        <v>13007</v>
      </c>
      <c r="Q3493" s="84" t="s">
        <v>1442</v>
      </c>
      <c r="R3493" s="84" t="s">
        <v>1068</v>
      </c>
      <c r="S3493" s="84">
        <v>0.27</v>
      </c>
      <c r="T3493" s="82" t="s">
        <v>13008</v>
      </c>
      <c r="U3493" s="84"/>
      <c r="V3493" s="54"/>
    </row>
    <row r="3494" spans="1:22" s="11" customFormat="1" ht="45" customHeight="1" x14ac:dyDescent="0.2">
      <c r="A3494" s="66" t="s">
        <v>12616</v>
      </c>
      <c r="B3494" s="66" t="s">
        <v>1707</v>
      </c>
      <c r="C3494" s="66" t="s">
        <v>12616</v>
      </c>
      <c r="D3494" s="66">
        <v>4582638238230</v>
      </c>
      <c r="E3494" s="68" t="s">
        <v>13009</v>
      </c>
      <c r="F3494" s="66" t="s">
        <v>13010</v>
      </c>
      <c r="G3494" s="71">
        <v>19827</v>
      </c>
      <c r="H3494" s="73"/>
      <c r="I3494" s="75">
        <v>0.2</v>
      </c>
      <c r="J3494" s="77"/>
      <c r="K3494" s="66"/>
      <c r="L3494" s="66"/>
      <c r="M3494" s="79" t="str">
        <f>HYPERLINK("http://www.pristavka.com/catalog/good_smile_company/GDS1049/")</f>
        <v>http://www.pristavka.com/catalog/good_smile_company/GDS1049/</v>
      </c>
      <c r="N3494" s="71">
        <v>30499</v>
      </c>
      <c r="O3494" s="66" t="s">
        <v>28</v>
      </c>
      <c r="P3494" s="82" t="s">
        <v>13011</v>
      </c>
      <c r="Q3494" s="84" t="s">
        <v>1442</v>
      </c>
      <c r="R3494" s="84" t="s">
        <v>1068</v>
      </c>
      <c r="S3494" s="84">
        <v>0.255</v>
      </c>
      <c r="T3494" s="82" t="s">
        <v>2784</v>
      </c>
      <c r="U3494" s="84"/>
      <c r="V3494" s="54"/>
    </row>
    <row r="3495" spans="1:22" s="11" customFormat="1" ht="45" customHeight="1" x14ac:dyDescent="0.2">
      <c r="A3495" s="66" t="s">
        <v>12616</v>
      </c>
      <c r="B3495" s="66" t="s">
        <v>1707</v>
      </c>
      <c r="C3495" s="66" t="s">
        <v>12616</v>
      </c>
      <c r="D3495" s="66">
        <v>4580590178397</v>
      </c>
      <c r="E3495" s="68" t="s">
        <v>13012</v>
      </c>
      <c r="F3495" s="66" t="s">
        <v>13013</v>
      </c>
      <c r="G3495" s="71">
        <v>7136</v>
      </c>
      <c r="H3495" s="73"/>
      <c r="I3495" s="75">
        <v>0.2</v>
      </c>
      <c r="J3495" s="77"/>
      <c r="K3495" s="66"/>
      <c r="L3495" s="66"/>
      <c r="M3495" s="79" t="str">
        <f>HYPERLINK("http://www.pristavka.com/catalog/good_smile_company/GDS1023/")</f>
        <v>http://www.pristavka.com/catalog/good_smile_company/GDS1023/</v>
      </c>
      <c r="N3495" s="71">
        <v>11899</v>
      </c>
      <c r="O3495" s="66" t="s">
        <v>27</v>
      </c>
      <c r="P3495" s="82" t="s">
        <v>13014</v>
      </c>
      <c r="Q3495" s="84" t="s">
        <v>1117</v>
      </c>
      <c r="R3495" s="84" t="s">
        <v>1068</v>
      </c>
      <c r="S3495" s="84">
        <v>0.54500000000000004</v>
      </c>
      <c r="T3495" s="82" t="s">
        <v>13015</v>
      </c>
      <c r="U3495" s="84"/>
      <c r="V3495" s="54"/>
    </row>
    <row r="3496" spans="1:22" s="11" customFormat="1" ht="45" customHeight="1" x14ac:dyDescent="0.2">
      <c r="A3496" s="66" t="s">
        <v>12616</v>
      </c>
      <c r="B3496" s="66" t="s">
        <v>1707</v>
      </c>
      <c r="C3496" s="66" t="s">
        <v>12616</v>
      </c>
      <c r="D3496" s="66">
        <v>4580590179301</v>
      </c>
      <c r="E3496" s="68" t="s">
        <v>13016</v>
      </c>
      <c r="F3496" s="66" t="s">
        <v>13017</v>
      </c>
      <c r="G3496" s="71">
        <v>35375</v>
      </c>
      <c r="H3496" s="73"/>
      <c r="I3496" s="75">
        <v>0.2</v>
      </c>
      <c r="J3496" s="77"/>
      <c r="K3496" s="66"/>
      <c r="L3496" s="66"/>
      <c r="M3496" s="79" t="str">
        <f>HYPERLINK("http://www.pristavka.com/catalog/good_smile_company/GDS1148/")</f>
        <v>http://www.pristavka.com/catalog/good_smile_company/GDS1148/</v>
      </c>
      <c r="N3496" s="71">
        <v>54499</v>
      </c>
      <c r="O3496" s="66" t="s">
        <v>28</v>
      </c>
      <c r="P3496" s="82" t="s">
        <v>13018</v>
      </c>
      <c r="Q3496" s="84" t="s">
        <v>1250</v>
      </c>
      <c r="R3496" s="84" t="s">
        <v>1068</v>
      </c>
      <c r="S3496" s="84">
        <v>0.26800000000000002</v>
      </c>
      <c r="T3496" s="82" t="s">
        <v>12728</v>
      </c>
      <c r="U3496" s="84"/>
      <c r="V3496" s="54"/>
    </row>
    <row r="3497" spans="1:22" s="11" customFormat="1" ht="45" customHeight="1" x14ac:dyDescent="0.2">
      <c r="A3497" s="66" t="s">
        <v>12616</v>
      </c>
      <c r="B3497" s="66" t="s">
        <v>1707</v>
      </c>
      <c r="C3497" s="66" t="s">
        <v>12616</v>
      </c>
      <c r="D3497" s="66">
        <v>4580590170506</v>
      </c>
      <c r="E3497" s="68" t="s">
        <v>13019</v>
      </c>
      <c r="F3497" s="66" t="s">
        <v>13020</v>
      </c>
      <c r="G3497" s="71">
        <v>21837</v>
      </c>
      <c r="H3497" s="73"/>
      <c r="I3497" s="75">
        <v>0.2</v>
      </c>
      <c r="J3497" s="77"/>
      <c r="K3497" s="66"/>
      <c r="L3497" s="66"/>
      <c r="M3497" s="79" t="str">
        <f>HYPERLINK("http://www.pristavka.com/catalog/good_smile_company/GDS696/")</f>
        <v>http://www.pristavka.com/catalog/good_smile_company/GDS696/</v>
      </c>
      <c r="N3497" s="71">
        <v>36399</v>
      </c>
      <c r="O3497" s="66" t="s">
        <v>28</v>
      </c>
      <c r="P3497" s="82" t="s">
        <v>13021</v>
      </c>
      <c r="Q3497" s="84" t="s">
        <v>1442</v>
      </c>
      <c r="R3497" s="84" t="s">
        <v>1068</v>
      </c>
      <c r="S3497" s="84">
        <v>0.23</v>
      </c>
      <c r="T3497" s="82" t="s">
        <v>3255</v>
      </c>
      <c r="U3497" s="84"/>
      <c r="V3497" s="54"/>
    </row>
    <row r="3498" spans="1:22" s="11" customFormat="1" ht="45" customHeight="1" x14ac:dyDescent="0.2">
      <c r="A3498" s="66" t="s">
        <v>12616</v>
      </c>
      <c r="B3498" s="66" t="s">
        <v>1707</v>
      </c>
      <c r="C3498" s="66" t="s">
        <v>12616</v>
      </c>
      <c r="D3498" s="66">
        <v>4580590192447</v>
      </c>
      <c r="E3498" s="68" t="s">
        <v>13022</v>
      </c>
      <c r="F3498" s="66" t="s">
        <v>13023</v>
      </c>
      <c r="G3498" s="71">
        <v>20292</v>
      </c>
      <c r="H3498" s="73"/>
      <c r="I3498" s="75">
        <v>0.2</v>
      </c>
      <c r="J3498" s="77"/>
      <c r="K3498" s="66"/>
      <c r="L3498" s="66"/>
      <c r="M3498" s="79" t="str">
        <f>HYPERLINK("http://www.pristavka.com/catalog/good_smile_company/GDS1065/")</f>
        <v>http://www.pristavka.com/catalog/good_smile_company/GDS1065/</v>
      </c>
      <c r="N3498" s="71">
        <v>33899</v>
      </c>
      <c r="O3498" s="66" t="s">
        <v>27</v>
      </c>
      <c r="P3498" s="82" t="s">
        <v>13024</v>
      </c>
      <c r="Q3498" s="84" t="s">
        <v>13025</v>
      </c>
      <c r="R3498" s="84" t="s">
        <v>1068</v>
      </c>
      <c r="S3498" s="84">
        <v>0.253</v>
      </c>
      <c r="T3498" s="82" t="s">
        <v>12728</v>
      </c>
      <c r="U3498" s="84"/>
      <c r="V3498" s="54"/>
    </row>
    <row r="3499" spans="1:22" s="11" customFormat="1" ht="45" customHeight="1" x14ac:dyDescent="0.2">
      <c r="A3499" s="66" t="s">
        <v>12616</v>
      </c>
      <c r="B3499" s="66" t="s">
        <v>1707</v>
      </c>
      <c r="C3499" s="66" t="s">
        <v>12616</v>
      </c>
      <c r="D3499" s="66">
        <v>4580590192430</v>
      </c>
      <c r="E3499" s="68" t="s">
        <v>13026</v>
      </c>
      <c r="F3499" s="66" t="s">
        <v>13027</v>
      </c>
      <c r="G3499" s="71">
        <v>23282</v>
      </c>
      <c r="H3499" s="73"/>
      <c r="I3499" s="75">
        <v>0.2</v>
      </c>
      <c r="J3499" s="77"/>
      <c r="K3499" s="66"/>
      <c r="L3499" s="66"/>
      <c r="M3499" s="79" t="str">
        <f>HYPERLINK("http://www.pristavka.com/catalog/good_smile_company/GDS1064/")</f>
        <v>http://www.pristavka.com/catalog/good_smile_company/GDS1064/</v>
      </c>
      <c r="N3499" s="71">
        <v>35899</v>
      </c>
      <c r="O3499" s="66" t="s">
        <v>27</v>
      </c>
      <c r="P3499" s="82" t="s">
        <v>13028</v>
      </c>
      <c r="Q3499" s="84" t="s">
        <v>13025</v>
      </c>
      <c r="R3499" s="84" t="s">
        <v>1068</v>
      </c>
      <c r="S3499" s="84">
        <v>0.25800000000000001</v>
      </c>
      <c r="T3499" s="82" t="s">
        <v>12728</v>
      </c>
      <c r="U3499" s="84"/>
      <c r="V3499" s="54"/>
    </row>
    <row r="3500" spans="1:22" s="11" customFormat="1" ht="45" customHeight="1" x14ac:dyDescent="0.2">
      <c r="A3500" s="66" t="s">
        <v>12616</v>
      </c>
      <c r="B3500" s="66" t="s">
        <v>1707</v>
      </c>
      <c r="C3500" s="66" t="s">
        <v>12616</v>
      </c>
      <c r="D3500" s="66">
        <v>4580590192539</v>
      </c>
      <c r="E3500" s="68" t="s">
        <v>13029</v>
      </c>
      <c r="F3500" s="66" t="s">
        <v>13030</v>
      </c>
      <c r="G3500" s="71">
        <v>27601</v>
      </c>
      <c r="H3500" s="73"/>
      <c r="I3500" s="75">
        <v>0.2</v>
      </c>
      <c r="J3500" s="77"/>
      <c r="K3500" s="66"/>
      <c r="L3500" s="66"/>
      <c r="M3500" s="79" t="str">
        <f>HYPERLINK("http://www.pristavka.com/catalog/good_smile_company/GDS1066/")</f>
        <v>http://www.pristavka.com/catalog/good_smile_company/GDS1066/</v>
      </c>
      <c r="N3500" s="71">
        <v>42499</v>
      </c>
      <c r="O3500" s="66" t="s">
        <v>27</v>
      </c>
      <c r="P3500" s="82" t="s">
        <v>13031</v>
      </c>
      <c r="Q3500" s="84" t="s">
        <v>13025</v>
      </c>
      <c r="R3500" s="84" t="s">
        <v>1068</v>
      </c>
      <c r="S3500" s="84">
        <v>0.24</v>
      </c>
      <c r="T3500" s="82" t="s">
        <v>12728</v>
      </c>
      <c r="U3500" s="84"/>
      <c r="V3500" s="54"/>
    </row>
    <row r="3501" spans="1:22" s="11" customFormat="1" ht="45" customHeight="1" x14ac:dyDescent="0.2">
      <c r="A3501" s="66" t="s">
        <v>12616</v>
      </c>
      <c r="B3501" s="66" t="s">
        <v>1707</v>
      </c>
      <c r="C3501" s="66" t="s">
        <v>12616</v>
      </c>
      <c r="D3501" s="66">
        <v>4580590129450</v>
      </c>
      <c r="E3501" s="68" t="s">
        <v>13032</v>
      </c>
      <c r="F3501" s="66" t="s">
        <v>13033</v>
      </c>
      <c r="G3501" s="71">
        <v>26274</v>
      </c>
      <c r="H3501" s="73"/>
      <c r="I3501" s="75">
        <v>0.2</v>
      </c>
      <c r="J3501" s="77"/>
      <c r="K3501" s="66"/>
      <c r="L3501" s="66"/>
      <c r="M3501" s="79" t="str">
        <f>HYPERLINK("http://www.pristavka.com/catalog/good_smile_company/GDS966/")</f>
        <v>http://www.pristavka.com/catalog/good_smile_company/GDS966/</v>
      </c>
      <c r="N3501" s="71">
        <v>43799</v>
      </c>
      <c r="O3501" s="66" t="s">
        <v>27</v>
      </c>
      <c r="P3501" s="82" t="s">
        <v>13034</v>
      </c>
      <c r="Q3501" s="84" t="s">
        <v>13035</v>
      </c>
      <c r="R3501" s="84" t="s">
        <v>1068</v>
      </c>
      <c r="S3501" s="84">
        <v>0.27600000000000002</v>
      </c>
      <c r="T3501" s="82" t="s">
        <v>3255</v>
      </c>
      <c r="U3501" s="84"/>
      <c r="V3501" s="54"/>
    </row>
    <row r="3502" spans="1:22" s="11" customFormat="1" ht="45" customHeight="1" x14ac:dyDescent="0.2">
      <c r="A3502" s="66" t="s">
        <v>12616</v>
      </c>
      <c r="B3502" s="66" t="s">
        <v>1707</v>
      </c>
      <c r="C3502" s="66" t="s">
        <v>12616</v>
      </c>
      <c r="D3502" s="66">
        <v>4580590178267</v>
      </c>
      <c r="E3502" s="68" t="s">
        <v>13036</v>
      </c>
      <c r="F3502" s="66" t="s">
        <v>13037</v>
      </c>
      <c r="G3502" s="71">
        <v>21554</v>
      </c>
      <c r="H3502" s="73"/>
      <c r="I3502" s="75">
        <v>0.2</v>
      </c>
      <c r="J3502" s="77"/>
      <c r="K3502" s="66"/>
      <c r="L3502" s="66"/>
      <c r="M3502" s="79" t="str">
        <f>HYPERLINK("http://www.pristavka.com/catalog/good_smile_company/GDS1106/")</f>
        <v>http://www.pristavka.com/catalog/good_smile_company/GDS1106/</v>
      </c>
      <c r="N3502" s="71">
        <v>33199</v>
      </c>
      <c r="O3502" s="66" t="s">
        <v>28</v>
      </c>
      <c r="P3502" s="82" t="s">
        <v>13038</v>
      </c>
      <c r="Q3502" s="84" t="s">
        <v>13039</v>
      </c>
      <c r="R3502" s="84" t="s">
        <v>1068</v>
      </c>
      <c r="S3502" s="84">
        <v>0.214</v>
      </c>
      <c r="T3502" s="82" t="s">
        <v>12728</v>
      </c>
      <c r="U3502" s="84"/>
      <c r="V3502" s="54"/>
    </row>
    <row r="3503" spans="1:22" s="11" customFormat="1" ht="45" customHeight="1" x14ac:dyDescent="0.2">
      <c r="A3503" s="66" t="s">
        <v>12616</v>
      </c>
      <c r="B3503" s="66" t="s">
        <v>1707</v>
      </c>
      <c r="C3503" s="66" t="s">
        <v>12616</v>
      </c>
      <c r="D3503" s="66">
        <v>4580590178274</v>
      </c>
      <c r="E3503" s="68" t="s">
        <v>13040</v>
      </c>
      <c r="F3503" s="66" t="s">
        <v>13041</v>
      </c>
      <c r="G3503" s="71">
        <v>21554</v>
      </c>
      <c r="H3503" s="73"/>
      <c r="I3503" s="75">
        <v>0.2</v>
      </c>
      <c r="J3503" s="77"/>
      <c r="K3503" s="66"/>
      <c r="L3503" s="66"/>
      <c r="M3503" s="79" t="str">
        <f>HYPERLINK("http://www.pristavka.com/catalog/good_smile_company/GDS1107/")</f>
        <v>http://www.pristavka.com/catalog/good_smile_company/GDS1107/</v>
      </c>
      <c r="N3503" s="71">
        <v>33199</v>
      </c>
      <c r="O3503" s="66" t="s">
        <v>28</v>
      </c>
      <c r="P3503" s="82" t="s">
        <v>13042</v>
      </c>
      <c r="Q3503" s="84" t="s">
        <v>13039</v>
      </c>
      <c r="R3503" s="84" t="s">
        <v>1068</v>
      </c>
      <c r="S3503" s="84">
        <v>0.222</v>
      </c>
      <c r="T3503" s="82" t="s">
        <v>12728</v>
      </c>
      <c r="U3503" s="84"/>
      <c r="V3503" s="54"/>
    </row>
    <row r="3504" spans="1:22" s="11" customFormat="1" ht="45" customHeight="1" x14ac:dyDescent="0.2">
      <c r="A3504" s="66" t="s">
        <v>12616</v>
      </c>
      <c r="B3504" s="66" t="s">
        <v>1707</v>
      </c>
      <c r="C3504" s="66" t="s">
        <v>12616</v>
      </c>
      <c r="D3504" s="66">
        <v>4580590179271</v>
      </c>
      <c r="E3504" s="68" t="s">
        <v>13043</v>
      </c>
      <c r="F3504" s="66" t="s">
        <v>13044</v>
      </c>
      <c r="G3504" s="71">
        <v>30711</v>
      </c>
      <c r="H3504" s="73"/>
      <c r="I3504" s="75">
        <v>0.2</v>
      </c>
      <c r="J3504" s="77"/>
      <c r="K3504" s="66"/>
      <c r="L3504" s="66"/>
      <c r="M3504" s="79" t="str">
        <f>HYPERLINK("http://www.pristavka.com/catalog/good_smile_company/GDS996/")</f>
        <v>http://www.pristavka.com/catalog/good_smile_company/GDS996/</v>
      </c>
      <c r="N3504" s="71">
        <v>51199</v>
      </c>
      <c r="O3504" s="66" t="s">
        <v>27</v>
      </c>
      <c r="P3504" s="82" t="s">
        <v>13045</v>
      </c>
      <c r="Q3504" s="84" t="s">
        <v>1334</v>
      </c>
      <c r="R3504" s="84" t="s">
        <v>1068</v>
      </c>
      <c r="S3504" s="84">
        <v>0.36399999999999999</v>
      </c>
      <c r="T3504" s="82" t="s">
        <v>3255</v>
      </c>
      <c r="U3504" s="84"/>
      <c r="V3504" s="54"/>
    </row>
    <row r="3505" spans="1:22" s="11" customFormat="1" ht="45" customHeight="1" x14ac:dyDescent="0.2">
      <c r="A3505" s="66" t="s">
        <v>12616</v>
      </c>
      <c r="B3505" s="66" t="s">
        <v>1707</v>
      </c>
      <c r="C3505" s="66" t="s">
        <v>12616</v>
      </c>
      <c r="D3505" s="66">
        <v>4935228498017</v>
      </c>
      <c r="E3505" s="68" t="s">
        <v>13046</v>
      </c>
      <c r="F3505" s="66" t="s">
        <v>13047</v>
      </c>
      <c r="G3505" s="71">
        <v>21123</v>
      </c>
      <c r="H3505" s="73"/>
      <c r="I3505" s="75">
        <v>0.2</v>
      </c>
      <c r="J3505" s="77"/>
      <c r="K3505" s="66"/>
      <c r="L3505" s="66"/>
      <c r="M3505" s="79" t="str">
        <f>HYPERLINK("http://www.pristavka.com/catalog/good_smile_company/GDS1030/")</f>
        <v>http://www.pristavka.com/catalog/good_smile_company/GDS1030/</v>
      </c>
      <c r="N3505" s="71">
        <v>32499</v>
      </c>
      <c r="O3505" s="66" t="s">
        <v>28</v>
      </c>
      <c r="P3505" s="82" t="s">
        <v>13048</v>
      </c>
      <c r="Q3505" s="84" t="s">
        <v>13049</v>
      </c>
      <c r="R3505" s="84" t="s">
        <v>1068</v>
      </c>
      <c r="S3505" s="84">
        <v>0.32</v>
      </c>
      <c r="T3505" s="82" t="s">
        <v>12728</v>
      </c>
      <c r="U3505" s="84"/>
      <c r="V3505" s="54"/>
    </row>
    <row r="3506" spans="1:22" s="11" customFormat="1" ht="45" customHeight="1" x14ac:dyDescent="0.2">
      <c r="A3506" s="66" t="s">
        <v>12616</v>
      </c>
      <c r="B3506" s="66" t="s">
        <v>1707</v>
      </c>
      <c r="C3506" s="66" t="s">
        <v>12616</v>
      </c>
      <c r="D3506" s="66">
        <v>4580590191570</v>
      </c>
      <c r="E3506" s="68" t="s">
        <v>13050</v>
      </c>
      <c r="F3506" s="66" t="s">
        <v>13051</v>
      </c>
      <c r="G3506" s="71">
        <v>27601</v>
      </c>
      <c r="H3506" s="73"/>
      <c r="I3506" s="75">
        <v>0.2</v>
      </c>
      <c r="J3506" s="77"/>
      <c r="K3506" s="66"/>
      <c r="L3506" s="66"/>
      <c r="M3506" s="79" t="str">
        <f>HYPERLINK("http://www.pristavka.com/catalog/good_smile_company/GDS1057/")</f>
        <v>http://www.pristavka.com/catalog/good_smile_company/GDS1057/</v>
      </c>
      <c r="N3506" s="71">
        <v>42499</v>
      </c>
      <c r="O3506" s="66" t="s">
        <v>28</v>
      </c>
      <c r="P3506" s="82" t="s">
        <v>13052</v>
      </c>
      <c r="Q3506" s="84" t="s">
        <v>1117</v>
      </c>
      <c r="R3506" s="84" t="s">
        <v>1068</v>
      </c>
      <c r="S3506" s="84">
        <v>0.192</v>
      </c>
      <c r="T3506" s="82" t="s">
        <v>13053</v>
      </c>
      <c r="U3506" s="84"/>
      <c r="V3506" s="54"/>
    </row>
    <row r="3507" spans="1:22" s="11" customFormat="1" ht="45" customHeight="1" x14ac:dyDescent="0.2">
      <c r="A3507" s="66" t="s">
        <v>12616</v>
      </c>
      <c r="B3507" s="66" t="s">
        <v>1707</v>
      </c>
      <c r="C3507" s="66" t="s">
        <v>12616</v>
      </c>
      <c r="D3507" s="66">
        <v>4580590179417</v>
      </c>
      <c r="E3507" s="68" t="s">
        <v>13054</v>
      </c>
      <c r="F3507" s="66" t="s">
        <v>13055</v>
      </c>
      <c r="G3507" s="71">
        <v>30711</v>
      </c>
      <c r="H3507" s="73"/>
      <c r="I3507" s="75">
        <v>0.2</v>
      </c>
      <c r="J3507" s="77"/>
      <c r="K3507" s="66"/>
      <c r="L3507" s="66"/>
      <c r="M3507" s="79" t="str">
        <f>HYPERLINK("http://www.pristavka.com/catalog/good_smile_company/GDS993/")</f>
        <v>http://www.pristavka.com/catalog/good_smile_company/GDS993/</v>
      </c>
      <c r="N3507" s="71">
        <v>51199</v>
      </c>
      <c r="O3507" s="66" t="s">
        <v>28</v>
      </c>
      <c r="P3507" s="82" t="s">
        <v>13056</v>
      </c>
      <c r="Q3507" s="84" t="s">
        <v>12966</v>
      </c>
      <c r="R3507" s="84" t="s">
        <v>1068</v>
      </c>
      <c r="S3507" s="84">
        <v>0.317</v>
      </c>
      <c r="T3507" s="82" t="s">
        <v>13057</v>
      </c>
      <c r="U3507" s="84"/>
      <c r="V3507" s="54"/>
    </row>
    <row r="3508" spans="1:22" s="11" customFormat="1" ht="45" customHeight="1" x14ac:dyDescent="0.2">
      <c r="A3508" s="66" t="s">
        <v>12616</v>
      </c>
      <c r="B3508" s="66" t="s">
        <v>1707</v>
      </c>
      <c r="C3508" s="66" t="s">
        <v>12616</v>
      </c>
      <c r="D3508" s="66">
        <v>4580416949583</v>
      </c>
      <c r="E3508" s="68" t="s">
        <v>13058</v>
      </c>
      <c r="F3508" s="66" t="s">
        <v>13059</v>
      </c>
      <c r="G3508" s="71">
        <v>16305</v>
      </c>
      <c r="H3508" s="73"/>
      <c r="I3508" s="75">
        <v>0.2</v>
      </c>
      <c r="J3508" s="77"/>
      <c r="K3508" s="66"/>
      <c r="L3508" s="66"/>
      <c r="M3508" s="79" t="str">
        <f>HYPERLINK("http://www.pristavka.com/catalog/good_smile_company/GDS1136/")</f>
        <v>http://www.pristavka.com/catalog/good_smile_company/GDS1136/</v>
      </c>
      <c r="N3508" s="71">
        <v>27199</v>
      </c>
      <c r="O3508" s="66" t="s">
        <v>28</v>
      </c>
      <c r="P3508" s="82" t="s">
        <v>13060</v>
      </c>
      <c r="Q3508" s="84" t="s">
        <v>13049</v>
      </c>
      <c r="R3508" s="84" t="s">
        <v>1068</v>
      </c>
      <c r="S3508" s="84">
        <v>0.26200000000000001</v>
      </c>
      <c r="T3508" s="82" t="s">
        <v>13061</v>
      </c>
      <c r="U3508" s="84"/>
      <c r="V3508" s="54"/>
    </row>
    <row r="3509" spans="1:22" s="11" customFormat="1" ht="45" customHeight="1" x14ac:dyDescent="0.2">
      <c r="A3509" s="66" t="s">
        <v>12616</v>
      </c>
      <c r="B3509" s="66" t="s">
        <v>1707</v>
      </c>
      <c r="C3509" s="66" t="s">
        <v>12616</v>
      </c>
      <c r="D3509" s="66">
        <v>4580416948760</v>
      </c>
      <c r="E3509" s="68" t="s">
        <v>13062</v>
      </c>
      <c r="F3509" s="66" t="s">
        <v>13063</v>
      </c>
      <c r="G3509" s="71">
        <v>16305</v>
      </c>
      <c r="H3509" s="73"/>
      <c r="I3509" s="75">
        <v>0.2</v>
      </c>
      <c r="J3509" s="77"/>
      <c r="K3509" s="66"/>
      <c r="L3509" s="66"/>
      <c r="M3509" s="79" t="str">
        <f>HYPERLINK("http://www.pristavka.com/catalog/good_smile_company/GDS1083/")</f>
        <v>http://www.pristavka.com/catalog/good_smile_company/GDS1083/</v>
      </c>
      <c r="N3509" s="71">
        <v>27199</v>
      </c>
      <c r="O3509" s="66" t="s">
        <v>28</v>
      </c>
      <c r="P3509" s="82" t="s">
        <v>13064</v>
      </c>
      <c r="Q3509" s="84" t="s">
        <v>1068</v>
      </c>
      <c r="R3509" s="84" t="s">
        <v>1068</v>
      </c>
      <c r="S3509" s="84">
        <v>0.35</v>
      </c>
      <c r="T3509" s="82" t="s">
        <v>13065</v>
      </c>
      <c r="U3509" s="84"/>
      <c r="V3509" s="54"/>
    </row>
    <row r="3510" spans="1:22" s="11" customFormat="1" ht="45" customHeight="1" x14ac:dyDescent="0.2">
      <c r="A3510" s="66" t="s">
        <v>12616</v>
      </c>
      <c r="B3510" s="66" t="s">
        <v>1707</v>
      </c>
      <c r="C3510" s="66" t="s">
        <v>12616</v>
      </c>
      <c r="D3510" s="66">
        <v>4580590194427</v>
      </c>
      <c r="E3510" s="68" t="s">
        <v>13066</v>
      </c>
      <c r="F3510" s="66" t="s">
        <v>13067</v>
      </c>
      <c r="G3510" s="71">
        <v>16305</v>
      </c>
      <c r="H3510" s="73"/>
      <c r="I3510" s="75">
        <v>0.2</v>
      </c>
      <c r="J3510" s="77"/>
      <c r="K3510" s="66"/>
      <c r="L3510" s="66"/>
      <c r="M3510" s="79" t="str">
        <f>HYPERLINK("http://www.pristavka.com/catalog/good_smile_company/GDS1155/")</f>
        <v>http://www.pristavka.com/catalog/good_smile_company/GDS1155/</v>
      </c>
      <c r="N3510" s="71">
        <v>27199</v>
      </c>
      <c r="O3510" s="66" t="s">
        <v>28</v>
      </c>
      <c r="P3510" s="82" t="s">
        <v>13068</v>
      </c>
      <c r="Q3510" s="84" t="s">
        <v>13069</v>
      </c>
      <c r="R3510" s="84" t="s">
        <v>1068</v>
      </c>
      <c r="S3510" s="84">
        <v>0.34699999999999998</v>
      </c>
      <c r="T3510" s="82" t="s">
        <v>13070</v>
      </c>
      <c r="U3510" s="84"/>
      <c r="V3510" s="54"/>
    </row>
    <row r="3511" spans="1:22" s="11" customFormat="1" ht="45" customHeight="1" x14ac:dyDescent="0.2">
      <c r="A3511" s="66" t="s">
        <v>12616</v>
      </c>
      <c r="B3511" s="66" t="s">
        <v>1707</v>
      </c>
      <c r="C3511" s="66" t="s">
        <v>12616</v>
      </c>
      <c r="D3511" s="66">
        <v>4582733422688</v>
      </c>
      <c r="E3511" s="68" t="s">
        <v>13071</v>
      </c>
      <c r="F3511" s="66" t="s">
        <v>13072</v>
      </c>
      <c r="G3511" s="71">
        <v>9129</v>
      </c>
      <c r="H3511" s="73"/>
      <c r="I3511" s="75">
        <v>0.2</v>
      </c>
      <c r="J3511" s="77"/>
      <c r="K3511" s="66"/>
      <c r="L3511" s="66"/>
      <c r="M3511" s="79" t="str">
        <f>HYPERLINK("http://www.pristavka.com/catalog/good_smile_company/GDS1153/")</f>
        <v>http://www.pristavka.com/catalog/good_smile_company/GDS1153/</v>
      </c>
      <c r="N3511" s="71">
        <v>15299</v>
      </c>
      <c r="O3511" s="66" t="s">
        <v>28</v>
      </c>
      <c r="P3511" s="82" t="s">
        <v>13073</v>
      </c>
      <c r="Q3511" s="84" t="s">
        <v>12996</v>
      </c>
      <c r="R3511" s="84" t="s">
        <v>1068</v>
      </c>
      <c r="S3511" s="84">
        <v>0.34499999999999997</v>
      </c>
      <c r="T3511" s="82" t="s">
        <v>2626</v>
      </c>
      <c r="U3511" s="84"/>
      <c r="V3511" s="54"/>
    </row>
    <row r="3512" spans="1:22" s="11" customFormat="1" ht="45" customHeight="1" x14ac:dyDescent="0.2">
      <c r="A3512" s="66" t="s">
        <v>12616</v>
      </c>
      <c r="B3512" s="66" t="s">
        <v>1707</v>
      </c>
      <c r="C3512" s="66" t="s">
        <v>12616</v>
      </c>
      <c r="D3512" s="66">
        <v>4580779542766</v>
      </c>
      <c r="E3512" s="68" t="s">
        <v>13074</v>
      </c>
      <c r="F3512" s="66" t="s">
        <v>13075</v>
      </c>
      <c r="G3512" s="71">
        <v>9129</v>
      </c>
      <c r="H3512" s="73"/>
      <c r="I3512" s="75">
        <v>0.2</v>
      </c>
      <c r="J3512" s="77"/>
      <c r="K3512" s="66"/>
      <c r="L3512" s="66"/>
      <c r="M3512" s="79" t="str">
        <f>HYPERLINK("http://www.pristavka.com/catalog/good_smile_company/GDS1080/")</f>
        <v>http://www.pristavka.com/catalog/good_smile_company/GDS1080/</v>
      </c>
      <c r="N3512" s="71">
        <v>15299</v>
      </c>
      <c r="O3512" s="66" t="s">
        <v>28</v>
      </c>
      <c r="P3512" s="82" t="s">
        <v>13076</v>
      </c>
      <c r="Q3512" s="84" t="s">
        <v>2808</v>
      </c>
      <c r="R3512" s="84" t="s">
        <v>1068</v>
      </c>
      <c r="S3512" s="84">
        <v>0.223</v>
      </c>
      <c r="T3512" s="82" t="s">
        <v>13077</v>
      </c>
      <c r="U3512" s="84"/>
      <c r="V3512" s="54"/>
    </row>
    <row r="3513" spans="1:22" s="11" customFormat="1" ht="45" customHeight="1" x14ac:dyDescent="0.2">
      <c r="A3513" s="66" t="s">
        <v>12616</v>
      </c>
      <c r="B3513" s="66" t="s">
        <v>1707</v>
      </c>
      <c r="C3513" s="66" t="s">
        <v>12616</v>
      </c>
      <c r="D3513" s="66">
        <v>4580779545071</v>
      </c>
      <c r="E3513" s="68" t="s">
        <v>13078</v>
      </c>
      <c r="F3513" s="66" t="s">
        <v>13079</v>
      </c>
      <c r="G3513" s="71">
        <v>9129</v>
      </c>
      <c r="H3513" s="73"/>
      <c r="I3513" s="75">
        <v>0.2</v>
      </c>
      <c r="J3513" s="77"/>
      <c r="K3513" s="66"/>
      <c r="L3513" s="66"/>
      <c r="M3513" s="79" t="str">
        <f>HYPERLINK("http://www.pristavka.com/catalog/good_smile_company/GDS1102/")</f>
        <v>http://www.pristavka.com/catalog/good_smile_company/GDS1102/</v>
      </c>
      <c r="N3513" s="71">
        <v>15299</v>
      </c>
      <c r="O3513" s="66" t="s">
        <v>27</v>
      </c>
      <c r="P3513" s="82" t="s">
        <v>13080</v>
      </c>
      <c r="Q3513" s="84" t="s">
        <v>13081</v>
      </c>
      <c r="R3513" s="84" t="s">
        <v>1068</v>
      </c>
      <c r="S3513" s="84">
        <v>0.246</v>
      </c>
      <c r="T3513" s="82" t="s">
        <v>13082</v>
      </c>
      <c r="U3513" s="84"/>
      <c r="V3513" s="54"/>
    </row>
    <row r="3514" spans="1:22" s="11" customFormat="1" ht="45" customHeight="1" x14ac:dyDescent="0.2">
      <c r="A3514" s="66" t="s">
        <v>12616</v>
      </c>
      <c r="B3514" s="66" t="s">
        <v>1707</v>
      </c>
      <c r="C3514" s="66" t="s">
        <v>12616</v>
      </c>
      <c r="D3514" s="66">
        <v>4580779522942</v>
      </c>
      <c r="E3514" s="68" t="s">
        <v>13083</v>
      </c>
      <c r="F3514" s="66" t="s">
        <v>13084</v>
      </c>
      <c r="G3514" s="71">
        <v>6656</v>
      </c>
      <c r="H3514" s="73"/>
      <c r="I3514" s="75">
        <v>0.2</v>
      </c>
      <c r="J3514" s="77"/>
      <c r="K3514" s="66"/>
      <c r="L3514" s="66"/>
      <c r="M3514" s="79" t="str">
        <f>HYPERLINK("http://www.pristavka.com/catalog/good_smile_company/GDS986/")</f>
        <v>http://www.pristavka.com/catalog/good_smile_company/GDS986/</v>
      </c>
      <c r="N3514" s="71">
        <v>12099</v>
      </c>
      <c r="O3514" s="66" t="s">
        <v>27</v>
      </c>
      <c r="P3514" s="82" t="s">
        <v>13085</v>
      </c>
      <c r="Q3514" s="84" t="s">
        <v>2755</v>
      </c>
      <c r="R3514" s="84" t="s">
        <v>1068</v>
      </c>
      <c r="S3514" s="84">
        <v>0.246</v>
      </c>
      <c r="T3514" s="82" t="s">
        <v>13086</v>
      </c>
      <c r="U3514" s="84"/>
      <c r="V3514" s="54"/>
    </row>
    <row r="3515" spans="1:22" s="11" customFormat="1" ht="45" customHeight="1" x14ac:dyDescent="0.2">
      <c r="A3515" s="66" t="s">
        <v>12616</v>
      </c>
      <c r="B3515" s="66" t="s">
        <v>1707</v>
      </c>
      <c r="C3515" s="66" t="s">
        <v>12616</v>
      </c>
      <c r="D3515" s="66">
        <v>4580779548430</v>
      </c>
      <c r="E3515" s="68" t="s">
        <v>13087</v>
      </c>
      <c r="F3515" s="66" t="s">
        <v>13088</v>
      </c>
      <c r="G3515" s="71">
        <v>9129</v>
      </c>
      <c r="H3515" s="73"/>
      <c r="I3515" s="75">
        <v>0.2</v>
      </c>
      <c r="J3515" s="77"/>
      <c r="K3515" s="66"/>
      <c r="L3515" s="66"/>
      <c r="M3515" s="79" t="str">
        <f>HYPERLINK("http://www.pristavka.com/catalog/good_smile_company/GDS1122/")</f>
        <v>http://www.pristavka.com/catalog/good_smile_company/GDS1122/</v>
      </c>
      <c r="N3515" s="71">
        <v>15299</v>
      </c>
      <c r="O3515" s="66" t="s">
        <v>27</v>
      </c>
      <c r="P3515" s="82" t="s">
        <v>13089</v>
      </c>
      <c r="Q3515" s="84" t="s">
        <v>13090</v>
      </c>
      <c r="R3515" s="84" t="s">
        <v>1068</v>
      </c>
      <c r="S3515" s="84">
        <v>0.35499999999999998</v>
      </c>
      <c r="T3515" s="82" t="s">
        <v>13091</v>
      </c>
      <c r="U3515" s="84"/>
      <c r="V3515" s="54"/>
    </row>
    <row r="3516" spans="1:22" s="11" customFormat="1" ht="45" customHeight="1" x14ac:dyDescent="0.2">
      <c r="A3516" s="66" t="s">
        <v>12616</v>
      </c>
      <c r="B3516" s="66" t="s">
        <v>1707</v>
      </c>
      <c r="C3516" s="66" t="s">
        <v>12616</v>
      </c>
      <c r="D3516" s="66">
        <v>4580779528289</v>
      </c>
      <c r="E3516" s="68" t="s">
        <v>13092</v>
      </c>
      <c r="F3516" s="66" t="s">
        <v>13093</v>
      </c>
      <c r="G3516" s="71">
        <v>7933</v>
      </c>
      <c r="H3516" s="73"/>
      <c r="I3516" s="75">
        <v>0.2</v>
      </c>
      <c r="J3516" s="77"/>
      <c r="K3516" s="66"/>
      <c r="L3516" s="66"/>
      <c r="M3516" s="79" t="str">
        <f>HYPERLINK("http://www.pristavka.com/catalog/good_smile_company/GDS858/")</f>
        <v>http://www.pristavka.com/catalog/good_smile_company/GDS858/</v>
      </c>
      <c r="N3516" s="71">
        <v>13299</v>
      </c>
      <c r="O3516" s="66" t="s">
        <v>27</v>
      </c>
      <c r="P3516" s="82" t="s">
        <v>13094</v>
      </c>
      <c r="Q3516" s="84" t="s">
        <v>1522</v>
      </c>
      <c r="R3516" s="84" t="s">
        <v>1068</v>
      </c>
      <c r="S3516" s="84">
        <v>0.245</v>
      </c>
      <c r="T3516" s="82" t="s">
        <v>13095</v>
      </c>
      <c r="U3516" s="84" t="s">
        <v>3708</v>
      </c>
      <c r="V3516" s="54"/>
    </row>
    <row r="3517" spans="1:22" s="11" customFormat="1" ht="45" customHeight="1" x14ac:dyDescent="0.2">
      <c r="A3517" s="66" t="s">
        <v>12616</v>
      </c>
      <c r="B3517" s="66" t="s">
        <v>1707</v>
      </c>
      <c r="C3517" s="66" t="s">
        <v>12616</v>
      </c>
      <c r="D3517" s="66">
        <v>4582733421902</v>
      </c>
      <c r="E3517" s="68" t="s">
        <v>13096</v>
      </c>
      <c r="F3517" s="66" t="s">
        <v>13097</v>
      </c>
      <c r="G3517" s="71">
        <v>9129</v>
      </c>
      <c r="H3517" s="73"/>
      <c r="I3517" s="75">
        <v>0.2</v>
      </c>
      <c r="J3517" s="77"/>
      <c r="K3517" s="66"/>
      <c r="L3517" s="66"/>
      <c r="M3517" s="79" t="str">
        <f>HYPERLINK("http://www.pristavka.com/catalog/good_smile_company/GDS1146/")</f>
        <v>http://www.pristavka.com/catalog/good_smile_company/GDS1146/</v>
      </c>
      <c r="N3517" s="71">
        <v>15299</v>
      </c>
      <c r="O3517" s="66" t="s">
        <v>27</v>
      </c>
      <c r="P3517" s="82" t="s">
        <v>13098</v>
      </c>
      <c r="Q3517" s="84" t="s">
        <v>1522</v>
      </c>
      <c r="R3517" s="84" t="s">
        <v>1068</v>
      </c>
      <c r="S3517" s="84">
        <v>0.22500000000000001</v>
      </c>
      <c r="T3517" s="82" t="s">
        <v>13077</v>
      </c>
      <c r="U3517" s="84"/>
      <c r="V3517" s="54"/>
    </row>
    <row r="3518" spans="1:22" s="11" customFormat="1" ht="45" customHeight="1" x14ac:dyDescent="0.2">
      <c r="A3518" s="66" t="s">
        <v>12616</v>
      </c>
      <c r="B3518" s="66" t="s">
        <v>1707</v>
      </c>
      <c r="C3518" s="66" t="s">
        <v>12616</v>
      </c>
      <c r="D3518" s="66">
        <v>4580779513841</v>
      </c>
      <c r="E3518" s="68" t="s">
        <v>13099</v>
      </c>
      <c r="F3518" s="66" t="s">
        <v>13100</v>
      </c>
      <c r="G3518" s="71">
        <v>5940</v>
      </c>
      <c r="H3518" s="73"/>
      <c r="I3518" s="75">
        <v>0.2</v>
      </c>
      <c r="J3518" s="77"/>
      <c r="K3518" s="66"/>
      <c r="L3518" s="66"/>
      <c r="M3518" s="79" t="str">
        <f>HYPERLINK("http://www.pristavka.com/catalog/good_smile_company/GDS847/")</f>
        <v>http://www.pristavka.com/catalog/good_smile_company/GDS847/</v>
      </c>
      <c r="N3518" s="71">
        <v>9999</v>
      </c>
      <c r="O3518" s="66" t="s">
        <v>28</v>
      </c>
      <c r="P3518" s="82" t="s">
        <v>13101</v>
      </c>
      <c r="Q3518" s="84" t="s">
        <v>1522</v>
      </c>
      <c r="R3518" s="84" t="s">
        <v>1068</v>
      </c>
      <c r="S3518" s="84">
        <v>0.44500000000000001</v>
      </c>
      <c r="T3518" s="82" t="s">
        <v>13102</v>
      </c>
      <c r="U3518" s="84" t="s">
        <v>3708</v>
      </c>
      <c r="V3518" s="54"/>
    </row>
    <row r="3519" spans="1:22" s="11" customFormat="1" ht="45" customHeight="1" x14ac:dyDescent="0.2">
      <c r="A3519" s="66" t="s">
        <v>12616</v>
      </c>
      <c r="B3519" s="66" t="s">
        <v>1707</v>
      </c>
      <c r="C3519" s="66" t="s">
        <v>12616</v>
      </c>
      <c r="D3519" s="66">
        <v>4582733421896</v>
      </c>
      <c r="E3519" s="68" t="s">
        <v>13103</v>
      </c>
      <c r="F3519" s="66" t="s">
        <v>13104</v>
      </c>
      <c r="G3519" s="71">
        <v>9129</v>
      </c>
      <c r="H3519" s="73"/>
      <c r="I3519" s="75">
        <v>0.2</v>
      </c>
      <c r="J3519" s="77"/>
      <c r="K3519" s="66"/>
      <c r="L3519" s="66"/>
      <c r="M3519" s="79" t="str">
        <f>HYPERLINK("http://www.pristavka.com/catalog/good_smile_company/GDS1145/")</f>
        <v>http://www.pristavka.com/catalog/good_smile_company/GDS1145/</v>
      </c>
      <c r="N3519" s="71">
        <v>15299</v>
      </c>
      <c r="O3519" s="66" t="s">
        <v>28</v>
      </c>
      <c r="P3519" s="82" t="s">
        <v>13105</v>
      </c>
      <c r="Q3519" s="84" t="s">
        <v>1522</v>
      </c>
      <c r="R3519" s="84" t="s">
        <v>1068</v>
      </c>
      <c r="S3519" s="84">
        <v>0.247</v>
      </c>
      <c r="T3519" s="82" t="s">
        <v>13077</v>
      </c>
      <c r="U3519" s="84"/>
      <c r="V3519" s="54"/>
    </row>
    <row r="3520" spans="1:22" s="11" customFormat="1" ht="45" customHeight="1" x14ac:dyDescent="0.2">
      <c r="A3520" s="66" t="s">
        <v>12616</v>
      </c>
      <c r="B3520" s="66" t="s">
        <v>1707</v>
      </c>
      <c r="C3520" s="66" t="s">
        <v>12616</v>
      </c>
      <c r="D3520" s="66">
        <v>4580779530176</v>
      </c>
      <c r="E3520" s="68" t="s">
        <v>13106</v>
      </c>
      <c r="F3520" s="66" t="s">
        <v>13107</v>
      </c>
      <c r="G3520" s="71">
        <v>7136</v>
      </c>
      <c r="H3520" s="73"/>
      <c r="I3520" s="75">
        <v>0.2</v>
      </c>
      <c r="J3520" s="77"/>
      <c r="K3520" s="66"/>
      <c r="L3520" s="66"/>
      <c r="M3520" s="79" t="str">
        <f>HYPERLINK("http://www.pristavka.com/catalog/good_smile_company/GDS1048/")</f>
        <v>http://www.pristavka.com/catalog/good_smile_company/GDS1048/</v>
      </c>
      <c r="N3520" s="71">
        <v>11899</v>
      </c>
      <c r="O3520" s="66" t="s">
        <v>27</v>
      </c>
      <c r="P3520" s="82" t="s">
        <v>13108</v>
      </c>
      <c r="Q3520" s="84" t="s">
        <v>13109</v>
      </c>
      <c r="R3520" s="84" t="s">
        <v>1068</v>
      </c>
      <c r="S3520" s="84">
        <v>0.152</v>
      </c>
      <c r="T3520" s="82" t="s">
        <v>13110</v>
      </c>
      <c r="U3520" s="84"/>
      <c r="V3520" s="54"/>
    </row>
    <row r="3521" spans="1:22" s="11" customFormat="1" ht="45" customHeight="1" x14ac:dyDescent="0.2">
      <c r="A3521" s="66" t="s">
        <v>12616</v>
      </c>
      <c r="B3521" s="66" t="s">
        <v>1707</v>
      </c>
      <c r="C3521" s="66" t="s">
        <v>12616</v>
      </c>
      <c r="D3521" s="66">
        <v>4582733423753</v>
      </c>
      <c r="E3521" s="68" t="s">
        <v>13111</v>
      </c>
      <c r="F3521" s="66" t="s">
        <v>13112</v>
      </c>
      <c r="G3521" s="71">
        <v>8731</v>
      </c>
      <c r="H3521" s="73"/>
      <c r="I3521" s="75">
        <v>0.2</v>
      </c>
      <c r="J3521" s="77"/>
      <c r="K3521" s="66"/>
      <c r="L3521" s="66"/>
      <c r="M3521" s="79" t="str">
        <f>HYPERLINK("http://www.pristavka.com/catalog/good_smile_company/GDS1135/")</f>
        <v>http://www.pristavka.com/catalog/good_smile_company/GDS1135/</v>
      </c>
      <c r="N3521" s="71">
        <v>14599</v>
      </c>
      <c r="O3521" s="66" t="s">
        <v>27</v>
      </c>
      <c r="P3521" s="82" t="s">
        <v>13113</v>
      </c>
      <c r="Q3521" s="84" t="s">
        <v>13109</v>
      </c>
      <c r="R3521" s="84" t="s">
        <v>1068</v>
      </c>
      <c r="S3521" s="84">
        <v>0.19</v>
      </c>
      <c r="T3521" s="82" t="s">
        <v>2284</v>
      </c>
      <c r="U3521" s="84"/>
      <c r="V3521" s="54"/>
    </row>
    <row r="3522" spans="1:22" s="11" customFormat="1" ht="45" customHeight="1" x14ac:dyDescent="0.2">
      <c r="A3522" s="66" t="s">
        <v>12616</v>
      </c>
      <c r="B3522" s="66" t="s">
        <v>1707</v>
      </c>
      <c r="C3522" s="66" t="s">
        <v>12616</v>
      </c>
      <c r="D3522" s="66">
        <v>4580779526063</v>
      </c>
      <c r="E3522" s="68" t="s">
        <v>13114</v>
      </c>
      <c r="F3522" s="66" t="s">
        <v>13115</v>
      </c>
      <c r="G3522" s="71">
        <v>7136</v>
      </c>
      <c r="H3522" s="73"/>
      <c r="I3522" s="75">
        <v>0.2</v>
      </c>
      <c r="J3522" s="77"/>
      <c r="K3522" s="66"/>
      <c r="L3522" s="66"/>
      <c r="M3522" s="79" t="str">
        <f>HYPERLINK("http://www.pristavka.com/catalog/good_smile_company/GDS1043/")</f>
        <v>http://www.pristavka.com/catalog/good_smile_company/GDS1043/</v>
      </c>
      <c r="N3522" s="71">
        <v>11899</v>
      </c>
      <c r="O3522" s="66" t="s">
        <v>27</v>
      </c>
      <c r="P3522" s="82" t="s">
        <v>13116</v>
      </c>
      <c r="Q3522" s="84" t="s">
        <v>13109</v>
      </c>
      <c r="R3522" s="84" t="s">
        <v>1068</v>
      </c>
      <c r="S3522" s="84">
        <v>0.14499999999999999</v>
      </c>
      <c r="T3522" s="82" t="s">
        <v>13110</v>
      </c>
      <c r="U3522" s="84"/>
      <c r="V3522" s="54"/>
    </row>
    <row r="3523" spans="1:22" s="11" customFormat="1" ht="45" customHeight="1" x14ac:dyDescent="0.2">
      <c r="A3523" s="66" t="s">
        <v>12616</v>
      </c>
      <c r="B3523" s="66" t="s">
        <v>1707</v>
      </c>
      <c r="C3523" s="66" t="s">
        <v>12616</v>
      </c>
      <c r="D3523" s="66">
        <v>4580779524069</v>
      </c>
      <c r="E3523" s="68" t="s">
        <v>13117</v>
      </c>
      <c r="F3523" s="66" t="s">
        <v>13118</v>
      </c>
      <c r="G3523" s="71">
        <v>7136</v>
      </c>
      <c r="H3523" s="73"/>
      <c r="I3523" s="75">
        <v>0.2</v>
      </c>
      <c r="J3523" s="77"/>
      <c r="K3523" s="66"/>
      <c r="L3523" s="66"/>
      <c r="M3523" s="79" t="str">
        <f>HYPERLINK("http://www.pristavka.com/catalog/good_smile_company/GDS1035/")</f>
        <v>http://www.pristavka.com/catalog/good_smile_company/GDS1035/</v>
      </c>
      <c r="N3523" s="71">
        <v>11899</v>
      </c>
      <c r="O3523" s="66" t="s">
        <v>27</v>
      </c>
      <c r="P3523" s="82" t="s">
        <v>13119</v>
      </c>
      <c r="Q3523" s="84" t="s">
        <v>13109</v>
      </c>
      <c r="R3523" s="84" t="s">
        <v>1068</v>
      </c>
      <c r="S3523" s="84">
        <v>0.15</v>
      </c>
      <c r="T3523" s="82" t="s">
        <v>13120</v>
      </c>
      <c r="U3523" s="84"/>
      <c r="V3523" s="54"/>
    </row>
    <row r="3524" spans="1:22" s="11" customFormat="1" ht="45" customHeight="1" x14ac:dyDescent="0.2">
      <c r="A3524" s="66" t="s">
        <v>12616</v>
      </c>
      <c r="B3524" s="66" t="s">
        <v>1707</v>
      </c>
      <c r="C3524" s="66" t="s">
        <v>12616</v>
      </c>
      <c r="D3524" s="66">
        <v>4580779529712</v>
      </c>
      <c r="E3524" s="68" t="s">
        <v>13121</v>
      </c>
      <c r="F3524" s="66" t="s">
        <v>13122</v>
      </c>
      <c r="G3524" s="71">
        <v>7136</v>
      </c>
      <c r="H3524" s="73"/>
      <c r="I3524" s="75">
        <v>0.2</v>
      </c>
      <c r="J3524" s="77"/>
      <c r="K3524" s="66"/>
      <c r="L3524" s="66"/>
      <c r="M3524" s="79" t="str">
        <f>HYPERLINK("http://www.pristavka.com/catalog/good_smile_company/GDS916/")</f>
        <v>http://www.pristavka.com/catalog/good_smile_company/GDS916/</v>
      </c>
      <c r="N3524" s="71">
        <v>11899</v>
      </c>
      <c r="O3524" s="66" t="s">
        <v>27</v>
      </c>
      <c r="P3524" s="82" t="s">
        <v>13123</v>
      </c>
      <c r="Q3524" s="84" t="s">
        <v>1067</v>
      </c>
      <c r="R3524" s="84" t="s">
        <v>1068</v>
      </c>
      <c r="S3524" s="84">
        <v>0.123</v>
      </c>
      <c r="T3524" s="82" t="s">
        <v>13124</v>
      </c>
      <c r="U3524" s="84" t="s">
        <v>3708</v>
      </c>
      <c r="V3524" s="54"/>
    </row>
    <row r="3525" spans="1:22" s="11" customFormat="1" ht="45" customHeight="1" x14ac:dyDescent="0.2">
      <c r="A3525" s="66" t="s">
        <v>12616</v>
      </c>
      <c r="B3525" s="66" t="s">
        <v>1707</v>
      </c>
      <c r="C3525" s="66" t="s">
        <v>12616</v>
      </c>
      <c r="D3525" s="66">
        <v>4580779511830</v>
      </c>
      <c r="E3525" s="68" t="s">
        <v>13125</v>
      </c>
      <c r="F3525" s="66" t="s">
        <v>13126</v>
      </c>
      <c r="G3525" s="71">
        <v>5940</v>
      </c>
      <c r="H3525" s="73"/>
      <c r="I3525" s="75">
        <v>0.2</v>
      </c>
      <c r="J3525" s="77"/>
      <c r="K3525" s="66"/>
      <c r="L3525" s="66"/>
      <c r="M3525" s="79" t="str">
        <f>HYPERLINK("http://www.pristavka.com/catalog/good_smile_company/GDS721/")</f>
        <v>http://www.pristavka.com/catalog/good_smile_company/GDS721/</v>
      </c>
      <c r="N3525" s="71">
        <v>9999</v>
      </c>
      <c r="O3525" s="66" t="s">
        <v>27</v>
      </c>
      <c r="P3525" s="82" t="s">
        <v>13127</v>
      </c>
      <c r="Q3525" s="84" t="s">
        <v>1067</v>
      </c>
      <c r="R3525" s="84" t="s">
        <v>1068</v>
      </c>
      <c r="S3525" s="84">
        <v>0.19</v>
      </c>
      <c r="T3525" s="82" t="s">
        <v>13128</v>
      </c>
      <c r="U3525" s="84"/>
      <c r="V3525" s="54"/>
    </row>
    <row r="3526" spans="1:22" s="11" customFormat="1" ht="45" customHeight="1" x14ac:dyDescent="0.2">
      <c r="A3526" s="66" t="s">
        <v>12616</v>
      </c>
      <c r="B3526" s="66" t="s">
        <v>1707</v>
      </c>
      <c r="C3526" s="66" t="s">
        <v>12616</v>
      </c>
      <c r="D3526" s="66">
        <v>4570001967504</v>
      </c>
      <c r="E3526" s="68" t="s">
        <v>13129</v>
      </c>
      <c r="F3526" s="66" t="s">
        <v>13130</v>
      </c>
      <c r="G3526" s="71">
        <v>6656</v>
      </c>
      <c r="H3526" s="73"/>
      <c r="I3526" s="75">
        <v>0.2</v>
      </c>
      <c r="J3526" s="77"/>
      <c r="K3526" s="66"/>
      <c r="L3526" s="66"/>
      <c r="M3526" s="79" t="str">
        <f>HYPERLINK("http://www.pristavka.com/catalog/good_smile_company/GDS642/")</f>
        <v>http://www.pristavka.com/catalog/good_smile_company/GDS642/</v>
      </c>
      <c r="N3526" s="71">
        <v>12099</v>
      </c>
      <c r="O3526" s="66" t="s">
        <v>27</v>
      </c>
      <c r="P3526" s="82" t="s">
        <v>13131</v>
      </c>
      <c r="Q3526" s="84" t="s">
        <v>1522</v>
      </c>
      <c r="R3526" s="84" t="s">
        <v>1068</v>
      </c>
      <c r="S3526" s="84">
        <v>0.25</v>
      </c>
      <c r="T3526" s="82" t="s">
        <v>13132</v>
      </c>
      <c r="U3526" s="84" t="s">
        <v>2255</v>
      </c>
      <c r="V3526" s="54"/>
    </row>
    <row r="3527" spans="1:22" s="11" customFormat="1" ht="45" customHeight="1" x14ac:dyDescent="0.2">
      <c r="A3527" s="66" t="s">
        <v>12616</v>
      </c>
      <c r="B3527" s="66" t="s">
        <v>1707</v>
      </c>
      <c r="C3527" s="66" t="s">
        <v>12616</v>
      </c>
      <c r="D3527" s="66">
        <v>4580779541066</v>
      </c>
      <c r="E3527" s="68" t="s">
        <v>13133</v>
      </c>
      <c r="F3527" s="66" t="s">
        <v>13134</v>
      </c>
      <c r="G3527" s="71">
        <v>8731</v>
      </c>
      <c r="H3527" s="73"/>
      <c r="I3527" s="75">
        <v>0.2</v>
      </c>
      <c r="J3527" s="77"/>
      <c r="K3527" s="66"/>
      <c r="L3527" s="66"/>
      <c r="M3527" s="79" t="str">
        <f>HYPERLINK("http://www.pristavka.com/catalog/good_smile_company/GDS1091/")</f>
        <v>http://www.pristavka.com/catalog/good_smile_company/GDS1091/</v>
      </c>
      <c r="N3527" s="71">
        <v>14599</v>
      </c>
      <c r="O3527" s="66" t="s">
        <v>28</v>
      </c>
      <c r="P3527" s="82" t="s">
        <v>13135</v>
      </c>
      <c r="Q3527" s="84" t="s">
        <v>13136</v>
      </c>
      <c r="R3527" s="84" t="s">
        <v>1068</v>
      </c>
      <c r="S3527" s="84">
        <v>0.222</v>
      </c>
      <c r="T3527" s="82" t="s">
        <v>2293</v>
      </c>
      <c r="U3527" s="84"/>
      <c r="V3527" s="54"/>
    </row>
    <row r="3528" spans="1:22" s="11" customFormat="1" ht="45" customHeight="1" x14ac:dyDescent="0.2">
      <c r="A3528" s="66" t="s">
        <v>12616</v>
      </c>
      <c r="B3528" s="66" t="s">
        <v>1707</v>
      </c>
      <c r="C3528" s="66" t="s">
        <v>12616</v>
      </c>
      <c r="D3528" s="66">
        <v>4580779526179</v>
      </c>
      <c r="E3528" s="68" t="s">
        <v>13137</v>
      </c>
      <c r="F3528" s="66" t="s">
        <v>13138</v>
      </c>
      <c r="G3528" s="71">
        <v>7535</v>
      </c>
      <c r="H3528" s="73"/>
      <c r="I3528" s="75">
        <v>0.2</v>
      </c>
      <c r="J3528" s="77"/>
      <c r="K3528" s="66"/>
      <c r="L3528" s="66"/>
      <c r="M3528" s="79" t="str">
        <f>HYPERLINK("http://www.pristavka.com/catalog/good_smile_company/GDS1036/")</f>
        <v>http://www.pristavka.com/catalog/good_smile_company/GDS1036/</v>
      </c>
      <c r="N3528" s="71">
        <v>12599</v>
      </c>
      <c r="O3528" s="66" t="s">
        <v>28</v>
      </c>
      <c r="P3528" s="82" t="s">
        <v>13139</v>
      </c>
      <c r="Q3528" s="84" t="s">
        <v>1068</v>
      </c>
      <c r="R3528" s="84" t="s">
        <v>1068</v>
      </c>
      <c r="S3528" s="84">
        <v>0.22500000000000001</v>
      </c>
      <c r="T3528" s="82" t="s">
        <v>13140</v>
      </c>
      <c r="U3528" s="84"/>
      <c r="V3528" s="54"/>
    </row>
    <row r="3529" spans="1:22" s="11" customFormat="1" ht="45" customHeight="1" x14ac:dyDescent="0.2">
      <c r="A3529" s="66" t="s">
        <v>12616</v>
      </c>
      <c r="B3529" s="66" t="s">
        <v>1707</v>
      </c>
      <c r="C3529" s="66" t="s">
        <v>12616</v>
      </c>
      <c r="D3529" s="66">
        <v>4582638215293</v>
      </c>
      <c r="E3529" s="68" t="s">
        <v>13141</v>
      </c>
      <c r="F3529" s="66" t="s">
        <v>13142</v>
      </c>
      <c r="G3529" s="71">
        <v>28175</v>
      </c>
      <c r="H3529" s="73"/>
      <c r="I3529" s="75">
        <v>0.2</v>
      </c>
      <c r="J3529" s="77"/>
      <c r="K3529" s="66"/>
      <c r="L3529" s="66"/>
      <c r="M3529" s="79" t="str">
        <f>HYPERLINK("http://www.pristavka.com/catalog/good_smile_company/GDS976/")</f>
        <v>http://www.pristavka.com/catalog/good_smile_company/GDS976/</v>
      </c>
      <c r="N3529" s="71">
        <v>46999</v>
      </c>
      <c r="O3529" s="66" t="s">
        <v>27</v>
      </c>
      <c r="P3529" s="82" t="s">
        <v>13143</v>
      </c>
      <c r="Q3529" s="84" t="s">
        <v>1442</v>
      </c>
      <c r="R3529" s="84" t="s">
        <v>1068</v>
      </c>
      <c r="S3529" s="84">
        <v>0.20799999999999999</v>
      </c>
      <c r="T3529" s="82" t="s">
        <v>12981</v>
      </c>
      <c r="U3529" s="84"/>
      <c r="V3529" s="54"/>
    </row>
    <row r="3530" spans="1:22" s="11" customFormat="1" ht="45" customHeight="1" x14ac:dyDescent="0.2">
      <c r="A3530" s="66" t="s">
        <v>12616</v>
      </c>
      <c r="B3530" s="66" t="s">
        <v>1707</v>
      </c>
      <c r="C3530" s="66" t="s">
        <v>12616</v>
      </c>
      <c r="D3530" s="66">
        <v>4582638220396</v>
      </c>
      <c r="E3530" s="68" t="s">
        <v>13144</v>
      </c>
      <c r="F3530" s="66" t="s">
        <v>13145</v>
      </c>
      <c r="G3530" s="71">
        <v>33880</v>
      </c>
      <c r="H3530" s="73"/>
      <c r="I3530" s="75">
        <v>0.2</v>
      </c>
      <c r="J3530" s="77"/>
      <c r="K3530" s="66"/>
      <c r="L3530" s="66"/>
      <c r="M3530" s="79" t="str">
        <f>HYPERLINK("http://www.pristavka.com/catalog/good_smile_company/GDS700/")</f>
        <v>http://www.pristavka.com/catalog/good_smile_company/GDS700/</v>
      </c>
      <c r="N3530" s="71">
        <v>56499</v>
      </c>
      <c r="O3530" s="66" t="s">
        <v>27</v>
      </c>
      <c r="P3530" s="82" t="s">
        <v>13146</v>
      </c>
      <c r="Q3530" s="84" t="s">
        <v>1442</v>
      </c>
      <c r="R3530" s="84" t="s">
        <v>1068</v>
      </c>
      <c r="S3530" s="84">
        <v>0.313</v>
      </c>
      <c r="T3530" s="82" t="s">
        <v>13147</v>
      </c>
      <c r="U3530" s="84"/>
      <c r="V3530" s="54"/>
    </row>
    <row r="3531" spans="1:22" s="11" customFormat="1" ht="45" customHeight="1" x14ac:dyDescent="0.2">
      <c r="A3531" s="66" t="s">
        <v>12616</v>
      </c>
      <c r="B3531" s="66" t="s">
        <v>1707</v>
      </c>
      <c r="C3531" s="66" t="s">
        <v>12616</v>
      </c>
      <c r="D3531" s="66">
        <v>4582638226862</v>
      </c>
      <c r="E3531" s="68" t="s">
        <v>13148</v>
      </c>
      <c r="F3531" s="66" t="s">
        <v>13149</v>
      </c>
      <c r="G3531" s="71">
        <v>96099</v>
      </c>
      <c r="H3531" s="73"/>
      <c r="I3531" s="75">
        <v>0.2</v>
      </c>
      <c r="J3531" s="77"/>
      <c r="K3531" s="66"/>
      <c r="L3531" s="66"/>
      <c r="M3531" s="79" t="str">
        <f>HYPERLINK("http://www.pristavka.com/catalog/good_smile_company/GDS982/")</f>
        <v>http://www.pristavka.com/catalog/good_smile_company/GDS982/</v>
      </c>
      <c r="N3531" s="71">
        <v>137299</v>
      </c>
      <c r="O3531" s="66" t="s">
        <v>28</v>
      </c>
      <c r="P3531" s="82" t="s">
        <v>13150</v>
      </c>
      <c r="Q3531" s="84" t="s">
        <v>1442</v>
      </c>
      <c r="R3531" s="84" t="s">
        <v>1068</v>
      </c>
      <c r="S3531" s="84">
        <v>0.82499999999999996</v>
      </c>
      <c r="T3531" s="82" t="s">
        <v>13151</v>
      </c>
      <c r="U3531" s="84"/>
      <c r="V3531" s="54"/>
    </row>
    <row r="3532" spans="1:22" s="11" customFormat="1" ht="45" customHeight="1" x14ac:dyDescent="0.2">
      <c r="A3532" s="66" t="s">
        <v>12616</v>
      </c>
      <c r="B3532" s="66" t="s">
        <v>1707</v>
      </c>
      <c r="C3532" s="66" t="s">
        <v>12616</v>
      </c>
      <c r="D3532" s="66">
        <v>4580416949309</v>
      </c>
      <c r="E3532" s="68" t="s">
        <v>13152</v>
      </c>
      <c r="F3532" s="66" t="s">
        <v>13153</v>
      </c>
      <c r="G3532" s="71">
        <v>43916</v>
      </c>
      <c r="H3532" s="73"/>
      <c r="I3532" s="75">
        <v>0.2</v>
      </c>
      <c r="J3532" s="77"/>
      <c r="K3532" s="66"/>
      <c r="L3532" s="66"/>
      <c r="M3532" s="79" t="str">
        <f>HYPERLINK("http://www.pristavka.com/catalog/good_smile_company/GDS991/")</f>
        <v>http://www.pristavka.com/catalog/good_smile_company/GDS991/</v>
      </c>
      <c r="N3532" s="71">
        <v>67599</v>
      </c>
      <c r="O3532" s="66" t="s">
        <v>27</v>
      </c>
      <c r="P3532" s="82" t="s">
        <v>13154</v>
      </c>
      <c r="Q3532" s="84" t="s">
        <v>13155</v>
      </c>
      <c r="R3532" s="84" t="s">
        <v>1068</v>
      </c>
      <c r="S3532" s="84">
        <v>1.744</v>
      </c>
      <c r="T3532" s="82" t="s">
        <v>13156</v>
      </c>
      <c r="U3532" s="84"/>
      <c r="V3532" s="54"/>
    </row>
    <row r="3533" spans="1:22" s="11" customFormat="1" ht="45" customHeight="1" x14ac:dyDescent="0.2">
      <c r="A3533" s="66" t="s">
        <v>12616</v>
      </c>
      <c r="B3533" s="66" t="s">
        <v>1707</v>
      </c>
      <c r="C3533" s="66" t="s">
        <v>12616</v>
      </c>
      <c r="D3533" s="66">
        <v>4589584952395</v>
      </c>
      <c r="E3533" s="68" t="s">
        <v>13157</v>
      </c>
      <c r="F3533" s="66" t="s">
        <v>13158</v>
      </c>
      <c r="G3533" s="71">
        <v>110150</v>
      </c>
      <c r="H3533" s="73"/>
      <c r="I3533" s="75">
        <v>0.2</v>
      </c>
      <c r="J3533" s="77"/>
      <c r="K3533" s="66"/>
      <c r="L3533" s="66"/>
      <c r="M3533" s="79" t="str">
        <f>HYPERLINK("http://www.pristavka.com/catalog/good_smile_company/GDS984/")</f>
        <v>http://www.pristavka.com/catalog/good_smile_company/GDS984/</v>
      </c>
      <c r="N3533" s="71">
        <v>157399</v>
      </c>
      <c r="O3533" s="66" t="s">
        <v>28</v>
      </c>
      <c r="P3533" s="82" t="s">
        <v>13159</v>
      </c>
      <c r="Q3533" s="84" t="s">
        <v>13160</v>
      </c>
      <c r="R3533" s="84" t="s">
        <v>1068</v>
      </c>
      <c r="S3533" s="84">
        <v>1.1850000000000001</v>
      </c>
      <c r="T3533" s="82" t="s">
        <v>13161</v>
      </c>
      <c r="U3533" s="84"/>
      <c r="V3533" s="54"/>
    </row>
    <row r="3534" spans="1:22" s="11" customFormat="1" ht="45" customHeight="1" x14ac:dyDescent="0.2">
      <c r="A3534" s="66" t="s">
        <v>12616</v>
      </c>
      <c r="B3534" s="66" t="s">
        <v>1707</v>
      </c>
      <c r="C3534" s="66" t="s">
        <v>12616</v>
      </c>
      <c r="D3534" s="66">
        <v>4580122814915</v>
      </c>
      <c r="E3534" s="68" t="s">
        <v>13162</v>
      </c>
      <c r="F3534" s="66" t="s">
        <v>13163</v>
      </c>
      <c r="G3534" s="71">
        <v>81309</v>
      </c>
      <c r="H3534" s="73"/>
      <c r="I3534" s="75">
        <v>0.2</v>
      </c>
      <c r="J3534" s="77"/>
      <c r="K3534" s="66"/>
      <c r="L3534" s="66"/>
      <c r="M3534" s="79" t="str">
        <f>HYPERLINK("http://www.pristavka.com/catalog/good_smile_company/GDS954/")</f>
        <v>http://www.pristavka.com/catalog/good_smile_company/GDS954/</v>
      </c>
      <c r="N3534" s="71">
        <v>116199</v>
      </c>
      <c r="O3534" s="66" t="s">
        <v>28</v>
      </c>
      <c r="P3534" s="82" t="s">
        <v>13164</v>
      </c>
      <c r="Q3534" s="84" t="s">
        <v>1442</v>
      </c>
      <c r="R3534" s="84" t="s">
        <v>1068</v>
      </c>
      <c r="S3534" s="84">
        <v>0.65900000000000003</v>
      </c>
      <c r="T3534" s="82" t="s">
        <v>5982</v>
      </c>
      <c r="U3534" s="84"/>
      <c r="V3534" s="54"/>
    </row>
    <row r="3535" spans="1:22" s="11" customFormat="1" ht="45" customHeight="1" x14ac:dyDescent="0.2">
      <c r="A3535" s="66" t="s">
        <v>12616</v>
      </c>
      <c r="B3535" s="66" t="s">
        <v>1707</v>
      </c>
      <c r="C3535" s="66" t="s">
        <v>12616</v>
      </c>
      <c r="D3535" s="66">
        <v>4582638220389</v>
      </c>
      <c r="E3535" s="68" t="s">
        <v>13165</v>
      </c>
      <c r="F3535" s="66" t="s">
        <v>13166</v>
      </c>
      <c r="G3535" s="71">
        <v>31662</v>
      </c>
      <c r="H3535" s="73"/>
      <c r="I3535" s="75">
        <v>0.2</v>
      </c>
      <c r="J3535" s="77"/>
      <c r="K3535" s="66"/>
      <c r="L3535" s="66"/>
      <c r="M3535" s="79" t="str">
        <f>HYPERLINK("http://www.pristavka.com/catalog/good_smile_company/GDS699/")</f>
        <v>http://www.pristavka.com/catalog/good_smile_company/GDS699/</v>
      </c>
      <c r="N3535" s="71">
        <v>52799</v>
      </c>
      <c r="O3535" s="66" t="s">
        <v>27</v>
      </c>
      <c r="P3535" s="82" t="s">
        <v>13167</v>
      </c>
      <c r="Q3535" s="84" t="s">
        <v>1442</v>
      </c>
      <c r="R3535" s="84" t="s">
        <v>1068</v>
      </c>
      <c r="S3535" s="84">
        <v>0.252</v>
      </c>
      <c r="T3535" s="82" t="s">
        <v>13168</v>
      </c>
      <c r="U3535" s="84"/>
      <c r="V3535" s="54"/>
    </row>
    <row r="3536" spans="1:22" s="11" customFormat="1" ht="45" customHeight="1" x14ac:dyDescent="0.2">
      <c r="A3536" s="66" t="s">
        <v>12616</v>
      </c>
      <c r="B3536" s="66" t="s">
        <v>1707</v>
      </c>
      <c r="C3536" s="66" t="s">
        <v>12616</v>
      </c>
      <c r="D3536" s="66">
        <v>4580416949279</v>
      </c>
      <c r="E3536" s="68" t="s">
        <v>13169</v>
      </c>
      <c r="F3536" s="66" t="s">
        <v>13170</v>
      </c>
      <c r="G3536" s="71">
        <v>17900</v>
      </c>
      <c r="H3536" s="73"/>
      <c r="I3536" s="75">
        <v>0.2</v>
      </c>
      <c r="J3536" s="77"/>
      <c r="K3536" s="66"/>
      <c r="L3536" s="66"/>
      <c r="M3536" s="79" t="str">
        <f>HYPERLINK("http://www.pristavka.com/catalog/good_smile_company/GDS994/")</f>
        <v>http://www.pristavka.com/catalog/good_smile_company/GDS994/</v>
      </c>
      <c r="N3536" s="71">
        <v>29899</v>
      </c>
      <c r="O3536" s="66" t="s">
        <v>27</v>
      </c>
      <c r="P3536" s="82" t="s">
        <v>13171</v>
      </c>
      <c r="Q3536" s="84" t="s">
        <v>1442</v>
      </c>
      <c r="R3536" s="84" t="s">
        <v>1068</v>
      </c>
      <c r="S3536" s="84">
        <v>0.50900000000000001</v>
      </c>
      <c r="T3536" s="82" t="s">
        <v>13172</v>
      </c>
      <c r="U3536" s="84"/>
      <c r="V3536" s="54"/>
    </row>
    <row r="3537" spans="1:22" s="11" customFormat="1" ht="45" customHeight="1" x14ac:dyDescent="0.2">
      <c r="A3537" s="66" t="s">
        <v>12616</v>
      </c>
      <c r="B3537" s="66" t="s">
        <v>1707</v>
      </c>
      <c r="C3537" s="66" t="s">
        <v>12616</v>
      </c>
      <c r="D3537" s="66">
        <v>4582638226855</v>
      </c>
      <c r="E3537" s="68" t="s">
        <v>13173</v>
      </c>
      <c r="F3537" s="66" t="s">
        <v>13174</v>
      </c>
      <c r="G3537" s="71">
        <v>96099</v>
      </c>
      <c r="H3537" s="73"/>
      <c r="I3537" s="75">
        <v>0.2</v>
      </c>
      <c r="J3537" s="77"/>
      <c r="K3537" s="66"/>
      <c r="L3537" s="66"/>
      <c r="M3537" s="79" t="str">
        <f>HYPERLINK("http://www.pristavka.com/catalog/good_smile_company/GDS703/")</f>
        <v>http://www.pristavka.com/catalog/good_smile_company/GDS703/</v>
      </c>
      <c r="N3537" s="71">
        <v>137299</v>
      </c>
      <c r="O3537" s="66" t="s">
        <v>28</v>
      </c>
      <c r="P3537" s="82" t="s">
        <v>13175</v>
      </c>
      <c r="Q3537" s="84" t="s">
        <v>1442</v>
      </c>
      <c r="R3537" s="84" t="s">
        <v>1068</v>
      </c>
      <c r="S3537" s="84">
        <v>0.67</v>
      </c>
      <c r="T3537" s="82" t="s">
        <v>13151</v>
      </c>
      <c r="U3537" s="84"/>
      <c r="V3537" s="54"/>
    </row>
    <row r="3538" spans="1:22" s="11" customFormat="1" ht="45" customHeight="1" x14ac:dyDescent="0.2">
      <c r="A3538" s="66" t="s">
        <v>12616</v>
      </c>
      <c r="B3538" s="66" t="s">
        <v>1707</v>
      </c>
      <c r="C3538" s="66" t="s">
        <v>12616</v>
      </c>
      <c r="D3538" s="66">
        <v>4580416949637</v>
      </c>
      <c r="E3538" s="68" t="s">
        <v>13176</v>
      </c>
      <c r="F3538" s="66" t="s">
        <v>13177</v>
      </c>
      <c r="G3538" s="71">
        <v>15498</v>
      </c>
      <c r="H3538" s="73"/>
      <c r="I3538" s="75">
        <v>0.2</v>
      </c>
      <c r="J3538" s="77"/>
      <c r="K3538" s="66"/>
      <c r="L3538" s="66"/>
      <c r="M3538" s="79" t="str">
        <f>HYPERLINK("http://www.pristavka.com/catalog/good_smile_company/GDS995/")</f>
        <v>http://www.pristavka.com/catalog/good_smile_company/GDS995/</v>
      </c>
      <c r="N3538" s="71">
        <v>25899</v>
      </c>
      <c r="O3538" s="66" t="s">
        <v>27</v>
      </c>
      <c r="P3538" s="82" t="s">
        <v>13178</v>
      </c>
      <c r="Q3538" s="84" t="s">
        <v>1442</v>
      </c>
      <c r="R3538" s="84" t="s">
        <v>1068</v>
      </c>
      <c r="S3538" s="84">
        <v>0.372</v>
      </c>
      <c r="T3538" s="82" t="s">
        <v>13179</v>
      </c>
      <c r="U3538" s="84"/>
      <c r="V3538" s="54"/>
    </row>
    <row r="3539" spans="1:22" s="11" customFormat="1" ht="45" customHeight="1" x14ac:dyDescent="0.2">
      <c r="A3539" s="66" t="s">
        <v>12616</v>
      </c>
      <c r="B3539" s="66" t="s">
        <v>1707</v>
      </c>
      <c r="C3539" s="66" t="s">
        <v>12616</v>
      </c>
      <c r="D3539" s="66">
        <v>4580416946322</v>
      </c>
      <c r="E3539" s="68" t="s">
        <v>13180</v>
      </c>
      <c r="F3539" s="66" t="s">
        <v>13181</v>
      </c>
      <c r="G3539" s="71">
        <v>57307</v>
      </c>
      <c r="H3539" s="73"/>
      <c r="I3539" s="75">
        <v>0.2</v>
      </c>
      <c r="J3539" s="77"/>
      <c r="K3539" s="66"/>
      <c r="L3539" s="66"/>
      <c r="M3539" s="79" t="str">
        <f>HYPERLINK("http://www.pristavka.com/catalog/good_smile_company/GDS998/")</f>
        <v>http://www.pristavka.com/catalog/good_smile_company/GDS998/</v>
      </c>
      <c r="N3539" s="71">
        <v>88199</v>
      </c>
      <c r="O3539" s="66" t="s">
        <v>28</v>
      </c>
      <c r="P3539" s="82" t="s">
        <v>13182</v>
      </c>
      <c r="Q3539" s="84" t="s">
        <v>13183</v>
      </c>
      <c r="R3539" s="84" t="s">
        <v>1068</v>
      </c>
      <c r="S3539" s="84">
        <v>0.68</v>
      </c>
      <c r="T3539" s="82" t="s">
        <v>13184</v>
      </c>
      <c r="U3539" s="84"/>
      <c r="V3539" s="54"/>
    </row>
    <row r="3540" spans="1:22" s="11" customFormat="1" ht="45" customHeight="1" x14ac:dyDescent="0.2">
      <c r="A3540" s="66" t="s">
        <v>12616</v>
      </c>
      <c r="B3540" s="66" t="s">
        <v>1707</v>
      </c>
      <c r="C3540" s="66" t="s">
        <v>12616</v>
      </c>
      <c r="D3540" s="66">
        <v>4582638215286</v>
      </c>
      <c r="E3540" s="68" t="s">
        <v>13185</v>
      </c>
      <c r="F3540" s="66" t="s">
        <v>13186</v>
      </c>
      <c r="G3540" s="71">
        <v>32929</v>
      </c>
      <c r="H3540" s="73"/>
      <c r="I3540" s="75">
        <v>0.2</v>
      </c>
      <c r="J3540" s="77"/>
      <c r="K3540" s="66"/>
      <c r="L3540" s="66"/>
      <c r="M3540" s="79" t="str">
        <f>HYPERLINK("http://www.pristavka.com/catalog/good_smile_company/GDS967/")</f>
        <v>http://www.pristavka.com/catalog/good_smile_company/GDS967/</v>
      </c>
      <c r="N3540" s="71">
        <v>54899</v>
      </c>
      <c r="O3540" s="66" t="s">
        <v>28</v>
      </c>
      <c r="P3540" s="82" t="s">
        <v>13187</v>
      </c>
      <c r="Q3540" s="84" t="s">
        <v>1442</v>
      </c>
      <c r="R3540" s="84" t="s">
        <v>1068</v>
      </c>
      <c r="S3540" s="84">
        <v>0.40600000000000003</v>
      </c>
      <c r="T3540" s="82" t="s">
        <v>13188</v>
      </c>
      <c r="U3540" s="84"/>
      <c r="V3540" s="54"/>
    </row>
    <row r="3541" spans="1:22" s="11" customFormat="1" ht="45" customHeight="1" x14ac:dyDescent="0.2">
      <c r="A3541" s="66" t="s">
        <v>12616</v>
      </c>
      <c r="B3541" s="66" t="s">
        <v>1707</v>
      </c>
      <c r="C3541" s="66" t="s">
        <v>12616</v>
      </c>
      <c r="D3541" s="66">
        <v>4580416946230</v>
      </c>
      <c r="E3541" s="68" t="s">
        <v>13189</v>
      </c>
      <c r="F3541" s="66" t="s">
        <v>13190</v>
      </c>
      <c r="G3541" s="71">
        <v>57307</v>
      </c>
      <c r="H3541" s="73"/>
      <c r="I3541" s="75">
        <v>0.2</v>
      </c>
      <c r="J3541" s="77"/>
      <c r="K3541" s="66"/>
      <c r="L3541" s="66"/>
      <c r="M3541" s="79" t="str">
        <f>HYPERLINK("http://www.pristavka.com/catalog/good_smile_company/GDS999/")</f>
        <v>http://www.pristavka.com/catalog/good_smile_company/GDS999/</v>
      </c>
      <c r="N3541" s="71">
        <v>88199</v>
      </c>
      <c r="O3541" s="66" t="s">
        <v>28</v>
      </c>
      <c r="P3541" s="82" t="s">
        <v>13191</v>
      </c>
      <c r="Q3541" s="84" t="s">
        <v>13183</v>
      </c>
      <c r="R3541" s="84" t="s">
        <v>1068</v>
      </c>
      <c r="S3541" s="84">
        <v>0.745</v>
      </c>
      <c r="T3541" s="82" t="s">
        <v>13184</v>
      </c>
      <c r="U3541" s="84"/>
      <c r="V3541" s="54"/>
    </row>
    <row r="3542" spans="1:22" s="11" customFormat="1" ht="45" customHeight="1" x14ac:dyDescent="0.2">
      <c r="A3542" s="66" t="s">
        <v>12616</v>
      </c>
      <c r="B3542" s="66" t="s">
        <v>1707</v>
      </c>
      <c r="C3542" s="66" t="s">
        <v>12616</v>
      </c>
      <c r="D3542" s="66">
        <v>4560308575649</v>
      </c>
      <c r="E3542" s="68" t="s">
        <v>13192</v>
      </c>
      <c r="F3542" s="66" t="s">
        <v>13193</v>
      </c>
      <c r="G3542" s="71">
        <v>18033</v>
      </c>
      <c r="H3542" s="73"/>
      <c r="I3542" s="75">
        <v>0.2</v>
      </c>
      <c r="J3542" s="77"/>
      <c r="K3542" s="66"/>
      <c r="L3542" s="66"/>
      <c r="M3542" s="79" t="str">
        <f>HYPERLINK("http://www.pristavka.com/catalog/good_smile_company/GDS979/")</f>
        <v>http://www.pristavka.com/catalog/good_smile_company/GDS979/</v>
      </c>
      <c r="N3542" s="71">
        <v>30099</v>
      </c>
      <c r="O3542" s="66" t="s">
        <v>27</v>
      </c>
      <c r="P3542" s="82" t="s">
        <v>13194</v>
      </c>
      <c r="Q3542" s="84" t="s">
        <v>12966</v>
      </c>
      <c r="R3542" s="84" t="s">
        <v>1068</v>
      </c>
      <c r="S3542" s="84">
        <v>0.22</v>
      </c>
      <c r="T3542" s="82" t="s">
        <v>13195</v>
      </c>
      <c r="U3542" s="84"/>
      <c r="V3542" s="54"/>
    </row>
    <row r="3543" spans="1:22" s="11" customFormat="1" ht="45" customHeight="1" x14ac:dyDescent="0.2">
      <c r="A3543" s="66" t="s">
        <v>12616</v>
      </c>
      <c r="B3543" s="66" t="s">
        <v>1707</v>
      </c>
      <c r="C3543" s="66" t="s">
        <v>12616</v>
      </c>
      <c r="D3543" s="66">
        <v>4580416945905</v>
      </c>
      <c r="E3543" s="68" t="s">
        <v>13196</v>
      </c>
      <c r="F3543" s="66" t="s">
        <v>13197</v>
      </c>
      <c r="G3543" s="71">
        <v>15181</v>
      </c>
      <c r="H3543" s="73"/>
      <c r="I3543" s="75">
        <v>0.2</v>
      </c>
      <c r="J3543" s="77"/>
      <c r="K3543" s="66"/>
      <c r="L3543" s="66"/>
      <c r="M3543" s="79" t="str">
        <f>HYPERLINK("http://www.pristavka.com/catalog/good_smile_company/GDS974/")</f>
        <v>http://www.pristavka.com/catalog/good_smile_company/GDS974/</v>
      </c>
      <c r="N3543" s="71">
        <v>25399</v>
      </c>
      <c r="O3543" s="66" t="s">
        <v>28</v>
      </c>
      <c r="P3543" s="82" t="s">
        <v>13198</v>
      </c>
      <c r="Q3543" s="84" t="s">
        <v>13199</v>
      </c>
      <c r="R3543" s="84" t="s">
        <v>1068</v>
      </c>
      <c r="S3543" s="84">
        <v>0.56100000000000005</v>
      </c>
      <c r="T3543" s="82" t="s">
        <v>13200</v>
      </c>
      <c r="U3543" s="84"/>
      <c r="V3543" s="54"/>
    </row>
    <row r="3544" spans="1:22" s="11" customFormat="1" ht="45" customHeight="1" x14ac:dyDescent="0.2">
      <c r="A3544" s="66" t="s">
        <v>12616</v>
      </c>
      <c r="B3544" s="66" t="s">
        <v>1707</v>
      </c>
      <c r="C3544" s="66" t="s">
        <v>12616</v>
      </c>
      <c r="D3544" s="66">
        <v>4580590127531</v>
      </c>
      <c r="E3544" s="68" t="s">
        <v>13201</v>
      </c>
      <c r="F3544" s="66" t="s">
        <v>13202</v>
      </c>
      <c r="G3544" s="71">
        <v>38766</v>
      </c>
      <c r="H3544" s="73"/>
      <c r="I3544" s="75">
        <v>0.2</v>
      </c>
      <c r="J3544" s="77"/>
      <c r="K3544" s="66"/>
      <c r="L3544" s="66"/>
      <c r="M3544" s="79" t="str">
        <f>HYPERLINK("http://www.pristavka.com/catalog/good_smile_company/GDS1016/")</f>
        <v>http://www.pristavka.com/catalog/good_smile_company/GDS1016/</v>
      </c>
      <c r="N3544" s="71">
        <v>59699</v>
      </c>
      <c r="O3544" s="66" t="s">
        <v>28</v>
      </c>
      <c r="P3544" s="82" t="s">
        <v>13203</v>
      </c>
      <c r="Q3544" s="84" t="s">
        <v>1117</v>
      </c>
      <c r="R3544" s="84" t="s">
        <v>1068</v>
      </c>
      <c r="S3544" s="84">
        <v>0.246</v>
      </c>
      <c r="T3544" s="82" t="s">
        <v>13204</v>
      </c>
      <c r="U3544" s="84"/>
      <c r="V3544" s="54"/>
    </row>
    <row r="3545" spans="1:22" s="11" customFormat="1" ht="45" customHeight="1" x14ac:dyDescent="0.2">
      <c r="A3545" s="66" t="s">
        <v>12616</v>
      </c>
      <c r="B3545" s="66" t="s">
        <v>1707</v>
      </c>
      <c r="C3545" s="66" t="s">
        <v>12616</v>
      </c>
      <c r="D3545" s="66">
        <v>4560308575700</v>
      </c>
      <c r="E3545" s="68" t="s">
        <v>13205</v>
      </c>
      <c r="F3545" s="66" t="s">
        <v>13206</v>
      </c>
      <c r="G3545" s="71">
        <v>50783</v>
      </c>
      <c r="H3545" s="73"/>
      <c r="I3545" s="75">
        <v>0.2</v>
      </c>
      <c r="J3545" s="77"/>
      <c r="K3545" s="66"/>
      <c r="L3545" s="66"/>
      <c r="M3545" s="79" t="str">
        <f>HYPERLINK("http://www.pristavka.com/catalog/good_smile_company/GDS972/")</f>
        <v>http://www.pristavka.com/catalog/good_smile_company/GDS972/</v>
      </c>
      <c r="N3545" s="71">
        <v>78199</v>
      </c>
      <c r="O3545" s="66" t="s">
        <v>28</v>
      </c>
      <c r="P3545" s="82" t="s">
        <v>13207</v>
      </c>
      <c r="Q3545" s="84" t="s">
        <v>2244</v>
      </c>
      <c r="R3545" s="84" t="s">
        <v>1068</v>
      </c>
      <c r="S3545" s="84">
        <v>0.56999999999999995</v>
      </c>
      <c r="T3545" s="82" t="s">
        <v>13208</v>
      </c>
      <c r="U3545" s="84"/>
      <c r="V3545" s="54"/>
    </row>
    <row r="3546" spans="1:22" s="11" customFormat="1" ht="45" customHeight="1" x14ac:dyDescent="0.2">
      <c r="A3546" s="66" t="s">
        <v>12616</v>
      </c>
      <c r="B3546" s="66" t="s">
        <v>1707</v>
      </c>
      <c r="C3546" s="66" t="s">
        <v>12616</v>
      </c>
      <c r="D3546" s="66">
        <v>4580416949170</v>
      </c>
      <c r="E3546" s="68" t="s">
        <v>13209</v>
      </c>
      <c r="F3546" s="66" t="s">
        <v>13210</v>
      </c>
      <c r="G3546" s="71">
        <v>22154</v>
      </c>
      <c r="H3546" s="73"/>
      <c r="I3546" s="75">
        <v>0.2</v>
      </c>
      <c r="J3546" s="77"/>
      <c r="K3546" s="66"/>
      <c r="L3546" s="66"/>
      <c r="M3546" s="79" t="str">
        <f>HYPERLINK("http://www.pristavka.com/catalog/good_smile_company/GDS990/")</f>
        <v>http://www.pristavka.com/catalog/good_smile_company/GDS990/</v>
      </c>
      <c r="N3546" s="71">
        <v>36999</v>
      </c>
      <c r="O3546" s="66" t="s">
        <v>27</v>
      </c>
      <c r="P3546" s="82" t="s">
        <v>13211</v>
      </c>
      <c r="Q3546" s="84" t="s">
        <v>13212</v>
      </c>
      <c r="R3546" s="84" t="s">
        <v>1068</v>
      </c>
      <c r="S3546" s="84">
        <v>0.26600000000000001</v>
      </c>
      <c r="T3546" s="82" t="s">
        <v>13213</v>
      </c>
      <c r="U3546" s="84"/>
      <c r="V3546" s="54"/>
    </row>
    <row r="3547" spans="1:22" s="11" customFormat="1" ht="45" customHeight="1" x14ac:dyDescent="0.2">
      <c r="A3547" s="66" t="s">
        <v>12616</v>
      </c>
      <c r="B3547" s="66" t="s">
        <v>1707</v>
      </c>
      <c r="C3547" s="66" t="s">
        <v>12616</v>
      </c>
      <c r="D3547" s="66">
        <v>4562177700559</v>
      </c>
      <c r="E3547" s="68" t="s">
        <v>13214</v>
      </c>
      <c r="F3547" s="66" t="s">
        <v>13215</v>
      </c>
      <c r="G3547" s="71">
        <v>63487</v>
      </c>
      <c r="H3547" s="73"/>
      <c r="I3547" s="75">
        <v>0.2</v>
      </c>
      <c r="J3547" s="77"/>
      <c r="K3547" s="66"/>
      <c r="L3547" s="66"/>
      <c r="M3547" s="79" t="str">
        <f>HYPERLINK("http://www.pristavka.com/catalog/good_smile_company/GDS953/")</f>
        <v>http://www.pristavka.com/catalog/good_smile_company/GDS953/</v>
      </c>
      <c r="N3547" s="71">
        <v>97699</v>
      </c>
      <c r="O3547" s="66" t="s">
        <v>27</v>
      </c>
      <c r="P3547" s="82" t="s">
        <v>13216</v>
      </c>
      <c r="Q3547" s="84" t="s">
        <v>1068</v>
      </c>
      <c r="R3547" s="84" t="s">
        <v>1068</v>
      </c>
      <c r="S3547" s="84">
        <v>0.71799999999999997</v>
      </c>
      <c r="T3547" s="82" t="s">
        <v>13217</v>
      </c>
      <c r="U3547" s="84"/>
      <c r="V3547" s="54"/>
    </row>
    <row r="3548" spans="1:22" s="11" customFormat="1" ht="45" customHeight="1" x14ac:dyDescent="0.2">
      <c r="A3548" s="66" t="s">
        <v>12616</v>
      </c>
      <c r="B3548" s="66" t="s">
        <v>1707</v>
      </c>
      <c r="C3548" s="66" t="s">
        <v>12616</v>
      </c>
      <c r="D3548" s="66">
        <v>4580678969787</v>
      </c>
      <c r="E3548" s="68" t="s">
        <v>13218</v>
      </c>
      <c r="F3548" s="66" t="s">
        <v>13219</v>
      </c>
      <c r="G3548" s="71">
        <v>60397</v>
      </c>
      <c r="H3548" s="73"/>
      <c r="I3548" s="75">
        <v>0.2</v>
      </c>
      <c r="J3548" s="77"/>
      <c r="K3548" s="66"/>
      <c r="L3548" s="66"/>
      <c r="M3548" s="79" t="str">
        <f>HYPERLINK("http://www.pristavka.com/catalog/good_smile_company/GDS1001/")</f>
        <v>http://www.pristavka.com/catalog/good_smile_company/GDS1001/</v>
      </c>
      <c r="N3548" s="71">
        <v>92999</v>
      </c>
      <c r="O3548" s="66" t="s">
        <v>28</v>
      </c>
      <c r="P3548" s="82" t="s">
        <v>13220</v>
      </c>
      <c r="Q3548" s="84" t="s">
        <v>2808</v>
      </c>
      <c r="R3548" s="84" t="s">
        <v>1068</v>
      </c>
      <c r="S3548" s="84">
        <v>0.48199999999999998</v>
      </c>
      <c r="T3548" s="82" t="s">
        <v>13221</v>
      </c>
      <c r="U3548" s="84"/>
      <c r="V3548" s="54"/>
    </row>
    <row r="3549" spans="1:22" s="11" customFormat="1" ht="45" customHeight="1" x14ac:dyDescent="0.2">
      <c r="A3549" s="66" t="s">
        <v>12616</v>
      </c>
      <c r="B3549" s="66" t="s">
        <v>1707</v>
      </c>
      <c r="C3549" s="66" t="s">
        <v>12616</v>
      </c>
      <c r="D3549" s="66">
        <v>4580416946773</v>
      </c>
      <c r="E3549" s="68" t="s">
        <v>13222</v>
      </c>
      <c r="F3549" s="66" t="s">
        <v>13223</v>
      </c>
      <c r="G3549" s="71">
        <v>15181</v>
      </c>
      <c r="H3549" s="73"/>
      <c r="I3549" s="75">
        <v>0.2</v>
      </c>
      <c r="J3549" s="77"/>
      <c r="K3549" s="66"/>
      <c r="L3549" s="66"/>
      <c r="M3549" s="79" t="str">
        <f>HYPERLINK("http://www.pristavka.com/catalog/good_smile_company/GDS985/")</f>
        <v>http://www.pristavka.com/catalog/good_smile_company/GDS985/</v>
      </c>
      <c r="N3549" s="71">
        <v>25399</v>
      </c>
      <c r="O3549" s="66" t="s">
        <v>28</v>
      </c>
      <c r="P3549" s="82" t="s">
        <v>13224</v>
      </c>
      <c r="Q3549" s="84" t="s">
        <v>13225</v>
      </c>
      <c r="R3549" s="84" t="s">
        <v>1068</v>
      </c>
      <c r="S3549" s="84">
        <v>0.34799999999999998</v>
      </c>
      <c r="T3549" s="82" t="s">
        <v>13226</v>
      </c>
      <c r="U3549" s="84"/>
      <c r="V3549" s="54"/>
    </row>
    <row r="3550" spans="1:22" s="11" customFormat="1" ht="45" customHeight="1" x14ac:dyDescent="0.2">
      <c r="A3550" s="66" t="s">
        <v>12616</v>
      </c>
      <c r="B3550" s="66" t="s">
        <v>1707</v>
      </c>
      <c r="C3550" s="66" t="s">
        <v>12616</v>
      </c>
      <c r="D3550" s="66">
        <v>4580678969794</v>
      </c>
      <c r="E3550" s="68" t="s">
        <v>13227</v>
      </c>
      <c r="F3550" s="66" t="s">
        <v>13228</v>
      </c>
      <c r="G3550" s="71">
        <v>60397</v>
      </c>
      <c r="H3550" s="73"/>
      <c r="I3550" s="75">
        <v>0.2</v>
      </c>
      <c r="J3550" s="77"/>
      <c r="K3550" s="66"/>
      <c r="L3550" s="66"/>
      <c r="M3550" s="79" t="str">
        <f>HYPERLINK("http://www.pristavka.com/catalog/good_smile_company/GDS1002/")</f>
        <v>http://www.pristavka.com/catalog/good_smile_company/GDS1002/</v>
      </c>
      <c r="N3550" s="71">
        <v>92999</v>
      </c>
      <c r="O3550" s="66" t="s">
        <v>28</v>
      </c>
      <c r="P3550" s="82" t="s">
        <v>13229</v>
      </c>
      <c r="Q3550" s="84" t="s">
        <v>2808</v>
      </c>
      <c r="R3550" s="84" t="s">
        <v>1068</v>
      </c>
      <c r="S3550" s="84">
        <v>0.504</v>
      </c>
      <c r="T3550" s="82" t="s">
        <v>13221</v>
      </c>
      <c r="U3550" s="84"/>
      <c r="V3550" s="54"/>
    </row>
    <row r="3551" spans="1:22" s="11" customFormat="1" ht="45" customHeight="1" x14ac:dyDescent="0.2">
      <c r="A3551" s="66" t="s">
        <v>12616</v>
      </c>
      <c r="B3551" s="66" t="s">
        <v>1707</v>
      </c>
      <c r="C3551" s="66" t="s">
        <v>12616</v>
      </c>
      <c r="D3551" s="66">
        <v>4582638217549</v>
      </c>
      <c r="E3551" s="68" t="s">
        <v>13230</v>
      </c>
      <c r="F3551" s="66" t="s">
        <v>13231</v>
      </c>
      <c r="G3551" s="71">
        <v>28492</v>
      </c>
      <c r="H3551" s="73"/>
      <c r="I3551" s="75">
        <v>0.2</v>
      </c>
      <c r="J3551" s="77"/>
      <c r="K3551" s="66"/>
      <c r="L3551" s="66"/>
      <c r="M3551" s="79" t="str">
        <f>HYPERLINK("http://www.pristavka.com/catalog/good_smile_company/GDS963/")</f>
        <v>http://www.pristavka.com/catalog/good_smile_company/GDS963/</v>
      </c>
      <c r="N3551" s="71">
        <v>47499</v>
      </c>
      <c r="O3551" s="66" t="s">
        <v>28</v>
      </c>
      <c r="P3551" s="82" t="s">
        <v>13232</v>
      </c>
      <c r="Q3551" s="84" t="s">
        <v>1442</v>
      </c>
      <c r="R3551" s="84" t="s">
        <v>1068</v>
      </c>
      <c r="S3551" s="84">
        <v>0.26800000000000002</v>
      </c>
      <c r="T3551" s="82" t="s">
        <v>13233</v>
      </c>
      <c r="U3551" s="84"/>
      <c r="V3551" s="54"/>
    </row>
    <row r="3552" spans="1:22" s="11" customFormat="1" ht="45" customHeight="1" x14ac:dyDescent="0.2">
      <c r="A3552" s="66" t="s">
        <v>12616</v>
      </c>
      <c r="B3552" s="66" t="s">
        <v>1707</v>
      </c>
      <c r="C3552" s="66" t="s">
        <v>12616</v>
      </c>
      <c r="D3552" s="66">
        <v>4560308575625</v>
      </c>
      <c r="E3552" s="68" t="s">
        <v>13234</v>
      </c>
      <c r="F3552" s="66" t="s">
        <v>13235</v>
      </c>
      <c r="G3552" s="71">
        <v>48036</v>
      </c>
      <c r="H3552" s="73"/>
      <c r="I3552" s="75">
        <v>0.2</v>
      </c>
      <c r="J3552" s="77"/>
      <c r="K3552" s="66"/>
      <c r="L3552" s="66"/>
      <c r="M3552" s="79" t="str">
        <f>HYPERLINK("http://www.pristavka.com/catalog/good_smile_company/GDS968/")</f>
        <v>http://www.pristavka.com/catalog/good_smile_company/GDS968/</v>
      </c>
      <c r="N3552" s="71">
        <v>73899</v>
      </c>
      <c r="O3552" s="66" t="s">
        <v>28</v>
      </c>
      <c r="P3552" s="82" t="s">
        <v>13236</v>
      </c>
      <c r="Q3552" s="84" t="s">
        <v>2244</v>
      </c>
      <c r="R3552" s="84" t="s">
        <v>1068</v>
      </c>
      <c r="S3552" s="84">
        <v>0.53</v>
      </c>
      <c r="T3552" s="82" t="s">
        <v>13237</v>
      </c>
      <c r="U3552" s="84"/>
      <c r="V3552" s="54"/>
    </row>
    <row r="3553" spans="1:22" s="11" customFormat="1" ht="45" customHeight="1" x14ac:dyDescent="0.2">
      <c r="A3553" s="66" t="s">
        <v>12616</v>
      </c>
      <c r="B3553" s="66" t="s">
        <v>1707</v>
      </c>
      <c r="C3553" s="66" t="s">
        <v>12616</v>
      </c>
      <c r="D3553" s="66">
        <v>4580416945981</v>
      </c>
      <c r="E3553" s="68" t="s">
        <v>13238</v>
      </c>
      <c r="F3553" s="66" t="s">
        <v>13239</v>
      </c>
      <c r="G3553" s="71">
        <v>15181</v>
      </c>
      <c r="H3553" s="73"/>
      <c r="I3553" s="75">
        <v>0.2</v>
      </c>
      <c r="J3553" s="77"/>
      <c r="K3553" s="66"/>
      <c r="L3553" s="66"/>
      <c r="M3553" s="79" t="str">
        <f>HYPERLINK("http://www.pristavka.com/catalog/good_smile_company/GDS980/")</f>
        <v>http://www.pristavka.com/catalog/good_smile_company/GDS980/</v>
      </c>
      <c r="N3553" s="71">
        <v>25399</v>
      </c>
      <c r="O3553" s="66" t="s">
        <v>28</v>
      </c>
      <c r="P3553" s="82" t="s">
        <v>13240</v>
      </c>
      <c r="Q3553" s="84" t="s">
        <v>13241</v>
      </c>
      <c r="R3553" s="84" t="s">
        <v>1068</v>
      </c>
      <c r="S3553" s="84">
        <v>0.29199999999999998</v>
      </c>
      <c r="T3553" s="82" t="s">
        <v>12845</v>
      </c>
      <c r="U3553" s="84"/>
      <c r="V3553" s="54"/>
    </row>
    <row r="3554" spans="1:22" s="11" customFormat="1" ht="45" customHeight="1" x14ac:dyDescent="0.2">
      <c r="A3554" s="66" t="s">
        <v>12616</v>
      </c>
      <c r="B3554" s="66" t="s">
        <v>1707</v>
      </c>
      <c r="C3554" s="66" t="s">
        <v>12616</v>
      </c>
      <c r="D3554" s="66">
        <v>4560308575786</v>
      </c>
      <c r="E3554" s="68" t="s">
        <v>13242</v>
      </c>
      <c r="F3554" s="66" t="s">
        <v>13243</v>
      </c>
      <c r="G3554" s="71">
        <v>48036</v>
      </c>
      <c r="H3554" s="73"/>
      <c r="I3554" s="75">
        <v>0.2</v>
      </c>
      <c r="J3554" s="77"/>
      <c r="K3554" s="66"/>
      <c r="L3554" s="66"/>
      <c r="M3554" s="79" t="str">
        <f>HYPERLINK("http://www.pristavka.com/catalog/good_smile_company/GDS983/")</f>
        <v>http://www.pristavka.com/catalog/good_smile_company/GDS983/</v>
      </c>
      <c r="N3554" s="71">
        <v>73899</v>
      </c>
      <c r="O3554" s="66" t="s">
        <v>28</v>
      </c>
      <c r="P3554" s="82" t="s">
        <v>13244</v>
      </c>
      <c r="Q3554" s="84" t="s">
        <v>13245</v>
      </c>
      <c r="R3554" s="84" t="s">
        <v>1068</v>
      </c>
      <c r="S3554" s="84">
        <v>0.56499999999999995</v>
      </c>
      <c r="T3554" s="82" t="s">
        <v>13246</v>
      </c>
      <c r="U3554" s="84"/>
      <c r="V3554" s="54"/>
    </row>
    <row r="3555" spans="1:22" s="11" customFormat="1" ht="45" customHeight="1" x14ac:dyDescent="0.2">
      <c r="A3555" s="66" t="s">
        <v>12616</v>
      </c>
      <c r="B3555" s="66" t="s">
        <v>1707</v>
      </c>
      <c r="C3555" s="66" t="s">
        <v>12616</v>
      </c>
      <c r="D3555" s="66">
        <v>4582705280698</v>
      </c>
      <c r="E3555" s="68" t="s">
        <v>13247</v>
      </c>
      <c r="F3555" s="66" t="s">
        <v>13248</v>
      </c>
      <c r="G3555" s="71">
        <v>15907</v>
      </c>
      <c r="H3555" s="73"/>
      <c r="I3555" s="75">
        <v>0.2</v>
      </c>
      <c r="J3555" s="77"/>
      <c r="K3555" s="66"/>
      <c r="L3555" s="66"/>
      <c r="M3555" s="79" t="str">
        <f>HYPERLINK("http://www.pristavka.com/catalog/good_smile_company/GDS1099/")</f>
        <v>http://www.pristavka.com/catalog/good_smile_company/GDS1099/</v>
      </c>
      <c r="N3555" s="71">
        <v>26599</v>
      </c>
      <c r="O3555" s="66" t="s">
        <v>27</v>
      </c>
      <c r="P3555" s="82" t="s">
        <v>13249</v>
      </c>
      <c r="Q3555" s="84" t="s">
        <v>1068</v>
      </c>
      <c r="R3555" s="84" t="s">
        <v>1068</v>
      </c>
      <c r="S3555" s="84">
        <v>0.64400000000000002</v>
      </c>
      <c r="T3555" s="82" t="s">
        <v>13250</v>
      </c>
      <c r="U3555" s="84"/>
      <c r="V3555" s="54"/>
    </row>
    <row r="3556" spans="1:22" s="11" customFormat="1" ht="45" customHeight="1" x14ac:dyDescent="0.2">
      <c r="A3556" s="66" t="s">
        <v>12616</v>
      </c>
      <c r="B3556" s="66" t="s">
        <v>1707</v>
      </c>
      <c r="C3556" s="66" t="s">
        <v>12616</v>
      </c>
      <c r="D3556" s="66">
        <v>4582638210441</v>
      </c>
      <c r="E3556" s="68" t="s">
        <v>13251</v>
      </c>
      <c r="F3556" s="66" t="s">
        <v>13252</v>
      </c>
      <c r="G3556" s="71">
        <v>29443</v>
      </c>
      <c r="H3556" s="73"/>
      <c r="I3556" s="75">
        <v>0.2</v>
      </c>
      <c r="J3556" s="77"/>
      <c r="K3556" s="66"/>
      <c r="L3556" s="66"/>
      <c r="M3556" s="79" t="str">
        <f>HYPERLINK("http://www.pristavka.com/catalog/good_smile_company/GDS957/")</f>
        <v>http://www.pristavka.com/catalog/good_smile_company/GDS957/</v>
      </c>
      <c r="N3556" s="71">
        <v>49099</v>
      </c>
      <c r="O3556" s="66" t="s">
        <v>27</v>
      </c>
      <c r="P3556" s="82" t="s">
        <v>13253</v>
      </c>
      <c r="Q3556" s="84" t="s">
        <v>1442</v>
      </c>
      <c r="R3556" s="84" t="s">
        <v>1068</v>
      </c>
      <c r="S3556" s="84">
        <v>0.2</v>
      </c>
      <c r="T3556" s="82" t="s">
        <v>12981</v>
      </c>
      <c r="U3556" s="84"/>
      <c r="V3556" s="54"/>
    </row>
    <row r="3557" spans="1:22" s="11" customFormat="1" ht="45" customHeight="1" x14ac:dyDescent="0.2">
      <c r="A3557" s="66" t="s">
        <v>12616</v>
      </c>
      <c r="B3557" s="66" t="s">
        <v>1707</v>
      </c>
      <c r="C3557" s="66" t="s">
        <v>12616</v>
      </c>
      <c r="D3557" s="66">
        <v>4580416949163</v>
      </c>
      <c r="E3557" s="68" t="s">
        <v>13254</v>
      </c>
      <c r="F3557" s="66" t="s">
        <v>13255</v>
      </c>
      <c r="G3557" s="71">
        <v>22154</v>
      </c>
      <c r="H3557" s="73"/>
      <c r="I3557" s="75">
        <v>0.2</v>
      </c>
      <c r="J3557" s="77"/>
      <c r="K3557" s="66"/>
      <c r="L3557" s="66"/>
      <c r="M3557" s="79" t="str">
        <f>HYPERLINK("http://www.pristavka.com/catalog/good_smile_company/GDS989/")</f>
        <v>http://www.pristavka.com/catalog/good_smile_company/GDS989/</v>
      </c>
      <c r="N3557" s="71">
        <v>36999</v>
      </c>
      <c r="O3557" s="66" t="s">
        <v>27</v>
      </c>
      <c r="P3557" s="82" t="s">
        <v>13256</v>
      </c>
      <c r="Q3557" s="84" t="s">
        <v>13212</v>
      </c>
      <c r="R3557" s="84" t="s">
        <v>1068</v>
      </c>
      <c r="S3557" s="84">
        <v>0.28799999999999998</v>
      </c>
      <c r="T3557" s="82" t="s">
        <v>13257</v>
      </c>
      <c r="U3557" s="84"/>
      <c r="V3557" s="54"/>
    </row>
    <row r="3558" spans="1:22" s="11" customFormat="1" ht="45" customHeight="1" x14ac:dyDescent="0.2">
      <c r="A3558" s="66" t="s">
        <v>12616</v>
      </c>
      <c r="B3558" s="66" t="s">
        <v>1707</v>
      </c>
      <c r="C3558" s="66" t="s">
        <v>12616</v>
      </c>
      <c r="D3558" s="66">
        <v>4580416927680</v>
      </c>
      <c r="E3558" s="68" t="s">
        <v>13258</v>
      </c>
      <c r="F3558" s="66" t="s">
        <v>13259</v>
      </c>
      <c r="G3558" s="71">
        <v>29152</v>
      </c>
      <c r="H3558" s="73"/>
      <c r="I3558" s="75">
        <v>0.2</v>
      </c>
      <c r="J3558" s="77"/>
      <c r="K3558" s="66"/>
      <c r="L3558" s="66"/>
      <c r="M3558" s="79" t="str">
        <f>HYPERLINK("http://www.pristavka.com/catalog/good_smile_company/GDS1015/")</f>
        <v>http://www.pristavka.com/catalog/good_smile_company/GDS1015/</v>
      </c>
      <c r="N3558" s="71">
        <v>44899</v>
      </c>
      <c r="O3558" s="66" t="s">
        <v>27</v>
      </c>
      <c r="P3558" s="82" t="s">
        <v>13260</v>
      </c>
      <c r="Q3558" s="84" t="s">
        <v>13261</v>
      </c>
      <c r="R3558" s="84" t="s">
        <v>1068</v>
      </c>
      <c r="S3558" s="84">
        <v>0.25</v>
      </c>
      <c r="T3558" s="82" t="s">
        <v>12989</v>
      </c>
      <c r="U3558" s="84"/>
      <c r="V3558" s="54"/>
    </row>
    <row r="3559" spans="1:22" s="11" customFormat="1" ht="45" customHeight="1" x14ac:dyDescent="0.2">
      <c r="A3559" s="66" t="s">
        <v>12616</v>
      </c>
      <c r="B3559" s="66" t="s">
        <v>1707</v>
      </c>
      <c r="C3559" s="66" t="s">
        <v>12616</v>
      </c>
      <c r="D3559" s="66">
        <v>4580416927840</v>
      </c>
      <c r="E3559" s="68" t="s">
        <v>13262</v>
      </c>
      <c r="F3559" s="66" t="s">
        <v>13263</v>
      </c>
      <c r="G3559" s="71">
        <v>32929</v>
      </c>
      <c r="H3559" s="73"/>
      <c r="I3559" s="75">
        <v>0.2</v>
      </c>
      <c r="J3559" s="77"/>
      <c r="K3559" s="66"/>
      <c r="L3559" s="66"/>
      <c r="M3559" s="79" t="str">
        <f>HYPERLINK("http://www.pristavka.com/catalog/good_smile_company/GDS1004/")</f>
        <v>http://www.pristavka.com/catalog/good_smile_company/GDS1004/</v>
      </c>
      <c r="N3559" s="71">
        <v>50699</v>
      </c>
      <c r="O3559" s="66" t="s">
        <v>28</v>
      </c>
      <c r="P3559" s="82" t="s">
        <v>13264</v>
      </c>
      <c r="Q3559" s="84" t="s">
        <v>13265</v>
      </c>
      <c r="R3559" s="84" t="s">
        <v>1068</v>
      </c>
      <c r="S3559" s="84">
        <v>0.22700000000000001</v>
      </c>
      <c r="T3559" s="82" t="s">
        <v>12989</v>
      </c>
      <c r="U3559" s="84"/>
      <c r="V3559" s="54"/>
    </row>
    <row r="3560" spans="1:22" s="11" customFormat="1" ht="45" customHeight="1" x14ac:dyDescent="0.2">
      <c r="A3560" s="66" t="s">
        <v>12616</v>
      </c>
      <c r="B3560" s="66" t="s">
        <v>1707</v>
      </c>
      <c r="C3560" s="66" t="s">
        <v>12616</v>
      </c>
      <c r="D3560" s="66">
        <v>4580416927796</v>
      </c>
      <c r="E3560" s="68" t="s">
        <v>13266</v>
      </c>
      <c r="F3560" s="66" t="s">
        <v>13267</v>
      </c>
      <c r="G3560" s="71">
        <v>29839</v>
      </c>
      <c r="H3560" s="73"/>
      <c r="I3560" s="75">
        <v>0.2</v>
      </c>
      <c r="J3560" s="77"/>
      <c r="K3560" s="66"/>
      <c r="L3560" s="66"/>
      <c r="M3560" s="79" t="str">
        <f>HYPERLINK("http://www.pristavka.com/catalog/good_smile_company/GDS1013/")</f>
        <v>http://www.pristavka.com/catalog/good_smile_company/GDS1013/</v>
      </c>
      <c r="N3560" s="71">
        <v>45999</v>
      </c>
      <c r="O3560" s="66" t="s">
        <v>27</v>
      </c>
      <c r="P3560" s="82" t="s">
        <v>13268</v>
      </c>
      <c r="Q3560" s="84" t="s">
        <v>13269</v>
      </c>
      <c r="R3560" s="84" t="s">
        <v>1068</v>
      </c>
      <c r="S3560" s="84">
        <v>0.26700000000000002</v>
      </c>
      <c r="T3560" s="82" t="s">
        <v>12989</v>
      </c>
      <c r="U3560" s="84"/>
      <c r="V3560" s="54"/>
    </row>
    <row r="3561" spans="1:22" s="11" customFormat="1" ht="45" customHeight="1" x14ac:dyDescent="0.2">
      <c r="A3561" s="66" t="s">
        <v>12616</v>
      </c>
      <c r="B3561" s="66" t="s">
        <v>1707</v>
      </c>
      <c r="C3561" s="66" t="s">
        <v>12616</v>
      </c>
      <c r="D3561" s="66">
        <v>4580522750134</v>
      </c>
      <c r="E3561" s="68" t="s">
        <v>13270</v>
      </c>
      <c r="F3561" s="66" t="s">
        <v>13271</v>
      </c>
      <c r="G3561" s="71">
        <v>60397</v>
      </c>
      <c r="H3561" s="73"/>
      <c r="I3561" s="75">
        <v>0.2</v>
      </c>
      <c r="J3561" s="77"/>
      <c r="K3561" s="66"/>
      <c r="L3561" s="66"/>
      <c r="M3561" s="79" t="str">
        <f>HYPERLINK("http://www.pristavka.com/catalog/good_smile_company/GDS956/")</f>
        <v>http://www.pristavka.com/catalog/good_smile_company/GDS956/</v>
      </c>
      <c r="N3561" s="71">
        <v>92999</v>
      </c>
      <c r="O3561" s="66" t="s">
        <v>27</v>
      </c>
      <c r="P3561" s="82" t="s">
        <v>13272</v>
      </c>
      <c r="Q3561" s="84" t="s">
        <v>1963</v>
      </c>
      <c r="R3561" s="84" t="s">
        <v>1068</v>
      </c>
      <c r="S3561" s="84">
        <v>0.64800000000000002</v>
      </c>
      <c r="T3561" s="82" t="s">
        <v>13273</v>
      </c>
      <c r="U3561" s="84"/>
      <c r="V3561" s="54"/>
    </row>
    <row r="3562" spans="1:22" s="11" customFormat="1" ht="45" customHeight="1" x14ac:dyDescent="0.2">
      <c r="A3562" s="66" t="s">
        <v>12616</v>
      </c>
      <c r="B3562" s="66" t="s">
        <v>1707</v>
      </c>
      <c r="C3562" s="66" t="s">
        <v>12616</v>
      </c>
      <c r="D3562" s="66">
        <v>4580416927802</v>
      </c>
      <c r="E3562" s="68" t="s">
        <v>13274</v>
      </c>
      <c r="F3562" s="66" t="s">
        <v>13275</v>
      </c>
      <c r="G3562" s="71">
        <v>30869</v>
      </c>
      <c r="H3562" s="73"/>
      <c r="I3562" s="75">
        <v>0.2</v>
      </c>
      <c r="J3562" s="77"/>
      <c r="K3562" s="66"/>
      <c r="L3562" s="66"/>
      <c r="M3562" s="79" t="str">
        <f>HYPERLINK("http://www.pristavka.com/catalog/good_smile_company/GDS1011/")</f>
        <v>http://www.pristavka.com/catalog/good_smile_company/GDS1011/</v>
      </c>
      <c r="N3562" s="71">
        <v>47499</v>
      </c>
      <c r="O3562" s="66" t="s">
        <v>27</v>
      </c>
      <c r="P3562" s="82" t="s">
        <v>13276</v>
      </c>
      <c r="Q3562" s="84" t="s">
        <v>13277</v>
      </c>
      <c r="R3562" s="84" t="s">
        <v>1068</v>
      </c>
      <c r="S3562" s="84">
        <v>0.20300000000000001</v>
      </c>
      <c r="T3562" s="82" t="s">
        <v>12989</v>
      </c>
      <c r="U3562" s="84"/>
      <c r="V3562" s="54"/>
    </row>
    <row r="3563" spans="1:22" s="11" customFormat="1" ht="45" customHeight="1" x14ac:dyDescent="0.2">
      <c r="A3563" s="66" t="s">
        <v>12616</v>
      </c>
      <c r="B3563" s="66" t="s">
        <v>1707</v>
      </c>
      <c r="C3563" s="66" t="s">
        <v>12616</v>
      </c>
      <c r="D3563" s="66">
        <v>4580416928588</v>
      </c>
      <c r="E3563" s="68" t="s">
        <v>13278</v>
      </c>
      <c r="F3563" s="66" t="s">
        <v>13279</v>
      </c>
      <c r="G3563" s="71">
        <v>6941</v>
      </c>
      <c r="H3563" s="73"/>
      <c r="I3563" s="75">
        <v>0.2</v>
      </c>
      <c r="J3563" s="77"/>
      <c r="K3563" s="66"/>
      <c r="L3563" s="66"/>
      <c r="M3563" s="79" t="str">
        <f>HYPERLINK("http://www.pristavka.com/catalog/good_smile_company/GDS1008/")</f>
        <v>http://www.pristavka.com/catalog/good_smile_company/GDS1008/</v>
      </c>
      <c r="N3563" s="71">
        <v>11599</v>
      </c>
      <c r="O3563" s="66" t="s">
        <v>27</v>
      </c>
      <c r="P3563" s="82" t="s">
        <v>13280</v>
      </c>
      <c r="Q3563" s="84" t="s">
        <v>12996</v>
      </c>
      <c r="R3563" s="84" t="s">
        <v>1068</v>
      </c>
      <c r="S3563" s="84">
        <v>0.124</v>
      </c>
      <c r="T3563" s="82" t="s">
        <v>12957</v>
      </c>
      <c r="U3563" s="84"/>
      <c r="V3563" s="54"/>
    </row>
    <row r="3564" spans="1:22" s="11" customFormat="1" ht="45" customHeight="1" x14ac:dyDescent="0.2">
      <c r="A3564" s="66" t="s">
        <v>12616</v>
      </c>
      <c r="B3564" s="66" t="s">
        <v>1707</v>
      </c>
      <c r="C3564" s="66" t="s">
        <v>12616</v>
      </c>
      <c r="D3564" s="66">
        <v>4582777540515</v>
      </c>
      <c r="E3564" s="68" t="s">
        <v>13281</v>
      </c>
      <c r="F3564" s="66" t="s">
        <v>13282</v>
      </c>
      <c r="G3564" s="71">
        <v>44603</v>
      </c>
      <c r="H3564" s="73"/>
      <c r="I3564" s="75">
        <v>0.2</v>
      </c>
      <c r="J3564" s="77"/>
      <c r="K3564" s="66"/>
      <c r="L3564" s="66"/>
      <c r="M3564" s="79" t="str">
        <f>HYPERLINK("http://www.pristavka.com/catalog/good_smile_company/GDS1006/")</f>
        <v>http://www.pristavka.com/catalog/good_smile_company/GDS1006/</v>
      </c>
      <c r="N3564" s="71">
        <v>68699</v>
      </c>
      <c r="O3564" s="66" t="s">
        <v>27</v>
      </c>
      <c r="P3564" s="82" t="s">
        <v>13283</v>
      </c>
      <c r="Q3564" s="84" t="s">
        <v>13284</v>
      </c>
      <c r="R3564" s="84" t="s">
        <v>1068</v>
      </c>
      <c r="S3564" s="84">
        <v>0.32</v>
      </c>
      <c r="T3564" s="82" t="s">
        <v>13285</v>
      </c>
      <c r="U3564" s="84"/>
      <c r="V3564" s="54"/>
    </row>
    <row r="3565" spans="1:22" s="11" customFormat="1" ht="45" customHeight="1" x14ac:dyDescent="0.2">
      <c r="A3565" s="66" t="s">
        <v>12616</v>
      </c>
      <c r="B3565" s="66" t="s">
        <v>1707</v>
      </c>
      <c r="C3565" s="66" t="s">
        <v>12616</v>
      </c>
      <c r="D3565" s="66">
        <v>4580416927833</v>
      </c>
      <c r="E3565" s="68" t="s">
        <v>13286</v>
      </c>
      <c r="F3565" s="66" t="s">
        <v>13287</v>
      </c>
      <c r="G3565" s="71">
        <v>32929</v>
      </c>
      <c r="H3565" s="73"/>
      <c r="I3565" s="75">
        <v>0.2</v>
      </c>
      <c r="J3565" s="77"/>
      <c r="K3565" s="66"/>
      <c r="L3565" s="66"/>
      <c r="M3565" s="79" t="str">
        <f>HYPERLINK("http://www.pristavka.com/catalog/good_smile_company/GDS1003/")</f>
        <v>http://www.pristavka.com/catalog/good_smile_company/GDS1003/</v>
      </c>
      <c r="N3565" s="71">
        <v>50699</v>
      </c>
      <c r="O3565" s="66" t="s">
        <v>27</v>
      </c>
      <c r="P3565" s="82" t="s">
        <v>13288</v>
      </c>
      <c r="Q3565" s="84" t="s">
        <v>13265</v>
      </c>
      <c r="R3565" s="84" t="s">
        <v>1068</v>
      </c>
      <c r="S3565" s="84">
        <v>0.22700000000000001</v>
      </c>
      <c r="T3565" s="82" t="s">
        <v>12989</v>
      </c>
      <c r="U3565" s="84"/>
      <c r="V3565" s="54"/>
    </row>
    <row r="3566" spans="1:22" s="11" customFormat="1" ht="45" customHeight="1" x14ac:dyDescent="0.2">
      <c r="A3566" s="66" t="s">
        <v>12616</v>
      </c>
      <c r="B3566" s="66" t="s">
        <v>1707</v>
      </c>
      <c r="C3566" s="66" t="s">
        <v>12616</v>
      </c>
      <c r="D3566" s="66">
        <v>4560308575892</v>
      </c>
      <c r="E3566" s="68" t="s">
        <v>13289</v>
      </c>
      <c r="F3566" s="66" t="s">
        <v>13290</v>
      </c>
      <c r="G3566" s="71">
        <v>22787</v>
      </c>
      <c r="H3566" s="73"/>
      <c r="I3566" s="75">
        <v>0.2</v>
      </c>
      <c r="J3566" s="77"/>
      <c r="K3566" s="66"/>
      <c r="L3566" s="66"/>
      <c r="M3566" s="79" t="str">
        <f>HYPERLINK("http://www.pristavka.com/catalog/good_smile_company/GDS946/")</f>
        <v>http://www.pristavka.com/catalog/good_smile_company/GDS946/</v>
      </c>
      <c r="N3566" s="71">
        <v>37999</v>
      </c>
      <c r="O3566" s="66" t="s">
        <v>28</v>
      </c>
      <c r="P3566" s="82" t="s">
        <v>13291</v>
      </c>
      <c r="Q3566" s="84" t="s">
        <v>13292</v>
      </c>
      <c r="R3566" s="84" t="s">
        <v>1068</v>
      </c>
      <c r="S3566" s="84">
        <v>0.38800000000000001</v>
      </c>
      <c r="T3566" s="82" t="s">
        <v>12728</v>
      </c>
      <c r="U3566" s="84"/>
      <c r="V3566" s="54"/>
    </row>
    <row r="3567" spans="1:22" s="11" customFormat="1" ht="45" customHeight="1" x14ac:dyDescent="0.2">
      <c r="A3567" s="66" t="s">
        <v>12616</v>
      </c>
      <c r="B3567" s="66" t="s">
        <v>1707</v>
      </c>
      <c r="C3567" s="66" t="s">
        <v>12616</v>
      </c>
      <c r="D3567" s="66">
        <v>4580590199552</v>
      </c>
      <c r="E3567" s="68" t="s">
        <v>13293</v>
      </c>
      <c r="F3567" s="66" t="s">
        <v>13294</v>
      </c>
      <c r="G3567" s="71">
        <v>32243</v>
      </c>
      <c r="H3567" s="73"/>
      <c r="I3567" s="75">
        <v>0.2</v>
      </c>
      <c r="J3567" s="77"/>
      <c r="K3567" s="66"/>
      <c r="L3567" s="66"/>
      <c r="M3567" s="79" t="str">
        <f>HYPERLINK("http://www.pristavka.com/catalog/good_smile_company/GDS1005/")</f>
        <v>http://www.pristavka.com/catalog/good_smile_company/GDS1005/</v>
      </c>
      <c r="N3567" s="71">
        <v>49599</v>
      </c>
      <c r="O3567" s="66" t="s">
        <v>27</v>
      </c>
      <c r="P3567" s="82" t="s">
        <v>13295</v>
      </c>
      <c r="Q3567" s="84" t="s">
        <v>1068</v>
      </c>
      <c r="R3567" s="84" t="s">
        <v>1068</v>
      </c>
      <c r="S3567" s="84">
        <v>0.29599999999999999</v>
      </c>
      <c r="T3567" s="82" t="s">
        <v>12989</v>
      </c>
      <c r="U3567" s="84"/>
      <c r="V3567" s="54"/>
    </row>
    <row r="3568" spans="1:22" s="11" customFormat="1" ht="45" customHeight="1" x14ac:dyDescent="0.2">
      <c r="A3568" s="66" t="s">
        <v>12616</v>
      </c>
      <c r="B3568" s="66" t="s">
        <v>1707</v>
      </c>
      <c r="C3568" s="66" t="s">
        <v>12616</v>
      </c>
      <c r="D3568" s="66">
        <v>4580590129634</v>
      </c>
      <c r="E3568" s="68" t="s">
        <v>13296</v>
      </c>
      <c r="F3568" s="66" t="s">
        <v>13297</v>
      </c>
      <c r="G3568" s="71">
        <v>56699</v>
      </c>
      <c r="H3568" s="73"/>
      <c r="I3568" s="75">
        <v>0.2</v>
      </c>
      <c r="J3568" s="77"/>
      <c r="K3568" s="66"/>
      <c r="L3568" s="66"/>
      <c r="M3568" s="79" t="str">
        <f>HYPERLINK("http://www.pristavka.com/catalog/good_smile_company/GDS948/")</f>
        <v>http://www.pristavka.com/catalog/good_smile_company/GDS948/</v>
      </c>
      <c r="N3568" s="71">
        <v>94499</v>
      </c>
      <c r="O3568" s="66" t="s">
        <v>27</v>
      </c>
      <c r="P3568" s="82" t="s">
        <v>13298</v>
      </c>
      <c r="Q3568" s="84" t="s">
        <v>13299</v>
      </c>
      <c r="R3568" s="84" t="s">
        <v>1068</v>
      </c>
      <c r="S3568" s="84">
        <v>0.29099999999999998</v>
      </c>
      <c r="T3568" s="82" t="s">
        <v>12685</v>
      </c>
      <c r="U3568" s="84"/>
      <c r="V3568" s="54"/>
    </row>
    <row r="3569" spans="1:22" s="11" customFormat="1" ht="45" customHeight="1" x14ac:dyDescent="0.2">
      <c r="A3569" s="66" t="s">
        <v>3785</v>
      </c>
      <c r="B3569" s="66" t="s">
        <v>1707</v>
      </c>
      <c r="C3569" s="66" t="s">
        <v>3785</v>
      </c>
      <c r="D3569" s="66" t="s">
        <v>13300</v>
      </c>
      <c r="E3569" s="68" t="s">
        <v>13301</v>
      </c>
      <c r="F3569" s="66" t="s">
        <v>13302</v>
      </c>
      <c r="G3569" s="71">
        <v>47499</v>
      </c>
      <c r="H3569" s="73"/>
      <c r="I3569" s="75">
        <v>0.1</v>
      </c>
      <c r="J3569" s="77"/>
      <c r="K3569" s="66"/>
      <c r="L3569" s="66"/>
      <c r="M3569" s="79" t="str">
        <f>HYPERLINK("http://www.pristavka.com/catalog/hasbro/HSB312/")</f>
        <v>http://www.pristavka.com/catalog/hasbro/HSB312/</v>
      </c>
      <c r="N3569" s="71">
        <v>71999</v>
      </c>
      <c r="O3569" s="66" t="s">
        <v>28</v>
      </c>
      <c r="P3569" s="82" t="s">
        <v>13303</v>
      </c>
      <c r="Q3569" s="84" t="s">
        <v>3784</v>
      </c>
      <c r="R3569" s="84" t="s">
        <v>3785</v>
      </c>
      <c r="S3569" s="84">
        <v>0.40400000000000003</v>
      </c>
      <c r="T3569" s="82" t="s">
        <v>13304</v>
      </c>
      <c r="U3569" s="84" t="s">
        <v>3584</v>
      </c>
      <c r="V3569" s="54"/>
    </row>
    <row r="3570" spans="1:22" s="11" customFormat="1" ht="45" customHeight="1" x14ac:dyDescent="0.2">
      <c r="A3570" s="66" t="s">
        <v>3785</v>
      </c>
      <c r="B3570" s="66" t="s">
        <v>1707</v>
      </c>
      <c r="C3570" s="66" t="s">
        <v>3785</v>
      </c>
      <c r="D3570" s="66" t="s">
        <v>13305</v>
      </c>
      <c r="E3570" s="68" t="s">
        <v>13306</v>
      </c>
      <c r="F3570" s="66" t="s">
        <v>13307</v>
      </c>
      <c r="G3570" s="71">
        <v>31339</v>
      </c>
      <c r="H3570" s="73"/>
      <c r="I3570" s="75">
        <v>0.2</v>
      </c>
      <c r="J3570" s="77"/>
      <c r="K3570" s="66"/>
      <c r="L3570" s="66"/>
      <c r="M3570" s="79" t="str">
        <f>HYPERLINK("http://www.pristavka.com/catalog/hasbro/HSB295/")</f>
        <v>http://www.pristavka.com/catalog/hasbro/HSB295/</v>
      </c>
      <c r="N3570" s="71">
        <v>47499</v>
      </c>
      <c r="O3570" s="66" t="s">
        <v>28</v>
      </c>
      <c r="P3570" s="82" t="s">
        <v>13308</v>
      </c>
      <c r="Q3570" s="84" t="s">
        <v>3784</v>
      </c>
      <c r="R3570" s="84" t="s">
        <v>3785</v>
      </c>
      <c r="S3570" s="84">
        <v>0.32400000000000001</v>
      </c>
      <c r="T3570" s="82" t="s">
        <v>13309</v>
      </c>
      <c r="U3570" s="84" t="s">
        <v>3584</v>
      </c>
      <c r="V3570" s="54"/>
    </row>
    <row r="3571" spans="1:22" s="11" customFormat="1" ht="45" customHeight="1" x14ac:dyDescent="0.2">
      <c r="A3571" s="66" t="s">
        <v>3785</v>
      </c>
      <c r="B3571" s="66" t="s">
        <v>1155</v>
      </c>
      <c r="C3571" s="66" t="s">
        <v>3785</v>
      </c>
      <c r="D3571" s="66" t="s">
        <v>13310</v>
      </c>
      <c r="E3571" s="68" t="s">
        <v>13311</v>
      </c>
      <c r="F3571" s="66" t="s">
        <v>13312</v>
      </c>
      <c r="G3571" s="71">
        <v>254533</v>
      </c>
      <c r="H3571" s="73"/>
      <c r="I3571" s="75">
        <v>0.2</v>
      </c>
      <c r="J3571" s="66"/>
      <c r="K3571" s="66"/>
      <c r="L3571" s="66"/>
      <c r="M3571" s="79" t="str">
        <f>HYPERLINK("http://www.pristavka.com/catalog/hasbro/HSB271/")</f>
        <v>http://www.pristavka.com/catalog/hasbro/HSB271/</v>
      </c>
      <c r="N3571" s="71">
        <v>314299</v>
      </c>
      <c r="O3571" s="66" t="s">
        <v>27</v>
      </c>
      <c r="P3571" s="82" t="s">
        <v>13313</v>
      </c>
      <c r="Q3571" s="84" t="s">
        <v>1321</v>
      </c>
      <c r="R3571" s="84" t="s">
        <v>1322</v>
      </c>
      <c r="S3571" s="84">
        <v>2.0150000000000001</v>
      </c>
      <c r="T3571" s="82" t="s">
        <v>13314</v>
      </c>
      <c r="U3571" s="84" t="s">
        <v>3708</v>
      </c>
      <c r="V3571" s="54"/>
    </row>
    <row r="3572" spans="1:22" s="11" customFormat="1" ht="45" customHeight="1" x14ac:dyDescent="0.2">
      <c r="A3572" s="66" t="s">
        <v>3785</v>
      </c>
      <c r="B3572" s="66" t="s">
        <v>26</v>
      </c>
      <c r="C3572" s="66" t="s">
        <v>3785</v>
      </c>
      <c r="D3572" s="66" t="s">
        <v>13315</v>
      </c>
      <c r="E3572" s="68" t="s">
        <v>13316</v>
      </c>
      <c r="F3572" s="66" t="s">
        <v>13317</v>
      </c>
      <c r="G3572" s="71">
        <v>120392</v>
      </c>
      <c r="H3572" s="73"/>
      <c r="I3572" s="75">
        <v>0.2</v>
      </c>
      <c r="J3572" s="66"/>
      <c r="K3572" s="66"/>
      <c r="L3572" s="66"/>
      <c r="M3572" s="79" t="str">
        <f>HYPERLINK("http://www.pristavka.com/catalog/hasbro/HSB191/")</f>
        <v>http://www.pristavka.com/catalog/hasbro/HSB191/</v>
      </c>
      <c r="N3572" s="71">
        <v>158499</v>
      </c>
      <c r="O3572" s="66" t="s">
        <v>27</v>
      </c>
      <c r="P3572" s="82" t="s">
        <v>13318</v>
      </c>
      <c r="Q3572" s="84" t="s">
        <v>1321</v>
      </c>
      <c r="R3572" s="84" t="s">
        <v>1322</v>
      </c>
      <c r="S3572" s="84">
        <v>1.4259999999999999</v>
      </c>
      <c r="T3572" s="82" t="s">
        <v>13319</v>
      </c>
      <c r="U3572" s="84" t="s">
        <v>3691</v>
      </c>
      <c r="V3572" s="54"/>
    </row>
    <row r="3573" spans="1:22" s="11" customFormat="1" ht="45" customHeight="1" x14ac:dyDescent="0.2">
      <c r="A3573" s="66" t="s">
        <v>3785</v>
      </c>
      <c r="B3573" s="66" t="s">
        <v>1155</v>
      </c>
      <c r="C3573" s="66" t="s">
        <v>3785</v>
      </c>
      <c r="D3573" s="66" t="s">
        <v>13320</v>
      </c>
      <c r="E3573" s="68" t="s">
        <v>13321</v>
      </c>
      <c r="F3573" s="66" t="s">
        <v>13322</v>
      </c>
      <c r="G3573" s="71">
        <v>88276</v>
      </c>
      <c r="H3573" s="73"/>
      <c r="I3573" s="75">
        <v>0.2</v>
      </c>
      <c r="J3573" s="66"/>
      <c r="K3573" s="66"/>
      <c r="L3573" s="66"/>
      <c r="M3573" s="79" t="str">
        <f>HYPERLINK("http://www.pristavka.com/catalog/hasbro/HSB209/")</f>
        <v>http://www.pristavka.com/catalog/hasbro/HSB209/</v>
      </c>
      <c r="N3573" s="71">
        <v>116199</v>
      </c>
      <c r="O3573" s="66" t="s">
        <v>27</v>
      </c>
      <c r="P3573" s="82" t="s">
        <v>13323</v>
      </c>
      <c r="Q3573" s="84" t="s">
        <v>1321</v>
      </c>
      <c r="R3573" s="84" t="s">
        <v>1322</v>
      </c>
      <c r="S3573" s="84">
        <v>1.548</v>
      </c>
      <c r="T3573" s="82" t="s">
        <v>13324</v>
      </c>
      <c r="U3573" s="84"/>
      <c r="V3573" s="54"/>
    </row>
    <row r="3574" spans="1:22" s="11" customFormat="1" ht="45" customHeight="1" x14ac:dyDescent="0.2">
      <c r="A3574" s="66" t="s">
        <v>3785</v>
      </c>
      <c r="B3574" s="66" t="s">
        <v>1155</v>
      </c>
      <c r="C3574" s="66" t="s">
        <v>3785</v>
      </c>
      <c r="D3574" s="66" t="s">
        <v>13325</v>
      </c>
      <c r="E3574" s="68" t="s">
        <v>13326</v>
      </c>
      <c r="F3574" s="66" t="s">
        <v>13327</v>
      </c>
      <c r="G3574" s="71">
        <v>88276</v>
      </c>
      <c r="H3574" s="73"/>
      <c r="I3574" s="75">
        <v>0.2</v>
      </c>
      <c r="J3574" s="66"/>
      <c r="K3574" s="66"/>
      <c r="L3574" s="66"/>
      <c r="M3574" s="79" t="str">
        <f>HYPERLINK("http://www.pristavka.com/catalog/hasbro/HSB182/")</f>
        <v>http://www.pristavka.com/catalog/hasbro/HSB182/</v>
      </c>
      <c r="N3574" s="71">
        <v>116199</v>
      </c>
      <c r="O3574" s="66" t="s">
        <v>27</v>
      </c>
      <c r="P3574" s="82" t="s">
        <v>13328</v>
      </c>
      <c r="Q3574" s="84" t="s">
        <v>1321</v>
      </c>
      <c r="R3574" s="84" t="s">
        <v>1322</v>
      </c>
      <c r="S3574" s="84">
        <v>1.796</v>
      </c>
      <c r="T3574" s="82" t="s">
        <v>13324</v>
      </c>
      <c r="U3574" s="84"/>
      <c r="V3574" s="54"/>
    </row>
    <row r="3575" spans="1:22" s="11" customFormat="1" ht="45" customHeight="1" x14ac:dyDescent="0.2">
      <c r="A3575" s="66" t="s">
        <v>3785</v>
      </c>
      <c r="B3575" s="66" t="s">
        <v>1707</v>
      </c>
      <c r="C3575" s="66" t="s">
        <v>3785</v>
      </c>
      <c r="D3575" s="66" t="s">
        <v>13329</v>
      </c>
      <c r="E3575" s="68" t="s">
        <v>13330</v>
      </c>
      <c r="F3575" s="66" t="s">
        <v>13331</v>
      </c>
      <c r="G3575" s="71">
        <v>80247</v>
      </c>
      <c r="H3575" s="73"/>
      <c r="I3575" s="75">
        <v>0.2</v>
      </c>
      <c r="J3575" s="66"/>
      <c r="K3575" s="66"/>
      <c r="L3575" s="66"/>
      <c r="M3575" s="79" t="str">
        <f>HYPERLINK("http://www.pristavka.com/catalog/hasbro/HSB168/")</f>
        <v>http://www.pristavka.com/catalog/hasbro/HSB168/</v>
      </c>
      <c r="N3575" s="71">
        <v>105599</v>
      </c>
      <c r="O3575" s="66" t="s">
        <v>27</v>
      </c>
      <c r="P3575" s="82" t="s">
        <v>13332</v>
      </c>
      <c r="Q3575" s="84" t="s">
        <v>5172</v>
      </c>
      <c r="R3575" s="84" t="s">
        <v>3512</v>
      </c>
      <c r="S3575" s="84">
        <v>3.617</v>
      </c>
      <c r="T3575" s="82" t="s">
        <v>13333</v>
      </c>
      <c r="U3575" s="84"/>
      <c r="V3575" s="54"/>
    </row>
    <row r="3576" spans="1:22" s="11" customFormat="1" ht="45" customHeight="1" x14ac:dyDescent="0.2">
      <c r="A3576" s="66" t="s">
        <v>3785</v>
      </c>
      <c r="B3576" s="66" t="s">
        <v>1707</v>
      </c>
      <c r="C3576" s="66" t="s">
        <v>3785</v>
      </c>
      <c r="D3576" s="66">
        <v>5010993690565</v>
      </c>
      <c r="E3576" s="68" t="s">
        <v>13334</v>
      </c>
      <c r="F3576" s="66" t="s">
        <v>13335</v>
      </c>
      <c r="G3576" s="71">
        <v>18215</v>
      </c>
      <c r="H3576" s="73"/>
      <c r="I3576" s="75">
        <v>0.1</v>
      </c>
      <c r="J3576" s="77"/>
      <c r="K3576" s="66"/>
      <c r="L3576" s="66"/>
      <c r="M3576" s="79" t="str">
        <f>HYPERLINK("http://www.pristavka.com/catalog/hasbro/HSB203/")</f>
        <v>http://www.pristavka.com/catalog/hasbro/HSB203/</v>
      </c>
      <c r="N3576" s="71">
        <v>27699</v>
      </c>
      <c r="O3576" s="66" t="s">
        <v>28</v>
      </c>
      <c r="P3576" s="82" t="s">
        <v>13336</v>
      </c>
      <c r="Q3576" s="84" t="s">
        <v>3541</v>
      </c>
      <c r="R3576" s="84" t="s">
        <v>58</v>
      </c>
      <c r="S3576" s="84">
        <v>0.21199999999999999</v>
      </c>
      <c r="T3576" s="82" t="s">
        <v>13337</v>
      </c>
      <c r="U3576" s="84"/>
      <c r="V3576" s="54"/>
    </row>
    <row r="3577" spans="1:22" s="11" customFormat="1" ht="45" customHeight="1" x14ac:dyDescent="0.2">
      <c r="A3577" s="66" t="s">
        <v>3785</v>
      </c>
      <c r="B3577" s="66" t="s">
        <v>1155</v>
      </c>
      <c r="C3577" s="66" t="s">
        <v>3785</v>
      </c>
      <c r="D3577" s="66">
        <v>5010996197078</v>
      </c>
      <c r="E3577" s="68" t="s">
        <v>13338</v>
      </c>
      <c r="F3577" s="66" t="s">
        <v>13339</v>
      </c>
      <c r="G3577" s="71">
        <v>19736</v>
      </c>
      <c r="H3577" s="73"/>
      <c r="I3577" s="75">
        <v>0.1</v>
      </c>
      <c r="J3577" s="77"/>
      <c r="K3577" s="66"/>
      <c r="L3577" s="66"/>
      <c r="M3577" s="79" t="str">
        <f>HYPERLINK("http://www.pristavka.com/catalog/hasbro/HSB229/")</f>
        <v>http://www.pristavka.com/catalog/hasbro/HSB229/</v>
      </c>
      <c r="N3577" s="71">
        <v>29999</v>
      </c>
      <c r="O3577" s="66" t="s">
        <v>28</v>
      </c>
      <c r="P3577" s="82" t="s">
        <v>13340</v>
      </c>
      <c r="Q3577" s="84" t="s">
        <v>3512</v>
      </c>
      <c r="R3577" s="84" t="s">
        <v>3512</v>
      </c>
      <c r="S3577" s="84">
        <v>0.156</v>
      </c>
      <c r="T3577" s="82" t="s">
        <v>13341</v>
      </c>
      <c r="U3577" s="84"/>
      <c r="V3577" s="54"/>
    </row>
    <row r="3578" spans="1:22" s="11" customFormat="1" ht="45" customHeight="1" x14ac:dyDescent="0.2">
      <c r="A3578" s="66" t="s">
        <v>3785</v>
      </c>
      <c r="B3578" s="66" t="s">
        <v>1155</v>
      </c>
      <c r="C3578" s="66" t="s">
        <v>3785</v>
      </c>
      <c r="D3578" s="66">
        <v>5010996197030</v>
      </c>
      <c r="E3578" s="68" t="s">
        <v>13342</v>
      </c>
      <c r="F3578" s="66" t="s">
        <v>13343</v>
      </c>
      <c r="G3578" s="71">
        <v>18976</v>
      </c>
      <c r="H3578" s="73"/>
      <c r="I3578" s="75">
        <v>0.1</v>
      </c>
      <c r="J3578" s="77"/>
      <c r="K3578" s="66"/>
      <c r="L3578" s="66"/>
      <c r="M3578" s="79" t="str">
        <f>HYPERLINK("http://www.pristavka.com/catalog/hasbro/HSB226/")</f>
        <v>http://www.pristavka.com/catalog/hasbro/HSB226/</v>
      </c>
      <c r="N3578" s="71">
        <v>28799</v>
      </c>
      <c r="O3578" s="66" t="s">
        <v>27</v>
      </c>
      <c r="P3578" s="82" t="s">
        <v>13344</v>
      </c>
      <c r="Q3578" s="84" t="s">
        <v>3527</v>
      </c>
      <c r="R3578" s="84" t="s">
        <v>3512</v>
      </c>
      <c r="S3578" s="84">
        <v>0.17899999999999999</v>
      </c>
      <c r="T3578" s="82" t="s">
        <v>13341</v>
      </c>
      <c r="U3578" s="84"/>
      <c r="V3578" s="54"/>
    </row>
    <row r="3579" spans="1:22" s="11" customFormat="1" ht="45" customHeight="1" x14ac:dyDescent="0.2">
      <c r="A3579" s="66" t="s">
        <v>3785</v>
      </c>
      <c r="B3579" s="66" t="s">
        <v>1155</v>
      </c>
      <c r="C3579" s="66" t="s">
        <v>3785</v>
      </c>
      <c r="D3579" s="66">
        <v>5010996197023</v>
      </c>
      <c r="E3579" s="68" t="s">
        <v>13345</v>
      </c>
      <c r="F3579" s="66" t="s">
        <v>13346</v>
      </c>
      <c r="G3579" s="71">
        <v>18976</v>
      </c>
      <c r="H3579" s="73"/>
      <c r="I3579" s="75">
        <v>0.1</v>
      </c>
      <c r="J3579" s="77"/>
      <c r="K3579" s="66"/>
      <c r="L3579" s="66"/>
      <c r="M3579" s="79" t="str">
        <f>HYPERLINK("http://www.pristavka.com/catalog/hasbro/HSB228/")</f>
        <v>http://www.pristavka.com/catalog/hasbro/HSB228/</v>
      </c>
      <c r="N3579" s="71">
        <v>28799</v>
      </c>
      <c r="O3579" s="66" t="s">
        <v>27</v>
      </c>
      <c r="P3579" s="82" t="s">
        <v>13347</v>
      </c>
      <c r="Q3579" s="84" t="s">
        <v>3527</v>
      </c>
      <c r="R3579" s="84" t="s">
        <v>3512</v>
      </c>
      <c r="S3579" s="84">
        <v>0.16900000000000001</v>
      </c>
      <c r="T3579" s="82" t="s">
        <v>13341</v>
      </c>
      <c r="U3579" s="84"/>
      <c r="V3579" s="54"/>
    </row>
    <row r="3580" spans="1:22" s="11" customFormat="1" ht="45" customHeight="1" x14ac:dyDescent="0.2">
      <c r="A3580" s="66" t="s">
        <v>3785</v>
      </c>
      <c r="B3580" s="66" t="s">
        <v>1155</v>
      </c>
      <c r="C3580" s="66" t="s">
        <v>3785</v>
      </c>
      <c r="D3580" s="66">
        <v>5010996202109</v>
      </c>
      <c r="E3580" s="68" t="s">
        <v>13348</v>
      </c>
      <c r="F3580" s="66" t="s">
        <v>13349</v>
      </c>
      <c r="G3580" s="71">
        <v>37992</v>
      </c>
      <c r="H3580" s="73"/>
      <c r="I3580" s="75">
        <v>0.1</v>
      </c>
      <c r="J3580" s="77"/>
      <c r="K3580" s="66"/>
      <c r="L3580" s="66"/>
      <c r="M3580" s="79" t="str">
        <f>HYPERLINK("http://www.pristavka.com/catalog/hasbro/HSB230/")</f>
        <v>http://www.pristavka.com/catalog/hasbro/HSB230/</v>
      </c>
      <c r="N3580" s="71">
        <v>57599</v>
      </c>
      <c r="O3580" s="66" t="s">
        <v>28</v>
      </c>
      <c r="P3580" s="82" t="s">
        <v>13350</v>
      </c>
      <c r="Q3580" s="84" t="s">
        <v>5545</v>
      </c>
      <c r="R3580" s="84" t="s">
        <v>3512</v>
      </c>
      <c r="S3580" s="84">
        <v>0.32700000000000001</v>
      </c>
      <c r="T3580" s="82" t="s">
        <v>13351</v>
      </c>
      <c r="U3580" s="84"/>
      <c r="V3580" s="54"/>
    </row>
    <row r="3581" spans="1:22" s="11" customFormat="1" ht="45" customHeight="1" x14ac:dyDescent="0.2">
      <c r="A3581" s="66" t="s">
        <v>3785</v>
      </c>
      <c r="B3581" s="66" t="s">
        <v>1155</v>
      </c>
      <c r="C3581" s="66" t="s">
        <v>3785</v>
      </c>
      <c r="D3581" s="66">
        <v>5010996213563</v>
      </c>
      <c r="E3581" s="68" t="s">
        <v>13352</v>
      </c>
      <c r="F3581" s="66" t="s">
        <v>13353</v>
      </c>
      <c r="G3581" s="71">
        <v>23920</v>
      </c>
      <c r="H3581" s="73"/>
      <c r="I3581" s="75">
        <v>0.1</v>
      </c>
      <c r="J3581" s="77"/>
      <c r="K3581" s="66"/>
      <c r="L3581" s="66"/>
      <c r="M3581" s="79" t="str">
        <f>HYPERLINK("http://www.pristavka.com/catalog/hasbro/HSB215/")</f>
        <v>http://www.pristavka.com/catalog/hasbro/HSB215/</v>
      </c>
      <c r="N3581" s="71">
        <v>36299</v>
      </c>
      <c r="O3581" s="66" t="s">
        <v>27</v>
      </c>
      <c r="P3581" s="82" t="s">
        <v>13354</v>
      </c>
      <c r="Q3581" s="84" t="s">
        <v>1321</v>
      </c>
      <c r="R3581" s="84" t="s">
        <v>1322</v>
      </c>
      <c r="S3581" s="84">
        <v>0.16</v>
      </c>
      <c r="T3581" s="82" t="s">
        <v>13355</v>
      </c>
      <c r="U3581" s="84"/>
      <c r="V3581" s="54"/>
    </row>
    <row r="3582" spans="1:22" s="11" customFormat="1" ht="45" customHeight="1" x14ac:dyDescent="0.2">
      <c r="A3582" s="66" t="s">
        <v>3785</v>
      </c>
      <c r="B3582" s="66" t="s">
        <v>1155</v>
      </c>
      <c r="C3582" s="66" t="s">
        <v>3785</v>
      </c>
      <c r="D3582" s="66">
        <v>5010996204004</v>
      </c>
      <c r="E3582" s="68" t="s">
        <v>13356</v>
      </c>
      <c r="F3582" s="66" t="s">
        <v>13357</v>
      </c>
      <c r="G3582" s="71">
        <v>27723</v>
      </c>
      <c r="H3582" s="73"/>
      <c r="I3582" s="75">
        <v>0.1</v>
      </c>
      <c r="J3582" s="77"/>
      <c r="K3582" s="66"/>
      <c r="L3582" s="66"/>
      <c r="M3582" s="79" t="str">
        <f>HYPERLINK("http://www.pristavka.com/catalog/hasbro/HSB232/")</f>
        <v>http://www.pristavka.com/catalog/hasbro/HSB232/</v>
      </c>
      <c r="N3582" s="71">
        <v>42099</v>
      </c>
      <c r="O3582" s="66" t="s">
        <v>27</v>
      </c>
      <c r="P3582" s="82" t="s">
        <v>13358</v>
      </c>
      <c r="Q3582" s="84" t="s">
        <v>1321</v>
      </c>
      <c r="R3582" s="84" t="s">
        <v>1322</v>
      </c>
      <c r="S3582" s="84">
        <v>0.27</v>
      </c>
      <c r="T3582" s="82" t="s">
        <v>13359</v>
      </c>
      <c r="U3582" s="84"/>
      <c r="V3582" s="54"/>
    </row>
    <row r="3583" spans="1:22" s="11" customFormat="1" ht="45" customHeight="1" x14ac:dyDescent="0.2">
      <c r="A3583" s="66" t="s">
        <v>3785</v>
      </c>
      <c r="B3583" s="66" t="s">
        <v>1707</v>
      </c>
      <c r="C3583" s="66" t="s">
        <v>3785</v>
      </c>
      <c r="D3583" s="66">
        <v>5010993978243</v>
      </c>
      <c r="E3583" s="68" t="s">
        <v>13360</v>
      </c>
      <c r="F3583" s="66" t="s">
        <v>13361</v>
      </c>
      <c r="G3583" s="71">
        <v>15172</v>
      </c>
      <c r="H3583" s="73"/>
      <c r="I3583" s="75">
        <v>0.1</v>
      </c>
      <c r="J3583" s="77"/>
      <c r="K3583" s="66"/>
      <c r="L3583" s="66"/>
      <c r="M3583" s="79" t="str">
        <f>HYPERLINK("http://www.pristavka.com/catalog/hasbro/HSB147/")</f>
        <v>http://www.pristavka.com/catalog/hasbro/HSB147/</v>
      </c>
      <c r="N3583" s="71">
        <v>22999</v>
      </c>
      <c r="O3583" s="66" t="s">
        <v>27</v>
      </c>
      <c r="P3583" s="82" t="s">
        <v>13362</v>
      </c>
      <c r="Q3583" s="84" t="s">
        <v>3833</v>
      </c>
      <c r="R3583" s="84" t="s">
        <v>3512</v>
      </c>
      <c r="S3583" s="84">
        <v>0.193</v>
      </c>
      <c r="T3583" s="82" t="s">
        <v>13363</v>
      </c>
      <c r="U3583" s="84" t="s">
        <v>3622</v>
      </c>
      <c r="V3583" s="54"/>
    </row>
    <row r="3584" spans="1:22" s="11" customFormat="1" ht="45" customHeight="1" x14ac:dyDescent="0.2">
      <c r="A3584" s="66" t="s">
        <v>3785</v>
      </c>
      <c r="B3584" s="66" t="s">
        <v>1707</v>
      </c>
      <c r="C3584" s="66" t="s">
        <v>3785</v>
      </c>
      <c r="D3584" s="66" t="s">
        <v>13364</v>
      </c>
      <c r="E3584" s="68" t="s">
        <v>13365</v>
      </c>
      <c r="F3584" s="66" t="s">
        <v>13366</v>
      </c>
      <c r="G3584" s="71">
        <v>23920</v>
      </c>
      <c r="H3584" s="73"/>
      <c r="I3584" s="75">
        <v>0.1</v>
      </c>
      <c r="J3584" s="77"/>
      <c r="K3584" s="66"/>
      <c r="L3584" s="66"/>
      <c r="M3584" s="79" t="str">
        <f>HYPERLINK("http://www.pristavka.com/catalog/hasbro/HSB269/")</f>
        <v>http://www.pristavka.com/catalog/hasbro/HSB269/</v>
      </c>
      <c r="N3584" s="71">
        <v>36299</v>
      </c>
      <c r="O3584" s="66" t="s">
        <v>27</v>
      </c>
      <c r="P3584" s="82" t="s">
        <v>13367</v>
      </c>
      <c r="Q3584" s="84" t="s">
        <v>13368</v>
      </c>
      <c r="R3584" s="84" t="s">
        <v>3512</v>
      </c>
      <c r="S3584" s="84">
        <v>0.20499999999999999</v>
      </c>
      <c r="T3584" s="82" t="s">
        <v>13369</v>
      </c>
      <c r="U3584" s="84" t="s">
        <v>3584</v>
      </c>
      <c r="V3584" s="54"/>
    </row>
    <row r="3585" spans="1:22" s="11" customFormat="1" ht="45" customHeight="1" x14ac:dyDescent="0.2">
      <c r="A3585" s="66" t="s">
        <v>3785</v>
      </c>
      <c r="B3585" s="66" t="s">
        <v>1707</v>
      </c>
      <c r="C3585" s="66" t="s">
        <v>3785</v>
      </c>
      <c r="D3585" s="66" t="s">
        <v>13370</v>
      </c>
      <c r="E3585" s="68" t="s">
        <v>13371</v>
      </c>
      <c r="F3585" s="66" t="s">
        <v>13372</v>
      </c>
      <c r="G3585" s="71">
        <v>28864</v>
      </c>
      <c r="H3585" s="73"/>
      <c r="I3585" s="75">
        <v>0.1</v>
      </c>
      <c r="J3585" s="77"/>
      <c r="K3585" s="66"/>
      <c r="L3585" s="66"/>
      <c r="M3585" s="79" t="str">
        <f>HYPERLINK("http://www.pristavka.com/catalog/hasbro/HSB268/")</f>
        <v>http://www.pristavka.com/catalog/hasbro/HSB268/</v>
      </c>
      <c r="N3585" s="71">
        <v>43799</v>
      </c>
      <c r="O3585" s="66" t="s">
        <v>28</v>
      </c>
      <c r="P3585" s="82" t="s">
        <v>13373</v>
      </c>
      <c r="Q3585" s="84" t="s">
        <v>13368</v>
      </c>
      <c r="R3585" s="84" t="s">
        <v>3512</v>
      </c>
      <c r="S3585" s="84">
        <v>0.21</v>
      </c>
      <c r="T3585" s="82" t="s">
        <v>13374</v>
      </c>
      <c r="U3585" s="84" t="s">
        <v>3584</v>
      </c>
      <c r="V3585" s="54"/>
    </row>
    <row r="3586" spans="1:22" s="11" customFormat="1" ht="45" customHeight="1" x14ac:dyDescent="0.2">
      <c r="A3586" s="66" t="s">
        <v>3785</v>
      </c>
      <c r="B3586" s="66" t="s">
        <v>26</v>
      </c>
      <c r="C3586" s="66" t="s">
        <v>3785</v>
      </c>
      <c r="D3586" s="66" t="s">
        <v>13375</v>
      </c>
      <c r="E3586" s="68" t="s">
        <v>13376</v>
      </c>
      <c r="F3586" s="66" t="s">
        <v>13377</v>
      </c>
      <c r="G3586" s="71">
        <v>12545</v>
      </c>
      <c r="H3586" s="73"/>
      <c r="I3586" s="75">
        <v>0.1</v>
      </c>
      <c r="J3586" s="77"/>
      <c r="K3586" s="66"/>
      <c r="L3586" s="66"/>
      <c r="M3586" s="79" t="str">
        <f>HYPERLINK("http://www.pristavka.com/catalog/hasbro/HSB78/")</f>
        <v>http://www.pristavka.com/catalog/hasbro/HSB78/</v>
      </c>
      <c r="N3586" s="71">
        <v>19099</v>
      </c>
      <c r="O3586" s="66" t="s">
        <v>28</v>
      </c>
      <c r="P3586" s="82" t="s">
        <v>13378</v>
      </c>
      <c r="Q3586" s="84" t="s">
        <v>5186</v>
      </c>
      <c r="R3586" s="84" t="s">
        <v>3512</v>
      </c>
      <c r="S3586" s="84">
        <v>0.20799999999999999</v>
      </c>
      <c r="T3586" s="82" t="s">
        <v>13379</v>
      </c>
      <c r="U3586" s="84"/>
      <c r="V3586" s="54"/>
    </row>
    <row r="3587" spans="1:22" s="11" customFormat="1" ht="45" customHeight="1" x14ac:dyDescent="0.2">
      <c r="A3587" s="66" t="s">
        <v>3785</v>
      </c>
      <c r="B3587" s="66" t="s">
        <v>1707</v>
      </c>
      <c r="C3587" s="66" t="s">
        <v>3785</v>
      </c>
      <c r="D3587" s="66" t="s">
        <v>13380</v>
      </c>
      <c r="E3587" s="68" t="s">
        <v>13381</v>
      </c>
      <c r="F3587" s="66" t="s">
        <v>13382</v>
      </c>
      <c r="G3587" s="71">
        <v>34188</v>
      </c>
      <c r="H3587" s="73"/>
      <c r="I3587" s="75">
        <v>0.1</v>
      </c>
      <c r="J3587" s="77"/>
      <c r="K3587" s="66"/>
      <c r="L3587" s="66"/>
      <c r="M3587" s="79" t="str">
        <f>HYPERLINK("http://www.pristavka.com/catalog/hasbro/HSB267/")</f>
        <v>http://www.pristavka.com/catalog/hasbro/HSB267/</v>
      </c>
      <c r="N3587" s="71">
        <v>51899</v>
      </c>
      <c r="O3587" s="66" t="s">
        <v>27</v>
      </c>
      <c r="P3587" s="82" t="s">
        <v>13383</v>
      </c>
      <c r="Q3587" s="84" t="s">
        <v>13368</v>
      </c>
      <c r="R3587" s="84" t="s">
        <v>3512</v>
      </c>
      <c r="S3587" s="84">
        <v>0.42499999999999999</v>
      </c>
      <c r="T3587" s="82" t="s">
        <v>13384</v>
      </c>
      <c r="U3587" s="84" t="s">
        <v>3584</v>
      </c>
      <c r="V3587" s="54"/>
    </row>
    <row r="3588" spans="1:22" s="11" customFormat="1" ht="45" customHeight="1" x14ac:dyDescent="0.2">
      <c r="A3588" s="66" t="s">
        <v>3785</v>
      </c>
      <c r="B3588" s="66" t="s">
        <v>1707</v>
      </c>
      <c r="C3588" s="66" t="s">
        <v>3785</v>
      </c>
      <c r="D3588" s="66">
        <v>5010993964383</v>
      </c>
      <c r="E3588" s="68" t="s">
        <v>13385</v>
      </c>
      <c r="F3588" s="66" t="s">
        <v>13386</v>
      </c>
      <c r="G3588" s="71">
        <v>12514</v>
      </c>
      <c r="H3588" s="73"/>
      <c r="I3588" s="75">
        <v>0.2</v>
      </c>
      <c r="J3588" s="77"/>
      <c r="K3588" s="66"/>
      <c r="L3588" s="66"/>
      <c r="M3588" s="79" t="str">
        <f>HYPERLINK("http://www.pristavka.com/catalog/hasbro/HSB201/")</f>
        <v>http://www.pristavka.com/catalog/hasbro/HSB201/</v>
      </c>
      <c r="N3588" s="71">
        <v>18999</v>
      </c>
      <c r="O3588" s="66" t="s">
        <v>28</v>
      </c>
      <c r="P3588" s="82" t="s">
        <v>13387</v>
      </c>
      <c r="Q3588" s="84" t="s">
        <v>3511</v>
      </c>
      <c r="R3588" s="84" t="s">
        <v>3512</v>
      </c>
      <c r="S3588" s="84">
        <v>0.27900000000000003</v>
      </c>
      <c r="T3588" s="82" t="s">
        <v>13388</v>
      </c>
      <c r="U3588" s="84" t="s">
        <v>7499</v>
      </c>
      <c r="V3588" s="54"/>
    </row>
    <row r="3589" spans="1:22" s="11" customFormat="1" ht="45" customHeight="1" x14ac:dyDescent="0.2">
      <c r="A3589" s="66" t="s">
        <v>3785</v>
      </c>
      <c r="B3589" s="66" t="s">
        <v>1707</v>
      </c>
      <c r="C3589" s="66" t="s">
        <v>3785</v>
      </c>
      <c r="D3589" s="66" t="s">
        <v>13389</v>
      </c>
      <c r="E3589" s="68" t="s">
        <v>13390</v>
      </c>
      <c r="F3589" s="66" t="s">
        <v>13391</v>
      </c>
      <c r="G3589" s="71">
        <v>34188</v>
      </c>
      <c r="H3589" s="73"/>
      <c r="I3589" s="75">
        <v>0.1</v>
      </c>
      <c r="J3589" s="77"/>
      <c r="K3589" s="66"/>
      <c r="L3589" s="66"/>
      <c r="M3589" s="79" t="str">
        <f>HYPERLINK("http://www.pristavka.com/catalog/hasbro/HSB331/")</f>
        <v>http://www.pristavka.com/catalog/hasbro/HSB331/</v>
      </c>
      <c r="N3589" s="71">
        <v>51899</v>
      </c>
      <c r="O3589" s="66" t="s">
        <v>28</v>
      </c>
      <c r="P3589" s="82" t="s">
        <v>13392</v>
      </c>
      <c r="Q3589" s="84" t="s">
        <v>3784</v>
      </c>
      <c r="R3589" s="84" t="s">
        <v>3785</v>
      </c>
      <c r="S3589" s="84">
        <v>0.27600000000000002</v>
      </c>
      <c r="T3589" s="82" t="s">
        <v>13393</v>
      </c>
      <c r="U3589" s="84" t="s">
        <v>3584</v>
      </c>
      <c r="V3589" s="54"/>
    </row>
    <row r="3590" spans="1:22" s="11" customFormat="1" ht="45" customHeight="1" x14ac:dyDescent="0.2">
      <c r="A3590" s="66" t="s">
        <v>3785</v>
      </c>
      <c r="B3590" s="66" t="s">
        <v>1707</v>
      </c>
      <c r="C3590" s="66" t="s">
        <v>3785</v>
      </c>
      <c r="D3590" s="66">
        <v>5010996213556</v>
      </c>
      <c r="E3590" s="68" t="s">
        <v>13394</v>
      </c>
      <c r="F3590" s="66" t="s">
        <v>13395</v>
      </c>
      <c r="G3590" s="71">
        <v>21638</v>
      </c>
      <c r="H3590" s="73"/>
      <c r="I3590" s="75">
        <v>0.1</v>
      </c>
      <c r="J3590" s="77"/>
      <c r="K3590" s="66"/>
      <c r="L3590" s="66"/>
      <c r="M3590" s="79" t="str">
        <f>HYPERLINK("http://www.pristavka.com/catalog/hasbro/HSB195/")</f>
        <v>http://www.pristavka.com/catalog/hasbro/HSB195/</v>
      </c>
      <c r="N3590" s="71">
        <v>32799</v>
      </c>
      <c r="O3590" s="66" t="s">
        <v>28</v>
      </c>
      <c r="P3590" s="82" t="s">
        <v>13396</v>
      </c>
      <c r="Q3590" s="84" t="s">
        <v>1321</v>
      </c>
      <c r="R3590" s="84" t="s">
        <v>1322</v>
      </c>
      <c r="S3590" s="84">
        <v>0.16800000000000001</v>
      </c>
      <c r="T3590" s="82" t="s">
        <v>13397</v>
      </c>
      <c r="U3590" s="84"/>
      <c r="V3590" s="54"/>
    </row>
    <row r="3591" spans="1:22" s="11" customFormat="1" ht="45" customHeight="1" x14ac:dyDescent="0.2">
      <c r="A3591" s="66" t="s">
        <v>3785</v>
      </c>
      <c r="B3591" s="66" t="s">
        <v>26</v>
      </c>
      <c r="C3591" s="66" t="s">
        <v>3785</v>
      </c>
      <c r="D3591" s="66" t="s">
        <v>13398</v>
      </c>
      <c r="E3591" s="68" t="s">
        <v>13399</v>
      </c>
      <c r="F3591" s="66" t="s">
        <v>13400</v>
      </c>
      <c r="G3591" s="71">
        <v>11369</v>
      </c>
      <c r="H3591" s="73"/>
      <c r="I3591" s="75">
        <v>0.1</v>
      </c>
      <c r="J3591" s="77"/>
      <c r="K3591" s="66"/>
      <c r="L3591" s="66"/>
      <c r="M3591" s="79" t="str">
        <f>HYPERLINK("http://www.pristavka.com/catalog/hasbro/HSB265/")</f>
        <v>http://www.pristavka.com/catalog/hasbro/HSB265/</v>
      </c>
      <c r="N3591" s="71">
        <v>17299</v>
      </c>
      <c r="O3591" s="66" t="s">
        <v>27</v>
      </c>
      <c r="P3591" s="82" t="s">
        <v>13401</v>
      </c>
      <c r="Q3591" s="84" t="s">
        <v>1321</v>
      </c>
      <c r="R3591" s="84" t="s">
        <v>1322</v>
      </c>
      <c r="S3591" s="84">
        <v>0.29499999999999998</v>
      </c>
      <c r="T3591" s="82" t="s">
        <v>13402</v>
      </c>
      <c r="U3591" s="84"/>
      <c r="V3591" s="54"/>
    </row>
    <row r="3592" spans="1:22" s="11" customFormat="1" ht="45" customHeight="1" x14ac:dyDescent="0.2">
      <c r="A3592" s="66" t="s">
        <v>3785</v>
      </c>
      <c r="B3592" s="66" t="s">
        <v>1707</v>
      </c>
      <c r="C3592" s="66" t="s">
        <v>3785</v>
      </c>
      <c r="D3592" s="66" t="s">
        <v>13403</v>
      </c>
      <c r="E3592" s="68" t="s">
        <v>13404</v>
      </c>
      <c r="F3592" s="66" t="s">
        <v>13405</v>
      </c>
      <c r="G3592" s="71">
        <v>15507</v>
      </c>
      <c r="H3592" s="73"/>
      <c r="I3592" s="75">
        <v>0.1</v>
      </c>
      <c r="J3592" s="77"/>
      <c r="K3592" s="66"/>
      <c r="L3592" s="66"/>
      <c r="M3592" s="79" t="str">
        <f>HYPERLINK("http://www.pristavka.com/catalog/hasbro/HSB154/")</f>
        <v>http://www.pristavka.com/catalog/hasbro/HSB154/</v>
      </c>
      <c r="N3592" s="71">
        <v>21899</v>
      </c>
      <c r="O3592" s="66" t="s">
        <v>28</v>
      </c>
      <c r="P3592" s="82" t="s">
        <v>13406</v>
      </c>
      <c r="Q3592" s="84" t="s">
        <v>5809</v>
      </c>
      <c r="R3592" s="84" t="s">
        <v>1322</v>
      </c>
      <c r="S3592" s="84">
        <v>0.152</v>
      </c>
      <c r="T3592" s="82" t="s">
        <v>13355</v>
      </c>
      <c r="U3592" s="84"/>
      <c r="V3592" s="54"/>
    </row>
    <row r="3593" spans="1:22" s="11" customFormat="1" ht="45" customHeight="1" x14ac:dyDescent="0.2">
      <c r="A3593" s="66" t="s">
        <v>3785</v>
      </c>
      <c r="B3593" s="66" t="s">
        <v>1707</v>
      </c>
      <c r="C3593" s="66" t="s">
        <v>3785</v>
      </c>
      <c r="D3593" s="66" t="s">
        <v>13407</v>
      </c>
      <c r="E3593" s="68" t="s">
        <v>13408</v>
      </c>
      <c r="F3593" s="66" t="s">
        <v>13409</v>
      </c>
      <c r="G3593" s="71">
        <v>11750</v>
      </c>
      <c r="H3593" s="73"/>
      <c r="I3593" s="75">
        <v>0.1</v>
      </c>
      <c r="J3593" s="77"/>
      <c r="K3593" s="66"/>
      <c r="L3593" s="66"/>
      <c r="M3593" s="79" t="str">
        <f>HYPERLINK("http://www.pristavka.com/catalog/hasbro/HSB180/")</f>
        <v>http://www.pristavka.com/catalog/hasbro/HSB180/</v>
      </c>
      <c r="N3593" s="71">
        <v>17899</v>
      </c>
      <c r="O3593" s="66" t="s">
        <v>27</v>
      </c>
      <c r="P3593" s="82" t="s">
        <v>13410</v>
      </c>
      <c r="Q3593" s="84" t="s">
        <v>3916</v>
      </c>
      <c r="R3593" s="84" t="s">
        <v>1322</v>
      </c>
      <c r="S3593" s="84">
        <v>0.14499999999999999</v>
      </c>
      <c r="T3593" s="82" t="s">
        <v>13355</v>
      </c>
      <c r="U3593" s="84" t="s">
        <v>3622</v>
      </c>
      <c r="V3593" s="54"/>
    </row>
    <row r="3594" spans="1:22" s="11" customFormat="1" ht="45" customHeight="1" x14ac:dyDescent="0.2">
      <c r="A3594" s="66" t="s">
        <v>3785</v>
      </c>
      <c r="B3594" s="66" t="s">
        <v>1707</v>
      </c>
      <c r="C3594" s="66" t="s">
        <v>3785</v>
      </c>
      <c r="D3594" s="66" t="s">
        <v>13411</v>
      </c>
      <c r="E3594" s="68" t="s">
        <v>13412</v>
      </c>
      <c r="F3594" s="66" t="s">
        <v>13413</v>
      </c>
      <c r="G3594" s="71">
        <v>23920</v>
      </c>
      <c r="H3594" s="73"/>
      <c r="I3594" s="75">
        <v>0.1</v>
      </c>
      <c r="J3594" s="77"/>
      <c r="K3594" s="66"/>
      <c r="L3594" s="66"/>
      <c r="M3594" s="79" t="str">
        <f>HYPERLINK("http://www.pristavka.com/catalog/hasbro/HSB272/")</f>
        <v>http://www.pristavka.com/catalog/hasbro/HSB272/</v>
      </c>
      <c r="N3594" s="71">
        <v>36299</v>
      </c>
      <c r="O3594" s="66" t="s">
        <v>27</v>
      </c>
      <c r="P3594" s="82" t="s">
        <v>13414</v>
      </c>
      <c r="Q3594" s="84" t="s">
        <v>1321</v>
      </c>
      <c r="R3594" s="84" t="s">
        <v>1322</v>
      </c>
      <c r="S3594" s="84">
        <v>0.20599999999999999</v>
      </c>
      <c r="T3594" s="82" t="s">
        <v>13415</v>
      </c>
      <c r="U3594" s="84" t="s">
        <v>3584</v>
      </c>
      <c r="V3594" s="54"/>
    </row>
    <row r="3595" spans="1:22" s="11" customFormat="1" ht="45" customHeight="1" x14ac:dyDescent="0.2">
      <c r="A3595" s="66" t="s">
        <v>3785</v>
      </c>
      <c r="B3595" s="66" t="s">
        <v>1707</v>
      </c>
      <c r="C3595" s="66" t="s">
        <v>3785</v>
      </c>
      <c r="D3595" s="66" t="s">
        <v>13416</v>
      </c>
      <c r="E3595" s="68" t="s">
        <v>13417</v>
      </c>
      <c r="F3595" s="66" t="s">
        <v>13418</v>
      </c>
      <c r="G3595" s="71">
        <v>15507</v>
      </c>
      <c r="H3595" s="73"/>
      <c r="I3595" s="75">
        <v>0.1</v>
      </c>
      <c r="J3595" s="77"/>
      <c r="K3595" s="66"/>
      <c r="L3595" s="66"/>
      <c r="M3595" s="79" t="str">
        <f>HYPERLINK("http://www.pristavka.com/catalog/hasbro/HSB156/")</f>
        <v>http://www.pristavka.com/catalog/hasbro/HSB156/</v>
      </c>
      <c r="N3595" s="71">
        <v>21899</v>
      </c>
      <c r="O3595" s="66" t="s">
        <v>28</v>
      </c>
      <c r="P3595" s="82" t="s">
        <v>13419</v>
      </c>
      <c r="Q3595" s="84" t="s">
        <v>1321</v>
      </c>
      <c r="R3595" s="84" t="s">
        <v>1322</v>
      </c>
      <c r="S3595" s="84">
        <v>0.28000000000000003</v>
      </c>
      <c r="T3595" s="82" t="s">
        <v>13355</v>
      </c>
      <c r="U3595" s="84"/>
      <c r="V3595" s="54"/>
    </row>
    <row r="3596" spans="1:22" s="11" customFormat="1" ht="45" customHeight="1" x14ac:dyDescent="0.2">
      <c r="A3596" s="66" t="s">
        <v>3785</v>
      </c>
      <c r="B3596" s="66" t="s">
        <v>1707</v>
      </c>
      <c r="C3596" s="66" t="s">
        <v>3785</v>
      </c>
      <c r="D3596" s="66">
        <v>5010996212108</v>
      </c>
      <c r="E3596" s="68" t="s">
        <v>13420</v>
      </c>
      <c r="F3596" s="66" t="s">
        <v>13421</v>
      </c>
      <c r="G3596" s="71">
        <v>7566</v>
      </c>
      <c r="H3596" s="73"/>
      <c r="I3596" s="75">
        <v>0.1</v>
      </c>
      <c r="J3596" s="77"/>
      <c r="K3596" s="66"/>
      <c r="L3596" s="66"/>
      <c r="M3596" s="79" t="str">
        <f>HYPERLINK("http://www.pristavka.com/catalog/hasbro/HSB244/")</f>
        <v>http://www.pristavka.com/catalog/hasbro/HSB244/</v>
      </c>
      <c r="N3596" s="71">
        <v>11499</v>
      </c>
      <c r="O3596" s="66" t="s">
        <v>27</v>
      </c>
      <c r="P3596" s="82" t="s">
        <v>13422</v>
      </c>
      <c r="Q3596" s="84" t="s">
        <v>1321</v>
      </c>
      <c r="R3596" s="84" t="s">
        <v>1322</v>
      </c>
      <c r="S3596" s="84">
        <v>0.157</v>
      </c>
      <c r="T3596" s="82" t="s">
        <v>13355</v>
      </c>
      <c r="U3596" s="84"/>
      <c r="V3596" s="54"/>
    </row>
    <row r="3597" spans="1:22" s="11" customFormat="1" ht="45" customHeight="1" x14ac:dyDescent="0.2">
      <c r="A3597" s="66" t="s">
        <v>3785</v>
      </c>
      <c r="B3597" s="66" t="s">
        <v>1707</v>
      </c>
      <c r="C3597" s="66" t="s">
        <v>3785</v>
      </c>
      <c r="D3597" s="66" t="s">
        <v>13423</v>
      </c>
      <c r="E3597" s="68" t="s">
        <v>13424</v>
      </c>
      <c r="F3597" s="66" t="s">
        <v>13425</v>
      </c>
      <c r="G3597" s="71">
        <v>23920</v>
      </c>
      <c r="H3597" s="73"/>
      <c r="I3597" s="75">
        <v>0.1</v>
      </c>
      <c r="J3597" s="77"/>
      <c r="K3597" s="66"/>
      <c r="L3597" s="66"/>
      <c r="M3597" s="79" t="str">
        <f>HYPERLINK("http://www.pristavka.com/catalog/hasbro/HSB274/")</f>
        <v>http://www.pristavka.com/catalog/hasbro/HSB274/</v>
      </c>
      <c r="N3597" s="71">
        <v>36299</v>
      </c>
      <c r="O3597" s="66" t="s">
        <v>28</v>
      </c>
      <c r="P3597" s="82" t="s">
        <v>13426</v>
      </c>
      <c r="Q3597" s="84" t="s">
        <v>1321</v>
      </c>
      <c r="R3597" s="84" t="s">
        <v>1322</v>
      </c>
      <c r="S3597" s="84">
        <v>0.2</v>
      </c>
      <c r="T3597" s="82" t="s">
        <v>13427</v>
      </c>
      <c r="U3597" s="84" t="s">
        <v>3584</v>
      </c>
      <c r="V3597" s="54"/>
    </row>
    <row r="3598" spans="1:22" s="11" customFormat="1" ht="45" customHeight="1" x14ac:dyDescent="0.2">
      <c r="A3598" s="66" t="s">
        <v>3785</v>
      </c>
      <c r="B3598" s="66" t="s">
        <v>26</v>
      </c>
      <c r="C3598" s="66" t="s">
        <v>3785</v>
      </c>
      <c r="D3598" s="66">
        <v>5010996214331</v>
      </c>
      <c r="E3598" s="68" t="s">
        <v>13428</v>
      </c>
      <c r="F3598" s="66" t="s">
        <v>13429</v>
      </c>
      <c r="G3598" s="71">
        <v>23280</v>
      </c>
      <c r="H3598" s="73"/>
      <c r="I3598" s="75">
        <v>0.1</v>
      </c>
      <c r="J3598" s="77"/>
      <c r="K3598" s="66"/>
      <c r="L3598" s="66"/>
      <c r="M3598" s="79" t="str">
        <f>HYPERLINK("http://www.pristavka.com/catalog/hasbro/HSB186/")</f>
        <v>http://www.pristavka.com/catalog/hasbro/HSB186/</v>
      </c>
      <c r="N3598" s="71">
        <v>32799</v>
      </c>
      <c r="O3598" s="66" t="s">
        <v>27</v>
      </c>
      <c r="P3598" s="82" t="s">
        <v>13430</v>
      </c>
      <c r="Q3598" s="84" t="s">
        <v>1321</v>
      </c>
      <c r="R3598" s="84" t="s">
        <v>1322</v>
      </c>
      <c r="S3598" s="84">
        <v>0.215</v>
      </c>
      <c r="T3598" s="82" t="s">
        <v>13355</v>
      </c>
      <c r="U3598" s="84" t="s">
        <v>3691</v>
      </c>
      <c r="V3598" s="54"/>
    </row>
    <row r="3599" spans="1:22" s="11" customFormat="1" ht="45" customHeight="1" x14ac:dyDescent="0.2">
      <c r="A3599" s="66" t="s">
        <v>3785</v>
      </c>
      <c r="B3599" s="66" t="s">
        <v>1707</v>
      </c>
      <c r="C3599" s="66" t="s">
        <v>3785</v>
      </c>
      <c r="D3599" s="66">
        <v>5010994194130</v>
      </c>
      <c r="E3599" s="68" t="s">
        <v>13431</v>
      </c>
      <c r="F3599" s="66" t="s">
        <v>13432</v>
      </c>
      <c r="G3599" s="71">
        <v>12510</v>
      </c>
      <c r="H3599" s="73"/>
      <c r="I3599" s="75">
        <v>0.1</v>
      </c>
      <c r="J3599" s="77"/>
      <c r="K3599" s="66"/>
      <c r="L3599" s="66"/>
      <c r="M3599" s="79" t="str">
        <f>HYPERLINK("http://www.pristavka.com/catalog/hasbro/HSB171/")</f>
        <v>http://www.pristavka.com/catalog/hasbro/HSB171/</v>
      </c>
      <c r="N3599" s="71">
        <v>18999</v>
      </c>
      <c r="O3599" s="66" t="s">
        <v>27</v>
      </c>
      <c r="P3599" s="82" t="s">
        <v>13433</v>
      </c>
      <c r="Q3599" s="84" t="s">
        <v>1321</v>
      </c>
      <c r="R3599" s="84" t="s">
        <v>1322</v>
      </c>
      <c r="S3599" s="84">
        <v>0.28199999999999997</v>
      </c>
      <c r="T3599" s="82" t="s">
        <v>13359</v>
      </c>
      <c r="U3599" s="84"/>
      <c r="V3599" s="54"/>
    </row>
    <row r="3600" spans="1:22" s="11" customFormat="1" ht="45" customHeight="1" x14ac:dyDescent="0.2">
      <c r="A3600" s="66" t="s">
        <v>3785</v>
      </c>
      <c r="B3600" s="66" t="s">
        <v>1707</v>
      </c>
      <c r="C3600" s="66" t="s">
        <v>3785</v>
      </c>
      <c r="D3600" s="66" t="s">
        <v>13434</v>
      </c>
      <c r="E3600" s="68" t="s">
        <v>13435</v>
      </c>
      <c r="F3600" s="66" t="s">
        <v>13436</v>
      </c>
      <c r="G3600" s="71">
        <v>47499</v>
      </c>
      <c r="H3600" s="73"/>
      <c r="I3600" s="75">
        <v>0.1</v>
      </c>
      <c r="J3600" s="77"/>
      <c r="K3600" s="66"/>
      <c r="L3600" s="66"/>
      <c r="M3600" s="79" t="str">
        <f>HYPERLINK("http://www.pristavka.com/catalog/hasbro/HSB275/")</f>
        <v>http://www.pristavka.com/catalog/hasbro/HSB275/</v>
      </c>
      <c r="N3600" s="71">
        <v>71999</v>
      </c>
      <c r="O3600" s="66" t="s">
        <v>28</v>
      </c>
      <c r="P3600" s="82" t="s">
        <v>13437</v>
      </c>
      <c r="Q3600" s="84" t="s">
        <v>3784</v>
      </c>
      <c r="R3600" s="84" t="s">
        <v>3785</v>
      </c>
      <c r="S3600" s="84">
        <v>0.44500000000000001</v>
      </c>
      <c r="T3600" s="82" t="s">
        <v>13438</v>
      </c>
      <c r="U3600" s="84" t="s">
        <v>3584</v>
      </c>
      <c r="V3600" s="54"/>
    </row>
    <row r="3601" spans="1:22" s="11" customFormat="1" ht="45" customHeight="1" x14ac:dyDescent="0.2">
      <c r="A3601" s="66" t="s">
        <v>3785</v>
      </c>
      <c r="B3601" s="66" t="s">
        <v>1707</v>
      </c>
      <c r="C3601" s="66" t="s">
        <v>3785</v>
      </c>
      <c r="D3601" s="66" t="s">
        <v>13439</v>
      </c>
      <c r="E3601" s="68" t="s">
        <v>13440</v>
      </c>
      <c r="F3601" s="66" t="s">
        <v>13441</v>
      </c>
      <c r="G3601" s="71">
        <v>34188</v>
      </c>
      <c r="H3601" s="73"/>
      <c r="I3601" s="75">
        <v>0.1</v>
      </c>
      <c r="J3601" s="77"/>
      <c r="K3601" s="66"/>
      <c r="L3601" s="66"/>
      <c r="M3601" s="79" t="str">
        <f>HYPERLINK("http://www.pristavka.com/catalog/hasbro/HSB289/")</f>
        <v>http://www.pristavka.com/catalog/hasbro/HSB289/</v>
      </c>
      <c r="N3601" s="71">
        <v>51899</v>
      </c>
      <c r="O3601" s="66" t="s">
        <v>28</v>
      </c>
      <c r="P3601" s="82" t="s">
        <v>13442</v>
      </c>
      <c r="Q3601" s="84" t="s">
        <v>3784</v>
      </c>
      <c r="R3601" s="84" t="s">
        <v>3785</v>
      </c>
      <c r="S3601" s="84">
        <v>0.25</v>
      </c>
      <c r="T3601" s="82" t="s">
        <v>13309</v>
      </c>
      <c r="U3601" s="84" t="s">
        <v>3584</v>
      </c>
      <c r="V3601" s="54"/>
    </row>
    <row r="3602" spans="1:22" s="11" customFormat="1" ht="45" customHeight="1" x14ac:dyDescent="0.2">
      <c r="A3602" s="66" t="s">
        <v>3785</v>
      </c>
      <c r="B3602" s="66" t="s">
        <v>1707</v>
      </c>
      <c r="C3602" s="66" t="s">
        <v>3785</v>
      </c>
      <c r="D3602" s="66" t="s">
        <v>13443</v>
      </c>
      <c r="E3602" s="68" t="s">
        <v>13444</v>
      </c>
      <c r="F3602" s="66" t="s">
        <v>13445</v>
      </c>
      <c r="G3602" s="71">
        <v>34188</v>
      </c>
      <c r="H3602" s="73"/>
      <c r="I3602" s="75">
        <v>0.1</v>
      </c>
      <c r="J3602" s="77"/>
      <c r="K3602" s="66"/>
      <c r="L3602" s="66"/>
      <c r="M3602" s="79" t="str">
        <f>HYPERLINK("http://www.pristavka.com/catalog/hasbro/HSB284/")</f>
        <v>http://www.pristavka.com/catalog/hasbro/HSB284/</v>
      </c>
      <c r="N3602" s="71">
        <v>51899</v>
      </c>
      <c r="O3602" s="66" t="s">
        <v>28</v>
      </c>
      <c r="P3602" s="82" t="s">
        <v>13446</v>
      </c>
      <c r="Q3602" s="84" t="s">
        <v>3784</v>
      </c>
      <c r="R3602" s="84" t="s">
        <v>3785</v>
      </c>
      <c r="S3602" s="84">
        <v>0.26</v>
      </c>
      <c r="T3602" s="82" t="s">
        <v>13447</v>
      </c>
      <c r="U3602" s="84" t="s">
        <v>3584</v>
      </c>
      <c r="V3602" s="54"/>
    </row>
    <row r="3603" spans="1:22" s="11" customFormat="1" ht="45" customHeight="1" x14ac:dyDescent="0.2">
      <c r="A3603" s="66" t="s">
        <v>3785</v>
      </c>
      <c r="B3603" s="66" t="s">
        <v>1707</v>
      </c>
      <c r="C3603" s="66" t="s">
        <v>3785</v>
      </c>
      <c r="D3603" s="66" t="s">
        <v>13448</v>
      </c>
      <c r="E3603" s="68" t="s">
        <v>13449</v>
      </c>
      <c r="F3603" s="66" t="s">
        <v>13450</v>
      </c>
      <c r="G3603" s="71">
        <v>34188</v>
      </c>
      <c r="H3603" s="73"/>
      <c r="I3603" s="75">
        <v>0.1</v>
      </c>
      <c r="J3603" s="77"/>
      <c r="K3603" s="66"/>
      <c r="L3603" s="66"/>
      <c r="M3603" s="79" t="str">
        <f>HYPERLINK("http://www.pristavka.com/catalog/hasbro/HSB286/")</f>
        <v>http://www.pristavka.com/catalog/hasbro/HSB286/</v>
      </c>
      <c r="N3603" s="71">
        <v>51899</v>
      </c>
      <c r="O3603" s="66" t="s">
        <v>28</v>
      </c>
      <c r="P3603" s="82" t="s">
        <v>13451</v>
      </c>
      <c r="Q3603" s="84" t="s">
        <v>3784</v>
      </c>
      <c r="R3603" s="84" t="s">
        <v>3785</v>
      </c>
      <c r="S3603" s="84">
        <v>0.246</v>
      </c>
      <c r="T3603" s="82" t="s">
        <v>13447</v>
      </c>
      <c r="U3603" s="84" t="s">
        <v>3584</v>
      </c>
      <c r="V3603" s="54"/>
    </row>
    <row r="3604" spans="1:22" s="11" customFormat="1" ht="45" customHeight="1" x14ac:dyDescent="0.2">
      <c r="A3604" s="66" t="s">
        <v>3785</v>
      </c>
      <c r="B3604" s="66" t="s">
        <v>1707</v>
      </c>
      <c r="C3604" s="66" t="s">
        <v>3785</v>
      </c>
      <c r="D3604" s="66" t="s">
        <v>13452</v>
      </c>
      <c r="E3604" s="68" t="s">
        <v>13453</v>
      </c>
      <c r="F3604" s="66" t="s">
        <v>13454</v>
      </c>
      <c r="G3604" s="71">
        <v>23920</v>
      </c>
      <c r="H3604" s="73"/>
      <c r="I3604" s="75">
        <v>0.1</v>
      </c>
      <c r="J3604" s="77"/>
      <c r="K3604" s="66"/>
      <c r="L3604" s="66"/>
      <c r="M3604" s="79" t="str">
        <f>HYPERLINK("http://www.pristavka.com/catalog/hasbro/HSB310/")</f>
        <v>http://www.pristavka.com/catalog/hasbro/HSB310/</v>
      </c>
      <c r="N3604" s="71">
        <v>36299</v>
      </c>
      <c r="O3604" s="66" t="s">
        <v>27</v>
      </c>
      <c r="P3604" s="82" t="s">
        <v>13455</v>
      </c>
      <c r="Q3604" s="84" t="s">
        <v>3784</v>
      </c>
      <c r="R3604" s="84" t="s">
        <v>3785</v>
      </c>
      <c r="S3604" s="84">
        <v>0.155</v>
      </c>
      <c r="T3604" s="82" t="s">
        <v>13456</v>
      </c>
      <c r="U3604" s="84" t="s">
        <v>3584</v>
      </c>
      <c r="V3604" s="54"/>
    </row>
    <row r="3605" spans="1:22" s="11" customFormat="1" ht="45" customHeight="1" x14ac:dyDescent="0.2">
      <c r="A3605" s="66" t="s">
        <v>3785</v>
      </c>
      <c r="B3605" s="66" t="s">
        <v>1707</v>
      </c>
      <c r="C3605" s="66" t="s">
        <v>3785</v>
      </c>
      <c r="D3605" s="66" t="s">
        <v>13457</v>
      </c>
      <c r="E3605" s="68" t="s">
        <v>13458</v>
      </c>
      <c r="F3605" s="66" t="s">
        <v>13459</v>
      </c>
      <c r="G3605" s="71">
        <v>23920</v>
      </c>
      <c r="H3605" s="73"/>
      <c r="I3605" s="75">
        <v>0.1</v>
      </c>
      <c r="J3605" s="77"/>
      <c r="K3605" s="66"/>
      <c r="L3605" s="66"/>
      <c r="M3605" s="79" t="str">
        <f>HYPERLINK("http://www.pristavka.com/catalog/hasbro/HSB308/")</f>
        <v>http://www.pristavka.com/catalog/hasbro/HSB308/</v>
      </c>
      <c r="N3605" s="71">
        <v>36299</v>
      </c>
      <c r="O3605" s="66" t="s">
        <v>27</v>
      </c>
      <c r="P3605" s="82" t="s">
        <v>13460</v>
      </c>
      <c r="Q3605" s="84" t="s">
        <v>3784</v>
      </c>
      <c r="R3605" s="84" t="s">
        <v>3785</v>
      </c>
      <c r="S3605" s="84">
        <v>0.185</v>
      </c>
      <c r="T3605" s="82" t="s">
        <v>13456</v>
      </c>
      <c r="U3605" s="84" t="s">
        <v>3584</v>
      </c>
      <c r="V3605" s="54"/>
    </row>
    <row r="3606" spans="1:22" s="11" customFormat="1" ht="45" customHeight="1" x14ac:dyDescent="0.2">
      <c r="A3606" s="66" t="s">
        <v>3785</v>
      </c>
      <c r="B3606" s="66" t="s">
        <v>1707</v>
      </c>
      <c r="C3606" s="66" t="s">
        <v>3785</v>
      </c>
      <c r="D3606" s="66" t="s">
        <v>13461</v>
      </c>
      <c r="E3606" s="68" t="s">
        <v>13462</v>
      </c>
      <c r="F3606" s="66" t="s">
        <v>13463</v>
      </c>
      <c r="G3606" s="71">
        <v>23920</v>
      </c>
      <c r="H3606" s="73"/>
      <c r="I3606" s="75">
        <v>0.1</v>
      </c>
      <c r="J3606" s="77"/>
      <c r="K3606" s="66"/>
      <c r="L3606" s="66"/>
      <c r="M3606" s="79" t="str">
        <f>HYPERLINK("http://www.pristavka.com/catalog/hasbro/HSB294/")</f>
        <v>http://www.pristavka.com/catalog/hasbro/HSB294/</v>
      </c>
      <c r="N3606" s="71">
        <v>36299</v>
      </c>
      <c r="O3606" s="66" t="s">
        <v>28</v>
      </c>
      <c r="P3606" s="82" t="s">
        <v>13464</v>
      </c>
      <c r="Q3606" s="84" t="s">
        <v>3784</v>
      </c>
      <c r="R3606" s="84" t="s">
        <v>3785</v>
      </c>
      <c r="S3606" s="84">
        <v>0.2</v>
      </c>
      <c r="T3606" s="82" t="s">
        <v>13465</v>
      </c>
      <c r="U3606" s="84" t="s">
        <v>3584</v>
      </c>
      <c r="V3606" s="54"/>
    </row>
    <row r="3607" spans="1:22" s="11" customFormat="1" ht="45" customHeight="1" x14ac:dyDescent="0.2">
      <c r="A3607" s="66" t="s">
        <v>3785</v>
      </c>
      <c r="B3607" s="66" t="s">
        <v>1707</v>
      </c>
      <c r="C3607" s="66" t="s">
        <v>3785</v>
      </c>
      <c r="D3607" s="66" t="s">
        <v>13466</v>
      </c>
      <c r="E3607" s="68" t="s">
        <v>13467</v>
      </c>
      <c r="F3607" s="66" t="s">
        <v>13468</v>
      </c>
      <c r="G3607" s="71">
        <v>51303</v>
      </c>
      <c r="H3607" s="73"/>
      <c r="I3607" s="75">
        <v>0.1</v>
      </c>
      <c r="J3607" s="77"/>
      <c r="K3607" s="66"/>
      <c r="L3607" s="66"/>
      <c r="M3607" s="79" t="str">
        <f>HYPERLINK("http://www.pristavka.com/catalog/hasbro/HSB277/")</f>
        <v>http://www.pristavka.com/catalog/hasbro/HSB277/</v>
      </c>
      <c r="N3607" s="71">
        <v>77799</v>
      </c>
      <c r="O3607" s="66" t="s">
        <v>27</v>
      </c>
      <c r="P3607" s="82" t="s">
        <v>13469</v>
      </c>
      <c r="Q3607" s="84" t="s">
        <v>3784</v>
      </c>
      <c r="R3607" s="84" t="s">
        <v>3785</v>
      </c>
      <c r="S3607" s="84">
        <v>0.505</v>
      </c>
      <c r="T3607" s="82" t="s">
        <v>13470</v>
      </c>
      <c r="U3607" s="84" t="s">
        <v>3584</v>
      </c>
      <c r="V3607" s="54"/>
    </row>
    <row r="3608" spans="1:22" s="11" customFormat="1" ht="45" customHeight="1" x14ac:dyDescent="0.2">
      <c r="A3608" s="66" t="s">
        <v>3785</v>
      </c>
      <c r="B3608" s="66" t="s">
        <v>1707</v>
      </c>
      <c r="C3608" s="66" t="s">
        <v>3785</v>
      </c>
      <c r="D3608" s="66" t="s">
        <v>13471</v>
      </c>
      <c r="E3608" s="68" t="s">
        <v>13472</v>
      </c>
      <c r="F3608" s="66" t="s">
        <v>13473</v>
      </c>
      <c r="G3608" s="71">
        <v>50922</v>
      </c>
      <c r="H3608" s="73"/>
      <c r="I3608" s="75">
        <v>0.1</v>
      </c>
      <c r="J3608" s="77"/>
      <c r="K3608" s="66"/>
      <c r="L3608" s="66"/>
      <c r="M3608" s="79" t="str">
        <f>HYPERLINK("http://www.pristavka.com/catalog/hasbro/HSB287/")</f>
        <v>http://www.pristavka.com/catalog/hasbro/HSB287/</v>
      </c>
      <c r="N3608" s="71">
        <v>77199</v>
      </c>
      <c r="O3608" s="66" t="s">
        <v>28</v>
      </c>
      <c r="P3608" s="82" t="s">
        <v>13474</v>
      </c>
      <c r="Q3608" s="84" t="s">
        <v>3784</v>
      </c>
      <c r="R3608" s="84" t="s">
        <v>3785</v>
      </c>
      <c r="S3608" s="84">
        <v>0.39</v>
      </c>
      <c r="T3608" s="82" t="s">
        <v>13475</v>
      </c>
      <c r="U3608" s="84" t="s">
        <v>3584</v>
      </c>
      <c r="V3608" s="54"/>
    </row>
    <row r="3609" spans="1:22" s="11" customFormat="1" ht="45" customHeight="1" x14ac:dyDescent="0.2">
      <c r="A3609" s="66" t="s">
        <v>3785</v>
      </c>
      <c r="B3609" s="66" t="s">
        <v>1707</v>
      </c>
      <c r="C3609" s="66" t="s">
        <v>3785</v>
      </c>
      <c r="D3609" s="66" t="s">
        <v>13476</v>
      </c>
      <c r="E3609" s="68" t="s">
        <v>13477</v>
      </c>
      <c r="F3609" s="66" t="s">
        <v>13478</v>
      </c>
      <c r="G3609" s="71">
        <v>50922</v>
      </c>
      <c r="H3609" s="73"/>
      <c r="I3609" s="75">
        <v>0.1</v>
      </c>
      <c r="J3609" s="77"/>
      <c r="K3609" s="66"/>
      <c r="L3609" s="66"/>
      <c r="M3609" s="79" t="str">
        <f>HYPERLINK("http://www.pristavka.com/catalog/hasbro/HSB288/")</f>
        <v>http://www.pristavka.com/catalog/hasbro/HSB288/</v>
      </c>
      <c r="N3609" s="71">
        <v>77199</v>
      </c>
      <c r="O3609" s="66" t="s">
        <v>28</v>
      </c>
      <c r="P3609" s="82" t="s">
        <v>13479</v>
      </c>
      <c r="Q3609" s="84" t="s">
        <v>3784</v>
      </c>
      <c r="R3609" s="84" t="s">
        <v>3785</v>
      </c>
      <c r="S3609" s="84">
        <v>0.48199999999999998</v>
      </c>
      <c r="T3609" s="82" t="s">
        <v>13480</v>
      </c>
      <c r="U3609" s="84" t="s">
        <v>3584</v>
      </c>
      <c r="V3609" s="54"/>
    </row>
    <row r="3610" spans="1:22" s="11" customFormat="1" ht="45" customHeight="1" x14ac:dyDescent="0.2">
      <c r="A3610" s="66" t="s">
        <v>3785</v>
      </c>
      <c r="B3610" s="66" t="s">
        <v>1707</v>
      </c>
      <c r="C3610" s="66" t="s">
        <v>3785</v>
      </c>
      <c r="D3610" s="66" t="s">
        <v>13481</v>
      </c>
      <c r="E3610" s="68" t="s">
        <v>13482</v>
      </c>
      <c r="F3610" s="66" t="s">
        <v>13483</v>
      </c>
      <c r="G3610" s="71">
        <v>186656</v>
      </c>
      <c r="H3610" s="73"/>
      <c r="I3610" s="75">
        <v>0.1</v>
      </c>
      <c r="J3610" s="77"/>
      <c r="K3610" s="66"/>
      <c r="L3610" s="66"/>
      <c r="M3610" s="79" t="str">
        <f>HYPERLINK("http://www.pristavka.com/catalog/hasbro/HSB306/")</f>
        <v>http://www.pristavka.com/catalog/hasbro/HSB306/</v>
      </c>
      <c r="N3610" s="71">
        <v>230499</v>
      </c>
      <c r="O3610" s="66" t="s">
        <v>28</v>
      </c>
      <c r="P3610" s="82" t="s">
        <v>13484</v>
      </c>
      <c r="Q3610" s="84" t="s">
        <v>3784</v>
      </c>
      <c r="R3610" s="84" t="s">
        <v>3785</v>
      </c>
      <c r="S3610" s="84">
        <v>3.24</v>
      </c>
      <c r="T3610" s="82" t="s">
        <v>13485</v>
      </c>
      <c r="U3610" s="84" t="s">
        <v>3584</v>
      </c>
      <c r="V3610" s="54"/>
    </row>
    <row r="3611" spans="1:22" s="11" customFormat="1" ht="45" customHeight="1" x14ac:dyDescent="0.2">
      <c r="A3611" s="66" t="s">
        <v>3785</v>
      </c>
      <c r="B3611" s="66" t="s">
        <v>1707</v>
      </c>
      <c r="C3611" s="66" t="s">
        <v>3785</v>
      </c>
      <c r="D3611" s="66" t="s">
        <v>13486</v>
      </c>
      <c r="E3611" s="68" t="s">
        <v>13487</v>
      </c>
      <c r="F3611" s="66" t="s">
        <v>13488</v>
      </c>
      <c r="G3611" s="71">
        <v>29624</v>
      </c>
      <c r="H3611" s="73"/>
      <c r="I3611" s="75">
        <v>0.1</v>
      </c>
      <c r="J3611" s="77"/>
      <c r="K3611" s="66"/>
      <c r="L3611" s="66"/>
      <c r="M3611" s="79" t="str">
        <f>HYPERLINK("http://www.pristavka.com/catalog/hasbro/HSB330/")</f>
        <v>http://www.pristavka.com/catalog/hasbro/HSB330/</v>
      </c>
      <c r="N3611" s="71">
        <v>44899</v>
      </c>
      <c r="O3611" s="66" t="s">
        <v>27</v>
      </c>
      <c r="P3611" s="82" t="s">
        <v>13489</v>
      </c>
      <c r="Q3611" s="84" t="s">
        <v>3784</v>
      </c>
      <c r="R3611" s="84" t="s">
        <v>3785</v>
      </c>
      <c r="S3611" s="84">
        <v>0.16</v>
      </c>
      <c r="T3611" s="82" t="s">
        <v>13490</v>
      </c>
      <c r="U3611" s="84" t="s">
        <v>3584</v>
      </c>
      <c r="V3611" s="54"/>
    </row>
    <row r="3612" spans="1:22" s="11" customFormat="1" ht="45" customHeight="1" x14ac:dyDescent="0.2">
      <c r="A3612" s="66" t="s">
        <v>3785</v>
      </c>
      <c r="B3612" s="66" t="s">
        <v>1707</v>
      </c>
      <c r="C3612" s="66" t="s">
        <v>3785</v>
      </c>
      <c r="D3612" s="66" t="s">
        <v>13491</v>
      </c>
      <c r="E3612" s="68" t="s">
        <v>13492</v>
      </c>
      <c r="F3612" s="66" t="s">
        <v>13493</v>
      </c>
      <c r="G3612" s="71">
        <v>34188</v>
      </c>
      <c r="H3612" s="73"/>
      <c r="I3612" s="75">
        <v>0.1</v>
      </c>
      <c r="J3612" s="77"/>
      <c r="K3612" s="66"/>
      <c r="L3612" s="66"/>
      <c r="M3612" s="79" t="str">
        <f>HYPERLINK("http://www.pristavka.com/catalog/hasbro/HSB302/")</f>
        <v>http://www.pristavka.com/catalog/hasbro/HSB302/</v>
      </c>
      <c r="N3612" s="71">
        <v>51899</v>
      </c>
      <c r="O3612" s="66" t="s">
        <v>28</v>
      </c>
      <c r="P3612" s="82" t="s">
        <v>13494</v>
      </c>
      <c r="Q3612" s="84" t="s">
        <v>3784</v>
      </c>
      <c r="R3612" s="84" t="s">
        <v>3785</v>
      </c>
      <c r="S3612" s="84">
        <v>0.32200000000000001</v>
      </c>
      <c r="T3612" s="82" t="s">
        <v>13447</v>
      </c>
      <c r="U3612" s="84" t="s">
        <v>3584</v>
      </c>
      <c r="V3612" s="54"/>
    </row>
    <row r="3613" spans="1:22" s="11" customFormat="1" ht="45" customHeight="1" x14ac:dyDescent="0.2">
      <c r="A3613" s="66" t="s">
        <v>3785</v>
      </c>
      <c r="B3613" s="66" t="s">
        <v>1707</v>
      </c>
      <c r="C3613" s="66" t="s">
        <v>3785</v>
      </c>
      <c r="D3613" s="66" t="s">
        <v>13495</v>
      </c>
      <c r="E3613" s="68" t="s">
        <v>13496</v>
      </c>
      <c r="F3613" s="66" t="s">
        <v>13497</v>
      </c>
      <c r="G3613" s="71">
        <v>23920</v>
      </c>
      <c r="H3613" s="73"/>
      <c r="I3613" s="75">
        <v>0.1</v>
      </c>
      <c r="J3613" s="77"/>
      <c r="K3613" s="66"/>
      <c r="L3613" s="66"/>
      <c r="M3613" s="79" t="str">
        <f>HYPERLINK("http://www.pristavka.com/catalog/hasbro/HSB297/")</f>
        <v>http://www.pristavka.com/catalog/hasbro/HSB297/</v>
      </c>
      <c r="N3613" s="71">
        <v>36299</v>
      </c>
      <c r="O3613" s="66" t="s">
        <v>27</v>
      </c>
      <c r="P3613" s="82" t="s">
        <v>13498</v>
      </c>
      <c r="Q3613" s="84" t="s">
        <v>3784</v>
      </c>
      <c r="R3613" s="84" t="s">
        <v>3785</v>
      </c>
      <c r="S3613" s="84">
        <v>0.18</v>
      </c>
      <c r="T3613" s="82" t="s">
        <v>13499</v>
      </c>
      <c r="U3613" s="84" t="s">
        <v>3584</v>
      </c>
      <c r="V3613" s="54"/>
    </row>
    <row r="3614" spans="1:22" s="11" customFormat="1" ht="45" customHeight="1" x14ac:dyDescent="0.2">
      <c r="A3614" s="66" t="s">
        <v>3785</v>
      </c>
      <c r="B3614" s="66" t="s">
        <v>1707</v>
      </c>
      <c r="C3614" s="66" t="s">
        <v>3785</v>
      </c>
      <c r="D3614" s="66" t="s">
        <v>13500</v>
      </c>
      <c r="E3614" s="68" t="s">
        <v>13501</v>
      </c>
      <c r="F3614" s="66" t="s">
        <v>13502</v>
      </c>
      <c r="G3614" s="71">
        <v>23920</v>
      </c>
      <c r="H3614" s="73"/>
      <c r="I3614" s="75">
        <v>0.1</v>
      </c>
      <c r="J3614" s="77"/>
      <c r="K3614" s="66"/>
      <c r="L3614" s="66"/>
      <c r="M3614" s="79" t="str">
        <f>HYPERLINK("http://www.pristavka.com/catalog/hasbro/HSB301/")</f>
        <v>http://www.pristavka.com/catalog/hasbro/HSB301/</v>
      </c>
      <c r="N3614" s="71">
        <v>36299</v>
      </c>
      <c r="O3614" s="66" t="s">
        <v>28</v>
      </c>
      <c r="P3614" s="82" t="s">
        <v>13503</v>
      </c>
      <c r="Q3614" s="84" t="s">
        <v>3784</v>
      </c>
      <c r="R3614" s="84" t="s">
        <v>3785</v>
      </c>
      <c r="S3614" s="84">
        <v>0.2</v>
      </c>
      <c r="T3614" s="82" t="s">
        <v>13504</v>
      </c>
      <c r="U3614" s="84" t="s">
        <v>3584</v>
      </c>
      <c r="V3614" s="54"/>
    </row>
    <row r="3615" spans="1:22" s="11" customFormat="1" ht="45" customHeight="1" x14ac:dyDescent="0.2">
      <c r="A3615" s="66" t="s">
        <v>3785</v>
      </c>
      <c r="B3615" s="66" t="s">
        <v>1707</v>
      </c>
      <c r="C3615" s="66" t="s">
        <v>3785</v>
      </c>
      <c r="D3615" s="66" t="s">
        <v>13505</v>
      </c>
      <c r="E3615" s="68" t="s">
        <v>13506</v>
      </c>
      <c r="F3615" s="66" t="s">
        <v>13507</v>
      </c>
      <c r="G3615" s="71">
        <v>50922</v>
      </c>
      <c r="H3615" s="73"/>
      <c r="I3615" s="75">
        <v>0.1</v>
      </c>
      <c r="J3615" s="77"/>
      <c r="K3615" s="66"/>
      <c r="L3615" s="66"/>
      <c r="M3615" s="79" t="str">
        <f>HYPERLINK("http://www.pristavka.com/catalog/hasbro/HSB299/")</f>
        <v>http://www.pristavka.com/catalog/hasbro/HSB299/</v>
      </c>
      <c r="N3615" s="71">
        <v>77199</v>
      </c>
      <c r="O3615" s="66" t="s">
        <v>28</v>
      </c>
      <c r="P3615" s="82" t="s">
        <v>13508</v>
      </c>
      <c r="Q3615" s="84" t="s">
        <v>3784</v>
      </c>
      <c r="R3615" s="84" t="s">
        <v>3785</v>
      </c>
      <c r="S3615" s="84">
        <v>0.504</v>
      </c>
      <c r="T3615" s="82" t="s">
        <v>13509</v>
      </c>
      <c r="U3615" s="84" t="s">
        <v>3584</v>
      </c>
      <c r="V3615" s="54"/>
    </row>
    <row r="3616" spans="1:22" s="11" customFormat="1" ht="45" customHeight="1" x14ac:dyDescent="0.2">
      <c r="A3616" s="66" t="s">
        <v>3785</v>
      </c>
      <c r="B3616" s="66" t="s">
        <v>1707</v>
      </c>
      <c r="C3616" s="66" t="s">
        <v>3785</v>
      </c>
      <c r="D3616" s="66">
        <v>5010994202453</v>
      </c>
      <c r="E3616" s="68" t="s">
        <v>13510</v>
      </c>
      <c r="F3616" s="66" t="s">
        <v>13511</v>
      </c>
      <c r="G3616" s="71">
        <v>12130</v>
      </c>
      <c r="H3616" s="73"/>
      <c r="I3616" s="75">
        <v>0.1</v>
      </c>
      <c r="J3616" s="77"/>
      <c r="K3616" s="66"/>
      <c r="L3616" s="66"/>
      <c r="M3616" s="79" t="str">
        <f>HYPERLINK("http://www.pristavka.com/catalog/hasbro/HSB336/")</f>
        <v>http://www.pristavka.com/catalog/hasbro/HSB336/</v>
      </c>
      <c r="N3616" s="71">
        <v>18399</v>
      </c>
      <c r="O3616" s="66" t="s">
        <v>28</v>
      </c>
      <c r="P3616" s="82" t="s">
        <v>13512</v>
      </c>
      <c r="Q3616" s="84" t="s">
        <v>6087</v>
      </c>
      <c r="R3616" s="84" t="s">
        <v>3785</v>
      </c>
      <c r="S3616" s="84">
        <v>0.109</v>
      </c>
      <c r="T3616" s="82" t="s">
        <v>13513</v>
      </c>
      <c r="U3616" s="84"/>
      <c r="V3616" s="54"/>
    </row>
    <row r="3617" spans="1:22" s="11" customFormat="1" ht="45" customHeight="1" x14ac:dyDescent="0.2">
      <c r="A3617" s="66" t="s">
        <v>3785</v>
      </c>
      <c r="B3617" s="66" t="s">
        <v>1707</v>
      </c>
      <c r="C3617" s="66" t="s">
        <v>3785</v>
      </c>
      <c r="D3617" s="66">
        <v>5010994192754</v>
      </c>
      <c r="E3617" s="68" t="s">
        <v>13514</v>
      </c>
      <c r="F3617" s="66" t="s">
        <v>13515</v>
      </c>
      <c r="G3617" s="71">
        <v>20877</v>
      </c>
      <c r="H3617" s="73"/>
      <c r="I3617" s="75">
        <v>0.1</v>
      </c>
      <c r="J3617" s="77"/>
      <c r="K3617" s="66"/>
      <c r="L3617" s="66"/>
      <c r="M3617" s="79" t="str">
        <f>HYPERLINK("http://www.pristavka.com/catalog/hasbro/HSB331/")</f>
        <v>http://www.pristavka.com/catalog/hasbro/HSB331/</v>
      </c>
      <c r="N3617" s="71">
        <v>31699</v>
      </c>
      <c r="O3617" s="66" t="s">
        <v>28</v>
      </c>
      <c r="P3617" s="82" t="s">
        <v>13516</v>
      </c>
      <c r="Q3617" s="84" t="s">
        <v>6087</v>
      </c>
      <c r="R3617" s="84" t="s">
        <v>3785</v>
      </c>
      <c r="S3617" s="84">
        <v>0.68600000000000005</v>
      </c>
      <c r="T3617" s="82" t="s">
        <v>13517</v>
      </c>
      <c r="U3617" s="84"/>
      <c r="V3617" s="54"/>
    </row>
    <row r="3618" spans="1:22" s="11" customFormat="1" ht="45" customHeight="1" x14ac:dyDescent="0.2">
      <c r="A3618" s="66" t="s">
        <v>3785</v>
      </c>
      <c r="B3618" s="66" t="s">
        <v>1707</v>
      </c>
      <c r="C3618" s="66" t="s">
        <v>3785</v>
      </c>
      <c r="D3618" s="66">
        <v>5010996102867</v>
      </c>
      <c r="E3618" s="68" t="s">
        <v>13518</v>
      </c>
      <c r="F3618" s="66" t="s">
        <v>13519</v>
      </c>
      <c r="G3618" s="71">
        <v>25061</v>
      </c>
      <c r="H3618" s="73"/>
      <c r="I3618" s="75">
        <v>0.1</v>
      </c>
      <c r="J3618" s="77"/>
      <c r="K3618" s="66"/>
      <c r="L3618" s="66"/>
      <c r="M3618" s="79" t="str">
        <f>HYPERLINK("http://www.pristavka.com/catalog/hasbro/HSB332/")</f>
        <v>http://www.pristavka.com/catalog/hasbro/HSB332/</v>
      </c>
      <c r="N3618" s="71">
        <v>37999</v>
      </c>
      <c r="O3618" s="66" t="s">
        <v>27</v>
      </c>
      <c r="P3618" s="82" t="s">
        <v>13520</v>
      </c>
      <c r="Q3618" s="84" t="s">
        <v>6087</v>
      </c>
      <c r="R3618" s="84" t="s">
        <v>3785</v>
      </c>
      <c r="S3618" s="84">
        <v>0.94899999999999995</v>
      </c>
      <c r="T3618" s="82" t="s">
        <v>13521</v>
      </c>
      <c r="U3618" s="84"/>
      <c r="V3618" s="54"/>
    </row>
    <row r="3619" spans="1:22" s="11" customFormat="1" ht="45" customHeight="1" x14ac:dyDescent="0.2">
      <c r="A3619" s="66" t="s">
        <v>3785</v>
      </c>
      <c r="B3619" s="66" t="s">
        <v>1707</v>
      </c>
      <c r="C3619" s="66" t="s">
        <v>3785</v>
      </c>
      <c r="D3619" s="66">
        <v>5010994202422</v>
      </c>
      <c r="E3619" s="68" t="s">
        <v>13522</v>
      </c>
      <c r="F3619" s="66" t="s">
        <v>13523</v>
      </c>
      <c r="G3619" s="71">
        <v>12130</v>
      </c>
      <c r="H3619" s="73"/>
      <c r="I3619" s="75">
        <v>0.1</v>
      </c>
      <c r="J3619" s="77"/>
      <c r="K3619" s="66"/>
      <c r="L3619" s="66"/>
      <c r="M3619" s="79" t="str">
        <f>HYPERLINK("http://www.pristavka.com/catalog/hasbro/HSB338/")</f>
        <v>http://www.pristavka.com/catalog/hasbro/HSB338/</v>
      </c>
      <c r="N3619" s="71">
        <v>18399</v>
      </c>
      <c r="O3619" s="66" t="s">
        <v>28</v>
      </c>
      <c r="P3619" s="82" t="s">
        <v>13524</v>
      </c>
      <c r="Q3619" s="84" t="s">
        <v>6087</v>
      </c>
      <c r="R3619" s="84" t="s">
        <v>3785</v>
      </c>
      <c r="S3619" s="84">
        <v>0.107</v>
      </c>
      <c r="T3619" s="82" t="s">
        <v>13513</v>
      </c>
      <c r="U3619" s="84"/>
      <c r="V3619" s="54"/>
    </row>
    <row r="3620" spans="1:22" s="11" customFormat="1" ht="45" customHeight="1" x14ac:dyDescent="0.2">
      <c r="A3620" s="66" t="s">
        <v>3785</v>
      </c>
      <c r="B3620" s="66" t="s">
        <v>1707</v>
      </c>
      <c r="C3620" s="66" t="s">
        <v>3785</v>
      </c>
      <c r="D3620" s="66">
        <v>5010994184148</v>
      </c>
      <c r="E3620" s="68" t="s">
        <v>13525</v>
      </c>
      <c r="F3620" s="66" t="s">
        <v>13526</v>
      </c>
      <c r="G3620" s="71">
        <v>22779</v>
      </c>
      <c r="H3620" s="73"/>
      <c r="I3620" s="75">
        <v>0.1</v>
      </c>
      <c r="J3620" s="77"/>
      <c r="K3620" s="66"/>
      <c r="L3620" s="66"/>
      <c r="M3620" s="79" t="str">
        <f>HYPERLINK("http://www.pristavka.com/catalog/hasbro/HSB335/")</f>
        <v>http://www.pristavka.com/catalog/hasbro/HSB335/</v>
      </c>
      <c r="N3620" s="71">
        <v>34599</v>
      </c>
      <c r="O3620" s="66" t="s">
        <v>28</v>
      </c>
      <c r="P3620" s="82" t="s">
        <v>13527</v>
      </c>
      <c r="Q3620" s="84" t="s">
        <v>3784</v>
      </c>
      <c r="R3620" s="84" t="s">
        <v>3785</v>
      </c>
      <c r="S3620" s="84">
        <v>0.28299999999999997</v>
      </c>
      <c r="T3620" s="82" t="s">
        <v>13528</v>
      </c>
      <c r="U3620" s="84"/>
      <c r="V3620" s="54"/>
    </row>
    <row r="3621" spans="1:22" s="11" customFormat="1" ht="45" customHeight="1" x14ac:dyDescent="0.2">
      <c r="A3621" s="66" t="s">
        <v>3785</v>
      </c>
      <c r="B3621" s="66" t="s">
        <v>1155</v>
      </c>
      <c r="C3621" s="66" t="s">
        <v>3785</v>
      </c>
      <c r="D3621" s="66" t="s">
        <v>13529</v>
      </c>
      <c r="E3621" s="68" t="s">
        <v>13530</v>
      </c>
      <c r="F3621" s="66" t="s">
        <v>13531</v>
      </c>
      <c r="G3621" s="71">
        <v>44964</v>
      </c>
      <c r="H3621" s="73"/>
      <c r="I3621" s="75">
        <v>0.1</v>
      </c>
      <c r="J3621" s="77"/>
      <c r="K3621" s="66"/>
      <c r="L3621" s="66"/>
      <c r="M3621" s="79" t="str">
        <f>HYPERLINK("http://www.pristavka.com/catalog/hasbro/HSB117/")</f>
        <v>http://www.pristavka.com/catalog/hasbro/HSB117/</v>
      </c>
      <c r="N3621" s="71">
        <v>63399</v>
      </c>
      <c r="O3621" s="66" t="s">
        <v>28</v>
      </c>
      <c r="P3621" s="82" t="s">
        <v>13532</v>
      </c>
      <c r="Q3621" s="84" t="s">
        <v>1321</v>
      </c>
      <c r="R3621" s="84" t="s">
        <v>1322</v>
      </c>
      <c r="S3621" s="84">
        <v>1.847</v>
      </c>
      <c r="T3621" s="82" t="s">
        <v>13533</v>
      </c>
      <c r="U3621" s="84"/>
      <c r="V3621" s="54"/>
    </row>
    <row r="3622" spans="1:22" s="11" customFormat="1" ht="45" customHeight="1" x14ac:dyDescent="0.2">
      <c r="A3622" s="66" t="s">
        <v>3785</v>
      </c>
      <c r="B3622" s="66" t="s">
        <v>26</v>
      </c>
      <c r="C3622" s="66" t="s">
        <v>3785</v>
      </c>
      <c r="D3622" s="66" t="s">
        <v>13534</v>
      </c>
      <c r="E3622" s="68" t="s">
        <v>13535</v>
      </c>
      <c r="F3622" s="66" t="s">
        <v>13536</v>
      </c>
      <c r="G3622" s="71">
        <v>124037</v>
      </c>
      <c r="H3622" s="73"/>
      <c r="I3622" s="75">
        <v>0.2</v>
      </c>
      <c r="J3622" s="66"/>
      <c r="K3622" s="66"/>
      <c r="L3622" s="66"/>
      <c r="M3622" s="79" t="str">
        <f>HYPERLINK("http://www.pristavka.com/catalog/hasbro/HSB91/")</f>
        <v>http://www.pristavka.com/catalog/hasbro/HSB91/</v>
      </c>
      <c r="N3622" s="71">
        <v>153199</v>
      </c>
      <c r="O3622" s="66" t="s">
        <v>27</v>
      </c>
      <c r="P3622" s="82" t="s">
        <v>13537</v>
      </c>
      <c r="Q3622" s="84" t="s">
        <v>3916</v>
      </c>
      <c r="R3622" s="84" t="s">
        <v>1322</v>
      </c>
      <c r="S3622" s="84">
        <v>1.845</v>
      </c>
      <c r="T3622" s="82" t="s">
        <v>13538</v>
      </c>
      <c r="U3622" s="84"/>
      <c r="V3622" s="54"/>
    </row>
    <row r="3623" spans="1:22" s="11" customFormat="1" ht="45" customHeight="1" x14ac:dyDescent="0.2">
      <c r="A3623" s="66" t="s">
        <v>13539</v>
      </c>
      <c r="B3623" s="66" t="s">
        <v>1707</v>
      </c>
      <c r="C3623" s="66" t="s">
        <v>13539</v>
      </c>
      <c r="D3623" s="66">
        <v>6957534201707</v>
      </c>
      <c r="E3623" s="68" t="s">
        <v>13540</v>
      </c>
      <c r="F3623" s="66" t="s">
        <v>13541</v>
      </c>
      <c r="G3623" s="71">
        <v>9715</v>
      </c>
      <c r="H3623" s="73"/>
      <c r="I3623" s="75">
        <v>0.2</v>
      </c>
      <c r="J3623" s="77"/>
      <c r="K3623" s="66"/>
      <c r="L3623" s="66"/>
      <c r="M3623" s="79" t="str">
        <f>HYPERLINK("http://www.pristavka.com/catalog/hiya_Toys/HT2/")</f>
        <v>http://www.pristavka.com/catalog/hiya_Toys/HT2/</v>
      </c>
      <c r="N3623" s="71">
        <v>13799</v>
      </c>
      <c r="O3623" s="66" t="s">
        <v>27</v>
      </c>
      <c r="P3623" s="82" t="s">
        <v>13542</v>
      </c>
      <c r="Q3623" s="84"/>
      <c r="R3623" s="84"/>
      <c r="S3623" s="84">
        <v>9.5000000000000001E-2</v>
      </c>
      <c r="T3623" s="82" t="s">
        <v>13543</v>
      </c>
      <c r="U3623" s="84"/>
      <c r="V3623" s="54"/>
    </row>
    <row r="3624" spans="1:22" s="11" customFormat="1" ht="45" customHeight="1" x14ac:dyDescent="0.2">
      <c r="A3624" s="66" t="s">
        <v>12818</v>
      </c>
      <c r="B3624" s="66" t="s">
        <v>1155</v>
      </c>
      <c r="C3624" s="66" t="s">
        <v>9605</v>
      </c>
      <c r="D3624" s="66">
        <v>6942421145813</v>
      </c>
      <c r="E3624" s="68" t="s">
        <v>13544</v>
      </c>
      <c r="F3624" s="66" t="s">
        <v>13545</v>
      </c>
      <c r="G3624" s="71">
        <v>5990</v>
      </c>
      <c r="H3624" s="73"/>
      <c r="I3624" s="75">
        <v>0.2</v>
      </c>
      <c r="J3624" s="77"/>
      <c r="K3624" s="66"/>
      <c r="L3624" s="66"/>
      <c r="M3624" s="79" t="str">
        <f>HYPERLINK("http://www.pristavka.com/catalog/Honkai_Star_Rail/HSR258/")</f>
        <v>http://www.pristavka.com/catalog/Honkai_Star_Rail/HSR258/</v>
      </c>
      <c r="N3624" s="71">
        <v>9999</v>
      </c>
      <c r="O3624" s="66" t="s">
        <v>27</v>
      </c>
      <c r="P3624" s="82" t="s">
        <v>13546</v>
      </c>
      <c r="Q3624" s="84" t="s">
        <v>12818</v>
      </c>
      <c r="R3624" s="84" t="s">
        <v>9605</v>
      </c>
      <c r="S3624" s="84">
        <v>0.17499999999999999</v>
      </c>
      <c r="T3624" s="82" t="s">
        <v>13547</v>
      </c>
      <c r="U3624" s="84"/>
      <c r="V3624" s="54"/>
    </row>
    <row r="3625" spans="1:22" s="11" customFormat="1" ht="45" customHeight="1" x14ac:dyDescent="0.2">
      <c r="A3625" s="66" t="s">
        <v>12818</v>
      </c>
      <c r="B3625" s="66" t="s">
        <v>1155</v>
      </c>
      <c r="C3625" s="66" t="s">
        <v>9605</v>
      </c>
      <c r="D3625" s="66">
        <v>6942421145844</v>
      </c>
      <c r="E3625" s="68" t="s">
        <v>13548</v>
      </c>
      <c r="F3625" s="66" t="s">
        <v>13549</v>
      </c>
      <c r="G3625" s="71">
        <v>3164</v>
      </c>
      <c r="H3625" s="73"/>
      <c r="I3625" s="75">
        <v>0.2</v>
      </c>
      <c r="J3625" s="77"/>
      <c r="K3625" s="66"/>
      <c r="L3625" s="66"/>
      <c r="M3625" s="79" t="str">
        <f>HYPERLINK("http://www.pristavka.com/catalog/Honkai_Star_Rail/HSR259/")</f>
        <v>http://www.pristavka.com/catalog/Honkai_Star_Rail/HSR259/</v>
      </c>
      <c r="N3625" s="71">
        <v>5299</v>
      </c>
      <c r="O3625" s="66" t="s">
        <v>27</v>
      </c>
      <c r="P3625" s="82" t="s">
        <v>13550</v>
      </c>
      <c r="Q3625" s="84" t="s">
        <v>12818</v>
      </c>
      <c r="R3625" s="84" t="s">
        <v>9605</v>
      </c>
      <c r="S3625" s="84">
        <v>3.3000000000000002E-2</v>
      </c>
      <c r="T3625" s="82" t="s">
        <v>13551</v>
      </c>
      <c r="U3625" s="84"/>
      <c r="V3625" s="54"/>
    </row>
    <row r="3626" spans="1:22" s="11" customFormat="1" ht="45" customHeight="1" x14ac:dyDescent="0.2">
      <c r="A3626" s="66" t="s">
        <v>12818</v>
      </c>
      <c r="B3626" s="66" t="s">
        <v>1155</v>
      </c>
      <c r="C3626" s="66" t="s">
        <v>9605</v>
      </c>
      <c r="D3626" s="66">
        <v>6975628249879</v>
      </c>
      <c r="E3626" s="68" t="s">
        <v>13552</v>
      </c>
      <c r="F3626" s="66" t="s">
        <v>13553</v>
      </c>
      <c r="G3626" s="71">
        <v>4405</v>
      </c>
      <c r="H3626" s="73"/>
      <c r="I3626" s="75">
        <v>0.2</v>
      </c>
      <c r="J3626" s="77"/>
      <c r="K3626" s="66"/>
      <c r="L3626" s="66"/>
      <c r="M3626" s="79" t="str">
        <f>HYPERLINK("http://www.pristavka.com/catalog/Honkai_Star_Rail/HSR49/")</f>
        <v>http://www.pristavka.com/catalog/Honkai_Star_Rail/HSR49/</v>
      </c>
      <c r="N3626" s="71">
        <v>7399</v>
      </c>
      <c r="O3626" s="66" t="s">
        <v>28</v>
      </c>
      <c r="P3626" s="82" t="s">
        <v>13554</v>
      </c>
      <c r="Q3626" s="84" t="s">
        <v>12818</v>
      </c>
      <c r="R3626" s="84" t="s">
        <v>9605</v>
      </c>
      <c r="S3626" s="84">
        <v>0.185</v>
      </c>
      <c r="T3626" s="82" t="s">
        <v>13555</v>
      </c>
      <c r="U3626" s="84"/>
      <c r="V3626" s="54"/>
    </row>
    <row r="3627" spans="1:22" s="11" customFormat="1" ht="45" customHeight="1" x14ac:dyDescent="0.2">
      <c r="A3627" s="66" t="s">
        <v>12818</v>
      </c>
      <c r="B3627" s="66" t="s">
        <v>1155</v>
      </c>
      <c r="C3627" s="66" t="s">
        <v>9605</v>
      </c>
      <c r="D3627" s="66">
        <v>6975628249886</v>
      </c>
      <c r="E3627" s="68" t="s">
        <v>13556</v>
      </c>
      <c r="F3627" s="66" t="s">
        <v>13557</v>
      </c>
      <c r="G3627" s="71">
        <v>4405</v>
      </c>
      <c r="H3627" s="73"/>
      <c r="I3627" s="75">
        <v>0.2</v>
      </c>
      <c r="J3627" s="77"/>
      <c r="K3627" s="66"/>
      <c r="L3627" s="66"/>
      <c r="M3627" s="79" t="str">
        <f>HYPERLINK("http://www.pristavka.com/catalog/Honkai_Star_Rail/HSR50/")</f>
        <v>http://www.pristavka.com/catalog/Honkai_Star_Rail/HSR50/</v>
      </c>
      <c r="N3627" s="71">
        <v>7399</v>
      </c>
      <c r="O3627" s="66" t="s">
        <v>27</v>
      </c>
      <c r="P3627" s="82" t="s">
        <v>13558</v>
      </c>
      <c r="Q3627" s="84" t="s">
        <v>12818</v>
      </c>
      <c r="R3627" s="84" t="s">
        <v>9605</v>
      </c>
      <c r="S3627" s="84">
        <v>0.185</v>
      </c>
      <c r="T3627" s="82" t="s">
        <v>13555</v>
      </c>
      <c r="U3627" s="84"/>
      <c r="V3627" s="54"/>
    </row>
    <row r="3628" spans="1:22" s="11" customFormat="1" ht="45" customHeight="1" x14ac:dyDescent="0.2">
      <c r="A3628" s="66" t="s">
        <v>12818</v>
      </c>
      <c r="B3628" s="66" t="s">
        <v>1155</v>
      </c>
      <c r="C3628" s="66" t="s">
        <v>9605</v>
      </c>
      <c r="D3628" s="66">
        <v>6976068142591</v>
      </c>
      <c r="E3628" s="68" t="s">
        <v>13559</v>
      </c>
      <c r="F3628" s="66" t="s">
        <v>13560</v>
      </c>
      <c r="G3628" s="71">
        <v>4405</v>
      </c>
      <c r="H3628" s="73"/>
      <c r="I3628" s="75">
        <v>0.2</v>
      </c>
      <c r="J3628" s="77"/>
      <c r="K3628" s="66"/>
      <c r="L3628" s="66"/>
      <c r="M3628" s="79" t="str">
        <f>HYPERLINK("http://www.pristavka.com/catalog/Honkai_Star_Rail/HSR48/")</f>
        <v>http://www.pristavka.com/catalog/Honkai_Star_Rail/HSR48/</v>
      </c>
      <c r="N3628" s="71">
        <v>7399</v>
      </c>
      <c r="O3628" s="66" t="s">
        <v>27</v>
      </c>
      <c r="P3628" s="82" t="s">
        <v>13561</v>
      </c>
      <c r="Q3628" s="84" t="s">
        <v>12818</v>
      </c>
      <c r="R3628" s="84" t="s">
        <v>9605</v>
      </c>
      <c r="S3628" s="84">
        <v>0.13500000000000001</v>
      </c>
      <c r="T3628" s="82" t="s">
        <v>13562</v>
      </c>
      <c r="U3628" s="84"/>
      <c r="V3628" s="54"/>
    </row>
    <row r="3629" spans="1:22" s="11" customFormat="1" ht="45" customHeight="1" x14ac:dyDescent="0.2">
      <c r="A3629" s="66" t="s">
        <v>12818</v>
      </c>
      <c r="B3629" s="66" t="s">
        <v>1155</v>
      </c>
      <c r="C3629" s="66" t="s">
        <v>9605</v>
      </c>
      <c r="D3629" s="66">
        <v>6975628249732</v>
      </c>
      <c r="E3629" s="68" t="s">
        <v>13563</v>
      </c>
      <c r="F3629" s="66" t="s">
        <v>13564</v>
      </c>
      <c r="G3629" s="71">
        <v>4405</v>
      </c>
      <c r="H3629" s="73"/>
      <c r="I3629" s="75">
        <v>0.2</v>
      </c>
      <c r="J3629" s="77"/>
      <c r="K3629" s="66"/>
      <c r="L3629" s="66"/>
      <c r="M3629" s="79" t="str">
        <f>HYPERLINK("http://www.pristavka.com/catalog/Honkai_Star_Rail/HSR28/")</f>
        <v>http://www.pristavka.com/catalog/Honkai_Star_Rail/HSR28/</v>
      </c>
      <c r="N3629" s="71">
        <v>7399</v>
      </c>
      <c r="O3629" s="66" t="s">
        <v>27</v>
      </c>
      <c r="P3629" s="82" t="s">
        <v>13565</v>
      </c>
      <c r="Q3629" s="84" t="s">
        <v>12818</v>
      </c>
      <c r="R3629" s="84" t="s">
        <v>9605</v>
      </c>
      <c r="S3629" s="84">
        <v>0.14499999999999999</v>
      </c>
      <c r="T3629" s="82" t="s">
        <v>13562</v>
      </c>
      <c r="U3629" s="84"/>
      <c r="V3629" s="54"/>
    </row>
    <row r="3630" spans="1:22" s="11" customFormat="1" ht="45" customHeight="1" x14ac:dyDescent="0.2">
      <c r="A3630" s="66" t="s">
        <v>12818</v>
      </c>
      <c r="B3630" s="66" t="s">
        <v>1155</v>
      </c>
      <c r="C3630" s="66" t="s">
        <v>9605</v>
      </c>
      <c r="D3630" s="66">
        <v>6975628249756</v>
      </c>
      <c r="E3630" s="68" t="s">
        <v>13566</v>
      </c>
      <c r="F3630" s="66" t="s">
        <v>13567</v>
      </c>
      <c r="G3630" s="71">
        <v>4405</v>
      </c>
      <c r="H3630" s="73"/>
      <c r="I3630" s="75">
        <v>0.2</v>
      </c>
      <c r="J3630" s="77"/>
      <c r="K3630" s="66"/>
      <c r="L3630" s="66"/>
      <c r="M3630" s="79" t="str">
        <f>HYPERLINK("http://www.pristavka.com/catalog/Honkai_Star_Rail/HSR26/")</f>
        <v>http://www.pristavka.com/catalog/Honkai_Star_Rail/HSR26/</v>
      </c>
      <c r="N3630" s="71">
        <v>7399</v>
      </c>
      <c r="O3630" s="66" t="s">
        <v>28</v>
      </c>
      <c r="P3630" s="82" t="s">
        <v>13568</v>
      </c>
      <c r="Q3630" s="84" t="s">
        <v>12818</v>
      </c>
      <c r="R3630" s="84" t="s">
        <v>9605</v>
      </c>
      <c r="S3630" s="84">
        <v>0.13500000000000001</v>
      </c>
      <c r="T3630" s="82" t="s">
        <v>13562</v>
      </c>
      <c r="U3630" s="84"/>
      <c r="V3630" s="54"/>
    </row>
    <row r="3631" spans="1:22" s="11" customFormat="1" ht="45" customHeight="1" x14ac:dyDescent="0.2">
      <c r="A3631" s="66" t="s">
        <v>12818</v>
      </c>
      <c r="B3631" s="66" t="s">
        <v>1155</v>
      </c>
      <c r="C3631" s="66" t="s">
        <v>9605</v>
      </c>
      <c r="D3631" s="66">
        <v>6976068142577</v>
      </c>
      <c r="E3631" s="68" t="s">
        <v>13569</v>
      </c>
      <c r="F3631" s="66" t="s">
        <v>13570</v>
      </c>
      <c r="G3631" s="71">
        <v>4405</v>
      </c>
      <c r="H3631" s="73"/>
      <c r="I3631" s="75">
        <v>0.2</v>
      </c>
      <c r="J3631" s="77"/>
      <c r="K3631" s="66"/>
      <c r="L3631" s="66"/>
      <c r="M3631" s="79" t="str">
        <f>HYPERLINK("http://www.pristavka.com/catalog/Honkai_Star_Rail/HSR29/")</f>
        <v>http://www.pristavka.com/catalog/Honkai_Star_Rail/HSR29/</v>
      </c>
      <c r="N3631" s="71">
        <v>7399</v>
      </c>
      <c r="O3631" s="66" t="s">
        <v>27</v>
      </c>
      <c r="P3631" s="82" t="s">
        <v>13571</v>
      </c>
      <c r="Q3631" s="84" t="s">
        <v>12818</v>
      </c>
      <c r="R3631" s="84" t="s">
        <v>9605</v>
      </c>
      <c r="S3631" s="84">
        <v>0.185</v>
      </c>
      <c r="T3631" s="82" t="s">
        <v>13555</v>
      </c>
      <c r="U3631" s="84"/>
      <c r="V3631" s="54"/>
    </row>
    <row r="3632" spans="1:22" s="11" customFormat="1" ht="45" customHeight="1" x14ac:dyDescent="0.2">
      <c r="A3632" s="66" t="s">
        <v>12818</v>
      </c>
      <c r="B3632" s="66" t="s">
        <v>1155</v>
      </c>
      <c r="C3632" s="66" t="s">
        <v>9605</v>
      </c>
      <c r="D3632" s="66">
        <v>6976068142621</v>
      </c>
      <c r="E3632" s="68" t="s">
        <v>13572</v>
      </c>
      <c r="F3632" s="66" t="s">
        <v>13573</v>
      </c>
      <c r="G3632" s="71">
        <v>4405</v>
      </c>
      <c r="H3632" s="73"/>
      <c r="I3632" s="75">
        <v>0.2</v>
      </c>
      <c r="J3632" s="77"/>
      <c r="K3632" s="66"/>
      <c r="L3632" s="66"/>
      <c r="M3632" s="79" t="str">
        <f>HYPERLINK("http://www.pristavka.com/catalog/Honkai_Star_Rail/HSR30/")</f>
        <v>http://www.pristavka.com/catalog/Honkai_Star_Rail/HSR30/</v>
      </c>
      <c r="N3632" s="71">
        <v>7399</v>
      </c>
      <c r="O3632" s="66" t="s">
        <v>27</v>
      </c>
      <c r="P3632" s="82" t="s">
        <v>13574</v>
      </c>
      <c r="Q3632" s="84" t="s">
        <v>12818</v>
      </c>
      <c r="R3632" s="84" t="s">
        <v>9605</v>
      </c>
      <c r="S3632" s="84">
        <v>0.185</v>
      </c>
      <c r="T3632" s="82" t="s">
        <v>13555</v>
      </c>
      <c r="U3632" s="84"/>
      <c r="V3632" s="54"/>
    </row>
    <row r="3633" spans="1:22" s="11" customFormat="1" ht="45" customHeight="1" x14ac:dyDescent="0.2">
      <c r="A3633" s="66" t="s">
        <v>12818</v>
      </c>
      <c r="B3633" s="66" t="s">
        <v>1155</v>
      </c>
      <c r="C3633" s="66" t="s">
        <v>9605</v>
      </c>
      <c r="D3633" s="66">
        <v>6975628249725</v>
      </c>
      <c r="E3633" s="68" t="s">
        <v>13575</v>
      </c>
      <c r="F3633" s="66" t="s">
        <v>13576</v>
      </c>
      <c r="G3633" s="71">
        <v>4405</v>
      </c>
      <c r="H3633" s="73"/>
      <c r="I3633" s="75">
        <v>0.2</v>
      </c>
      <c r="J3633" s="77"/>
      <c r="K3633" s="66"/>
      <c r="L3633" s="66"/>
      <c r="M3633" s="79" t="str">
        <f>HYPERLINK("http://www.pristavka.com/catalog/Honkai_Star_Rail/HSR36/")</f>
        <v>http://www.pristavka.com/catalog/Honkai_Star_Rail/HSR36/</v>
      </c>
      <c r="N3633" s="71">
        <v>7399</v>
      </c>
      <c r="O3633" s="66" t="s">
        <v>27</v>
      </c>
      <c r="P3633" s="82" t="s">
        <v>13577</v>
      </c>
      <c r="Q3633" s="84" t="s">
        <v>12818</v>
      </c>
      <c r="R3633" s="84" t="s">
        <v>9605</v>
      </c>
      <c r="S3633" s="84">
        <v>0.16400000000000001</v>
      </c>
      <c r="T3633" s="82" t="s">
        <v>13578</v>
      </c>
      <c r="U3633" s="84"/>
      <c r="V3633" s="54"/>
    </row>
    <row r="3634" spans="1:22" s="11" customFormat="1" ht="45" customHeight="1" x14ac:dyDescent="0.2">
      <c r="A3634" s="66" t="s">
        <v>12818</v>
      </c>
      <c r="B3634" s="66" t="s">
        <v>1155</v>
      </c>
      <c r="C3634" s="66" t="s">
        <v>9605</v>
      </c>
      <c r="D3634" s="66">
        <v>6976068142546</v>
      </c>
      <c r="E3634" s="68" t="s">
        <v>13579</v>
      </c>
      <c r="F3634" s="66" t="s">
        <v>13580</v>
      </c>
      <c r="G3634" s="71">
        <v>5990</v>
      </c>
      <c r="H3634" s="73"/>
      <c r="I3634" s="75">
        <v>0.2</v>
      </c>
      <c r="J3634" s="77"/>
      <c r="K3634" s="66"/>
      <c r="L3634" s="66"/>
      <c r="M3634" s="79" t="str">
        <f>HYPERLINK("http://www.pristavka.com/catalog/Honkai_Star_Rail/HSR37/")</f>
        <v>http://www.pristavka.com/catalog/Honkai_Star_Rail/HSR37/</v>
      </c>
      <c r="N3634" s="71">
        <v>9999</v>
      </c>
      <c r="O3634" s="66" t="s">
        <v>27</v>
      </c>
      <c r="P3634" s="82" t="s">
        <v>13581</v>
      </c>
      <c r="Q3634" s="84" t="s">
        <v>12818</v>
      </c>
      <c r="R3634" s="84" t="s">
        <v>9605</v>
      </c>
      <c r="S3634" s="84">
        <v>0.185</v>
      </c>
      <c r="T3634" s="82" t="s">
        <v>13555</v>
      </c>
      <c r="U3634" s="84"/>
      <c r="V3634" s="54"/>
    </row>
    <row r="3635" spans="1:22" s="11" customFormat="1" ht="45" customHeight="1" x14ac:dyDescent="0.2">
      <c r="A3635" s="66" t="s">
        <v>12818</v>
      </c>
      <c r="B3635" s="66" t="s">
        <v>1155</v>
      </c>
      <c r="C3635" s="66" t="s">
        <v>9605</v>
      </c>
      <c r="D3635" s="66">
        <v>6976068142843</v>
      </c>
      <c r="E3635" s="68" t="s">
        <v>13582</v>
      </c>
      <c r="F3635" s="66" t="s">
        <v>13583</v>
      </c>
      <c r="G3635" s="71">
        <v>4405</v>
      </c>
      <c r="H3635" s="73"/>
      <c r="I3635" s="75">
        <v>0.2</v>
      </c>
      <c r="J3635" s="77"/>
      <c r="K3635" s="66"/>
      <c r="L3635" s="66"/>
      <c r="M3635" s="79" t="str">
        <f>HYPERLINK("http://www.pristavka.com/catalog/Honkai_Star_Rail/HSR39/")</f>
        <v>http://www.pristavka.com/catalog/Honkai_Star_Rail/HSR39/</v>
      </c>
      <c r="N3635" s="71">
        <v>7399</v>
      </c>
      <c r="O3635" s="66" t="s">
        <v>27</v>
      </c>
      <c r="P3635" s="82" t="s">
        <v>13584</v>
      </c>
      <c r="Q3635" s="84" t="s">
        <v>12818</v>
      </c>
      <c r="R3635" s="84" t="s">
        <v>9605</v>
      </c>
      <c r="S3635" s="84">
        <v>0.16400000000000001</v>
      </c>
      <c r="T3635" s="82" t="s">
        <v>13578</v>
      </c>
      <c r="U3635" s="84"/>
      <c r="V3635" s="54"/>
    </row>
    <row r="3636" spans="1:22" s="11" customFormat="1" ht="45" customHeight="1" x14ac:dyDescent="0.2">
      <c r="A3636" s="66" t="s">
        <v>12818</v>
      </c>
      <c r="B3636" s="66" t="s">
        <v>1155</v>
      </c>
      <c r="C3636" s="66" t="s">
        <v>9605</v>
      </c>
      <c r="D3636" s="66">
        <v>6976068142584</v>
      </c>
      <c r="E3636" s="68" t="s">
        <v>13585</v>
      </c>
      <c r="F3636" s="66" t="s">
        <v>13586</v>
      </c>
      <c r="G3636" s="71">
        <v>4405</v>
      </c>
      <c r="H3636" s="73"/>
      <c r="I3636" s="75">
        <v>0.2</v>
      </c>
      <c r="J3636" s="77"/>
      <c r="K3636" s="66"/>
      <c r="L3636" s="66"/>
      <c r="M3636" s="79" t="str">
        <f>HYPERLINK("http://www.pristavka.com/catalog/Honkai_Star_Rail/HSR38/")</f>
        <v>http://www.pristavka.com/catalog/Honkai_Star_Rail/HSR38/</v>
      </c>
      <c r="N3636" s="71">
        <v>7399</v>
      </c>
      <c r="O3636" s="66" t="s">
        <v>27</v>
      </c>
      <c r="P3636" s="82" t="s">
        <v>13587</v>
      </c>
      <c r="Q3636" s="84" t="s">
        <v>12818</v>
      </c>
      <c r="R3636" s="84" t="s">
        <v>9605</v>
      </c>
      <c r="S3636" s="84">
        <v>0.185</v>
      </c>
      <c r="T3636" s="82" t="s">
        <v>13555</v>
      </c>
      <c r="U3636" s="84"/>
      <c r="V3636" s="54"/>
    </row>
    <row r="3637" spans="1:22" s="11" customFormat="1" ht="45" customHeight="1" x14ac:dyDescent="0.2">
      <c r="A3637" s="66" t="s">
        <v>12818</v>
      </c>
      <c r="B3637" s="66" t="s">
        <v>1155</v>
      </c>
      <c r="C3637" s="66" t="s">
        <v>9605</v>
      </c>
      <c r="D3637" s="66">
        <v>6975628249749</v>
      </c>
      <c r="E3637" s="68" t="s">
        <v>13588</v>
      </c>
      <c r="F3637" s="66" t="s">
        <v>13589</v>
      </c>
      <c r="G3637" s="71">
        <v>4405</v>
      </c>
      <c r="H3637" s="73"/>
      <c r="I3637" s="75">
        <v>0.2</v>
      </c>
      <c r="J3637" s="77"/>
      <c r="K3637" s="66"/>
      <c r="L3637" s="66"/>
      <c r="M3637" s="79" t="str">
        <f>HYPERLINK("http://www.pristavka.com/catalog/Honkai_Star_Rail/HSR44/")</f>
        <v>http://www.pristavka.com/catalog/Honkai_Star_Rail/HSR44/</v>
      </c>
      <c r="N3637" s="71">
        <v>7399</v>
      </c>
      <c r="O3637" s="66" t="s">
        <v>27</v>
      </c>
      <c r="P3637" s="82" t="s">
        <v>13590</v>
      </c>
      <c r="Q3637" s="84" t="s">
        <v>12818</v>
      </c>
      <c r="R3637" s="84" t="s">
        <v>9605</v>
      </c>
      <c r="S3637" s="84">
        <v>0.13500000000000001</v>
      </c>
      <c r="T3637" s="82" t="s">
        <v>13562</v>
      </c>
      <c r="U3637" s="84"/>
      <c r="V3637" s="54"/>
    </row>
    <row r="3638" spans="1:22" s="11" customFormat="1" ht="45" customHeight="1" x14ac:dyDescent="0.2">
      <c r="A3638" s="66" t="s">
        <v>12818</v>
      </c>
      <c r="B3638" s="66" t="s">
        <v>1155</v>
      </c>
      <c r="C3638" s="66" t="s">
        <v>9605</v>
      </c>
      <c r="D3638" s="66">
        <v>6976068142553</v>
      </c>
      <c r="E3638" s="68" t="s">
        <v>13591</v>
      </c>
      <c r="F3638" s="66" t="s">
        <v>13592</v>
      </c>
      <c r="G3638" s="71">
        <v>4405</v>
      </c>
      <c r="H3638" s="73"/>
      <c r="I3638" s="75">
        <v>0.2</v>
      </c>
      <c r="J3638" s="77"/>
      <c r="K3638" s="66"/>
      <c r="L3638" s="66"/>
      <c r="M3638" s="79" t="str">
        <f>HYPERLINK("http://www.pristavka.com/catalog/Honkai_Star_Rail/HSR45/")</f>
        <v>http://www.pristavka.com/catalog/Honkai_Star_Rail/HSR45/</v>
      </c>
      <c r="N3638" s="71">
        <v>7399</v>
      </c>
      <c r="O3638" s="66" t="s">
        <v>27</v>
      </c>
      <c r="P3638" s="82" t="s">
        <v>13593</v>
      </c>
      <c r="Q3638" s="84" t="s">
        <v>12818</v>
      </c>
      <c r="R3638" s="84" t="s">
        <v>9605</v>
      </c>
      <c r="S3638" s="84">
        <v>0.185</v>
      </c>
      <c r="T3638" s="82" t="s">
        <v>13555</v>
      </c>
      <c r="U3638" s="84"/>
      <c r="V3638" s="54"/>
    </row>
    <row r="3639" spans="1:22" s="11" customFormat="1" ht="45" customHeight="1" x14ac:dyDescent="0.2">
      <c r="A3639" s="66" t="s">
        <v>12818</v>
      </c>
      <c r="B3639" s="66" t="s">
        <v>1155</v>
      </c>
      <c r="C3639" s="66" t="s">
        <v>9605</v>
      </c>
      <c r="D3639" s="66">
        <v>6976068142836</v>
      </c>
      <c r="E3639" s="68" t="s">
        <v>13594</v>
      </c>
      <c r="F3639" s="66" t="s">
        <v>13595</v>
      </c>
      <c r="G3639" s="71">
        <v>4405</v>
      </c>
      <c r="H3639" s="73"/>
      <c r="I3639" s="75">
        <v>0.2</v>
      </c>
      <c r="J3639" s="77"/>
      <c r="K3639" s="66"/>
      <c r="L3639" s="66"/>
      <c r="M3639" s="79" t="str">
        <f>HYPERLINK("http://www.pristavka.com/catalog/Honkai_Star_Rail/HSR46/")</f>
        <v>http://www.pristavka.com/catalog/Honkai_Star_Rail/HSR46/</v>
      </c>
      <c r="N3639" s="71">
        <v>7399</v>
      </c>
      <c r="O3639" s="66" t="s">
        <v>28</v>
      </c>
      <c r="P3639" s="82" t="s">
        <v>13596</v>
      </c>
      <c r="Q3639" s="84" t="s">
        <v>12818</v>
      </c>
      <c r="R3639" s="84" t="s">
        <v>9605</v>
      </c>
      <c r="S3639" s="84">
        <v>0.16400000000000001</v>
      </c>
      <c r="T3639" s="82" t="s">
        <v>13578</v>
      </c>
      <c r="U3639" s="84"/>
      <c r="V3639" s="54"/>
    </row>
    <row r="3640" spans="1:22" s="11" customFormat="1" ht="45" customHeight="1" x14ac:dyDescent="0.2">
      <c r="A3640" s="66" t="s">
        <v>12818</v>
      </c>
      <c r="B3640" s="66" t="s">
        <v>1155</v>
      </c>
      <c r="C3640" s="66" t="s">
        <v>9605</v>
      </c>
      <c r="D3640" s="66">
        <v>6976068142829</v>
      </c>
      <c r="E3640" s="68" t="s">
        <v>13597</v>
      </c>
      <c r="F3640" s="66" t="s">
        <v>13598</v>
      </c>
      <c r="G3640" s="71">
        <v>4405</v>
      </c>
      <c r="H3640" s="73"/>
      <c r="I3640" s="75">
        <v>0.2</v>
      </c>
      <c r="J3640" s="77"/>
      <c r="K3640" s="66"/>
      <c r="L3640" s="66"/>
      <c r="M3640" s="79" t="str">
        <f>HYPERLINK("http://www.pristavka.com/catalog/Honkai_Star_Rail/HSR47/")</f>
        <v>http://www.pristavka.com/catalog/Honkai_Star_Rail/HSR47/</v>
      </c>
      <c r="N3640" s="71">
        <v>7399</v>
      </c>
      <c r="O3640" s="66" t="s">
        <v>27</v>
      </c>
      <c r="P3640" s="82" t="s">
        <v>13599</v>
      </c>
      <c r="Q3640" s="84" t="s">
        <v>12818</v>
      </c>
      <c r="R3640" s="84" t="s">
        <v>9605</v>
      </c>
      <c r="S3640" s="84">
        <v>0.16400000000000001</v>
      </c>
      <c r="T3640" s="82" t="s">
        <v>13578</v>
      </c>
      <c r="U3640" s="84"/>
      <c r="V3640" s="54"/>
    </row>
    <row r="3641" spans="1:22" s="11" customFormat="1" ht="45" customHeight="1" x14ac:dyDescent="0.2">
      <c r="A3641" s="66" t="s">
        <v>12818</v>
      </c>
      <c r="B3641" s="66" t="s">
        <v>1155</v>
      </c>
      <c r="C3641" s="66" t="s">
        <v>9605</v>
      </c>
      <c r="D3641" s="66">
        <v>6976068142607</v>
      </c>
      <c r="E3641" s="68" t="s">
        <v>13600</v>
      </c>
      <c r="F3641" s="66" t="s">
        <v>13601</v>
      </c>
      <c r="G3641" s="71">
        <v>4405</v>
      </c>
      <c r="H3641" s="73"/>
      <c r="I3641" s="75">
        <v>0.2</v>
      </c>
      <c r="J3641" s="77"/>
      <c r="K3641" s="66"/>
      <c r="L3641" s="66"/>
      <c r="M3641" s="79" t="str">
        <f>HYPERLINK("http://www.pristavka.com/catalog/Honkai_Star_Rail/HSR41/")</f>
        <v>http://www.pristavka.com/catalog/Honkai_Star_Rail/HSR41/</v>
      </c>
      <c r="N3641" s="71">
        <v>7399</v>
      </c>
      <c r="O3641" s="66" t="s">
        <v>27</v>
      </c>
      <c r="P3641" s="82" t="s">
        <v>13602</v>
      </c>
      <c r="Q3641" s="84" t="s">
        <v>12818</v>
      </c>
      <c r="R3641" s="84" t="s">
        <v>9605</v>
      </c>
      <c r="S3641" s="84">
        <v>0.185</v>
      </c>
      <c r="T3641" s="82" t="s">
        <v>13555</v>
      </c>
      <c r="U3641" s="84"/>
      <c r="V3641" s="54"/>
    </row>
    <row r="3642" spans="1:22" s="11" customFormat="1" ht="45" customHeight="1" x14ac:dyDescent="0.2">
      <c r="A3642" s="66" t="s">
        <v>12818</v>
      </c>
      <c r="B3642" s="66" t="s">
        <v>1155</v>
      </c>
      <c r="C3642" s="66" t="s">
        <v>9605</v>
      </c>
      <c r="D3642" s="66">
        <v>6975628249893</v>
      </c>
      <c r="E3642" s="68" t="s">
        <v>13603</v>
      </c>
      <c r="F3642" s="66" t="s">
        <v>13604</v>
      </c>
      <c r="G3642" s="71">
        <v>4405</v>
      </c>
      <c r="H3642" s="73"/>
      <c r="I3642" s="75">
        <v>0.2</v>
      </c>
      <c r="J3642" s="77"/>
      <c r="K3642" s="66"/>
      <c r="L3642" s="66"/>
      <c r="M3642" s="79" t="str">
        <f>HYPERLINK("http://www.pristavka.com/catalog/Honkai_Star_Rail/HSR43/")</f>
        <v>http://www.pristavka.com/catalog/Honkai_Star_Rail/HSR43/</v>
      </c>
      <c r="N3642" s="71">
        <v>7399</v>
      </c>
      <c r="O3642" s="66" t="s">
        <v>27</v>
      </c>
      <c r="P3642" s="82" t="s">
        <v>13605</v>
      </c>
      <c r="Q3642" s="84" t="s">
        <v>12818</v>
      </c>
      <c r="R3642" s="84" t="s">
        <v>9605</v>
      </c>
      <c r="S3642" s="84">
        <v>0.16400000000000001</v>
      </c>
      <c r="T3642" s="82" t="s">
        <v>13578</v>
      </c>
      <c r="U3642" s="84"/>
      <c r="V3642" s="54"/>
    </row>
    <row r="3643" spans="1:22" s="11" customFormat="1" ht="45" customHeight="1" x14ac:dyDescent="0.2">
      <c r="A3643" s="66" t="s">
        <v>12818</v>
      </c>
      <c r="B3643" s="66" t="s">
        <v>1155</v>
      </c>
      <c r="C3643" s="66" t="s">
        <v>9605</v>
      </c>
      <c r="D3643" s="66">
        <v>6976068142560</v>
      </c>
      <c r="E3643" s="68" t="s">
        <v>13606</v>
      </c>
      <c r="F3643" s="66" t="s">
        <v>13607</v>
      </c>
      <c r="G3643" s="71">
        <v>4405</v>
      </c>
      <c r="H3643" s="73"/>
      <c r="I3643" s="75">
        <v>0.2</v>
      </c>
      <c r="J3643" s="77"/>
      <c r="K3643" s="66"/>
      <c r="L3643" s="66"/>
      <c r="M3643" s="79" t="str">
        <f>HYPERLINK("http://www.pristavka.com/catalog/Honkai_Star_Rail/HSR35/")</f>
        <v>http://www.pristavka.com/catalog/Honkai_Star_Rail/HSR35/</v>
      </c>
      <c r="N3643" s="71">
        <v>7399</v>
      </c>
      <c r="O3643" s="66" t="s">
        <v>27</v>
      </c>
      <c r="P3643" s="82" t="s">
        <v>13608</v>
      </c>
      <c r="Q3643" s="84" t="s">
        <v>12818</v>
      </c>
      <c r="R3643" s="84" t="s">
        <v>9605</v>
      </c>
      <c r="S3643" s="84">
        <v>0.13500000000000001</v>
      </c>
      <c r="T3643" s="82" t="s">
        <v>13562</v>
      </c>
      <c r="U3643" s="84"/>
      <c r="V3643" s="54"/>
    </row>
    <row r="3644" spans="1:22" s="11" customFormat="1" ht="45" customHeight="1" x14ac:dyDescent="0.2">
      <c r="A3644" s="66" t="s">
        <v>12818</v>
      </c>
      <c r="B3644" s="66" t="s">
        <v>1155</v>
      </c>
      <c r="C3644" s="66" t="s">
        <v>9605</v>
      </c>
      <c r="D3644" s="66">
        <v>6975628249671</v>
      </c>
      <c r="E3644" s="68" t="s">
        <v>13609</v>
      </c>
      <c r="F3644" s="66" t="s">
        <v>13610</v>
      </c>
      <c r="G3644" s="71">
        <v>4405</v>
      </c>
      <c r="H3644" s="73"/>
      <c r="I3644" s="75">
        <v>0.2</v>
      </c>
      <c r="J3644" s="77"/>
      <c r="K3644" s="66"/>
      <c r="L3644" s="66"/>
      <c r="M3644" s="79" t="str">
        <f>HYPERLINK("http://www.pristavka.com/catalog/Honkai_Star_Rail/HSR32/")</f>
        <v>http://www.pristavka.com/catalog/Honkai_Star_Rail/HSR32/</v>
      </c>
      <c r="N3644" s="71">
        <v>7399</v>
      </c>
      <c r="O3644" s="66" t="s">
        <v>27</v>
      </c>
      <c r="P3644" s="82" t="s">
        <v>13611</v>
      </c>
      <c r="Q3644" s="84" t="s">
        <v>12818</v>
      </c>
      <c r="R3644" s="84" t="s">
        <v>9605</v>
      </c>
      <c r="S3644" s="84">
        <v>0.185</v>
      </c>
      <c r="T3644" s="82" t="s">
        <v>13555</v>
      </c>
      <c r="U3644" s="84"/>
      <c r="V3644" s="54"/>
    </row>
    <row r="3645" spans="1:22" s="11" customFormat="1" ht="45" customHeight="1" x14ac:dyDescent="0.2">
      <c r="A3645" s="66" t="s">
        <v>12818</v>
      </c>
      <c r="B3645" s="66" t="s">
        <v>1155</v>
      </c>
      <c r="C3645" s="66" t="s">
        <v>9605</v>
      </c>
      <c r="D3645" s="66">
        <v>6976068142812</v>
      </c>
      <c r="E3645" s="68" t="s">
        <v>13612</v>
      </c>
      <c r="F3645" s="66" t="s">
        <v>13613</v>
      </c>
      <c r="G3645" s="71">
        <v>4405</v>
      </c>
      <c r="H3645" s="73"/>
      <c r="I3645" s="75">
        <v>0.2</v>
      </c>
      <c r="J3645" s="77"/>
      <c r="K3645" s="66"/>
      <c r="L3645" s="66"/>
      <c r="M3645" s="79" t="str">
        <f>HYPERLINK("http://www.pristavka.com/catalog/Honkai_Star_Rail/HSR34/")</f>
        <v>http://www.pristavka.com/catalog/Honkai_Star_Rail/HSR34/</v>
      </c>
      <c r="N3645" s="71">
        <v>7399</v>
      </c>
      <c r="O3645" s="66" t="s">
        <v>27</v>
      </c>
      <c r="P3645" s="82" t="s">
        <v>13614</v>
      </c>
      <c r="Q3645" s="84" t="s">
        <v>12818</v>
      </c>
      <c r="R3645" s="84" t="s">
        <v>9605</v>
      </c>
      <c r="S3645" s="84">
        <v>0.185</v>
      </c>
      <c r="T3645" s="82" t="s">
        <v>13555</v>
      </c>
      <c r="U3645" s="84"/>
      <c r="V3645" s="54"/>
    </row>
    <row r="3646" spans="1:22" s="11" customFormat="1" ht="45" customHeight="1" x14ac:dyDescent="0.2">
      <c r="A3646" s="66" t="s">
        <v>12818</v>
      </c>
      <c r="B3646" s="66" t="s">
        <v>1155</v>
      </c>
      <c r="C3646" s="66" t="s">
        <v>9605</v>
      </c>
      <c r="D3646" s="66">
        <v>6976068142805</v>
      </c>
      <c r="E3646" s="68" t="s">
        <v>13615</v>
      </c>
      <c r="F3646" s="66" t="s">
        <v>13616</v>
      </c>
      <c r="G3646" s="71">
        <v>4405</v>
      </c>
      <c r="H3646" s="73"/>
      <c r="I3646" s="75">
        <v>0.2</v>
      </c>
      <c r="J3646" s="77"/>
      <c r="K3646" s="66"/>
      <c r="L3646" s="66"/>
      <c r="M3646" s="79" t="str">
        <f>HYPERLINK("http://www.pristavka.com/catalog/Honkai_Star_Rail/HSR33/")</f>
        <v>http://www.pristavka.com/catalog/Honkai_Star_Rail/HSR33/</v>
      </c>
      <c r="N3646" s="71">
        <v>7399</v>
      </c>
      <c r="O3646" s="66" t="s">
        <v>28</v>
      </c>
      <c r="P3646" s="82" t="s">
        <v>13617</v>
      </c>
      <c r="Q3646" s="84" t="s">
        <v>12818</v>
      </c>
      <c r="R3646" s="84" t="s">
        <v>9605</v>
      </c>
      <c r="S3646" s="84">
        <v>0.16400000000000001</v>
      </c>
      <c r="T3646" s="82" t="s">
        <v>13578</v>
      </c>
      <c r="U3646" s="84"/>
      <c r="V3646" s="54"/>
    </row>
    <row r="3647" spans="1:22" s="11" customFormat="1" ht="45" customHeight="1" x14ac:dyDescent="0.2">
      <c r="A3647" s="66" t="s">
        <v>12818</v>
      </c>
      <c r="B3647" s="66" t="s">
        <v>1155</v>
      </c>
      <c r="C3647" s="66" t="s">
        <v>9605</v>
      </c>
      <c r="D3647" s="66">
        <v>6976525003540</v>
      </c>
      <c r="E3647" s="68" t="s">
        <v>13618</v>
      </c>
      <c r="F3647" s="66" t="s">
        <v>13619</v>
      </c>
      <c r="G3647" s="71">
        <v>6941</v>
      </c>
      <c r="H3647" s="73"/>
      <c r="I3647" s="75">
        <v>0.2</v>
      </c>
      <c r="J3647" s="77"/>
      <c r="K3647" s="66"/>
      <c r="L3647" s="66"/>
      <c r="M3647" s="79" t="str">
        <f>HYPERLINK("http://www.pristavka.com/catalog/Honkai_Star_Rail/HSR124/")</f>
        <v>http://www.pristavka.com/catalog/Honkai_Star_Rail/HSR124/</v>
      </c>
      <c r="N3647" s="71">
        <v>11599</v>
      </c>
      <c r="O3647" s="66" t="s">
        <v>27</v>
      </c>
      <c r="P3647" s="82" t="s">
        <v>13620</v>
      </c>
      <c r="Q3647" s="84" t="s">
        <v>12818</v>
      </c>
      <c r="R3647" s="84" t="s">
        <v>9605</v>
      </c>
      <c r="S3647" s="84">
        <v>0.17599999999999999</v>
      </c>
      <c r="T3647" s="82" t="s">
        <v>13621</v>
      </c>
      <c r="U3647" s="84"/>
      <c r="V3647" s="54"/>
    </row>
    <row r="3648" spans="1:22" s="11" customFormat="1" ht="45" customHeight="1" x14ac:dyDescent="0.2">
      <c r="A3648" s="66" t="s">
        <v>12818</v>
      </c>
      <c r="B3648" s="66" t="s">
        <v>1155</v>
      </c>
      <c r="C3648" s="66" t="s">
        <v>9605</v>
      </c>
      <c r="D3648" s="66">
        <v>6976068148395</v>
      </c>
      <c r="E3648" s="68" t="s">
        <v>13622</v>
      </c>
      <c r="F3648" s="66" t="s">
        <v>13623</v>
      </c>
      <c r="G3648" s="71">
        <v>5990</v>
      </c>
      <c r="H3648" s="73"/>
      <c r="I3648" s="75">
        <v>0.2</v>
      </c>
      <c r="J3648" s="77"/>
      <c r="K3648" s="66"/>
      <c r="L3648" s="66"/>
      <c r="M3648" s="79" t="str">
        <f>HYPERLINK("http://www.pristavka.com/catalog/Honkai_Star_Rail/HSR126/")</f>
        <v>http://www.pristavka.com/catalog/Honkai_Star_Rail/HSR126/</v>
      </c>
      <c r="N3648" s="71">
        <v>9999</v>
      </c>
      <c r="O3648" s="66" t="s">
        <v>27</v>
      </c>
      <c r="P3648" s="82" t="s">
        <v>13624</v>
      </c>
      <c r="Q3648" s="84" t="s">
        <v>12818</v>
      </c>
      <c r="R3648" s="84" t="s">
        <v>9605</v>
      </c>
      <c r="S3648" s="84">
        <v>0.14000000000000001</v>
      </c>
      <c r="T3648" s="82" t="s">
        <v>13625</v>
      </c>
      <c r="U3648" s="84"/>
      <c r="V3648" s="54"/>
    </row>
    <row r="3649" spans="1:22" s="11" customFormat="1" ht="45" customHeight="1" x14ac:dyDescent="0.2">
      <c r="A3649" s="66" t="s">
        <v>12818</v>
      </c>
      <c r="B3649" s="66" t="s">
        <v>1155</v>
      </c>
      <c r="C3649" s="66" t="s">
        <v>9605</v>
      </c>
      <c r="D3649" s="66">
        <v>6976068148425</v>
      </c>
      <c r="E3649" s="68" t="s">
        <v>13626</v>
      </c>
      <c r="F3649" s="66" t="s">
        <v>13627</v>
      </c>
      <c r="G3649" s="71">
        <v>5990</v>
      </c>
      <c r="H3649" s="73"/>
      <c r="I3649" s="75">
        <v>0.2</v>
      </c>
      <c r="J3649" s="77"/>
      <c r="K3649" s="66"/>
      <c r="L3649" s="66"/>
      <c r="M3649" s="79" t="str">
        <f>HYPERLINK("http://www.pristavka.com/catalog/Honkai_Star_Rail/HSR125/")</f>
        <v>http://www.pristavka.com/catalog/Honkai_Star_Rail/HSR125/</v>
      </c>
      <c r="N3649" s="71">
        <v>9999</v>
      </c>
      <c r="O3649" s="66" t="s">
        <v>27</v>
      </c>
      <c r="P3649" s="82" t="s">
        <v>13628</v>
      </c>
      <c r="Q3649" s="84" t="s">
        <v>12818</v>
      </c>
      <c r="R3649" s="84" t="s">
        <v>9605</v>
      </c>
      <c r="S3649" s="84">
        <v>0.154</v>
      </c>
      <c r="T3649" s="82" t="s">
        <v>13629</v>
      </c>
      <c r="U3649" s="84"/>
      <c r="V3649" s="54"/>
    </row>
    <row r="3650" spans="1:22" s="11" customFormat="1" ht="45" customHeight="1" x14ac:dyDescent="0.2">
      <c r="A3650" s="66" t="s">
        <v>12818</v>
      </c>
      <c r="B3650" s="66" t="s">
        <v>1155</v>
      </c>
      <c r="C3650" s="66" t="s">
        <v>9605</v>
      </c>
      <c r="D3650" s="66">
        <v>6976525003502</v>
      </c>
      <c r="E3650" s="68" t="s">
        <v>13630</v>
      </c>
      <c r="F3650" s="66" t="s">
        <v>13631</v>
      </c>
      <c r="G3650" s="71">
        <v>5990</v>
      </c>
      <c r="H3650" s="73"/>
      <c r="I3650" s="75">
        <v>0.2</v>
      </c>
      <c r="J3650" s="77"/>
      <c r="K3650" s="66"/>
      <c r="L3650" s="66"/>
      <c r="M3650" s="79" t="str">
        <f>HYPERLINK("http://www.pristavka.com/catalog/Honkai_Star_Rail/HSR127/")</f>
        <v>http://www.pristavka.com/catalog/Honkai_Star_Rail/HSR127/</v>
      </c>
      <c r="N3650" s="71">
        <v>9999</v>
      </c>
      <c r="O3650" s="66" t="s">
        <v>27</v>
      </c>
      <c r="P3650" s="82" t="s">
        <v>13632</v>
      </c>
      <c r="Q3650" s="84" t="s">
        <v>12818</v>
      </c>
      <c r="R3650" s="84" t="s">
        <v>9605</v>
      </c>
      <c r="S3650" s="84">
        <v>0.14799999999999999</v>
      </c>
      <c r="T3650" s="82" t="s">
        <v>13633</v>
      </c>
      <c r="U3650" s="84"/>
      <c r="V3650" s="54"/>
    </row>
    <row r="3651" spans="1:22" s="11" customFormat="1" ht="45" customHeight="1" x14ac:dyDescent="0.2">
      <c r="A3651" s="66" t="s">
        <v>12818</v>
      </c>
      <c r="B3651" s="66" t="s">
        <v>1155</v>
      </c>
      <c r="C3651" s="66" t="s">
        <v>9605</v>
      </c>
      <c r="D3651" s="66">
        <v>6942421116691</v>
      </c>
      <c r="E3651" s="68" t="s">
        <v>13634</v>
      </c>
      <c r="F3651" s="66" t="s">
        <v>13635</v>
      </c>
      <c r="G3651" s="71">
        <v>5990</v>
      </c>
      <c r="H3651" s="73"/>
      <c r="I3651" s="75">
        <v>0.2</v>
      </c>
      <c r="J3651" s="77"/>
      <c r="K3651" s="66"/>
      <c r="L3651" s="66"/>
      <c r="M3651" s="79" t="str">
        <f>HYPERLINK("http://www.pristavka.com/catalog/Honkai_Star_Rail/HSR134/")</f>
        <v>http://www.pristavka.com/catalog/Honkai_Star_Rail/HSR134/</v>
      </c>
      <c r="N3651" s="71">
        <v>9999</v>
      </c>
      <c r="O3651" s="66" t="s">
        <v>27</v>
      </c>
      <c r="P3651" s="82" t="s">
        <v>13636</v>
      </c>
      <c r="Q3651" s="84" t="s">
        <v>12818</v>
      </c>
      <c r="R3651" s="84" t="s">
        <v>9605</v>
      </c>
      <c r="S3651" s="84">
        <v>0.158</v>
      </c>
      <c r="T3651" s="82" t="s">
        <v>13637</v>
      </c>
      <c r="U3651" s="84"/>
      <c r="V3651" s="54"/>
    </row>
    <row r="3652" spans="1:22" s="11" customFormat="1" ht="45" customHeight="1" x14ac:dyDescent="0.2">
      <c r="A3652" s="66" t="s">
        <v>12818</v>
      </c>
      <c r="B3652" s="66" t="s">
        <v>1155</v>
      </c>
      <c r="C3652" s="66" t="s">
        <v>9605</v>
      </c>
      <c r="D3652" s="66">
        <v>6942421116714</v>
      </c>
      <c r="E3652" s="68" t="s">
        <v>13638</v>
      </c>
      <c r="F3652" s="66" t="s">
        <v>13639</v>
      </c>
      <c r="G3652" s="71">
        <v>5039</v>
      </c>
      <c r="H3652" s="73"/>
      <c r="I3652" s="75">
        <v>0.2</v>
      </c>
      <c r="J3652" s="77"/>
      <c r="K3652" s="66"/>
      <c r="L3652" s="66"/>
      <c r="M3652" s="79" t="str">
        <f>HYPERLINK("http://www.pristavka.com/catalog/Honkai_Star_Rail/HSR226/")</f>
        <v>http://www.pristavka.com/catalog/Honkai_Star_Rail/HSR226/</v>
      </c>
      <c r="N3652" s="71">
        <v>8399</v>
      </c>
      <c r="O3652" s="66" t="s">
        <v>27</v>
      </c>
      <c r="P3652" s="82" t="s">
        <v>13640</v>
      </c>
      <c r="Q3652" s="84" t="s">
        <v>12818</v>
      </c>
      <c r="R3652" s="84" t="s">
        <v>9605</v>
      </c>
      <c r="S3652" s="84">
        <v>0.16500000000000001</v>
      </c>
      <c r="T3652" s="82" t="s">
        <v>13547</v>
      </c>
      <c r="U3652" s="84"/>
      <c r="V3652" s="54"/>
    </row>
    <row r="3653" spans="1:22" s="11" customFormat="1" ht="45" customHeight="1" x14ac:dyDescent="0.2">
      <c r="A3653" s="66" t="s">
        <v>12818</v>
      </c>
      <c r="B3653" s="66" t="s">
        <v>1155</v>
      </c>
      <c r="C3653" s="66" t="s">
        <v>9605</v>
      </c>
      <c r="D3653" s="66">
        <v>6942421116424</v>
      </c>
      <c r="E3653" s="68" t="s">
        <v>13641</v>
      </c>
      <c r="F3653" s="66" t="s">
        <v>13642</v>
      </c>
      <c r="G3653" s="71">
        <v>9476</v>
      </c>
      <c r="H3653" s="73"/>
      <c r="I3653" s="75">
        <v>0.2</v>
      </c>
      <c r="J3653" s="77"/>
      <c r="K3653" s="66"/>
      <c r="L3653" s="66"/>
      <c r="M3653" s="79" t="str">
        <f>HYPERLINK("http://www.pristavka.com/catalog/Honkai_Star_Rail/HSR123/")</f>
        <v>http://www.pristavka.com/catalog/Honkai_Star_Rail/HSR123/</v>
      </c>
      <c r="N3653" s="71">
        <v>15799</v>
      </c>
      <c r="O3653" s="66" t="s">
        <v>27</v>
      </c>
      <c r="P3653" s="82" t="s">
        <v>13643</v>
      </c>
      <c r="Q3653" s="84" t="s">
        <v>12818</v>
      </c>
      <c r="R3653" s="84" t="s">
        <v>9605</v>
      </c>
      <c r="S3653" s="84">
        <v>0.17499999999999999</v>
      </c>
      <c r="T3653" s="82" t="s">
        <v>10062</v>
      </c>
      <c r="U3653" s="84"/>
      <c r="V3653" s="54"/>
    </row>
    <row r="3654" spans="1:22" s="11" customFormat="1" ht="45" customHeight="1" x14ac:dyDescent="0.2">
      <c r="A3654" s="66" t="s">
        <v>12818</v>
      </c>
      <c r="B3654" s="66" t="s">
        <v>1155</v>
      </c>
      <c r="C3654" s="66" t="s">
        <v>9605</v>
      </c>
      <c r="D3654" s="66">
        <v>6976068148630</v>
      </c>
      <c r="E3654" s="68" t="s">
        <v>13644</v>
      </c>
      <c r="F3654" s="66" t="s">
        <v>13645</v>
      </c>
      <c r="G3654" s="71">
        <v>9476</v>
      </c>
      <c r="H3654" s="73"/>
      <c r="I3654" s="75">
        <v>0.2</v>
      </c>
      <c r="J3654" s="77"/>
      <c r="K3654" s="66"/>
      <c r="L3654" s="66"/>
      <c r="M3654" s="79" t="str">
        <f>HYPERLINK("http://www.pristavka.com/catalog/Honkai_Star_Rail/HSR121/")</f>
        <v>http://www.pristavka.com/catalog/Honkai_Star_Rail/HSR121/</v>
      </c>
      <c r="N3654" s="71">
        <v>15799</v>
      </c>
      <c r="O3654" s="66" t="s">
        <v>27</v>
      </c>
      <c r="P3654" s="82" t="s">
        <v>13646</v>
      </c>
      <c r="Q3654" s="84" t="s">
        <v>12818</v>
      </c>
      <c r="R3654" s="84" t="s">
        <v>9605</v>
      </c>
      <c r="S3654" s="84">
        <v>0.17499999999999999</v>
      </c>
      <c r="T3654" s="82" t="s">
        <v>10062</v>
      </c>
      <c r="U3654" s="84"/>
      <c r="V3654" s="54"/>
    </row>
    <row r="3655" spans="1:22" s="11" customFormat="1" ht="45" customHeight="1" x14ac:dyDescent="0.2">
      <c r="A3655" s="66" t="s">
        <v>12818</v>
      </c>
      <c r="B3655" s="66" t="s">
        <v>1155</v>
      </c>
      <c r="C3655" s="66" t="s">
        <v>9605</v>
      </c>
      <c r="D3655" s="66">
        <v>6976525003533</v>
      </c>
      <c r="E3655" s="68" t="s">
        <v>13647</v>
      </c>
      <c r="F3655" s="66" t="s">
        <v>13648</v>
      </c>
      <c r="G3655" s="71">
        <v>6941</v>
      </c>
      <c r="H3655" s="73"/>
      <c r="I3655" s="75">
        <v>0.2</v>
      </c>
      <c r="J3655" s="77"/>
      <c r="K3655" s="66"/>
      <c r="L3655" s="66"/>
      <c r="M3655" s="79" t="str">
        <f>HYPERLINK("http://www.pristavka.com/catalog/Honkai_Star_Rail/HSR132/")</f>
        <v>http://www.pristavka.com/catalog/Honkai_Star_Rail/HSR132/</v>
      </c>
      <c r="N3655" s="71">
        <v>11599</v>
      </c>
      <c r="O3655" s="66" t="s">
        <v>27</v>
      </c>
      <c r="P3655" s="82" t="s">
        <v>13649</v>
      </c>
      <c r="Q3655" s="84" t="s">
        <v>12818</v>
      </c>
      <c r="R3655" s="84" t="s">
        <v>9605</v>
      </c>
      <c r="S3655" s="84">
        <v>0.155</v>
      </c>
      <c r="T3655" s="82" t="s">
        <v>13547</v>
      </c>
      <c r="U3655" s="84"/>
      <c r="V3655" s="54"/>
    </row>
    <row r="3656" spans="1:22" s="11" customFormat="1" ht="45" customHeight="1" x14ac:dyDescent="0.2">
      <c r="A3656" s="66" t="s">
        <v>12818</v>
      </c>
      <c r="B3656" s="66" t="s">
        <v>1155</v>
      </c>
      <c r="C3656" s="66" t="s">
        <v>9605</v>
      </c>
      <c r="D3656" s="66">
        <v>6976525003519</v>
      </c>
      <c r="E3656" s="68" t="s">
        <v>13650</v>
      </c>
      <c r="F3656" s="66" t="s">
        <v>13651</v>
      </c>
      <c r="G3656" s="71">
        <v>5990</v>
      </c>
      <c r="H3656" s="73"/>
      <c r="I3656" s="75">
        <v>0.2</v>
      </c>
      <c r="J3656" s="77"/>
      <c r="K3656" s="66"/>
      <c r="L3656" s="66"/>
      <c r="M3656" s="79" t="str">
        <f>HYPERLINK("http://www.pristavka.com/catalog/Honkai_Star_Rail/HSR130/")</f>
        <v>http://www.pristavka.com/catalog/Honkai_Star_Rail/HSR130/</v>
      </c>
      <c r="N3656" s="71">
        <v>9999</v>
      </c>
      <c r="O3656" s="66" t="s">
        <v>27</v>
      </c>
      <c r="P3656" s="82" t="s">
        <v>13652</v>
      </c>
      <c r="Q3656" s="84" t="s">
        <v>12818</v>
      </c>
      <c r="R3656" s="84" t="s">
        <v>9605</v>
      </c>
      <c r="S3656" s="84">
        <v>0.161</v>
      </c>
      <c r="T3656" s="82" t="s">
        <v>13653</v>
      </c>
      <c r="U3656" s="84"/>
      <c r="V3656" s="54"/>
    </row>
    <row r="3657" spans="1:22" s="11" customFormat="1" ht="45" customHeight="1" x14ac:dyDescent="0.2">
      <c r="A3657" s="66" t="s">
        <v>12818</v>
      </c>
      <c r="B3657" s="66" t="s">
        <v>1155</v>
      </c>
      <c r="C3657" s="66" t="s">
        <v>9605</v>
      </c>
      <c r="D3657" s="66">
        <v>6976068148388</v>
      </c>
      <c r="E3657" s="68" t="s">
        <v>13654</v>
      </c>
      <c r="F3657" s="66" t="s">
        <v>13655</v>
      </c>
      <c r="G3657" s="71">
        <v>5990</v>
      </c>
      <c r="H3657" s="73"/>
      <c r="I3657" s="75">
        <v>0.2</v>
      </c>
      <c r="J3657" s="77"/>
      <c r="K3657" s="66"/>
      <c r="L3657" s="66"/>
      <c r="M3657" s="79" t="str">
        <f>HYPERLINK("http://www.pristavka.com/catalog/Honkai_Star_Rail/HSR131/")</f>
        <v>http://www.pristavka.com/catalog/Honkai_Star_Rail/HSR131/</v>
      </c>
      <c r="N3657" s="71">
        <v>9999</v>
      </c>
      <c r="O3657" s="66" t="s">
        <v>27</v>
      </c>
      <c r="P3657" s="82" t="s">
        <v>13656</v>
      </c>
      <c r="Q3657" s="84" t="s">
        <v>12818</v>
      </c>
      <c r="R3657" s="84" t="s">
        <v>9605</v>
      </c>
      <c r="S3657" s="84">
        <v>0.16500000000000001</v>
      </c>
      <c r="T3657" s="82" t="s">
        <v>1264</v>
      </c>
      <c r="U3657" s="84"/>
      <c r="V3657" s="54"/>
    </row>
    <row r="3658" spans="1:22" s="11" customFormat="1" ht="45" customHeight="1" x14ac:dyDescent="0.2">
      <c r="A3658" s="66" t="s">
        <v>12818</v>
      </c>
      <c r="B3658" s="66" t="s">
        <v>1155</v>
      </c>
      <c r="C3658" s="66" t="s">
        <v>9605</v>
      </c>
      <c r="D3658" s="66">
        <v>6975628249701</v>
      </c>
      <c r="E3658" s="68" t="s">
        <v>13657</v>
      </c>
      <c r="F3658" s="66" t="s">
        <v>13658</v>
      </c>
      <c r="G3658" s="71">
        <v>5990</v>
      </c>
      <c r="H3658" s="73"/>
      <c r="I3658" s="75">
        <v>0.2</v>
      </c>
      <c r="J3658" s="77"/>
      <c r="K3658" s="66"/>
      <c r="L3658" s="66"/>
      <c r="M3658" s="79" t="str">
        <f>HYPERLINK("http://www.pristavka.com/catalog/Honkai_Star_Rail/HSR129/")</f>
        <v>http://www.pristavka.com/catalog/Honkai_Star_Rail/HSR129/</v>
      </c>
      <c r="N3658" s="71">
        <v>9999</v>
      </c>
      <c r="O3658" s="66" t="s">
        <v>27</v>
      </c>
      <c r="P3658" s="82" t="s">
        <v>13659</v>
      </c>
      <c r="Q3658" s="84" t="s">
        <v>12818</v>
      </c>
      <c r="R3658" s="84" t="s">
        <v>9605</v>
      </c>
      <c r="S3658" s="84">
        <v>0.17499999999999999</v>
      </c>
      <c r="T3658" s="82" t="s">
        <v>13653</v>
      </c>
      <c r="U3658" s="84"/>
      <c r="V3658" s="54"/>
    </row>
    <row r="3659" spans="1:22" s="11" customFormat="1" ht="45" customHeight="1" x14ac:dyDescent="0.2">
      <c r="A3659" s="66" t="s">
        <v>12818</v>
      </c>
      <c r="B3659" s="66" t="s">
        <v>1155</v>
      </c>
      <c r="C3659" s="66" t="s">
        <v>9605</v>
      </c>
      <c r="D3659" s="66">
        <v>6942421122586</v>
      </c>
      <c r="E3659" s="68" t="s">
        <v>13660</v>
      </c>
      <c r="F3659" s="66" t="s">
        <v>13661</v>
      </c>
      <c r="G3659" s="71">
        <v>5673</v>
      </c>
      <c r="H3659" s="73"/>
      <c r="I3659" s="75">
        <v>0.2</v>
      </c>
      <c r="J3659" s="77"/>
      <c r="K3659" s="66"/>
      <c r="L3659" s="66"/>
      <c r="M3659" s="79" t="str">
        <f>HYPERLINK("http://www.pristavka.com/catalog/Honkai_Star_Rail/HSR225/")</f>
        <v>http://www.pristavka.com/catalog/Honkai_Star_Rail/HSR225/</v>
      </c>
      <c r="N3659" s="71">
        <v>9499</v>
      </c>
      <c r="O3659" s="66" t="s">
        <v>27</v>
      </c>
      <c r="P3659" s="82" t="s">
        <v>13662</v>
      </c>
      <c r="Q3659" s="84" t="s">
        <v>12818</v>
      </c>
      <c r="R3659" s="84" t="s">
        <v>9605</v>
      </c>
      <c r="S3659" s="84">
        <v>0.16500000000000001</v>
      </c>
      <c r="T3659" s="82" t="s">
        <v>13547</v>
      </c>
      <c r="U3659" s="84"/>
      <c r="V3659" s="54"/>
    </row>
    <row r="3660" spans="1:22" s="11" customFormat="1" ht="45" customHeight="1" x14ac:dyDescent="0.2">
      <c r="A3660" s="66" t="s">
        <v>12818</v>
      </c>
      <c r="B3660" s="66" t="s">
        <v>1155</v>
      </c>
      <c r="C3660" s="66" t="s">
        <v>9605</v>
      </c>
      <c r="D3660" s="66">
        <v>6976525009702</v>
      </c>
      <c r="E3660" s="68" t="s">
        <v>13663</v>
      </c>
      <c r="F3660" s="66" t="s">
        <v>13664</v>
      </c>
      <c r="G3660" s="71">
        <v>6941</v>
      </c>
      <c r="H3660" s="73"/>
      <c r="I3660" s="75">
        <v>0.2</v>
      </c>
      <c r="J3660" s="77"/>
      <c r="K3660" s="66"/>
      <c r="L3660" s="66"/>
      <c r="M3660" s="79" t="str">
        <f>HYPERLINK("http://www.pristavka.com/catalog/Honkai_Star_Rail/HSR128/")</f>
        <v>http://www.pristavka.com/catalog/Honkai_Star_Rail/HSR128/</v>
      </c>
      <c r="N3660" s="71">
        <v>11599</v>
      </c>
      <c r="O3660" s="66" t="s">
        <v>27</v>
      </c>
      <c r="P3660" s="82" t="s">
        <v>13665</v>
      </c>
      <c r="Q3660" s="84" t="s">
        <v>12818</v>
      </c>
      <c r="R3660" s="84" t="s">
        <v>9605</v>
      </c>
      <c r="S3660" s="84">
        <v>0.14499999999999999</v>
      </c>
      <c r="T3660" s="82" t="s">
        <v>13625</v>
      </c>
      <c r="U3660" s="84"/>
      <c r="V3660" s="54"/>
    </row>
    <row r="3661" spans="1:22" s="11" customFormat="1" ht="45" customHeight="1" x14ac:dyDescent="0.2">
      <c r="A3661" s="66" t="s">
        <v>12818</v>
      </c>
      <c r="B3661" s="66" t="s">
        <v>1155</v>
      </c>
      <c r="C3661" s="66" t="s">
        <v>9605</v>
      </c>
      <c r="D3661" s="66">
        <v>6942421109747</v>
      </c>
      <c r="E3661" s="68" t="s">
        <v>13666</v>
      </c>
      <c r="F3661" s="66" t="s">
        <v>13667</v>
      </c>
      <c r="G3661" s="71">
        <v>6941</v>
      </c>
      <c r="H3661" s="73"/>
      <c r="I3661" s="75">
        <v>0.2</v>
      </c>
      <c r="J3661" s="77"/>
      <c r="K3661" s="66"/>
      <c r="L3661" s="66"/>
      <c r="M3661" s="79" t="str">
        <f>HYPERLINK("http://www.pristavka.com/catalog/Honkai_Star_Rail/HSR133/")</f>
        <v>http://www.pristavka.com/catalog/Honkai_Star_Rail/HSR133/</v>
      </c>
      <c r="N3661" s="71">
        <v>11599</v>
      </c>
      <c r="O3661" s="66" t="s">
        <v>27</v>
      </c>
      <c r="P3661" s="82" t="s">
        <v>13668</v>
      </c>
      <c r="Q3661" s="84" t="s">
        <v>12818</v>
      </c>
      <c r="R3661" s="84" t="s">
        <v>9605</v>
      </c>
      <c r="S3661" s="84">
        <v>0.15</v>
      </c>
      <c r="T3661" s="82" t="s">
        <v>13653</v>
      </c>
      <c r="U3661" s="84"/>
      <c r="V3661" s="54"/>
    </row>
    <row r="3662" spans="1:22" s="11" customFormat="1" ht="45" customHeight="1" x14ac:dyDescent="0.2">
      <c r="A3662" s="66" t="s">
        <v>12818</v>
      </c>
      <c r="B3662" s="66" t="s">
        <v>1155</v>
      </c>
      <c r="C3662" s="66" t="s">
        <v>9605</v>
      </c>
      <c r="D3662" s="66">
        <v>6942421109877</v>
      </c>
      <c r="E3662" s="68" t="s">
        <v>13669</v>
      </c>
      <c r="F3662" s="66" t="s">
        <v>13670</v>
      </c>
      <c r="G3662" s="71">
        <v>9476</v>
      </c>
      <c r="H3662" s="73"/>
      <c r="I3662" s="75">
        <v>0.2</v>
      </c>
      <c r="J3662" s="77"/>
      <c r="K3662" s="66"/>
      <c r="L3662" s="66"/>
      <c r="M3662" s="79" t="str">
        <f>HYPERLINK("http://www.pristavka.com/catalog/Honkai_Star_Rail/HSR122/")</f>
        <v>http://www.pristavka.com/catalog/Honkai_Star_Rail/HSR122/</v>
      </c>
      <c r="N3662" s="71">
        <v>15799</v>
      </c>
      <c r="O3662" s="66" t="s">
        <v>27</v>
      </c>
      <c r="P3662" s="82" t="s">
        <v>13671</v>
      </c>
      <c r="Q3662" s="84" t="s">
        <v>12818</v>
      </c>
      <c r="R3662" s="84" t="s">
        <v>9605</v>
      </c>
      <c r="S3662" s="84">
        <v>0.17499999999999999</v>
      </c>
      <c r="T3662" s="82" t="s">
        <v>10062</v>
      </c>
      <c r="U3662" s="84"/>
      <c r="V3662" s="54"/>
    </row>
    <row r="3663" spans="1:22" s="11" customFormat="1" ht="45" customHeight="1" x14ac:dyDescent="0.2">
      <c r="A3663" s="66" t="s">
        <v>12818</v>
      </c>
      <c r="B3663" s="66" t="s">
        <v>1155</v>
      </c>
      <c r="C3663" s="66" t="s">
        <v>9605</v>
      </c>
      <c r="D3663" s="66">
        <v>6976525009634</v>
      </c>
      <c r="E3663" s="68" t="s">
        <v>13672</v>
      </c>
      <c r="F3663" s="66" t="s">
        <v>13673</v>
      </c>
      <c r="G3663" s="71">
        <v>9476</v>
      </c>
      <c r="H3663" s="73"/>
      <c r="I3663" s="75">
        <v>0.2</v>
      </c>
      <c r="J3663" s="77"/>
      <c r="K3663" s="66"/>
      <c r="L3663" s="66"/>
      <c r="M3663" s="79" t="str">
        <f>HYPERLINK("http://www.pristavka.com/catalog/Honkai_Star_Rail/HSR120/")</f>
        <v>http://www.pristavka.com/catalog/Honkai_Star_Rail/HSR120/</v>
      </c>
      <c r="N3663" s="71">
        <v>15799</v>
      </c>
      <c r="O3663" s="66" t="s">
        <v>27</v>
      </c>
      <c r="P3663" s="82" t="s">
        <v>13674</v>
      </c>
      <c r="Q3663" s="84" t="s">
        <v>12818</v>
      </c>
      <c r="R3663" s="84" t="s">
        <v>9605</v>
      </c>
      <c r="S3663" s="84">
        <v>0.17</v>
      </c>
      <c r="T3663" s="82" t="s">
        <v>13675</v>
      </c>
      <c r="U3663" s="84"/>
      <c r="V3663" s="54"/>
    </row>
    <row r="3664" spans="1:22" s="11" customFormat="1" ht="45" customHeight="1" x14ac:dyDescent="0.2">
      <c r="A3664" s="66" t="s">
        <v>12818</v>
      </c>
      <c r="B3664" s="66" t="s">
        <v>1155</v>
      </c>
      <c r="C3664" s="66" t="s">
        <v>9605</v>
      </c>
      <c r="D3664" s="66">
        <v>6942421130857</v>
      </c>
      <c r="E3664" s="68" t="s">
        <v>13676</v>
      </c>
      <c r="F3664" s="66" t="s">
        <v>13677</v>
      </c>
      <c r="G3664" s="71">
        <v>3164</v>
      </c>
      <c r="H3664" s="73"/>
      <c r="I3664" s="75">
        <v>0.2</v>
      </c>
      <c r="J3664" s="77"/>
      <c r="K3664" s="66"/>
      <c r="L3664" s="66"/>
      <c r="M3664" s="79" t="str">
        <f>HYPERLINK("http://www.pristavka.com/catalog/Honkai_Star_Rail/HSR286/")</f>
        <v>http://www.pristavka.com/catalog/Honkai_Star_Rail/HSR286/</v>
      </c>
      <c r="N3664" s="71">
        <v>5299</v>
      </c>
      <c r="O3664" s="66" t="s">
        <v>27</v>
      </c>
      <c r="P3664" s="82" t="s">
        <v>13678</v>
      </c>
      <c r="Q3664" s="84" t="s">
        <v>12818</v>
      </c>
      <c r="R3664" s="84" t="s">
        <v>9605</v>
      </c>
      <c r="S3664" s="84">
        <v>4.4999999999999998E-2</v>
      </c>
      <c r="T3664" s="82" t="s">
        <v>13679</v>
      </c>
      <c r="U3664" s="84"/>
      <c r="V3664" s="54"/>
    </row>
    <row r="3665" spans="1:22" s="11" customFormat="1" ht="45" customHeight="1" x14ac:dyDescent="0.2">
      <c r="A3665" s="66" t="s">
        <v>12818</v>
      </c>
      <c r="B3665" s="66" t="s">
        <v>1155</v>
      </c>
      <c r="C3665" s="66" t="s">
        <v>9605</v>
      </c>
      <c r="D3665" s="66">
        <v>6942421130864</v>
      </c>
      <c r="E3665" s="68" t="s">
        <v>13680</v>
      </c>
      <c r="F3665" s="66" t="s">
        <v>13681</v>
      </c>
      <c r="G3665" s="71">
        <v>3164</v>
      </c>
      <c r="H3665" s="73"/>
      <c r="I3665" s="75">
        <v>0.2</v>
      </c>
      <c r="J3665" s="77"/>
      <c r="K3665" s="66"/>
      <c r="L3665" s="66"/>
      <c r="M3665" s="79" t="str">
        <f>HYPERLINK("http://www.pristavka.com/catalog/Honkai_Star_Rail/HSR280/")</f>
        <v>http://www.pristavka.com/catalog/Honkai_Star_Rail/HSR280/</v>
      </c>
      <c r="N3665" s="71">
        <v>5299</v>
      </c>
      <c r="O3665" s="66" t="s">
        <v>27</v>
      </c>
      <c r="P3665" s="82" t="s">
        <v>13682</v>
      </c>
      <c r="Q3665" s="84" t="s">
        <v>12818</v>
      </c>
      <c r="R3665" s="84" t="s">
        <v>9605</v>
      </c>
      <c r="S3665" s="84">
        <v>4.3999999999999997E-2</v>
      </c>
      <c r="T3665" s="82" t="s">
        <v>13683</v>
      </c>
      <c r="U3665" s="84"/>
      <c r="V3665" s="54"/>
    </row>
    <row r="3666" spans="1:22" s="11" customFormat="1" ht="45" customHeight="1" x14ac:dyDescent="0.2">
      <c r="A3666" s="66" t="s">
        <v>12818</v>
      </c>
      <c r="B3666" s="66" t="s">
        <v>1155</v>
      </c>
      <c r="C3666" s="66" t="s">
        <v>9605</v>
      </c>
      <c r="D3666" s="66">
        <v>6942421130833</v>
      </c>
      <c r="E3666" s="68" t="s">
        <v>13684</v>
      </c>
      <c r="F3666" s="66" t="s">
        <v>13685</v>
      </c>
      <c r="G3666" s="71">
        <v>3164</v>
      </c>
      <c r="H3666" s="73"/>
      <c r="I3666" s="75">
        <v>0.2</v>
      </c>
      <c r="J3666" s="77"/>
      <c r="K3666" s="66"/>
      <c r="L3666" s="66"/>
      <c r="M3666" s="79" t="str">
        <f>HYPERLINK("http://www.pristavka.com/catalog/Honkai_Star_Rail/HSR285/")</f>
        <v>http://www.pristavka.com/catalog/Honkai_Star_Rail/HSR285/</v>
      </c>
      <c r="N3666" s="71">
        <v>5299</v>
      </c>
      <c r="O3666" s="66" t="s">
        <v>27</v>
      </c>
      <c r="P3666" s="82" t="s">
        <v>13686</v>
      </c>
      <c r="Q3666" s="84" t="s">
        <v>12818</v>
      </c>
      <c r="R3666" s="84" t="s">
        <v>9605</v>
      </c>
      <c r="S3666" s="84">
        <v>4.5999999999999999E-2</v>
      </c>
      <c r="T3666" s="82" t="s">
        <v>13687</v>
      </c>
      <c r="U3666" s="84"/>
      <c r="V3666" s="54"/>
    </row>
    <row r="3667" spans="1:22" s="11" customFormat="1" ht="45" customHeight="1" x14ac:dyDescent="0.2">
      <c r="A3667" s="66" t="s">
        <v>12818</v>
      </c>
      <c r="B3667" s="66" t="s">
        <v>1155</v>
      </c>
      <c r="C3667" s="66" t="s">
        <v>9605</v>
      </c>
      <c r="D3667" s="66">
        <v>6942421148579</v>
      </c>
      <c r="E3667" s="68" t="s">
        <v>13688</v>
      </c>
      <c r="F3667" s="66" t="s">
        <v>13689</v>
      </c>
      <c r="G3667" s="71">
        <v>3164</v>
      </c>
      <c r="H3667" s="73"/>
      <c r="I3667" s="75">
        <v>0.2</v>
      </c>
      <c r="J3667" s="77"/>
      <c r="K3667" s="66"/>
      <c r="L3667" s="66"/>
      <c r="M3667" s="79" t="str">
        <f>HYPERLINK("http://www.pristavka.com/catalog/Honkai_Star_Rail/HSR284/")</f>
        <v>http://www.pristavka.com/catalog/Honkai_Star_Rail/HSR284/</v>
      </c>
      <c r="N3667" s="71">
        <v>5299</v>
      </c>
      <c r="O3667" s="66" t="s">
        <v>27</v>
      </c>
      <c r="P3667" s="82" t="s">
        <v>13690</v>
      </c>
      <c r="Q3667" s="84" t="s">
        <v>12818</v>
      </c>
      <c r="R3667" s="84" t="s">
        <v>9605</v>
      </c>
      <c r="S3667" s="84">
        <v>4.3999999999999997E-2</v>
      </c>
      <c r="T3667" s="82" t="s">
        <v>13691</v>
      </c>
      <c r="U3667" s="84"/>
      <c r="V3667" s="54"/>
    </row>
    <row r="3668" spans="1:22" s="11" customFormat="1" ht="45" customHeight="1" x14ac:dyDescent="0.2">
      <c r="A3668" s="66" t="s">
        <v>12818</v>
      </c>
      <c r="B3668" s="66" t="s">
        <v>1155</v>
      </c>
      <c r="C3668" s="66" t="s">
        <v>9605</v>
      </c>
      <c r="D3668" s="66">
        <v>6942421148586</v>
      </c>
      <c r="E3668" s="68" t="s">
        <v>13692</v>
      </c>
      <c r="F3668" s="66" t="s">
        <v>13693</v>
      </c>
      <c r="G3668" s="71">
        <v>3164</v>
      </c>
      <c r="H3668" s="73"/>
      <c r="I3668" s="75">
        <v>0.2</v>
      </c>
      <c r="J3668" s="77"/>
      <c r="K3668" s="66"/>
      <c r="L3668" s="66"/>
      <c r="M3668" s="79" t="str">
        <f>HYPERLINK("http://www.pristavka.com/catalog/Honkai_Star_Rail/HSR287/")</f>
        <v>http://www.pristavka.com/catalog/Honkai_Star_Rail/HSR287/</v>
      </c>
      <c r="N3668" s="71">
        <v>5299</v>
      </c>
      <c r="O3668" s="66" t="s">
        <v>27</v>
      </c>
      <c r="P3668" s="82" t="s">
        <v>13694</v>
      </c>
      <c r="Q3668" s="84" t="s">
        <v>12818</v>
      </c>
      <c r="R3668" s="84" t="s">
        <v>9605</v>
      </c>
      <c r="S3668" s="84">
        <v>4.3999999999999997E-2</v>
      </c>
      <c r="T3668" s="82" t="s">
        <v>13691</v>
      </c>
      <c r="U3668" s="84"/>
      <c r="V3668" s="54"/>
    </row>
    <row r="3669" spans="1:22" s="11" customFormat="1" ht="45" customHeight="1" x14ac:dyDescent="0.2">
      <c r="A3669" s="66" t="s">
        <v>12818</v>
      </c>
      <c r="B3669" s="66" t="s">
        <v>1155</v>
      </c>
      <c r="C3669" s="66" t="s">
        <v>9605</v>
      </c>
      <c r="D3669" s="66">
        <v>6942421130871</v>
      </c>
      <c r="E3669" s="68" t="s">
        <v>13695</v>
      </c>
      <c r="F3669" s="66" t="s">
        <v>13696</v>
      </c>
      <c r="G3669" s="71">
        <v>3164</v>
      </c>
      <c r="H3669" s="73"/>
      <c r="I3669" s="75">
        <v>0.2</v>
      </c>
      <c r="J3669" s="77"/>
      <c r="K3669" s="66"/>
      <c r="L3669" s="66"/>
      <c r="M3669" s="79" t="str">
        <f>HYPERLINK("http://www.pristavka.com/catalog/Honkai_Star_Rail/HSR282/")</f>
        <v>http://www.pristavka.com/catalog/Honkai_Star_Rail/HSR282/</v>
      </c>
      <c r="N3669" s="71">
        <v>5299</v>
      </c>
      <c r="O3669" s="66" t="s">
        <v>27</v>
      </c>
      <c r="P3669" s="82" t="s">
        <v>13697</v>
      </c>
      <c r="Q3669" s="84" t="s">
        <v>12818</v>
      </c>
      <c r="R3669" s="84" t="s">
        <v>9605</v>
      </c>
      <c r="S3669" s="84">
        <v>4.4999999999999998E-2</v>
      </c>
      <c r="T3669" s="82" t="s">
        <v>13679</v>
      </c>
      <c r="U3669" s="84"/>
      <c r="V3669" s="54"/>
    </row>
    <row r="3670" spans="1:22" s="11" customFormat="1" ht="45" customHeight="1" x14ac:dyDescent="0.2">
      <c r="A3670" s="66" t="s">
        <v>12818</v>
      </c>
      <c r="B3670" s="66" t="s">
        <v>1155</v>
      </c>
      <c r="C3670" s="66" t="s">
        <v>9605</v>
      </c>
      <c r="D3670" s="66">
        <v>6942421130840</v>
      </c>
      <c r="E3670" s="68" t="s">
        <v>13698</v>
      </c>
      <c r="F3670" s="66" t="s">
        <v>13699</v>
      </c>
      <c r="G3670" s="71">
        <v>3164</v>
      </c>
      <c r="H3670" s="73"/>
      <c r="I3670" s="75">
        <v>0.2</v>
      </c>
      <c r="J3670" s="77"/>
      <c r="K3670" s="66"/>
      <c r="L3670" s="66"/>
      <c r="M3670" s="79" t="str">
        <f>HYPERLINK("http://www.pristavka.com/catalog/Honkai_Star_Rail/HSR281/")</f>
        <v>http://www.pristavka.com/catalog/Honkai_Star_Rail/HSR281/</v>
      </c>
      <c r="N3670" s="71">
        <v>5299</v>
      </c>
      <c r="O3670" s="66" t="s">
        <v>27</v>
      </c>
      <c r="P3670" s="82" t="s">
        <v>13700</v>
      </c>
      <c r="Q3670" s="84" t="s">
        <v>12818</v>
      </c>
      <c r="R3670" s="84" t="s">
        <v>9605</v>
      </c>
      <c r="S3670" s="84">
        <v>4.4999999999999998E-2</v>
      </c>
      <c r="T3670" s="82" t="s">
        <v>13679</v>
      </c>
      <c r="U3670" s="84"/>
      <c r="V3670" s="54"/>
    </row>
    <row r="3671" spans="1:22" s="11" customFormat="1" ht="45" customHeight="1" x14ac:dyDescent="0.2">
      <c r="A3671" s="66" t="s">
        <v>12818</v>
      </c>
      <c r="B3671" s="66" t="s">
        <v>1155</v>
      </c>
      <c r="C3671" s="66" t="s">
        <v>9605</v>
      </c>
      <c r="D3671" s="66">
        <v>6976068142713</v>
      </c>
      <c r="E3671" s="68" t="s">
        <v>13701</v>
      </c>
      <c r="F3671" s="66" t="s">
        <v>13702</v>
      </c>
      <c r="G3671" s="71">
        <v>9476</v>
      </c>
      <c r="H3671" s="73"/>
      <c r="I3671" s="75">
        <v>0.2</v>
      </c>
      <c r="J3671" s="77"/>
      <c r="K3671" s="66"/>
      <c r="L3671" s="66"/>
      <c r="M3671" s="79" t="str">
        <f>HYPERLINK("http://www.pristavka.com/catalog/Honkai_Star_Rail/HSR93/")</f>
        <v>http://www.pristavka.com/catalog/Honkai_Star_Rail/HSR93/</v>
      </c>
      <c r="N3671" s="71">
        <v>15799</v>
      </c>
      <c r="O3671" s="66" t="s">
        <v>27</v>
      </c>
      <c r="P3671" s="82" t="s">
        <v>13703</v>
      </c>
      <c r="Q3671" s="84" t="s">
        <v>12818</v>
      </c>
      <c r="R3671" s="84" t="s">
        <v>9605</v>
      </c>
      <c r="S3671" s="84">
        <v>0.16500000000000001</v>
      </c>
      <c r="T3671" s="82" t="s">
        <v>13675</v>
      </c>
      <c r="U3671" s="84"/>
      <c r="V3671" s="54"/>
    </row>
    <row r="3672" spans="1:22" s="11" customFormat="1" ht="45" customHeight="1" x14ac:dyDescent="0.2">
      <c r="A3672" s="66" t="s">
        <v>12818</v>
      </c>
      <c r="B3672" s="66" t="s">
        <v>1155</v>
      </c>
      <c r="C3672" s="66" t="s">
        <v>9605</v>
      </c>
      <c r="D3672" s="66">
        <v>6975628249923</v>
      </c>
      <c r="E3672" s="68" t="s">
        <v>13704</v>
      </c>
      <c r="F3672" s="66" t="s">
        <v>13705</v>
      </c>
      <c r="G3672" s="71">
        <v>6307</v>
      </c>
      <c r="H3672" s="73"/>
      <c r="I3672" s="75">
        <v>0.2</v>
      </c>
      <c r="J3672" s="77"/>
      <c r="K3672" s="66"/>
      <c r="L3672" s="66"/>
      <c r="M3672" s="79" t="str">
        <f>HYPERLINK("http://www.pristavka.com/catalog/Honkai_Star_Rail/HSR92/")</f>
        <v>http://www.pristavka.com/catalog/Honkai_Star_Rail/HSR92/</v>
      </c>
      <c r="N3672" s="71">
        <v>10599</v>
      </c>
      <c r="O3672" s="66" t="s">
        <v>28</v>
      </c>
      <c r="P3672" s="82" t="s">
        <v>13706</v>
      </c>
      <c r="Q3672" s="84" t="s">
        <v>12818</v>
      </c>
      <c r="R3672" s="84" t="s">
        <v>9605</v>
      </c>
      <c r="S3672" s="84">
        <v>0.16500000000000001</v>
      </c>
      <c r="T3672" s="82" t="s">
        <v>13675</v>
      </c>
      <c r="U3672" s="84"/>
      <c r="V3672" s="54"/>
    </row>
    <row r="3673" spans="1:22" s="11" customFormat="1" ht="45" customHeight="1" x14ac:dyDescent="0.2">
      <c r="A3673" s="66" t="s">
        <v>12818</v>
      </c>
      <c r="B3673" s="66" t="s">
        <v>1155</v>
      </c>
      <c r="C3673" s="66" t="s">
        <v>9605</v>
      </c>
      <c r="D3673" s="66">
        <v>6976068148791</v>
      </c>
      <c r="E3673" s="68" t="s">
        <v>13707</v>
      </c>
      <c r="F3673" s="66" t="s">
        <v>13708</v>
      </c>
      <c r="G3673" s="71">
        <v>6307</v>
      </c>
      <c r="H3673" s="73"/>
      <c r="I3673" s="75">
        <v>0.2</v>
      </c>
      <c r="J3673" s="77"/>
      <c r="K3673" s="66"/>
      <c r="L3673" s="66"/>
      <c r="M3673" s="79" t="str">
        <f>HYPERLINK("http://www.pristavka.com/catalog/Honkai_Star_Rail/HSR94/")</f>
        <v>http://www.pristavka.com/catalog/Honkai_Star_Rail/HSR94/</v>
      </c>
      <c r="N3673" s="71">
        <v>10599</v>
      </c>
      <c r="O3673" s="66" t="s">
        <v>27</v>
      </c>
      <c r="P3673" s="82" t="s">
        <v>13709</v>
      </c>
      <c r="Q3673" s="84" t="s">
        <v>12818</v>
      </c>
      <c r="R3673" s="84" t="s">
        <v>9605</v>
      </c>
      <c r="S3673" s="84">
        <v>0.16500000000000001</v>
      </c>
      <c r="T3673" s="82" t="s">
        <v>13675</v>
      </c>
      <c r="U3673" s="84"/>
      <c r="V3673" s="54"/>
    </row>
    <row r="3674" spans="1:22" s="11" customFormat="1" ht="45" customHeight="1" x14ac:dyDescent="0.2">
      <c r="A3674" s="66" t="s">
        <v>12818</v>
      </c>
      <c r="B3674" s="66" t="s">
        <v>1155</v>
      </c>
      <c r="C3674" s="66" t="s">
        <v>9605</v>
      </c>
      <c r="D3674" s="66">
        <v>6976068148579</v>
      </c>
      <c r="E3674" s="68" t="s">
        <v>13710</v>
      </c>
      <c r="F3674" s="66" t="s">
        <v>13711</v>
      </c>
      <c r="G3674" s="71">
        <v>3771</v>
      </c>
      <c r="H3674" s="73"/>
      <c r="I3674" s="75">
        <v>0.2</v>
      </c>
      <c r="J3674" s="77"/>
      <c r="K3674" s="66"/>
      <c r="L3674" s="66"/>
      <c r="M3674" s="79" t="str">
        <f>HYPERLINK("http://www.pristavka.com/catalog/Honkai_Star_Rail/HSR98/")</f>
        <v>http://www.pristavka.com/catalog/Honkai_Star_Rail/HSR98/</v>
      </c>
      <c r="N3674" s="71">
        <v>6299</v>
      </c>
      <c r="O3674" s="66" t="s">
        <v>27</v>
      </c>
      <c r="P3674" s="82" t="s">
        <v>13712</v>
      </c>
      <c r="Q3674" s="84" t="s">
        <v>12818</v>
      </c>
      <c r="R3674" s="84" t="s">
        <v>9605</v>
      </c>
      <c r="S3674" s="84">
        <v>0.06</v>
      </c>
      <c r="T3674" s="82" t="s">
        <v>13713</v>
      </c>
      <c r="U3674" s="84"/>
      <c r="V3674" s="54"/>
    </row>
    <row r="3675" spans="1:22" s="11" customFormat="1" ht="45" customHeight="1" x14ac:dyDescent="0.2">
      <c r="A3675" s="66" t="s">
        <v>12818</v>
      </c>
      <c r="B3675" s="66" t="s">
        <v>1155</v>
      </c>
      <c r="C3675" s="66" t="s">
        <v>9605</v>
      </c>
      <c r="D3675" s="66">
        <v>6942421144649</v>
      </c>
      <c r="E3675" s="68" t="s">
        <v>13714</v>
      </c>
      <c r="F3675" s="66" t="s">
        <v>13715</v>
      </c>
      <c r="G3675" s="71">
        <v>3164</v>
      </c>
      <c r="H3675" s="73"/>
      <c r="I3675" s="75">
        <v>0.2</v>
      </c>
      <c r="J3675" s="77"/>
      <c r="K3675" s="66"/>
      <c r="L3675" s="66"/>
      <c r="M3675" s="79" t="str">
        <f>HYPERLINK("http://www.pristavka.com/catalog/Honkai_Star_Rail/HSR254/")</f>
        <v>http://www.pristavka.com/catalog/Honkai_Star_Rail/HSR254/</v>
      </c>
      <c r="N3675" s="71">
        <v>5299</v>
      </c>
      <c r="O3675" s="66" t="s">
        <v>27</v>
      </c>
      <c r="P3675" s="82" t="s">
        <v>13716</v>
      </c>
      <c r="Q3675" s="84" t="s">
        <v>12818</v>
      </c>
      <c r="R3675" s="84" t="s">
        <v>9605</v>
      </c>
      <c r="S3675" s="84">
        <v>5.5E-2</v>
      </c>
      <c r="T3675" s="82" t="s">
        <v>9764</v>
      </c>
      <c r="U3675" s="84"/>
      <c r="V3675" s="54"/>
    </row>
    <row r="3676" spans="1:22" s="11" customFormat="1" ht="45" customHeight="1" x14ac:dyDescent="0.2">
      <c r="A3676" s="66" t="s">
        <v>12818</v>
      </c>
      <c r="B3676" s="66" t="s">
        <v>1155</v>
      </c>
      <c r="C3676" s="66" t="s">
        <v>9605</v>
      </c>
      <c r="D3676" s="66">
        <v>6942421144670</v>
      </c>
      <c r="E3676" s="68" t="s">
        <v>13717</v>
      </c>
      <c r="F3676" s="66" t="s">
        <v>13718</v>
      </c>
      <c r="G3676" s="71">
        <v>6941</v>
      </c>
      <c r="H3676" s="73"/>
      <c r="I3676" s="75">
        <v>0.2</v>
      </c>
      <c r="J3676" s="77"/>
      <c r="K3676" s="66"/>
      <c r="L3676" s="66"/>
      <c r="M3676" s="79" t="str">
        <f>HYPERLINK("http://www.pristavka.com/catalog/Honkai_Star_Rail/HSR255/")</f>
        <v>http://www.pristavka.com/catalog/Honkai_Star_Rail/HSR255/</v>
      </c>
      <c r="N3676" s="71">
        <v>11599</v>
      </c>
      <c r="O3676" s="66" t="s">
        <v>27</v>
      </c>
      <c r="P3676" s="82" t="s">
        <v>13719</v>
      </c>
      <c r="Q3676" s="84" t="s">
        <v>12818</v>
      </c>
      <c r="R3676" s="84" t="s">
        <v>9605</v>
      </c>
      <c r="S3676" s="84">
        <v>0.16600000000000001</v>
      </c>
      <c r="T3676" s="82" t="s">
        <v>10062</v>
      </c>
      <c r="U3676" s="84"/>
      <c r="V3676" s="54"/>
    </row>
    <row r="3677" spans="1:22" s="11" customFormat="1" ht="45" customHeight="1" x14ac:dyDescent="0.2">
      <c r="A3677" s="66" t="s">
        <v>12818</v>
      </c>
      <c r="B3677" s="66" t="s">
        <v>1155</v>
      </c>
      <c r="C3677" s="66" t="s">
        <v>9605</v>
      </c>
      <c r="D3677" s="66">
        <v>6942421144694</v>
      </c>
      <c r="E3677" s="68" t="s">
        <v>13720</v>
      </c>
      <c r="F3677" s="66" t="s">
        <v>13721</v>
      </c>
      <c r="G3677" s="71">
        <v>6941</v>
      </c>
      <c r="H3677" s="73"/>
      <c r="I3677" s="75">
        <v>0.2</v>
      </c>
      <c r="J3677" s="77"/>
      <c r="K3677" s="66"/>
      <c r="L3677" s="66"/>
      <c r="M3677" s="79" t="str">
        <f>HYPERLINK("http://www.pristavka.com/catalog/Honkai_Star_Rail/HSR256/")</f>
        <v>http://www.pristavka.com/catalog/Honkai_Star_Rail/HSR256/</v>
      </c>
      <c r="N3677" s="71">
        <v>11599</v>
      </c>
      <c r="O3677" s="66" t="s">
        <v>27</v>
      </c>
      <c r="P3677" s="82" t="s">
        <v>13722</v>
      </c>
      <c r="Q3677" s="84" t="s">
        <v>12818</v>
      </c>
      <c r="R3677" s="84" t="s">
        <v>9605</v>
      </c>
      <c r="S3677" s="84">
        <v>0.16500000000000001</v>
      </c>
      <c r="T3677" s="82" t="s">
        <v>13675</v>
      </c>
      <c r="U3677" s="84"/>
      <c r="V3677" s="54"/>
    </row>
    <row r="3678" spans="1:22" s="11" customFormat="1" ht="45" customHeight="1" x14ac:dyDescent="0.2">
      <c r="A3678" s="66" t="s">
        <v>12818</v>
      </c>
      <c r="B3678" s="66" t="s">
        <v>1155</v>
      </c>
      <c r="C3678" s="66" t="s">
        <v>9605</v>
      </c>
      <c r="D3678" s="66">
        <v>6942421119791</v>
      </c>
      <c r="E3678" s="68" t="s">
        <v>13723</v>
      </c>
      <c r="F3678" s="66" t="s">
        <v>13724</v>
      </c>
      <c r="G3678" s="71">
        <v>4088</v>
      </c>
      <c r="H3678" s="73"/>
      <c r="I3678" s="75">
        <v>0.2</v>
      </c>
      <c r="J3678" s="77"/>
      <c r="K3678" s="66"/>
      <c r="L3678" s="66"/>
      <c r="M3678" s="79" t="str">
        <f>HYPERLINK("http://www.pristavka.com/catalog/Honkai_Star_Rail/HSR272/")</f>
        <v>http://www.pristavka.com/catalog/Honkai_Star_Rail/HSR272/</v>
      </c>
      <c r="N3678" s="71">
        <v>6899</v>
      </c>
      <c r="O3678" s="66" t="s">
        <v>27</v>
      </c>
      <c r="P3678" s="82" t="s">
        <v>13725</v>
      </c>
      <c r="Q3678" s="84" t="s">
        <v>12818</v>
      </c>
      <c r="R3678" s="84" t="s">
        <v>9605</v>
      </c>
      <c r="S3678" s="84">
        <v>7.0000000000000007E-2</v>
      </c>
      <c r="T3678" s="82" t="s">
        <v>13726</v>
      </c>
      <c r="U3678" s="84"/>
      <c r="V3678" s="54"/>
    </row>
    <row r="3679" spans="1:22" s="11" customFormat="1" ht="45" customHeight="1" x14ac:dyDescent="0.2">
      <c r="A3679" s="66" t="s">
        <v>12818</v>
      </c>
      <c r="B3679" s="66" t="s">
        <v>1155</v>
      </c>
      <c r="C3679" s="66" t="s">
        <v>9605</v>
      </c>
      <c r="D3679" s="66">
        <v>6942421119777</v>
      </c>
      <c r="E3679" s="68" t="s">
        <v>13727</v>
      </c>
      <c r="F3679" s="66" t="s">
        <v>13728</v>
      </c>
      <c r="G3679" s="71">
        <v>4088</v>
      </c>
      <c r="H3679" s="73"/>
      <c r="I3679" s="75">
        <v>0.2</v>
      </c>
      <c r="J3679" s="77"/>
      <c r="K3679" s="66"/>
      <c r="L3679" s="66"/>
      <c r="M3679" s="79" t="str">
        <f>HYPERLINK("http://www.pristavka.com/catalog/Honkai_Star_Rail/HSR268/")</f>
        <v>http://www.pristavka.com/catalog/Honkai_Star_Rail/HSR268/</v>
      </c>
      <c r="N3679" s="71">
        <v>6899</v>
      </c>
      <c r="O3679" s="66" t="s">
        <v>27</v>
      </c>
      <c r="P3679" s="82" t="s">
        <v>13729</v>
      </c>
      <c r="Q3679" s="84" t="s">
        <v>12818</v>
      </c>
      <c r="R3679" s="84" t="s">
        <v>9605</v>
      </c>
      <c r="S3679" s="84">
        <v>7.0000000000000007E-2</v>
      </c>
      <c r="T3679" s="82" t="s">
        <v>13726</v>
      </c>
      <c r="U3679" s="84"/>
      <c r="V3679" s="54"/>
    </row>
    <row r="3680" spans="1:22" s="11" customFormat="1" ht="45" customHeight="1" x14ac:dyDescent="0.2">
      <c r="A3680" s="66" t="s">
        <v>12818</v>
      </c>
      <c r="B3680" s="66" t="s">
        <v>1155</v>
      </c>
      <c r="C3680" s="66" t="s">
        <v>9605</v>
      </c>
      <c r="D3680" s="66">
        <v>6942421119753</v>
      </c>
      <c r="E3680" s="68" t="s">
        <v>13730</v>
      </c>
      <c r="F3680" s="66" t="s">
        <v>13731</v>
      </c>
      <c r="G3680" s="71">
        <v>4088</v>
      </c>
      <c r="H3680" s="73"/>
      <c r="I3680" s="75">
        <v>0.2</v>
      </c>
      <c r="J3680" s="77"/>
      <c r="K3680" s="66"/>
      <c r="L3680" s="66"/>
      <c r="M3680" s="79" t="str">
        <f>HYPERLINK("http://www.pristavka.com/catalog/Honkai_Star_Rail/HSR270/")</f>
        <v>http://www.pristavka.com/catalog/Honkai_Star_Rail/HSR270/</v>
      </c>
      <c r="N3680" s="71">
        <v>6899</v>
      </c>
      <c r="O3680" s="66" t="s">
        <v>27</v>
      </c>
      <c r="P3680" s="82" t="s">
        <v>13732</v>
      </c>
      <c r="Q3680" s="84" t="s">
        <v>12818</v>
      </c>
      <c r="R3680" s="84" t="s">
        <v>9605</v>
      </c>
      <c r="S3680" s="84">
        <v>7.0000000000000007E-2</v>
      </c>
      <c r="T3680" s="82" t="s">
        <v>13726</v>
      </c>
      <c r="U3680" s="84"/>
      <c r="V3680" s="54"/>
    </row>
    <row r="3681" spans="1:22" s="11" customFormat="1" ht="45" customHeight="1" x14ac:dyDescent="0.2">
      <c r="A3681" s="66" t="s">
        <v>12818</v>
      </c>
      <c r="B3681" s="66" t="s">
        <v>1155</v>
      </c>
      <c r="C3681" s="66" t="s">
        <v>9605</v>
      </c>
      <c r="D3681" s="66">
        <v>6942421119760</v>
      </c>
      <c r="E3681" s="68" t="s">
        <v>13733</v>
      </c>
      <c r="F3681" s="66" t="s">
        <v>13734</v>
      </c>
      <c r="G3681" s="71">
        <v>4088</v>
      </c>
      <c r="H3681" s="73"/>
      <c r="I3681" s="75">
        <v>0.2</v>
      </c>
      <c r="J3681" s="77"/>
      <c r="K3681" s="66"/>
      <c r="L3681" s="66"/>
      <c r="M3681" s="79" t="str">
        <f>HYPERLINK("http://www.pristavka.com/catalog/Honkai_Star_Rail/HSR269/")</f>
        <v>http://www.pristavka.com/catalog/Honkai_Star_Rail/HSR269/</v>
      </c>
      <c r="N3681" s="71">
        <v>6899</v>
      </c>
      <c r="O3681" s="66" t="s">
        <v>27</v>
      </c>
      <c r="P3681" s="82" t="s">
        <v>13735</v>
      </c>
      <c r="Q3681" s="84" t="s">
        <v>12818</v>
      </c>
      <c r="R3681" s="84" t="s">
        <v>9605</v>
      </c>
      <c r="S3681" s="84">
        <v>7.0000000000000007E-2</v>
      </c>
      <c r="T3681" s="82" t="s">
        <v>13726</v>
      </c>
      <c r="U3681" s="84"/>
      <c r="V3681" s="54"/>
    </row>
    <row r="3682" spans="1:22" s="11" customFormat="1" ht="45" customHeight="1" x14ac:dyDescent="0.2">
      <c r="A3682" s="66" t="s">
        <v>12818</v>
      </c>
      <c r="B3682" s="66" t="s">
        <v>1155</v>
      </c>
      <c r="C3682" s="66" t="s">
        <v>9605</v>
      </c>
      <c r="D3682" s="66">
        <v>6942421119807</v>
      </c>
      <c r="E3682" s="68" t="s">
        <v>13736</v>
      </c>
      <c r="F3682" s="66" t="s">
        <v>13737</v>
      </c>
      <c r="G3682" s="71">
        <v>4088</v>
      </c>
      <c r="H3682" s="73"/>
      <c r="I3682" s="75">
        <v>0.2</v>
      </c>
      <c r="J3682" s="77"/>
      <c r="K3682" s="66"/>
      <c r="L3682" s="66"/>
      <c r="M3682" s="79" t="str">
        <f>HYPERLINK("http://www.pristavka.com/catalog/Honkai_Star_Rail/HSR271/")</f>
        <v>http://www.pristavka.com/catalog/Honkai_Star_Rail/HSR271/</v>
      </c>
      <c r="N3682" s="71">
        <v>6899</v>
      </c>
      <c r="O3682" s="66" t="s">
        <v>27</v>
      </c>
      <c r="P3682" s="82" t="s">
        <v>13738</v>
      </c>
      <c r="Q3682" s="84" t="s">
        <v>12818</v>
      </c>
      <c r="R3682" s="84" t="s">
        <v>9605</v>
      </c>
      <c r="S3682" s="84">
        <v>7.0000000000000007E-2</v>
      </c>
      <c r="T3682" s="82" t="s">
        <v>13739</v>
      </c>
      <c r="U3682" s="84"/>
      <c r="V3682" s="54"/>
    </row>
    <row r="3683" spans="1:22" s="11" customFormat="1" ht="45" customHeight="1" x14ac:dyDescent="0.2">
      <c r="A3683" s="66" t="s">
        <v>12818</v>
      </c>
      <c r="B3683" s="66" t="s">
        <v>1155</v>
      </c>
      <c r="C3683" s="66" t="s">
        <v>9605</v>
      </c>
      <c r="D3683" s="66">
        <v>6976525003038</v>
      </c>
      <c r="E3683" s="68" t="s">
        <v>13740</v>
      </c>
      <c r="F3683" s="66" t="s">
        <v>13741</v>
      </c>
      <c r="G3683" s="71">
        <v>8209</v>
      </c>
      <c r="H3683" s="73"/>
      <c r="I3683" s="75">
        <v>0.2</v>
      </c>
      <c r="J3683" s="77"/>
      <c r="K3683" s="66"/>
      <c r="L3683" s="66"/>
      <c r="M3683" s="79" t="str">
        <f>HYPERLINK("http://www.pristavka.com/catalog/Honkai_Star_Rail/HSR222/")</f>
        <v>http://www.pristavka.com/catalog/Honkai_Star_Rail/HSR222/</v>
      </c>
      <c r="N3683" s="71">
        <v>13699</v>
      </c>
      <c r="O3683" s="66" t="s">
        <v>27</v>
      </c>
      <c r="P3683" s="82" t="s">
        <v>13742</v>
      </c>
      <c r="Q3683" s="84" t="s">
        <v>12818</v>
      </c>
      <c r="R3683" s="84" t="s">
        <v>9605</v>
      </c>
      <c r="S3683" s="84">
        <v>0.17499999999999999</v>
      </c>
      <c r="T3683" s="82" t="s">
        <v>13743</v>
      </c>
      <c r="U3683" s="84"/>
      <c r="V3683" s="54"/>
    </row>
    <row r="3684" spans="1:22" s="11" customFormat="1" ht="45" customHeight="1" x14ac:dyDescent="0.2">
      <c r="A3684" s="66" t="s">
        <v>12818</v>
      </c>
      <c r="B3684" s="66" t="s">
        <v>1155</v>
      </c>
      <c r="C3684" s="66" t="s">
        <v>9605</v>
      </c>
      <c r="D3684" s="66">
        <v>6942421129004</v>
      </c>
      <c r="E3684" s="68" t="s">
        <v>13744</v>
      </c>
      <c r="F3684" s="66" t="s">
        <v>13745</v>
      </c>
      <c r="G3684" s="71">
        <v>5039</v>
      </c>
      <c r="H3684" s="73"/>
      <c r="I3684" s="75">
        <v>0.2</v>
      </c>
      <c r="J3684" s="77"/>
      <c r="K3684" s="66"/>
      <c r="L3684" s="66"/>
      <c r="M3684" s="79" t="str">
        <f>HYPERLINK("http://www.pristavka.com/catalog/Honkai_Star_Rail/HSR233/")</f>
        <v>http://www.pristavka.com/catalog/Honkai_Star_Rail/HSR233/</v>
      </c>
      <c r="N3684" s="71">
        <v>8399</v>
      </c>
      <c r="O3684" s="66" t="s">
        <v>27</v>
      </c>
      <c r="P3684" s="82" t="s">
        <v>13746</v>
      </c>
      <c r="Q3684" s="84" t="s">
        <v>12818</v>
      </c>
      <c r="R3684" s="84" t="s">
        <v>9605</v>
      </c>
      <c r="S3684" s="84">
        <v>0.14000000000000001</v>
      </c>
      <c r="T3684" s="82" t="s">
        <v>13747</v>
      </c>
      <c r="U3684" s="84"/>
      <c r="V3684" s="54"/>
    </row>
    <row r="3685" spans="1:22" s="11" customFormat="1" ht="45" customHeight="1" x14ac:dyDescent="0.2">
      <c r="A3685" s="66" t="s">
        <v>12818</v>
      </c>
      <c r="B3685" s="66" t="s">
        <v>1155</v>
      </c>
      <c r="C3685" s="66" t="s">
        <v>9605</v>
      </c>
      <c r="D3685" s="66">
        <v>6942421129042</v>
      </c>
      <c r="E3685" s="68" t="s">
        <v>13748</v>
      </c>
      <c r="F3685" s="66" t="s">
        <v>13749</v>
      </c>
      <c r="G3685" s="71">
        <v>5039</v>
      </c>
      <c r="H3685" s="73"/>
      <c r="I3685" s="75">
        <v>0.2</v>
      </c>
      <c r="J3685" s="77"/>
      <c r="K3685" s="66"/>
      <c r="L3685" s="66"/>
      <c r="M3685" s="79" t="str">
        <f>HYPERLINK("http://www.pristavka.com/catalog/Honkai_Star_Rail/HSR232/")</f>
        <v>http://www.pristavka.com/catalog/Honkai_Star_Rail/HSR232/</v>
      </c>
      <c r="N3685" s="71">
        <v>8399</v>
      </c>
      <c r="O3685" s="66" t="s">
        <v>27</v>
      </c>
      <c r="P3685" s="82" t="s">
        <v>13750</v>
      </c>
      <c r="Q3685" s="84" t="s">
        <v>12818</v>
      </c>
      <c r="R3685" s="84" t="s">
        <v>9605</v>
      </c>
      <c r="S3685" s="84">
        <v>0.14499999999999999</v>
      </c>
      <c r="T3685" s="82" t="s">
        <v>13747</v>
      </c>
      <c r="U3685" s="84"/>
      <c r="V3685" s="54"/>
    </row>
    <row r="3686" spans="1:22" s="11" customFormat="1" ht="45" customHeight="1" x14ac:dyDescent="0.2">
      <c r="A3686" s="66" t="s">
        <v>12818</v>
      </c>
      <c r="B3686" s="66" t="s">
        <v>1155</v>
      </c>
      <c r="C3686" s="66" t="s">
        <v>9605</v>
      </c>
      <c r="D3686" s="66">
        <v>6942421103127</v>
      </c>
      <c r="E3686" s="68" t="s">
        <v>13751</v>
      </c>
      <c r="F3686" s="66" t="s">
        <v>13752</v>
      </c>
      <c r="G3686" s="71">
        <v>5356</v>
      </c>
      <c r="H3686" s="73"/>
      <c r="I3686" s="75">
        <v>0.2</v>
      </c>
      <c r="J3686" s="77"/>
      <c r="K3686" s="66"/>
      <c r="L3686" s="66"/>
      <c r="M3686" s="79" t="str">
        <f>HYPERLINK("http://www.pristavka.com/catalog/Honkai_Star_Rail/HSR186/")</f>
        <v>http://www.pristavka.com/catalog/Honkai_Star_Rail/HSR186/</v>
      </c>
      <c r="N3686" s="71">
        <v>8999</v>
      </c>
      <c r="O3686" s="66" t="s">
        <v>28</v>
      </c>
      <c r="P3686" s="82" t="s">
        <v>13753</v>
      </c>
      <c r="Q3686" s="84" t="s">
        <v>12818</v>
      </c>
      <c r="R3686" s="84" t="s">
        <v>9605</v>
      </c>
      <c r="S3686" s="84">
        <v>0.14000000000000001</v>
      </c>
      <c r="T3686" s="82" t="s">
        <v>13754</v>
      </c>
      <c r="U3686" s="84"/>
      <c r="V3686" s="54"/>
    </row>
    <row r="3687" spans="1:22" s="11" customFormat="1" ht="45" customHeight="1" x14ac:dyDescent="0.2">
      <c r="A3687" s="66" t="s">
        <v>12818</v>
      </c>
      <c r="B3687" s="66" t="s">
        <v>1155</v>
      </c>
      <c r="C3687" s="66" t="s">
        <v>9605</v>
      </c>
      <c r="D3687" s="66">
        <v>6976525003021</v>
      </c>
      <c r="E3687" s="68" t="s">
        <v>13755</v>
      </c>
      <c r="F3687" s="66" t="s">
        <v>13756</v>
      </c>
      <c r="G3687" s="71">
        <v>5990</v>
      </c>
      <c r="H3687" s="73"/>
      <c r="I3687" s="75">
        <v>0.2</v>
      </c>
      <c r="J3687" s="77"/>
      <c r="K3687" s="66"/>
      <c r="L3687" s="66"/>
      <c r="M3687" s="79" t="str">
        <f>HYPERLINK("http://www.pristavka.com/catalog/Honkai_Star_Rail/HSR119/")</f>
        <v>http://www.pristavka.com/catalog/Honkai_Star_Rail/HSR119/</v>
      </c>
      <c r="N3687" s="71">
        <v>9999</v>
      </c>
      <c r="O3687" s="66" t="s">
        <v>27</v>
      </c>
      <c r="P3687" s="82" t="s">
        <v>13757</v>
      </c>
      <c r="Q3687" s="84" t="s">
        <v>12818</v>
      </c>
      <c r="R3687" s="84" t="s">
        <v>9605</v>
      </c>
      <c r="S3687" s="84">
        <v>0.06</v>
      </c>
      <c r="T3687" s="82" t="s">
        <v>13713</v>
      </c>
      <c r="U3687" s="84"/>
      <c r="V3687" s="54"/>
    </row>
    <row r="3688" spans="1:22" s="11" customFormat="1" ht="45" customHeight="1" x14ac:dyDescent="0.2">
      <c r="A3688" s="66" t="s">
        <v>12818</v>
      </c>
      <c r="B3688" s="66" t="s">
        <v>1155</v>
      </c>
      <c r="C3688" s="66" t="s">
        <v>9605</v>
      </c>
      <c r="D3688" s="66">
        <v>6942421103134</v>
      </c>
      <c r="E3688" s="68" t="s">
        <v>13758</v>
      </c>
      <c r="F3688" s="66" t="s">
        <v>13759</v>
      </c>
      <c r="G3688" s="71">
        <v>5356</v>
      </c>
      <c r="H3688" s="73"/>
      <c r="I3688" s="75">
        <v>0.2</v>
      </c>
      <c r="J3688" s="77"/>
      <c r="K3688" s="66"/>
      <c r="L3688" s="66"/>
      <c r="M3688" s="79" t="str">
        <f>HYPERLINK("http://www.pristavka.com/catalog/Honkai_Star_Rail/HSR185/")</f>
        <v>http://www.pristavka.com/catalog/Honkai_Star_Rail/HSR185/</v>
      </c>
      <c r="N3688" s="71">
        <v>8999</v>
      </c>
      <c r="O3688" s="66" t="s">
        <v>27</v>
      </c>
      <c r="P3688" s="82" t="s">
        <v>13760</v>
      </c>
      <c r="Q3688" s="84" t="s">
        <v>12818</v>
      </c>
      <c r="R3688" s="84" t="s">
        <v>9605</v>
      </c>
      <c r="S3688" s="84">
        <v>0.14000000000000001</v>
      </c>
      <c r="T3688" s="82" t="s">
        <v>13761</v>
      </c>
      <c r="U3688" s="84"/>
      <c r="V3688" s="54"/>
    </row>
    <row r="3689" spans="1:22" s="11" customFormat="1" ht="45" customHeight="1" x14ac:dyDescent="0.2">
      <c r="A3689" s="66" t="s">
        <v>12818</v>
      </c>
      <c r="B3689" s="66" t="s">
        <v>1155</v>
      </c>
      <c r="C3689" s="66" t="s">
        <v>9605</v>
      </c>
      <c r="D3689" s="66" t="s">
        <v>26</v>
      </c>
      <c r="E3689" s="68" t="s">
        <v>13762</v>
      </c>
      <c r="F3689" s="66" t="s">
        <v>13763</v>
      </c>
      <c r="G3689" s="71">
        <v>6307</v>
      </c>
      <c r="H3689" s="73"/>
      <c r="I3689" s="75">
        <v>0.2</v>
      </c>
      <c r="J3689" s="77"/>
      <c r="K3689" s="66"/>
      <c r="L3689" s="66"/>
      <c r="M3689" s="79" t="str">
        <f>HYPERLINK("http://www.pristavka.com/catalog/Honkai_Star_Rail/HSR310/")</f>
        <v>http://www.pristavka.com/catalog/Honkai_Star_Rail/HSR310/</v>
      </c>
      <c r="N3689" s="71">
        <v>10599</v>
      </c>
      <c r="O3689" s="66" t="s">
        <v>27</v>
      </c>
      <c r="P3689" s="82" t="s">
        <v>13764</v>
      </c>
      <c r="Q3689" s="84" t="s">
        <v>12818</v>
      </c>
      <c r="R3689" s="84" t="s">
        <v>9605</v>
      </c>
      <c r="S3689" s="84">
        <v>0.17</v>
      </c>
      <c r="T3689" s="82" t="s">
        <v>13765</v>
      </c>
      <c r="U3689" s="84"/>
      <c r="V3689" s="54"/>
    </row>
    <row r="3690" spans="1:22" s="11" customFormat="1" ht="45" customHeight="1" x14ac:dyDescent="0.2">
      <c r="A3690" s="66" t="s">
        <v>12818</v>
      </c>
      <c r="B3690" s="66" t="s">
        <v>1155</v>
      </c>
      <c r="C3690" s="66" t="s">
        <v>9605</v>
      </c>
      <c r="D3690" s="66" t="s">
        <v>26</v>
      </c>
      <c r="E3690" s="68" t="s">
        <v>13766</v>
      </c>
      <c r="F3690" s="66" t="s">
        <v>13767</v>
      </c>
      <c r="G3690" s="71">
        <v>6307</v>
      </c>
      <c r="H3690" s="73"/>
      <c r="I3690" s="75">
        <v>0.2</v>
      </c>
      <c r="J3690" s="77"/>
      <c r="K3690" s="66"/>
      <c r="L3690" s="66"/>
      <c r="M3690" s="79" t="str">
        <f>HYPERLINK("http://www.pristavka.com/catalog/Honkai_Star_Rail/HSR311/")</f>
        <v>http://www.pristavka.com/catalog/Honkai_Star_Rail/HSR311/</v>
      </c>
      <c r="N3690" s="71">
        <v>10599</v>
      </c>
      <c r="O3690" s="66" t="s">
        <v>27</v>
      </c>
      <c r="P3690" s="82" t="s">
        <v>13768</v>
      </c>
      <c r="Q3690" s="84" t="s">
        <v>12818</v>
      </c>
      <c r="R3690" s="84" t="s">
        <v>9605</v>
      </c>
      <c r="S3690" s="84">
        <v>0.16500000000000001</v>
      </c>
      <c r="T3690" s="82" t="s">
        <v>13765</v>
      </c>
      <c r="U3690" s="84"/>
      <c r="V3690" s="54"/>
    </row>
    <row r="3691" spans="1:22" s="11" customFormat="1" ht="45" customHeight="1" x14ac:dyDescent="0.2">
      <c r="A3691" s="66" t="s">
        <v>12818</v>
      </c>
      <c r="B3691" s="66" t="s">
        <v>1155</v>
      </c>
      <c r="C3691" s="66" t="s">
        <v>9605</v>
      </c>
      <c r="D3691" s="66" t="s">
        <v>26</v>
      </c>
      <c r="E3691" s="68" t="s">
        <v>13769</v>
      </c>
      <c r="F3691" s="66" t="s">
        <v>13770</v>
      </c>
      <c r="G3691" s="71">
        <v>6307</v>
      </c>
      <c r="H3691" s="73"/>
      <c r="I3691" s="75">
        <v>0.2</v>
      </c>
      <c r="J3691" s="77"/>
      <c r="K3691" s="66"/>
      <c r="L3691" s="66"/>
      <c r="M3691" s="79" t="str">
        <f>HYPERLINK("http://www.pristavka.com/catalog/Honkai_Star_Rail/HSR312/")</f>
        <v>http://www.pristavka.com/catalog/Honkai_Star_Rail/HSR312/</v>
      </c>
      <c r="N3691" s="71">
        <v>10599</v>
      </c>
      <c r="O3691" s="66" t="s">
        <v>27</v>
      </c>
      <c r="P3691" s="82" t="s">
        <v>13771</v>
      </c>
      <c r="Q3691" s="84" t="s">
        <v>12818</v>
      </c>
      <c r="R3691" s="84" t="s">
        <v>9605</v>
      </c>
      <c r="S3691" s="84">
        <v>0.16700000000000001</v>
      </c>
      <c r="T3691" s="82" t="s">
        <v>13772</v>
      </c>
      <c r="U3691" s="84"/>
      <c r="V3691" s="54"/>
    </row>
    <row r="3692" spans="1:22" s="11" customFormat="1" ht="45" customHeight="1" x14ac:dyDescent="0.2">
      <c r="A3692" s="66" t="s">
        <v>12818</v>
      </c>
      <c r="B3692" s="66" t="s">
        <v>1155</v>
      </c>
      <c r="C3692" s="66" t="s">
        <v>9605</v>
      </c>
      <c r="D3692" s="66">
        <v>6976525005759</v>
      </c>
      <c r="E3692" s="68" t="s">
        <v>13773</v>
      </c>
      <c r="F3692" s="66" t="s">
        <v>13774</v>
      </c>
      <c r="G3692" s="71">
        <v>2847</v>
      </c>
      <c r="H3692" s="73"/>
      <c r="I3692" s="75">
        <v>0.2</v>
      </c>
      <c r="J3692" s="77"/>
      <c r="K3692" s="66"/>
      <c r="L3692" s="66"/>
      <c r="M3692" s="79" t="str">
        <f>HYPERLINK("http://www.pristavka.com/catalog/Honkai_Star_Rail/HSR139/")</f>
        <v>http://www.pristavka.com/catalog/Honkai_Star_Rail/HSR139/</v>
      </c>
      <c r="N3692" s="71">
        <v>4799</v>
      </c>
      <c r="O3692" s="66" t="s">
        <v>27</v>
      </c>
      <c r="P3692" s="82" t="s">
        <v>13775</v>
      </c>
      <c r="Q3692" s="84" t="s">
        <v>12818</v>
      </c>
      <c r="R3692" s="84" t="s">
        <v>9605</v>
      </c>
      <c r="S3692" s="84">
        <v>2.5000000000000001E-2</v>
      </c>
      <c r="T3692" s="82" t="s">
        <v>13776</v>
      </c>
      <c r="U3692" s="84"/>
      <c r="V3692" s="54"/>
    </row>
    <row r="3693" spans="1:22" s="11" customFormat="1" ht="45" customHeight="1" x14ac:dyDescent="0.2">
      <c r="A3693" s="66" t="s">
        <v>12818</v>
      </c>
      <c r="B3693" s="66" t="s">
        <v>1155</v>
      </c>
      <c r="C3693" s="66" t="s">
        <v>9605</v>
      </c>
      <c r="D3693" s="66">
        <v>6976525005728</v>
      </c>
      <c r="E3693" s="68" t="s">
        <v>13777</v>
      </c>
      <c r="F3693" s="66" t="s">
        <v>13778</v>
      </c>
      <c r="G3693" s="71">
        <v>2847</v>
      </c>
      <c r="H3693" s="73"/>
      <c r="I3693" s="75">
        <v>0.2</v>
      </c>
      <c r="J3693" s="77"/>
      <c r="K3693" s="66"/>
      <c r="L3693" s="66"/>
      <c r="M3693" s="79" t="str">
        <f>HYPERLINK("http://www.pristavka.com/catalog/Honkai_Star_Rail/HSR137/")</f>
        <v>http://www.pristavka.com/catalog/Honkai_Star_Rail/HSR137/</v>
      </c>
      <c r="N3693" s="71">
        <v>4799</v>
      </c>
      <c r="O3693" s="66" t="s">
        <v>27</v>
      </c>
      <c r="P3693" s="82" t="s">
        <v>13779</v>
      </c>
      <c r="Q3693" s="84" t="s">
        <v>12818</v>
      </c>
      <c r="R3693" s="84" t="s">
        <v>9605</v>
      </c>
      <c r="S3693" s="84">
        <v>2.5999999999999999E-2</v>
      </c>
      <c r="T3693" s="82" t="s">
        <v>13780</v>
      </c>
      <c r="U3693" s="84"/>
      <c r="V3693" s="54"/>
    </row>
    <row r="3694" spans="1:22" s="11" customFormat="1" ht="45" customHeight="1" x14ac:dyDescent="0.2">
      <c r="A3694" s="66" t="s">
        <v>12818</v>
      </c>
      <c r="B3694" s="66" t="s">
        <v>1155</v>
      </c>
      <c r="C3694" s="66" t="s">
        <v>9605</v>
      </c>
      <c r="D3694" s="66">
        <v>6976525005698</v>
      </c>
      <c r="E3694" s="68" t="s">
        <v>13781</v>
      </c>
      <c r="F3694" s="66" t="s">
        <v>13782</v>
      </c>
      <c r="G3694" s="71">
        <v>2847</v>
      </c>
      <c r="H3694" s="73"/>
      <c r="I3694" s="75">
        <v>0.2</v>
      </c>
      <c r="J3694" s="77"/>
      <c r="K3694" s="66"/>
      <c r="L3694" s="66"/>
      <c r="M3694" s="79" t="str">
        <f>HYPERLINK("http://www.pristavka.com/catalog/Honkai_Star_Rail/HSR140/")</f>
        <v>http://www.pristavka.com/catalog/Honkai_Star_Rail/HSR140/</v>
      </c>
      <c r="N3694" s="71">
        <v>4799</v>
      </c>
      <c r="O3694" s="66" t="s">
        <v>27</v>
      </c>
      <c r="P3694" s="82" t="s">
        <v>13783</v>
      </c>
      <c r="Q3694" s="84" t="s">
        <v>12818</v>
      </c>
      <c r="R3694" s="84" t="s">
        <v>9605</v>
      </c>
      <c r="S3694" s="84">
        <v>2.5000000000000001E-2</v>
      </c>
      <c r="T3694" s="82" t="s">
        <v>13776</v>
      </c>
      <c r="U3694" s="84"/>
      <c r="V3694" s="54"/>
    </row>
    <row r="3695" spans="1:22" s="11" customFormat="1" ht="45" customHeight="1" x14ac:dyDescent="0.2">
      <c r="A3695" s="66" t="s">
        <v>12818</v>
      </c>
      <c r="B3695" s="66" t="s">
        <v>1155</v>
      </c>
      <c r="C3695" s="66" t="s">
        <v>9605</v>
      </c>
      <c r="D3695" s="66">
        <v>6942421116721</v>
      </c>
      <c r="E3695" s="68" t="s">
        <v>13784</v>
      </c>
      <c r="F3695" s="66" t="s">
        <v>13785</v>
      </c>
      <c r="G3695" s="71">
        <v>4088</v>
      </c>
      <c r="H3695" s="73"/>
      <c r="I3695" s="75">
        <v>0.2</v>
      </c>
      <c r="J3695" s="77"/>
      <c r="K3695" s="66"/>
      <c r="L3695" s="66"/>
      <c r="M3695" s="79" t="str">
        <f>HYPERLINK("http://www.pristavka.com/catalog/Honkai_Star_Rail/HSR152/")</f>
        <v>http://www.pristavka.com/catalog/Honkai_Star_Rail/HSR152/</v>
      </c>
      <c r="N3695" s="71">
        <v>6899</v>
      </c>
      <c r="O3695" s="66" t="s">
        <v>27</v>
      </c>
      <c r="P3695" s="82" t="s">
        <v>13786</v>
      </c>
      <c r="Q3695" s="84" t="s">
        <v>12818</v>
      </c>
      <c r="R3695" s="84" t="s">
        <v>9605</v>
      </c>
      <c r="S3695" s="84">
        <v>3.5000000000000003E-2</v>
      </c>
      <c r="T3695" s="82" t="s">
        <v>13787</v>
      </c>
      <c r="U3695" s="84"/>
      <c r="V3695" s="54"/>
    </row>
    <row r="3696" spans="1:22" s="11" customFormat="1" ht="45" customHeight="1" x14ac:dyDescent="0.2">
      <c r="A3696" s="66" t="s">
        <v>12818</v>
      </c>
      <c r="B3696" s="66" t="s">
        <v>1155</v>
      </c>
      <c r="C3696" s="66" t="s">
        <v>9605</v>
      </c>
      <c r="D3696" s="66">
        <v>6942421113522</v>
      </c>
      <c r="E3696" s="68" t="s">
        <v>13788</v>
      </c>
      <c r="F3696" s="66" t="s">
        <v>13789</v>
      </c>
      <c r="G3696" s="71">
        <v>1674</v>
      </c>
      <c r="H3696" s="73"/>
      <c r="I3696" s="75">
        <v>0.2</v>
      </c>
      <c r="J3696" s="77"/>
      <c r="K3696" s="66"/>
      <c r="L3696" s="66"/>
      <c r="M3696" s="79" t="str">
        <f>HYPERLINK("http://www.pristavka.com/catalog/Honkai_Star_Rail/HSR159/")</f>
        <v>http://www.pristavka.com/catalog/Honkai_Star_Rail/HSR159/</v>
      </c>
      <c r="N3696" s="71">
        <v>2799</v>
      </c>
      <c r="O3696" s="66" t="s">
        <v>27</v>
      </c>
      <c r="P3696" s="82" t="s">
        <v>13790</v>
      </c>
      <c r="Q3696" s="84" t="s">
        <v>12818</v>
      </c>
      <c r="R3696" s="84" t="s">
        <v>9605</v>
      </c>
      <c r="S3696" s="84">
        <v>2.1999999999999999E-2</v>
      </c>
      <c r="T3696" s="82" t="s">
        <v>13791</v>
      </c>
      <c r="U3696" s="84"/>
      <c r="V3696" s="54"/>
    </row>
    <row r="3697" spans="1:22" s="11" customFormat="1" ht="45" customHeight="1" x14ac:dyDescent="0.2">
      <c r="A3697" s="66" t="s">
        <v>12818</v>
      </c>
      <c r="B3697" s="66" t="s">
        <v>1155</v>
      </c>
      <c r="C3697" s="66" t="s">
        <v>9605</v>
      </c>
      <c r="D3697" s="66">
        <v>6942421100218</v>
      </c>
      <c r="E3697" s="68" t="s">
        <v>13792</v>
      </c>
      <c r="F3697" s="66" t="s">
        <v>13793</v>
      </c>
      <c r="G3697" s="71">
        <v>5673</v>
      </c>
      <c r="H3697" s="73"/>
      <c r="I3697" s="75">
        <v>0.2</v>
      </c>
      <c r="J3697" s="77"/>
      <c r="K3697" s="66"/>
      <c r="L3697" s="66"/>
      <c r="M3697" s="79" t="str">
        <f>HYPERLINK("http://www.pristavka.com/catalog/Honkai_Star_Rail/HSR146/")</f>
        <v>http://www.pristavka.com/catalog/Honkai_Star_Rail/HSR146/</v>
      </c>
      <c r="N3697" s="71">
        <v>9499</v>
      </c>
      <c r="O3697" s="66" t="s">
        <v>27</v>
      </c>
      <c r="P3697" s="82" t="s">
        <v>13794</v>
      </c>
      <c r="Q3697" s="84" t="s">
        <v>12818</v>
      </c>
      <c r="R3697" s="84" t="s">
        <v>9605</v>
      </c>
      <c r="S3697" s="84">
        <v>5.7000000000000002E-2</v>
      </c>
      <c r="T3697" s="82" t="s">
        <v>13795</v>
      </c>
      <c r="U3697" s="84"/>
      <c r="V3697" s="54"/>
    </row>
    <row r="3698" spans="1:22" s="11" customFormat="1" ht="45" customHeight="1" x14ac:dyDescent="0.2">
      <c r="A3698" s="66" t="s">
        <v>12818</v>
      </c>
      <c r="B3698" s="66" t="s">
        <v>1155</v>
      </c>
      <c r="C3698" s="66" t="s">
        <v>9605</v>
      </c>
      <c r="D3698" s="66">
        <v>6976068148456</v>
      </c>
      <c r="E3698" s="68" t="s">
        <v>13796</v>
      </c>
      <c r="F3698" s="66" t="s">
        <v>13797</v>
      </c>
      <c r="G3698" s="71">
        <v>4088</v>
      </c>
      <c r="H3698" s="73"/>
      <c r="I3698" s="75">
        <v>0.2</v>
      </c>
      <c r="J3698" s="77"/>
      <c r="K3698" s="66"/>
      <c r="L3698" s="66"/>
      <c r="M3698" s="79" t="str">
        <f>HYPERLINK("http://www.pristavka.com/catalog/Honkai_Star_Rail/HSR155/")</f>
        <v>http://www.pristavka.com/catalog/Honkai_Star_Rail/HSR155/</v>
      </c>
      <c r="N3698" s="71">
        <v>6899</v>
      </c>
      <c r="O3698" s="66" t="s">
        <v>27</v>
      </c>
      <c r="P3698" s="82" t="s">
        <v>13798</v>
      </c>
      <c r="Q3698" s="84" t="s">
        <v>12818</v>
      </c>
      <c r="R3698" s="84" t="s">
        <v>9605</v>
      </c>
      <c r="S3698" s="84">
        <v>3.3000000000000002E-2</v>
      </c>
      <c r="T3698" s="82" t="s">
        <v>13551</v>
      </c>
      <c r="U3698" s="84"/>
      <c r="V3698" s="54"/>
    </row>
    <row r="3699" spans="1:22" s="11" customFormat="1" ht="45" customHeight="1" x14ac:dyDescent="0.2">
      <c r="A3699" s="66" t="s">
        <v>12818</v>
      </c>
      <c r="B3699" s="66" t="s">
        <v>1155</v>
      </c>
      <c r="C3699" s="66" t="s">
        <v>9605</v>
      </c>
      <c r="D3699" s="66">
        <v>6976068148692</v>
      </c>
      <c r="E3699" s="68" t="s">
        <v>13799</v>
      </c>
      <c r="F3699" s="66" t="s">
        <v>13800</v>
      </c>
      <c r="G3699" s="71">
        <v>5356</v>
      </c>
      <c r="H3699" s="73"/>
      <c r="I3699" s="75">
        <v>0.2</v>
      </c>
      <c r="J3699" s="77"/>
      <c r="K3699" s="66"/>
      <c r="L3699" s="66"/>
      <c r="M3699" s="79" t="str">
        <f>HYPERLINK("http://www.pristavka.com/catalog/Honkai_Star_Rail/HSR135/")</f>
        <v>http://www.pristavka.com/catalog/Honkai_Star_Rail/HSR135/</v>
      </c>
      <c r="N3699" s="71">
        <v>8999</v>
      </c>
      <c r="O3699" s="66" t="s">
        <v>27</v>
      </c>
      <c r="P3699" s="82" t="s">
        <v>13801</v>
      </c>
      <c r="Q3699" s="84" t="s">
        <v>12818</v>
      </c>
      <c r="R3699" s="84" t="s">
        <v>9605</v>
      </c>
      <c r="S3699" s="84">
        <v>0.05</v>
      </c>
      <c r="T3699" s="82" t="s">
        <v>13802</v>
      </c>
      <c r="U3699" s="84"/>
      <c r="V3699" s="54"/>
    </row>
    <row r="3700" spans="1:22" s="11" customFormat="1" ht="45" customHeight="1" x14ac:dyDescent="0.2">
      <c r="A3700" s="66" t="s">
        <v>12818</v>
      </c>
      <c r="B3700" s="66" t="s">
        <v>1155</v>
      </c>
      <c r="C3700" s="66" t="s">
        <v>9605</v>
      </c>
      <c r="D3700" s="66">
        <v>6942421100225</v>
      </c>
      <c r="E3700" s="68" t="s">
        <v>13803</v>
      </c>
      <c r="F3700" s="66" t="s">
        <v>13804</v>
      </c>
      <c r="G3700" s="71">
        <v>5673</v>
      </c>
      <c r="H3700" s="73"/>
      <c r="I3700" s="75">
        <v>0.2</v>
      </c>
      <c r="J3700" s="77"/>
      <c r="K3700" s="66"/>
      <c r="L3700" s="66"/>
      <c r="M3700" s="79" t="str">
        <f>HYPERLINK("http://www.pristavka.com/catalog/Honkai_Star_Rail/HSR144/")</f>
        <v>http://www.pristavka.com/catalog/Honkai_Star_Rail/HSR144/</v>
      </c>
      <c r="N3700" s="71">
        <v>9499</v>
      </c>
      <c r="O3700" s="66" t="s">
        <v>27</v>
      </c>
      <c r="P3700" s="82" t="s">
        <v>13805</v>
      </c>
      <c r="Q3700" s="84" t="s">
        <v>12818</v>
      </c>
      <c r="R3700" s="84" t="s">
        <v>9605</v>
      </c>
      <c r="S3700" s="84">
        <v>5.7000000000000002E-2</v>
      </c>
      <c r="T3700" s="82" t="s">
        <v>1187</v>
      </c>
      <c r="U3700" s="84"/>
      <c r="V3700" s="54"/>
    </row>
    <row r="3701" spans="1:22" s="11" customFormat="1" ht="45" customHeight="1" x14ac:dyDescent="0.2">
      <c r="A3701" s="66" t="s">
        <v>12818</v>
      </c>
      <c r="B3701" s="66" t="s">
        <v>1155</v>
      </c>
      <c r="C3701" s="66" t="s">
        <v>9605</v>
      </c>
      <c r="D3701" s="66">
        <v>6942421113539</v>
      </c>
      <c r="E3701" s="68" t="s">
        <v>13806</v>
      </c>
      <c r="F3701" s="66" t="s">
        <v>13807</v>
      </c>
      <c r="G3701" s="71">
        <v>1674</v>
      </c>
      <c r="H3701" s="73"/>
      <c r="I3701" s="75">
        <v>0.2</v>
      </c>
      <c r="J3701" s="77"/>
      <c r="K3701" s="66"/>
      <c r="L3701" s="66"/>
      <c r="M3701" s="79" t="str">
        <f>HYPERLINK("http://www.pristavka.com/catalog/Honkai_Star_Rail/HSR160/")</f>
        <v>http://www.pristavka.com/catalog/Honkai_Star_Rail/HSR160/</v>
      </c>
      <c r="N3701" s="71">
        <v>2799</v>
      </c>
      <c r="O3701" s="66" t="s">
        <v>27</v>
      </c>
      <c r="P3701" s="82" t="s">
        <v>13808</v>
      </c>
      <c r="Q3701" s="84" t="s">
        <v>12818</v>
      </c>
      <c r="R3701" s="84" t="s">
        <v>9605</v>
      </c>
      <c r="S3701" s="84">
        <v>2.1999999999999999E-2</v>
      </c>
      <c r="T3701" s="82" t="s">
        <v>13809</v>
      </c>
      <c r="U3701" s="84"/>
      <c r="V3701" s="54"/>
    </row>
    <row r="3702" spans="1:22" s="11" customFormat="1" ht="45" customHeight="1" x14ac:dyDescent="0.2">
      <c r="A3702" s="66" t="s">
        <v>12818</v>
      </c>
      <c r="B3702" s="66" t="s">
        <v>1155</v>
      </c>
      <c r="C3702" s="66" t="s">
        <v>9605</v>
      </c>
      <c r="D3702" s="66">
        <v>6976525005773</v>
      </c>
      <c r="E3702" s="68" t="s">
        <v>13810</v>
      </c>
      <c r="F3702" s="66" t="s">
        <v>13811</v>
      </c>
      <c r="G3702" s="71">
        <v>2847</v>
      </c>
      <c r="H3702" s="73"/>
      <c r="I3702" s="75">
        <v>0.2</v>
      </c>
      <c r="J3702" s="77"/>
      <c r="K3702" s="66"/>
      <c r="L3702" s="66"/>
      <c r="M3702" s="79" t="str">
        <f>HYPERLINK("http://www.pristavka.com/catalog/Honkai_Star_Rail/HSR136/")</f>
        <v>http://www.pristavka.com/catalog/Honkai_Star_Rail/HSR136/</v>
      </c>
      <c r="N3702" s="71">
        <v>4799</v>
      </c>
      <c r="O3702" s="66" t="s">
        <v>27</v>
      </c>
      <c r="P3702" s="82" t="s">
        <v>13812</v>
      </c>
      <c r="Q3702" s="84" t="s">
        <v>12818</v>
      </c>
      <c r="R3702" s="84" t="s">
        <v>9605</v>
      </c>
      <c r="S3702" s="84">
        <v>2.5999999999999999E-2</v>
      </c>
      <c r="T3702" s="82" t="s">
        <v>13776</v>
      </c>
      <c r="U3702" s="84"/>
      <c r="V3702" s="54"/>
    </row>
    <row r="3703" spans="1:22" s="11" customFormat="1" ht="45" customHeight="1" x14ac:dyDescent="0.2">
      <c r="A3703" s="66" t="s">
        <v>12818</v>
      </c>
      <c r="B3703" s="66" t="s">
        <v>1155</v>
      </c>
      <c r="C3703" s="66" t="s">
        <v>9605</v>
      </c>
      <c r="D3703" s="66">
        <v>6942421113645</v>
      </c>
      <c r="E3703" s="68" t="s">
        <v>13813</v>
      </c>
      <c r="F3703" s="66" t="s">
        <v>13814</v>
      </c>
      <c r="G3703" s="71">
        <v>1674</v>
      </c>
      <c r="H3703" s="73"/>
      <c r="I3703" s="75">
        <v>0.2</v>
      </c>
      <c r="J3703" s="77"/>
      <c r="K3703" s="66"/>
      <c r="L3703" s="66"/>
      <c r="M3703" s="79" t="str">
        <f>HYPERLINK("http://www.pristavka.com/catalog/Honkai_Star_Rail/HSR157/")</f>
        <v>http://www.pristavka.com/catalog/Honkai_Star_Rail/HSR157/</v>
      </c>
      <c r="N3703" s="71">
        <v>2799</v>
      </c>
      <c r="O3703" s="66" t="s">
        <v>27</v>
      </c>
      <c r="P3703" s="82" t="s">
        <v>13815</v>
      </c>
      <c r="Q3703" s="84" t="s">
        <v>12818</v>
      </c>
      <c r="R3703" s="84" t="s">
        <v>9605</v>
      </c>
      <c r="S3703" s="84">
        <v>2.1999999999999999E-2</v>
      </c>
      <c r="T3703" s="82" t="s">
        <v>13809</v>
      </c>
      <c r="U3703" s="84"/>
      <c r="V3703" s="54"/>
    </row>
    <row r="3704" spans="1:22" s="11" customFormat="1" ht="45" customHeight="1" x14ac:dyDescent="0.2">
      <c r="A3704" s="66" t="s">
        <v>12818</v>
      </c>
      <c r="B3704" s="66" t="s">
        <v>1155</v>
      </c>
      <c r="C3704" s="66" t="s">
        <v>9605</v>
      </c>
      <c r="D3704" s="66">
        <v>6942421100157</v>
      </c>
      <c r="E3704" s="68" t="s">
        <v>13816</v>
      </c>
      <c r="F3704" s="66" t="s">
        <v>13817</v>
      </c>
      <c r="G3704" s="71">
        <v>5673</v>
      </c>
      <c r="H3704" s="73"/>
      <c r="I3704" s="75">
        <v>0.2</v>
      </c>
      <c r="J3704" s="77"/>
      <c r="K3704" s="66"/>
      <c r="L3704" s="66"/>
      <c r="M3704" s="79" t="str">
        <f>HYPERLINK("http://www.pristavka.com/catalog/Honkai_Star_Rail/HSR145/")</f>
        <v>http://www.pristavka.com/catalog/Honkai_Star_Rail/HSR145/</v>
      </c>
      <c r="N3704" s="71">
        <v>9499</v>
      </c>
      <c r="O3704" s="66" t="s">
        <v>27</v>
      </c>
      <c r="P3704" s="82" t="s">
        <v>13818</v>
      </c>
      <c r="Q3704" s="84" t="s">
        <v>12818</v>
      </c>
      <c r="R3704" s="84" t="s">
        <v>9605</v>
      </c>
      <c r="S3704" s="84">
        <v>5.5E-2</v>
      </c>
      <c r="T3704" s="82" t="s">
        <v>13819</v>
      </c>
      <c r="U3704" s="84"/>
      <c r="V3704" s="54"/>
    </row>
    <row r="3705" spans="1:22" s="11" customFormat="1" ht="45" customHeight="1" x14ac:dyDescent="0.2">
      <c r="A3705" s="66" t="s">
        <v>12818</v>
      </c>
      <c r="B3705" s="66" t="s">
        <v>1155</v>
      </c>
      <c r="C3705" s="66" t="s">
        <v>9605</v>
      </c>
      <c r="D3705" s="66">
        <v>6942421113546</v>
      </c>
      <c r="E3705" s="68" t="s">
        <v>13820</v>
      </c>
      <c r="F3705" s="66" t="s">
        <v>13821</v>
      </c>
      <c r="G3705" s="71">
        <v>1674</v>
      </c>
      <c r="H3705" s="73"/>
      <c r="I3705" s="75">
        <v>0.2</v>
      </c>
      <c r="J3705" s="77"/>
      <c r="K3705" s="66"/>
      <c r="L3705" s="66"/>
      <c r="M3705" s="79" t="str">
        <f>HYPERLINK("http://www.pristavka.com/catalog/Honkai_Star_Rail/HSR158/")</f>
        <v>http://www.pristavka.com/catalog/Honkai_Star_Rail/HSR158/</v>
      </c>
      <c r="N3705" s="71">
        <v>2799</v>
      </c>
      <c r="O3705" s="66" t="s">
        <v>27</v>
      </c>
      <c r="P3705" s="82" t="s">
        <v>13822</v>
      </c>
      <c r="Q3705" s="84" t="s">
        <v>12818</v>
      </c>
      <c r="R3705" s="84" t="s">
        <v>9605</v>
      </c>
      <c r="S3705" s="84">
        <v>2.1999999999999999E-2</v>
      </c>
      <c r="T3705" s="82" t="s">
        <v>10534</v>
      </c>
      <c r="U3705" s="84"/>
      <c r="V3705" s="54"/>
    </row>
    <row r="3706" spans="1:22" s="11" customFormat="1" ht="45" customHeight="1" x14ac:dyDescent="0.2">
      <c r="A3706" s="66" t="s">
        <v>12818</v>
      </c>
      <c r="B3706" s="66" t="s">
        <v>1155</v>
      </c>
      <c r="C3706" s="66" t="s">
        <v>9605</v>
      </c>
      <c r="D3706" s="66">
        <v>6976068148449</v>
      </c>
      <c r="E3706" s="68" t="s">
        <v>13823</v>
      </c>
      <c r="F3706" s="66" t="s">
        <v>13824</v>
      </c>
      <c r="G3706" s="71">
        <v>4088</v>
      </c>
      <c r="H3706" s="73"/>
      <c r="I3706" s="75">
        <v>0.2</v>
      </c>
      <c r="J3706" s="77"/>
      <c r="K3706" s="66"/>
      <c r="L3706" s="66"/>
      <c r="M3706" s="79" t="str">
        <f>HYPERLINK("http://www.pristavka.com/catalog/Honkai_Star_Rail/HSR154/")</f>
        <v>http://www.pristavka.com/catalog/Honkai_Star_Rail/HSR154/</v>
      </c>
      <c r="N3706" s="71">
        <v>6899</v>
      </c>
      <c r="O3706" s="66" t="s">
        <v>27</v>
      </c>
      <c r="P3706" s="82" t="s">
        <v>13825</v>
      </c>
      <c r="Q3706" s="84" t="s">
        <v>12818</v>
      </c>
      <c r="R3706" s="84" t="s">
        <v>9605</v>
      </c>
      <c r="S3706" s="84">
        <v>3.2000000000000001E-2</v>
      </c>
      <c r="T3706" s="82" t="s">
        <v>13787</v>
      </c>
      <c r="U3706" s="84"/>
      <c r="V3706" s="54"/>
    </row>
    <row r="3707" spans="1:22" s="11" customFormat="1" ht="45" customHeight="1" x14ac:dyDescent="0.2">
      <c r="A3707" s="66" t="s">
        <v>12818</v>
      </c>
      <c r="B3707" s="66" t="s">
        <v>1155</v>
      </c>
      <c r="C3707" s="66" t="s">
        <v>9605</v>
      </c>
      <c r="D3707" s="66">
        <v>6942421100409</v>
      </c>
      <c r="E3707" s="68" t="s">
        <v>13826</v>
      </c>
      <c r="F3707" s="66" t="s">
        <v>13827</v>
      </c>
      <c r="G3707" s="71">
        <v>3771</v>
      </c>
      <c r="H3707" s="73"/>
      <c r="I3707" s="75">
        <v>0.2</v>
      </c>
      <c r="J3707" s="77"/>
      <c r="K3707" s="66"/>
      <c r="L3707" s="66"/>
      <c r="M3707" s="79" t="str">
        <f>HYPERLINK("http://www.pristavka.com/catalog/Honkai_Star_Rail/HSR153/")</f>
        <v>http://www.pristavka.com/catalog/Honkai_Star_Rail/HSR153/</v>
      </c>
      <c r="N3707" s="71">
        <v>6299</v>
      </c>
      <c r="O3707" s="66" t="s">
        <v>27</v>
      </c>
      <c r="P3707" s="82" t="s">
        <v>13828</v>
      </c>
      <c r="Q3707" s="84" t="s">
        <v>12818</v>
      </c>
      <c r="R3707" s="84" t="s">
        <v>9605</v>
      </c>
      <c r="S3707" s="84">
        <v>3.4000000000000002E-2</v>
      </c>
      <c r="T3707" s="82" t="s">
        <v>13829</v>
      </c>
      <c r="U3707" s="84"/>
      <c r="V3707" s="54"/>
    </row>
    <row r="3708" spans="1:22" s="11" customFormat="1" ht="45" customHeight="1" x14ac:dyDescent="0.2">
      <c r="A3708" s="66" t="s">
        <v>12818</v>
      </c>
      <c r="B3708" s="66" t="s">
        <v>1155</v>
      </c>
      <c r="C3708" s="66" t="s">
        <v>9605</v>
      </c>
      <c r="D3708" s="66">
        <v>6976525009658</v>
      </c>
      <c r="E3708" s="68" t="s">
        <v>13830</v>
      </c>
      <c r="F3708" s="66" t="s">
        <v>13831</v>
      </c>
      <c r="G3708" s="71">
        <v>3771</v>
      </c>
      <c r="H3708" s="73"/>
      <c r="I3708" s="75">
        <v>0.2</v>
      </c>
      <c r="J3708" s="77"/>
      <c r="K3708" s="66"/>
      <c r="L3708" s="66"/>
      <c r="M3708" s="79" t="str">
        <f>HYPERLINK("http://www.pristavka.com/catalog/Honkai_Star_Rail/HSR143/")</f>
        <v>http://www.pristavka.com/catalog/Honkai_Star_Rail/HSR143/</v>
      </c>
      <c r="N3708" s="71">
        <v>6299</v>
      </c>
      <c r="O3708" s="66" t="s">
        <v>27</v>
      </c>
      <c r="P3708" s="82" t="s">
        <v>13832</v>
      </c>
      <c r="Q3708" s="84" t="s">
        <v>12818</v>
      </c>
      <c r="R3708" s="84" t="s">
        <v>9605</v>
      </c>
      <c r="S3708" s="84">
        <v>3.5999999999999997E-2</v>
      </c>
      <c r="T3708" s="82" t="s">
        <v>10209</v>
      </c>
      <c r="U3708" s="84"/>
      <c r="V3708" s="54"/>
    </row>
    <row r="3709" spans="1:22" s="11" customFormat="1" ht="45" customHeight="1" x14ac:dyDescent="0.2">
      <c r="A3709" s="66" t="s">
        <v>12818</v>
      </c>
      <c r="B3709" s="66" t="s">
        <v>1155</v>
      </c>
      <c r="C3709" s="66" t="s">
        <v>9605</v>
      </c>
      <c r="D3709" s="66">
        <v>6942421109716</v>
      </c>
      <c r="E3709" s="68" t="s">
        <v>13833</v>
      </c>
      <c r="F3709" s="66" t="s">
        <v>13834</v>
      </c>
      <c r="G3709" s="71">
        <v>3771</v>
      </c>
      <c r="H3709" s="73"/>
      <c r="I3709" s="75">
        <v>0.2</v>
      </c>
      <c r="J3709" s="77"/>
      <c r="K3709" s="66"/>
      <c r="L3709" s="66"/>
      <c r="M3709" s="79" t="str">
        <f>HYPERLINK("http://www.pristavka.com/catalog/Honkai_Star_Rail/HSR156/")</f>
        <v>http://www.pristavka.com/catalog/Honkai_Star_Rail/HSR156/</v>
      </c>
      <c r="N3709" s="71">
        <v>6299</v>
      </c>
      <c r="O3709" s="66" t="s">
        <v>27</v>
      </c>
      <c r="P3709" s="82" t="s">
        <v>13835</v>
      </c>
      <c r="Q3709" s="84" t="s">
        <v>12818</v>
      </c>
      <c r="R3709" s="84" t="s">
        <v>9605</v>
      </c>
      <c r="S3709" s="84">
        <v>3.4000000000000002E-2</v>
      </c>
      <c r="T3709" s="82" t="s">
        <v>13829</v>
      </c>
      <c r="U3709" s="84"/>
      <c r="V3709" s="54"/>
    </row>
    <row r="3710" spans="1:22" s="11" customFormat="1" ht="45" customHeight="1" x14ac:dyDescent="0.2">
      <c r="A3710" s="66" t="s">
        <v>12818</v>
      </c>
      <c r="B3710" s="66" t="s">
        <v>1155</v>
      </c>
      <c r="C3710" s="66" t="s">
        <v>9605</v>
      </c>
      <c r="D3710" s="66">
        <v>6942421109891</v>
      </c>
      <c r="E3710" s="68" t="s">
        <v>13836</v>
      </c>
      <c r="F3710" s="66" t="s">
        <v>13837</v>
      </c>
      <c r="G3710" s="71">
        <v>3771</v>
      </c>
      <c r="H3710" s="73"/>
      <c r="I3710" s="75">
        <v>0.2</v>
      </c>
      <c r="J3710" s="77"/>
      <c r="K3710" s="66"/>
      <c r="L3710" s="66"/>
      <c r="M3710" s="79" t="str">
        <f>HYPERLINK("http://www.pristavka.com/catalog/Honkai_Star_Rail/HSR151/")</f>
        <v>http://www.pristavka.com/catalog/Honkai_Star_Rail/HSR151/</v>
      </c>
      <c r="N3710" s="71">
        <v>6299</v>
      </c>
      <c r="O3710" s="66" t="s">
        <v>27</v>
      </c>
      <c r="P3710" s="82" t="s">
        <v>13838</v>
      </c>
      <c r="Q3710" s="84" t="s">
        <v>12818</v>
      </c>
      <c r="R3710" s="84" t="s">
        <v>9605</v>
      </c>
      <c r="S3710" s="84">
        <v>5.3999999999999999E-2</v>
      </c>
      <c r="T3710" s="82" t="s">
        <v>13839</v>
      </c>
      <c r="U3710" s="84"/>
      <c r="V3710" s="54"/>
    </row>
    <row r="3711" spans="1:22" s="11" customFormat="1" ht="45" customHeight="1" x14ac:dyDescent="0.2">
      <c r="A3711" s="66" t="s">
        <v>12818</v>
      </c>
      <c r="B3711" s="66" t="s">
        <v>1155</v>
      </c>
      <c r="C3711" s="66" t="s">
        <v>9605</v>
      </c>
      <c r="D3711" s="66">
        <v>6942421110224</v>
      </c>
      <c r="E3711" s="68" t="s">
        <v>13840</v>
      </c>
      <c r="F3711" s="66" t="s">
        <v>13841</v>
      </c>
      <c r="G3711" s="71">
        <v>2847</v>
      </c>
      <c r="H3711" s="73"/>
      <c r="I3711" s="75">
        <v>0.2</v>
      </c>
      <c r="J3711" s="77"/>
      <c r="K3711" s="66"/>
      <c r="L3711" s="66"/>
      <c r="M3711" s="79" t="str">
        <f>HYPERLINK("http://www.pristavka.com/catalog/Honkai_Star_Rail/HSR162/")</f>
        <v>http://www.pristavka.com/catalog/Honkai_Star_Rail/HSR162/</v>
      </c>
      <c r="N3711" s="71">
        <v>4799</v>
      </c>
      <c r="O3711" s="66" t="s">
        <v>27</v>
      </c>
      <c r="P3711" s="82" t="s">
        <v>13842</v>
      </c>
      <c r="Q3711" s="84" t="s">
        <v>12818</v>
      </c>
      <c r="R3711" s="84" t="s">
        <v>9605</v>
      </c>
      <c r="S3711" s="84">
        <v>2.5000000000000001E-2</v>
      </c>
      <c r="T3711" s="82" t="s">
        <v>13843</v>
      </c>
      <c r="U3711" s="84"/>
      <c r="V3711" s="54"/>
    </row>
    <row r="3712" spans="1:22" s="11" customFormat="1" ht="45" customHeight="1" x14ac:dyDescent="0.2">
      <c r="A3712" s="66" t="s">
        <v>12818</v>
      </c>
      <c r="B3712" s="66" t="s">
        <v>1155</v>
      </c>
      <c r="C3712" s="66" t="s">
        <v>9605</v>
      </c>
      <c r="D3712" s="66" t="s">
        <v>26</v>
      </c>
      <c r="E3712" s="68" t="s">
        <v>13844</v>
      </c>
      <c r="F3712" s="66" t="s">
        <v>13845</v>
      </c>
      <c r="G3712" s="71">
        <v>2821</v>
      </c>
      <c r="H3712" s="73"/>
      <c r="I3712" s="75">
        <v>0.2</v>
      </c>
      <c r="J3712" s="77"/>
      <c r="K3712" s="66"/>
      <c r="L3712" s="66"/>
      <c r="M3712" s="79" t="str">
        <f>HYPERLINK("http://www.pristavka.com/catalog/Honkai_Star_Rail/HSR330/")</f>
        <v>http://www.pristavka.com/catalog/Honkai_Star_Rail/HSR330/</v>
      </c>
      <c r="N3712" s="71">
        <v>4799</v>
      </c>
      <c r="O3712" s="66" t="s">
        <v>27</v>
      </c>
      <c r="P3712" s="82" t="s">
        <v>13846</v>
      </c>
      <c r="Q3712" s="84" t="s">
        <v>12818</v>
      </c>
      <c r="R3712" s="84" t="s">
        <v>9605</v>
      </c>
      <c r="S3712" s="84">
        <v>3.4000000000000002E-2</v>
      </c>
      <c r="T3712" s="82" t="s">
        <v>13847</v>
      </c>
      <c r="U3712" s="84"/>
      <c r="V3712" s="54"/>
    </row>
    <row r="3713" spans="1:22" s="11" customFormat="1" ht="45" customHeight="1" x14ac:dyDescent="0.2">
      <c r="A3713" s="66" t="s">
        <v>12818</v>
      </c>
      <c r="B3713" s="66" t="s">
        <v>1155</v>
      </c>
      <c r="C3713" s="66" t="s">
        <v>9605</v>
      </c>
      <c r="D3713" s="66" t="s">
        <v>26</v>
      </c>
      <c r="E3713" s="68" t="s">
        <v>13848</v>
      </c>
      <c r="F3713" s="66" t="s">
        <v>13849</v>
      </c>
      <c r="G3713" s="71">
        <v>2821</v>
      </c>
      <c r="H3713" s="73"/>
      <c r="I3713" s="75">
        <v>0.2</v>
      </c>
      <c r="J3713" s="77"/>
      <c r="K3713" s="66"/>
      <c r="L3713" s="66"/>
      <c r="M3713" s="79" t="str">
        <f>HYPERLINK("http://www.pristavka.com/catalog/Honkai_Star_Rail/HSR307/")</f>
        <v>http://www.pristavka.com/catalog/Honkai_Star_Rail/HSR307/</v>
      </c>
      <c r="N3713" s="71">
        <v>4799</v>
      </c>
      <c r="O3713" s="66" t="s">
        <v>27</v>
      </c>
      <c r="P3713" s="82" t="s">
        <v>13850</v>
      </c>
      <c r="Q3713" s="84" t="s">
        <v>12818</v>
      </c>
      <c r="R3713" s="84" t="s">
        <v>9605</v>
      </c>
      <c r="S3713" s="84">
        <v>5.6000000000000001E-2</v>
      </c>
      <c r="T3713" s="82" t="s">
        <v>10542</v>
      </c>
      <c r="U3713" s="84"/>
      <c r="V3713" s="54"/>
    </row>
    <row r="3714" spans="1:22" s="11" customFormat="1" ht="45" customHeight="1" x14ac:dyDescent="0.2">
      <c r="A3714" s="66" t="s">
        <v>12818</v>
      </c>
      <c r="B3714" s="66" t="s">
        <v>1155</v>
      </c>
      <c r="C3714" s="66" t="s">
        <v>9605</v>
      </c>
      <c r="D3714" s="66" t="s">
        <v>26</v>
      </c>
      <c r="E3714" s="68" t="s">
        <v>13851</v>
      </c>
      <c r="F3714" s="66" t="s">
        <v>13852</v>
      </c>
      <c r="G3714" s="71">
        <v>3771</v>
      </c>
      <c r="H3714" s="73"/>
      <c r="I3714" s="75">
        <v>0.2</v>
      </c>
      <c r="J3714" s="77"/>
      <c r="K3714" s="66"/>
      <c r="L3714" s="66"/>
      <c r="M3714" s="79" t="str">
        <f>HYPERLINK("http://www.pristavka.com/catalog/Honkai_Star_Rail/HSR336/")</f>
        <v>http://www.pristavka.com/catalog/Honkai_Star_Rail/HSR336/</v>
      </c>
      <c r="N3714" s="71">
        <v>6299</v>
      </c>
      <c r="O3714" s="66" t="s">
        <v>27</v>
      </c>
      <c r="P3714" s="82" t="s">
        <v>13853</v>
      </c>
      <c r="Q3714" s="84" t="s">
        <v>12818</v>
      </c>
      <c r="R3714" s="84" t="s">
        <v>9605</v>
      </c>
      <c r="S3714" s="84">
        <v>6.5000000000000002E-2</v>
      </c>
      <c r="T3714" s="82" t="s">
        <v>13854</v>
      </c>
      <c r="U3714" s="84"/>
      <c r="V3714" s="54"/>
    </row>
    <row r="3715" spans="1:22" s="11" customFormat="1" ht="45" customHeight="1" x14ac:dyDescent="0.2">
      <c r="A3715" s="66" t="s">
        <v>12818</v>
      </c>
      <c r="B3715" s="66" t="s">
        <v>1155</v>
      </c>
      <c r="C3715" s="66" t="s">
        <v>9605</v>
      </c>
      <c r="D3715" s="66" t="s">
        <v>26</v>
      </c>
      <c r="E3715" s="68" t="s">
        <v>13855</v>
      </c>
      <c r="F3715" s="66" t="s">
        <v>13856</v>
      </c>
      <c r="G3715" s="71">
        <v>2821</v>
      </c>
      <c r="H3715" s="73"/>
      <c r="I3715" s="75">
        <v>0.2</v>
      </c>
      <c r="J3715" s="77"/>
      <c r="K3715" s="66"/>
      <c r="L3715" s="66"/>
      <c r="M3715" s="79" t="str">
        <f>HYPERLINK("http://www.pristavka.com/catalog/Honkai_Star_Rail/HSR308/")</f>
        <v>http://www.pristavka.com/catalog/Honkai_Star_Rail/HSR308/</v>
      </c>
      <c r="N3715" s="71">
        <v>4799</v>
      </c>
      <c r="O3715" s="66" t="s">
        <v>27</v>
      </c>
      <c r="P3715" s="82" t="s">
        <v>13857</v>
      </c>
      <c r="Q3715" s="84" t="s">
        <v>12818</v>
      </c>
      <c r="R3715" s="84" t="s">
        <v>9605</v>
      </c>
      <c r="S3715" s="84">
        <v>5.5E-2</v>
      </c>
      <c r="T3715" s="82" t="s">
        <v>9764</v>
      </c>
      <c r="U3715" s="84"/>
      <c r="V3715" s="54"/>
    </row>
    <row r="3716" spans="1:22" s="11" customFormat="1" ht="45" customHeight="1" x14ac:dyDescent="0.2">
      <c r="A3716" s="66" t="s">
        <v>12818</v>
      </c>
      <c r="B3716" s="66" t="s">
        <v>1155</v>
      </c>
      <c r="C3716" s="66" t="s">
        <v>9605</v>
      </c>
      <c r="D3716" s="66" t="s">
        <v>26</v>
      </c>
      <c r="E3716" s="68" t="s">
        <v>13858</v>
      </c>
      <c r="F3716" s="66" t="s">
        <v>13859</v>
      </c>
      <c r="G3716" s="71">
        <v>2821</v>
      </c>
      <c r="H3716" s="73"/>
      <c r="I3716" s="75">
        <v>0.2</v>
      </c>
      <c r="J3716" s="77"/>
      <c r="K3716" s="66"/>
      <c r="L3716" s="66"/>
      <c r="M3716" s="79" t="str">
        <f>HYPERLINK("http://www.pristavka.com/catalog/Honkai_Star_Rail/HSR309/")</f>
        <v>http://www.pristavka.com/catalog/Honkai_Star_Rail/HSR309/</v>
      </c>
      <c r="N3716" s="71">
        <v>4799</v>
      </c>
      <c r="O3716" s="66" t="s">
        <v>27</v>
      </c>
      <c r="P3716" s="82" t="s">
        <v>13860</v>
      </c>
      <c r="Q3716" s="84" t="s">
        <v>12818</v>
      </c>
      <c r="R3716" s="84" t="s">
        <v>9605</v>
      </c>
      <c r="S3716" s="84">
        <v>5.6000000000000001E-2</v>
      </c>
      <c r="T3716" s="82" t="s">
        <v>10542</v>
      </c>
      <c r="U3716" s="84"/>
      <c r="V3716" s="54"/>
    </row>
    <row r="3717" spans="1:22" s="11" customFormat="1" ht="45" customHeight="1" x14ac:dyDescent="0.2">
      <c r="A3717" s="66" t="s">
        <v>12818</v>
      </c>
      <c r="B3717" s="66" t="s">
        <v>1155</v>
      </c>
      <c r="C3717" s="66" t="s">
        <v>9605</v>
      </c>
      <c r="D3717" s="66" t="s">
        <v>26</v>
      </c>
      <c r="E3717" s="68" t="s">
        <v>13861</v>
      </c>
      <c r="F3717" s="66" t="s">
        <v>13862</v>
      </c>
      <c r="G3717" s="71">
        <v>2821</v>
      </c>
      <c r="H3717" s="73"/>
      <c r="I3717" s="75">
        <v>0.2</v>
      </c>
      <c r="J3717" s="77"/>
      <c r="K3717" s="66"/>
      <c r="L3717" s="66"/>
      <c r="M3717" s="79" t="str">
        <f>HYPERLINK("http://www.pristavka.com/catalog/Honkai_Star_Rail/HSR306/")</f>
        <v>http://www.pristavka.com/catalog/Honkai_Star_Rail/HSR306/</v>
      </c>
      <c r="N3717" s="71">
        <v>4799</v>
      </c>
      <c r="O3717" s="66" t="s">
        <v>27</v>
      </c>
      <c r="P3717" s="82" t="s">
        <v>13863</v>
      </c>
      <c r="Q3717" s="84" t="s">
        <v>12818</v>
      </c>
      <c r="R3717" s="84" t="s">
        <v>9605</v>
      </c>
      <c r="S3717" s="84">
        <v>5.6000000000000001E-2</v>
      </c>
      <c r="T3717" s="82" t="s">
        <v>13864</v>
      </c>
      <c r="U3717" s="84"/>
      <c r="V3717" s="54"/>
    </row>
    <row r="3718" spans="1:22" s="11" customFormat="1" ht="45" customHeight="1" x14ac:dyDescent="0.2">
      <c r="A3718" s="66" t="s">
        <v>12818</v>
      </c>
      <c r="B3718" s="66" t="s">
        <v>1155</v>
      </c>
      <c r="C3718" s="66" t="s">
        <v>9605</v>
      </c>
      <c r="D3718" s="66" t="s">
        <v>26</v>
      </c>
      <c r="E3718" s="68" t="s">
        <v>13865</v>
      </c>
      <c r="F3718" s="66" t="s">
        <v>13866</v>
      </c>
      <c r="G3718" s="71">
        <v>2821</v>
      </c>
      <c r="H3718" s="73"/>
      <c r="I3718" s="75">
        <v>0.2</v>
      </c>
      <c r="J3718" s="77"/>
      <c r="K3718" s="66"/>
      <c r="L3718" s="66"/>
      <c r="M3718" s="79" t="str">
        <f>HYPERLINK("http://www.pristavka.com/catalog/Honkai_Star_Rail/HSR329/")</f>
        <v>http://www.pristavka.com/catalog/Honkai_Star_Rail/HSR329/</v>
      </c>
      <c r="N3718" s="71">
        <v>4799</v>
      </c>
      <c r="O3718" s="66" t="s">
        <v>27</v>
      </c>
      <c r="P3718" s="82" t="s">
        <v>13867</v>
      </c>
      <c r="Q3718" s="84" t="s">
        <v>12818</v>
      </c>
      <c r="R3718" s="84" t="s">
        <v>9605</v>
      </c>
      <c r="S3718" s="84">
        <v>3.3000000000000002E-2</v>
      </c>
      <c r="T3718" s="82" t="s">
        <v>13847</v>
      </c>
      <c r="U3718" s="84"/>
      <c r="V3718" s="54"/>
    </row>
    <row r="3719" spans="1:22" s="11" customFormat="1" ht="45" customHeight="1" x14ac:dyDescent="0.2">
      <c r="A3719" s="66" t="s">
        <v>12818</v>
      </c>
      <c r="B3719" s="66" t="s">
        <v>1155</v>
      </c>
      <c r="C3719" s="66" t="s">
        <v>9605</v>
      </c>
      <c r="D3719" s="66" t="s">
        <v>26</v>
      </c>
      <c r="E3719" s="68" t="s">
        <v>13868</v>
      </c>
      <c r="F3719" s="66" t="s">
        <v>13869</v>
      </c>
      <c r="G3719" s="71">
        <v>3771</v>
      </c>
      <c r="H3719" s="73"/>
      <c r="I3719" s="75">
        <v>0.2</v>
      </c>
      <c r="J3719" s="77"/>
      <c r="K3719" s="66"/>
      <c r="L3719" s="66"/>
      <c r="M3719" s="79" t="str">
        <f>HYPERLINK("http://www.pristavka.com/catalog/Honkai_Star_Rail/HSR334/")</f>
        <v>http://www.pristavka.com/catalog/Honkai_Star_Rail/HSR334/</v>
      </c>
      <c r="N3719" s="71">
        <v>6299</v>
      </c>
      <c r="O3719" s="66" t="s">
        <v>27</v>
      </c>
      <c r="P3719" s="82" t="s">
        <v>13870</v>
      </c>
      <c r="Q3719" s="84" t="s">
        <v>12818</v>
      </c>
      <c r="R3719" s="84" t="s">
        <v>9605</v>
      </c>
      <c r="S3719" s="84">
        <v>0.06</v>
      </c>
      <c r="T3719" s="82" t="s">
        <v>13854</v>
      </c>
      <c r="U3719" s="84"/>
      <c r="V3719" s="54"/>
    </row>
    <row r="3720" spans="1:22" s="11" customFormat="1" ht="45" customHeight="1" x14ac:dyDescent="0.2">
      <c r="A3720" s="66" t="s">
        <v>12818</v>
      </c>
      <c r="B3720" s="66" t="s">
        <v>1155</v>
      </c>
      <c r="C3720" s="66" t="s">
        <v>9605</v>
      </c>
      <c r="D3720" s="66" t="s">
        <v>26</v>
      </c>
      <c r="E3720" s="68" t="s">
        <v>13871</v>
      </c>
      <c r="F3720" s="66" t="s">
        <v>13872</v>
      </c>
      <c r="G3720" s="71">
        <v>2821</v>
      </c>
      <c r="H3720" s="73"/>
      <c r="I3720" s="75">
        <v>0.2</v>
      </c>
      <c r="J3720" s="77"/>
      <c r="K3720" s="66"/>
      <c r="L3720" s="66"/>
      <c r="M3720" s="79" t="str">
        <f>HYPERLINK("http://www.pristavka.com/catalog/Honkai_Star_Rail/HSR328/")</f>
        <v>http://www.pristavka.com/catalog/Honkai_Star_Rail/HSR328/</v>
      </c>
      <c r="N3720" s="71">
        <v>4799</v>
      </c>
      <c r="O3720" s="66" t="s">
        <v>27</v>
      </c>
      <c r="P3720" s="82" t="s">
        <v>13873</v>
      </c>
      <c r="Q3720" s="84" t="s">
        <v>12818</v>
      </c>
      <c r="R3720" s="84" t="s">
        <v>9605</v>
      </c>
      <c r="S3720" s="84">
        <v>3.3000000000000002E-2</v>
      </c>
      <c r="T3720" s="82" t="s">
        <v>10558</v>
      </c>
      <c r="U3720" s="84"/>
      <c r="V3720" s="54"/>
    </row>
    <row r="3721" spans="1:22" s="11" customFormat="1" ht="45" customHeight="1" x14ac:dyDescent="0.2">
      <c r="A3721" s="66" t="s">
        <v>12818</v>
      </c>
      <c r="B3721" s="66" t="s">
        <v>1155</v>
      </c>
      <c r="C3721" s="66" t="s">
        <v>9605</v>
      </c>
      <c r="D3721" s="66">
        <v>6976068148548</v>
      </c>
      <c r="E3721" s="68" t="s">
        <v>13874</v>
      </c>
      <c r="F3721" s="66" t="s">
        <v>13875</v>
      </c>
      <c r="G3721" s="71">
        <v>2372</v>
      </c>
      <c r="H3721" s="73"/>
      <c r="I3721" s="75">
        <v>0.2</v>
      </c>
      <c r="J3721" s="77"/>
      <c r="K3721" s="66"/>
      <c r="L3721" s="66"/>
      <c r="M3721" s="79" t="str">
        <f>HYPERLINK("http://www.pristavka.com/catalog/Honkai_Star_Rail/HSR99/")</f>
        <v>http://www.pristavka.com/catalog/Honkai_Star_Rail/HSR99/</v>
      </c>
      <c r="N3721" s="71">
        <v>3999</v>
      </c>
      <c r="O3721" s="66" t="s">
        <v>28</v>
      </c>
      <c r="P3721" s="82" t="s">
        <v>13876</v>
      </c>
      <c r="Q3721" s="84" t="s">
        <v>12818</v>
      </c>
      <c r="R3721" s="84" t="s">
        <v>9605</v>
      </c>
      <c r="S3721" s="84">
        <v>3.5000000000000003E-2</v>
      </c>
      <c r="T3721" s="82" t="s">
        <v>13877</v>
      </c>
      <c r="U3721" s="84"/>
      <c r="V3721" s="54"/>
    </row>
    <row r="3722" spans="1:22" s="11" customFormat="1" ht="45" customHeight="1" x14ac:dyDescent="0.2">
      <c r="A3722" s="66" t="s">
        <v>12818</v>
      </c>
      <c r="B3722" s="66" t="s">
        <v>1155</v>
      </c>
      <c r="C3722" s="66" t="s">
        <v>9605</v>
      </c>
      <c r="D3722" s="66">
        <v>6976068142751</v>
      </c>
      <c r="E3722" s="68" t="s">
        <v>13878</v>
      </c>
      <c r="F3722" s="66" t="s">
        <v>13879</v>
      </c>
      <c r="G3722" s="71">
        <v>2689</v>
      </c>
      <c r="H3722" s="73"/>
      <c r="I3722" s="75">
        <v>0.2</v>
      </c>
      <c r="J3722" s="77"/>
      <c r="K3722" s="66"/>
      <c r="L3722" s="66"/>
      <c r="M3722" s="79" t="str">
        <f>HYPERLINK("http://www.pristavka.com/catalog/Honkai_Star_Rail/HSR72/")</f>
        <v>http://www.pristavka.com/catalog/Honkai_Star_Rail/HSR72/</v>
      </c>
      <c r="N3722" s="71">
        <v>4499</v>
      </c>
      <c r="O3722" s="66" t="s">
        <v>27</v>
      </c>
      <c r="P3722" s="82" t="s">
        <v>13880</v>
      </c>
      <c r="Q3722" s="84" t="s">
        <v>12818</v>
      </c>
      <c r="R3722" s="84" t="s">
        <v>9605</v>
      </c>
      <c r="S3722" s="84">
        <v>0.03</v>
      </c>
      <c r="T3722" s="82" t="s">
        <v>13551</v>
      </c>
      <c r="U3722" s="84"/>
      <c r="V3722" s="54"/>
    </row>
    <row r="3723" spans="1:22" s="11" customFormat="1" ht="45" customHeight="1" x14ac:dyDescent="0.2">
      <c r="A3723" s="66" t="s">
        <v>12818</v>
      </c>
      <c r="B3723" s="66" t="s">
        <v>1155</v>
      </c>
      <c r="C3723" s="66" t="s">
        <v>9605</v>
      </c>
      <c r="D3723" s="66">
        <v>6976068142508</v>
      </c>
      <c r="E3723" s="68" t="s">
        <v>13881</v>
      </c>
      <c r="F3723" s="66" t="s">
        <v>13882</v>
      </c>
      <c r="G3723" s="71">
        <v>2689</v>
      </c>
      <c r="H3723" s="73"/>
      <c r="I3723" s="75">
        <v>0.2</v>
      </c>
      <c r="J3723" s="77"/>
      <c r="K3723" s="66"/>
      <c r="L3723" s="66"/>
      <c r="M3723" s="79" t="str">
        <f>HYPERLINK("http://www.pristavka.com/catalog/Honkai_Star_Rail/HSR71/")</f>
        <v>http://www.pristavka.com/catalog/Honkai_Star_Rail/HSR71/</v>
      </c>
      <c r="N3723" s="71">
        <v>4499</v>
      </c>
      <c r="O3723" s="66" t="s">
        <v>27</v>
      </c>
      <c r="P3723" s="82" t="s">
        <v>13883</v>
      </c>
      <c r="Q3723" s="84" t="s">
        <v>12818</v>
      </c>
      <c r="R3723" s="84" t="s">
        <v>9605</v>
      </c>
      <c r="S3723" s="84">
        <v>0.03</v>
      </c>
      <c r="T3723" s="82" t="s">
        <v>13551</v>
      </c>
      <c r="U3723" s="84"/>
      <c r="V3723" s="54"/>
    </row>
    <row r="3724" spans="1:22" s="11" customFormat="1" ht="45" customHeight="1" x14ac:dyDescent="0.2">
      <c r="A3724" s="66" t="s">
        <v>12818</v>
      </c>
      <c r="B3724" s="66" t="s">
        <v>1155</v>
      </c>
      <c r="C3724" s="66" t="s">
        <v>9605</v>
      </c>
      <c r="D3724" s="66">
        <v>6976068142416</v>
      </c>
      <c r="E3724" s="68" t="s">
        <v>13884</v>
      </c>
      <c r="F3724" s="66" t="s">
        <v>13885</v>
      </c>
      <c r="G3724" s="71">
        <v>2689</v>
      </c>
      <c r="H3724" s="73"/>
      <c r="I3724" s="75">
        <v>0.2</v>
      </c>
      <c r="J3724" s="77"/>
      <c r="K3724" s="66"/>
      <c r="L3724" s="66"/>
      <c r="M3724" s="79" t="str">
        <f>HYPERLINK("http://www.pristavka.com/catalog/Honkai_Star_Rail/HSR53/")</f>
        <v>http://www.pristavka.com/catalog/Honkai_Star_Rail/HSR53/</v>
      </c>
      <c r="N3724" s="71">
        <v>4499</v>
      </c>
      <c r="O3724" s="66" t="s">
        <v>27</v>
      </c>
      <c r="P3724" s="82" t="s">
        <v>13886</v>
      </c>
      <c r="Q3724" s="84" t="s">
        <v>12818</v>
      </c>
      <c r="R3724" s="84" t="s">
        <v>9605</v>
      </c>
      <c r="S3724" s="84">
        <v>0.03</v>
      </c>
      <c r="T3724" s="82" t="s">
        <v>13551</v>
      </c>
      <c r="U3724" s="84"/>
      <c r="V3724" s="54"/>
    </row>
    <row r="3725" spans="1:22" s="11" customFormat="1" ht="45" customHeight="1" x14ac:dyDescent="0.2">
      <c r="A3725" s="66" t="s">
        <v>12818</v>
      </c>
      <c r="B3725" s="66" t="s">
        <v>1155</v>
      </c>
      <c r="C3725" s="66" t="s">
        <v>9605</v>
      </c>
      <c r="D3725" s="66">
        <v>6976068142485</v>
      </c>
      <c r="E3725" s="68" t="s">
        <v>13887</v>
      </c>
      <c r="F3725" s="66" t="s">
        <v>13888</v>
      </c>
      <c r="G3725" s="71">
        <v>2689</v>
      </c>
      <c r="H3725" s="73"/>
      <c r="I3725" s="75">
        <v>0.2</v>
      </c>
      <c r="J3725" s="77"/>
      <c r="K3725" s="66"/>
      <c r="L3725" s="66"/>
      <c r="M3725" s="79" t="str">
        <f>HYPERLINK("http://www.pristavka.com/catalog/Honkai_Star_Rail/HSR54/")</f>
        <v>http://www.pristavka.com/catalog/Honkai_Star_Rail/HSR54/</v>
      </c>
      <c r="N3725" s="71">
        <v>4499</v>
      </c>
      <c r="O3725" s="66" t="s">
        <v>27</v>
      </c>
      <c r="P3725" s="82" t="s">
        <v>13889</v>
      </c>
      <c r="Q3725" s="84" t="s">
        <v>12818</v>
      </c>
      <c r="R3725" s="84" t="s">
        <v>9605</v>
      </c>
      <c r="S3725" s="84">
        <v>0.03</v>
      </c>
      <c r="T3725" s="82" t="s">
        <v>13551</v>
      </c>
      <c r="U3725" s="84"/>
      <c r="V3725" s="54"/>
    </row>
    <row r="3726" spans="1:22" s="11" customFormat="1" ht="45" customHeight="1" x14ac:dyDescent="0.2">
      <c r="A3726" s="66" t="s">
        <v>12818</v>
      </c>
      <c r="B3726" s="66" t="s">
        <v>1155</v>
      </c>
      <c r="C3726" s="66" t="s">
        <v>9605</v>
      </c>
      <c r="D3726" s="66">
        <v>6976068142539</v>
      </c>
      <c r="E3726" s="68" t="s">
        <v>13890</v>
      </c>
      <c r="F3726" s="66" t="s">
        <v>13891</v>
      </c>
      <c r="G3726" s="71">
        <v>2689</v>
      </c>
      <c r="H3726" s="73"/>
      <c r="I3726" s="75">
        <v>0.2</v>
      </c>
      <c r="J3726" s="77"/>
      <c r="K3726" s="66"/>
      <c r="L3726" s="66"/>
      <c r="M3726" s="79" t="str">
        <f>HYPERLINK("http://www.pristavka.com/catalog/Honkai_Star_Rail/HSR55/")</f>
        <v>http://www.pristavka.com/catalog/Honkai_Star_Rail/HSR55/</v>
      </c>
      <c r="N3726" s="71">
        <v>4499</v>
      </c>
      <c r="O3726" s="66" t="s">
        <v>27</v>
      </c>
      <c r="P3726" s="82" t="s">
        <v>13892</v>
      </c>
      <c r="Q3726" s="84" t="s">
        <v>12818</v>
      </c>
      <c r="R3726" s="84" t="s">
        <v>9605</v>
      </c>
      <c r="S3726" s="84">
        <v>0.03</v>
      </c>
      <c r="T3726" s="82" t="s">
        <v>13551</v>
      </c>
      <c r="U3726" s="84"/>
      <c r="V3726" s="54"/>
    </row>
    <row r="3727" spans="1:22" s="11" customFormat="1" ht="45" customHeight="1" x14ac:dyDescent="0.2">
      <c r="A3727" s="66" t="s">
        <v>12818</v>
      </c>
      <c r="B3727" s="66" t="s">
        <v>1155</v>
      </c>
      <c r="C3727" s="66" t="s">
        <v>9605</v>
      </c>
      <c r="D3727" s="66">
        <v>6976068142409</v>
      </c>
      <c r="E3727" s="68" t="s">
        <v>13893</v>
      </c>
      <c r="F3727" s="66" t="s">
        <v>13894</v>
      </c>
      <c r="G3727" s="71">
        <v>2689</v>
      </c>
      <c r="H3727" s="73"/>
      <c r="I3727" s="75">
        <v>0.2</v>
      </c>
      <c r="J3727" s="77"/>
      <c r="K3727" s="66"/>
      <c r="L3727" s="66"/>
      <c r="M3727" s="79" t="str">
        <f>HYPERLINK("http://www.pristavka.com/catalog/Honkai_Star_Rail/HSR60/")</f>
        <v>http://www.pristavka.com/catalog/Honkai_Star_Rail/HSR60/</v>
      </c>
      <c r="N3727" s="71">
        <v>4499</v>
      </c>
      <c r="O3727" s="66" t="s">
        <v>28</v>
      </c>
      <c r="P3727" s="82" t="s">
        <v>13895</v>
      </c>
      <c r="Q3727" s="84" t="s">
        <v>12818</v>
      </c>
      <c r="R3727" s="84" t="s">
        <v>9605</v>
      </c>
      <c r="S3727" s="84">
        <v>0.03</v>
      </c>
      <c r="T3727" s="82" t="s">
        <v>13551</v>
      </c>
      <c r="U3727" s="84"/>
      <c r="V3727" s="54"/>
    </row>
    <row r="3728" spans="1:22" s="11" customFormat="1" ht="45" customHeight="1" x14ac:dyDescent="0.2">
      <c r="A3728" s="66" t="s">
        <v>12818</v>
      </c>
      <c r="B3728" s="66" t="s">
        <v>1155</v>
      </c>
      <c r="C3728" s="66" t="s">
        <v>9605</v>
      </c>
      <c r="D3728" s="66">
        <v>6976068142454</v>
      </c>
      <c r="E3728" s="68" t="s">
        <v>13896</v>
      </c>
      <c r="F3728" s="66" t="s">
        <v>13897</v>
      </c>
      <c r="G3728" s="71">
        <v>4088</v>
      </c>
      <c r="H3728" s="73"/>
      <c r="I3728" s="75">
        <v>0.2</v>
      </c>
      <c r="J3728" s="77"/>
      <c r="K3728" s="66"/>
      <c r="L3728" s="66"/>
      <c r="M3728" s="79" t="str">
        <f>HYPERLINK("http://www.pristavka.com/catalog/Honkai_Star_Rail/HSR61/")</f>
        <v>http://www.pristavka.com/catalog/Honkai_Star_Rail/HSR61/</v>
      </c>
      <c r="N3728" s="71">
        <v>6899</v>
      </c>
      <c r="O3728" s="66" t="s">
        <v>28</v>
      </c>
      <c r="P3728" s="82" t="s">
        <v>13898</v>
      </c>
      <c r="Q3728" s="84" t="s">
        <v>12818</v>
      </c>
      <c r="R3728" s="84" t="s">
        <v>9605</v>
      </c>
      <c r="S3728" s="84">
        <v>0.03</v>
      </c>
      <c r="T3728" s="82" t="s">
        <v>13551</v>
      </c>
      <c r="U3728" s="84"/>
      <c r="V3728" s="54"/>
    </row>
    <row r="3729" spans="1:22" s="11" customFormat="1" ht="45" customHeight="1" x14ac:dyDescent="0.2">
      <c r="A3729" s="66" t="s">
        <v>12818</v>
      </c>
      <c r="B3729" s="66" t="s">
        <v>1155</v>
      </c>
      <c r="C3729" s="66" t="s">
        <v>9605</v>
      </c>
      <c r="D3729" s="66">
        <v>6976068142799</v>
      </c>
      <c r="E3729" s="68" t="s">
        <v>13899</v>
      </c>
      <c r="F3729" s="66" t="s">
        <v>13900</v>
      </c>
      <c r="G3729" s="71">
        <v>2689</v>
      </c>
      <c r="H3729" s="73"/>
      <c r="I3729" s="75">
        <v>0.2</v>
      </c>
      <c r="J3729" s="77"/>
      <c r="K3729" s="66"/>
      <c r="L3729" s="66"/>
      <c r="M3729" s="79" t="str">
        <f>HYPERLINK("http://www.pristavka.com/catalog/Honkai_Star_Rail/HSR62/")</f>
        <v>http://www.pristavka.com/catalog/Honkai_Star_Rail/HSR62/</v>
      </c>
      <c r="N3729" s="71">
        <v>4499</v>
      </c>
      <c r="O3729" s="66" t="s">
        <v>27</v>
      </c>
      <c r="P3729" s="82" t="s">
        <v>13901</v>
      </c>
      <c r="Q3729" s="84" t="s">
        <v>12818</v>
      </c>
      <c r="R3729" s="84" t="s">
        <v>9605</v>
      </c>
      <c r="S3729" s="84">
        <v>0.03</v>
      </c>
      <c r="T3729" s="82" t="s">
        <v>13551</v>
      </c>
      <c r="U3729" s="84"/>
      <c r="V3729" s="54"/>
    </row>
    <row r="3730" spans="1:22" s="11" customFormat="1" ht="45" customHeight="1" x14ac:dyDescent="0.2">
      <c r="A3730" s="66" t="s">
        <v>12818</v>
      </c>
      <c r="B3730" s="66" t="s">
        <v>1155</v>
      </c>
      <c r="C3730" s="66" t="s">
        <v>9605</v>
      </c>
      <c r="D3730" s="66">
        <v>6942421112761</v>
      </c>
      <c r="E3730" s="68" t="s">
        <v>13902</v>
      </c>
      <c r="F3730" s="66" t="s">
        <v>13903</v>
      </c>
      <c r="G3730" s="71">
        <v>2467</v>
      </c>
      <c r="H3730" s="73"/>
      <c r="I3730" s="75">
        <v>0.2</v>
      </c>
      <c r="J3730" s="77"/>
      <c r="K3730" s="66"/>
      <c r="L3730" s="66"/>
      <c r="M3730" s="79" t="str">
        <f>HYPERLINK("http://www.pristavka.com/catalog/Honkai_Star_Rail/HSR221/")</f>
        <v>http://www.pristavka.com/catalog/Honkai_Star_Rail/HSR221/</v>
      </c>
      <c r="N3730" s="71">
        <v>4199</v>
      </c>
      <c r="O3730" s="66" t="s">
        <v>27</v>
      </c>
      <c r="P3730" s="82" t="s">
        <v>13904</v>
      </c>
      <c r="Q3730" s="84" t="s">
        <v>12818</v>
      </c>
      <c r="R3730" s="84" t="s">
        <v>9605</v>
      </c>
      <c r="S3730" s="84">
        <v>0.03</v>
      </c>
      <c r="T3730" s="82" t="s">
        <v>13905</v>
      </c>
      <c r="U3730" s="84"/>
      <c r="V3730" s="54"/>
    </row>
    <row r="3731" spans="1:22" s="11" customFormat="1" ht="45" customHeight="1" x14ac:dyDescent="0.2">
      <c r="A3731" s="66" t="s">
        <v>12818</v>
      </c>
      <c r="B3731" s="66" t="s">
        <v>1155</v>
      </c>
      <c r="C3731" s="66" t="s">
        <v>9605</v>
      </c>
      <c r="D3731" s="66">
        <v>6976068142423</v>
      </c>
      <c r="E3731" s="68" t="s">
        <v>13906</v>
      </c>
      <c r="F3731" s="66" t="s">
        <v>13907</v>
      </c>
      <c r="G3731" s="71">
        <v>2689</v>
      </c>
      <c r="H3731" s="73"/>
      <c r="I3731" s="75">
        <v>0.2</v>
      </c>
      <c r="J3731" s="77"/>
      <c r="K3731" s="66"/>
      <c r="L3731" s="66"/>
      <c r="M3731" s="79" t="str">
        <f>HYPERLINK("http://www.pristavka.com/catalog/Honkai_Star_Rail/HSR67/")</f>
        <v>http://www.pristavka.com/catalog/Honkai_Star_Rail/HSR67/</v>
      </c>
      <c r="N3731" s="71">
        <v>4499</v>
      </c>
      <c r="O3731" s="66" t="s">
        <v>27</v>
      </c>
      <c r="P3731" s="82" t="s">
        <v>13908</v>
      </c>
      <c r="Q3731" s="84" t="s">
        <v>12818</v>
      </c>
      <c r="R3731" s="84" t="s">
        <v>9605</v>
      </c>
      <c r="S3731" s="84">
        <v>0.03</v>
      </c>
      <c r="T3731" s="82" t="s">
        <v>13551</v>
      </c>
      <c r="U3731" s="84"/>
      <c r="V3731" s="54"/>
    </row>
    <row r="3732" spans="1:22" s="11" customFormat="1" ht="45" customHeight="1" x14ac:dyDescent="0.2">
      <c r="A3732" s="66" t="s">
        <v>12818</v>
      </c>
      <c r="B3732" s="66" t="s">
        <v>1155</v>
      </c>
      <c r="C3732" s="66" t="s">
        <v>9605</v>
      </c>
      <c r="D3732" s="66">
        <v>6976068142461</v>
      </c>
      <c r="E3732" s="68" t="s">
        <v>13909</v>
      </c>
      <c r="F3732" s="66" t="s">
        <v>13910</v>
      </c>
      <c r="G3732" s="71">
        <v>2689</v>
      </c>
      <c r="H3732" s="73"/>
      <c r="I3732" s="75">
        <v>0.2</v>
      </c>
      <c r="J3732" s="77"/>
      <c r="K3732" s="66"/>
      <c r="L3732" s="66"/>
      <c r="M3732" s="79" t="str">
        <f>HYPERLINK("http://www.pristavka.com/catalog/Honkai_Star_Rail/HSR68/")</f>
        <v>http://www.pristavka.com/catalog/Honkai_Star_Rail/HSR68/</v>
      </c>
      <c r="N3732" s="71">
        <v>4499</v>
      </c>
      <c r="O3732" s="66" t="s">
        <v>28</v>
      </c>
      <c r="P3732" s="82" t="s">
        <v>13911</v>
      </c>
      <c r="Q3732" s="84" t="s">
        <v>12818</v>
      </c>
      <c r="R3732" s="84" t="s">
        <v>9605</v>
      </c>
      <c r="S3732" s="84">
        <v>0.03</v>
      </c>
      <c r="T3732" s="82" t="s">
        <v>13551</v>
      </c>
      <c r="U3732" s="84"/>
      <c r="V3732" s="54"/>
    </row>
    <row r="3733" spans="1:22" s="11" customFormat="1" ht="45" customHeight="1" x14ac:dyDescent="0.2">
      <c r="A3733" s="66" t="s">
        <v>12818</v>
      </c>
      <c r="B3733" s="66" t="s">
        <v>1155</v>
      </c>
      <c r="C3733" s="66" t="s">
        <v>9605</v>
      </c>
      <c r="D3733" s="66">
        <v>6976068142775</v>
      </c>
      <c r="E3733" s="68" t="s">
        <v>13912</v>
      </c>
      <c r="F3733" s="66" t="s">
        <v>13913</v>
      </c>
      <c r="G3733" s="71">
        <v>2689</v>
      </c>
      <c r="H3733" s="73"/>
      <c r="I3733" s="75">
        <v>0.2</v>
      </c>
      <c r="J3733" s="77"/>
      <c r="K3733" s="66"/>
      <c r="L3733" s="66"/>
      <c r="M3733" s="79" t="str">
        <f>HYPERLINK("http://www.pristavka.com/catalog/Honkai_Star_Rail/HSR70/")</f>
        <v>http://www.pristavka.com/catalog/Honkai_Star_Rail/HSR70/</v>
      </c>
      <c r="N3733" s="71">
        <v>4499</v>
      </c>
      <c r="O3733" s="66" t="s">
        <v>28</v>
      </c>
      <c r="P3733" s="82" t="s">
        <v>13914</v>
      </c>
      <c r="Q3733" s="84" t="s">
        <v>12818</v>
      </c>
      <c r="R3733" s="84" t="s">
        <v>9605</v>
      </c>
      <c r="S3733" s="84">
        <v>0.03</v>
      </c>
      <c r="T3733" s="82" t="s">
        <v>13551</v>
      </c>
      <c r="U3733" s="84"/>
      <c r="V3733" s="54"/>
    </row>
    <row r="3734" spans="1:22" s="11" customFormat="1" ht="45" customHeight="1" x14ac:dyDescent="0.2">
      <c r="A3734" s="66" t="s">
        <v>12818</v>
      </c>
      <c r="B3734" s="66" t="s">
        <v>1155</v>
      </c>
      <c r="C3734" s="66" t="s">
        <v>9605</v>
      </c>
      <c r="D3734" s="66">
        <v>6942421116745</v>
      </c>
      <c r="E3734" s="68" t="s">
        <v>13915</v>
      </c>
      <c r="F3734" s="66" t="s">
        <v>13916</v>
      </c>
      <c r="G3734" s="71">
        <v>3164</v>
      </c>
      <c r="H3734" s="73"/>
      <c r="I3734" s="75">
        <v>0.2</v>
      </c>
      <c r="J3734" s="77"/>
      <c r="K3734" s="66"/>
      <c r="L3734" s="66"/>
      <c r="M3734" s="79" t="str">
        <f>HYPERLINK("http://www.pristavka.com/catalog/Honkai_Star_Rail/HSR215/")</f>
        <v>http://www.pristavka.com/catalog/Honkai_Star_Rail/HSR215/</v>
      </c>
      <c r="N3734" s="71">
        <v>5299</v>
      </c>
      <c r="O3734" s="66" t="s">
        <v>27</v>
      </c>
      <c r="P3734" s="82" t="s">
        <v>13917</v>
      </c>
      <c r="Q3734" s="84" t="s">
        <v>12818</v>
      </c>
      <c r="R3734" s="84" t="s">
        <v>9605</v>
      </c>
      <c r="S3734" s="84">
        <v>3.4000000000000002E-2</v>
      </c>
      <c r="T3734" s="82" t="s">
        <v>13918</v>
      </c>
      <c r="U3734" s="84"/>
      <c r="V3734" s="54"/>
    </row>
    <row r="3735" spans="1:22" s="11" customFormat="1" ht="45" customHeight="1" x14ac:dyDescent="0.2">
      <c r="A3735" s="66" t="s">
        <v>12818</v>
      </c>
      <c r="B3735" s="66" t="s">
        <v>1155</v>
      </c>
      <c r="C3735" s="66" t="s">
        <v>9605</v>
      </c>
      <c r="D3735" s="66">
        <v>6942421118220</v>
      </c>
      <c r="E3735" s="68" t="s">
        <v>13919</v>
      </c>
      <c r="F3735" s="66" t="s">
        <v>13920</v>
      </c>
      <c r="G3735" s="71">
        <v>2467</v>
      </c>
      <c r="H3735" s="73"/>
      <c r="I3735" s="75">
        <v>0.2</v>
      </c>
      <c r="J3735" s="77"/>
      <c r="K3735" s="66"/>
      <c r="L3735" s="66"/>
      <c r="M3735" s="79" t="str">
        <f>HYPERLINK("http://www.pristavka.com/catalog/Honkai_Star_Rail/HSR219/")</f>
        <v>http://www.pristavka.com/catalog/Honkai_Star_Rail/HSR219/</v>
      </c>
      <c r="N3735" s="71">
        <v>4199</v>
      </c>
      <c r="O3735" s="66" t="s">
        <v>27</v>
      </c>
      <c r="P3735" s="82" t="s">
        <v>13921</v>
      </c>
      <c r="Q3735" s="84" t="s">
        <v>12818</v>
      </c>
      <c r="R3735" s="84" t="s">
        <v>9605</v>
      </c>
      <c r="S3735" s="84">
        <v>2.4E-2</v>
      </c>
      <c r="T3735" s="82" t="s">
        <v>13922</v>
      </c>
      <c r="U3735" s="84"/>
      <c r="V3735" s="54"/>
    </row>
    <row r="3736" spans="1:22" s="11" customFormat="1" ht="45" customHeight="1" x14ac:dyDescent="0.2">
      <c r="A3736" s="66" t="s">
        <v>12818</v>
      </c>
      <c r="B3736" s="66" t="s">
        <v>1155</v>
      </c>
      <c r="C3736" s="66" t="s">
        <v>9605</v>
      </c>
      <c r="D3736" s="66">
        <v>6942421118275</v>
      </c>
      <c r="E3736" s="68" t="s">
        <v>13923</v>
      </c>
      <c r="F3736" s="66" t="s">
        <v>13924</v>
      </c>
      <c r="G3736" s="71">
        <v>2467</v>
      </c>
      <c r="H3736" s="73"/>
      <c r="I3736" s="75">
        <v>0.2</v>
      </c>
      <c r="J3736" s="77"/>
      <c r="K3736" s="66"/>
      <c r="L3736" s="66"/>
      <c r="M3736" s="79" t="str">
        <f>HYPERLINK("http://www.pristavka.com/catalog/Honkai_Star_Rail/HSR220/")</f>
        <v>http://www.pristavka.com/catalog/Honkai_Star_Rail/HSR220/</v>
      </c>
      <c r="N3736" s="71">
        <v>4199</v>
      </c>
      <c r="O3736" s="66" t="s">
        <v>27</v>
      </c>
      <c r="P3736" s="82" t="s">
        <v>13925</v>
      </c>
      <c r="Q3736" s="84" t="s">
        <v>12818</v>
      </c>
      <c r="R3736" s="84" t="s">
        <v>9605</v>
      </c>
      <c r="S3736" s="84">
        <v>2.4E-2</v>
      </c>
      <c r="T3736" s="82" t="s">
        <v>13922</v>
      </c>
      <c r="U3736" s="84"/>
      <c r="V3736" s="54"/>
    </row>
    <row r="3737" spans="1:22" s="11" customFormat="1" ht="45" customHeight="1" x14ac:dyDescent="0.2">
      <c r="A3737" s="66" t="s">
        <v>12818</v>
      </c>
      <c r="B3737" s="66" t="s">
        <v>1155</v>
      </c>
      <c r="C3737" s="66" t="s">
        <v>9605</v>
      </c>
      <c r="D3737" s="66">
        <v>6942421122760</v>
      </c>
      <c r="E3737" s="68" t="s">
        <v>13926</v>
      </c>
      <c r="F3737" s="66" t="s">
        <v>13927</v>
      </c>
      <c r="G3737" s="71">
        <v>2847</v>
      </c>
      <c r="H3737" s="73"/>
      <c r="I3737" s="75">
        <v>0.2</v>
      </c>
      <c r="J3737" s="77"/>
      <c r="K3737" s="66"/>
      <c r="L3737" s="66"/>
      <c r="M3737" s="79" t="str">
        <f>HYPERLINK("http://www.pristavka.com/catalog/Honkai_Star_Rail/HSR214/")</f>
        <v>http://www.pristavka.com/catalog/Honkai_Star_Rail/HSR214/</v>
      </c>
      <c r="N3737" s="71">
        <v>4799</v>
      </c>
      <c r="O3737" s="66" t="s">
        <v>27</v>
      </c>
      <c r="P3737" s="82" t="s">
        <v>13928</v>
      </c>
      <c r="Q3737" s="84" t="s">
        <v>12818</v>
      </c>
      <c r="R3737" s="84" t="s">
        <v>9605</v>
      </c>
      <c r="S3737" s="84">
        <v>5.5E-2</v>
      </c>
      <c r="T3737" s="82" t="s">
        <v>9764</v>
      </c>
      <c r="U3737" s="84"/>
      <c r="V3737" s="54"/>
    </row>
    <row r="3738" spans="1:22" s="11" customFormat="1" ht="45" customHeight="1" x14ac:dyDescent="0.2">
      <c r="A3738" s="66" t="s">
        <v>12818</v>
      </c>
      <c r="B3738" s="66" t="s">
        <v>1155</v>
      </c>
      <c r="C3738" s="66" t="s">
        <v>9605</v>
      </c>
      <c r="D3738" s="66">
        <v>6942421122661</v>
      </c>
      <c r="E3738" s="68" t="s">
        <v>13929</v>
      </c>
      <c r="F3738" s="66" t="s">
        <v>13930</v>
      </c>
      <c r="G3738" s="71">
        <v>3164</v>
      </c>
      <c r="H3738" s="73"/>
      <c r="I3738" s="75">
        <v>0.2</v>
      </c>
      <c r="J3738" s="77"/>
      <c r="K3738" s="66"/>
      <c r="L3738" s="66"/>
      <c r="M3738" s="79" t="str">
        <f>HYPERLINK("http://www.pristavka.com/catalog/Honkai_Star_Rail/HSR216/")</f>
        <v>http://www.pristavka.com/catalog/Honkai_Star_Rail/HSR216/</v>
      </c>
      <c r="N3738" s="71">
        <v>5299</v>
      </c>
      <c r="O3738" s="66" t="s">
        <v>27</v>
      </c>
      <c r="P3738" s="82" t="s">
        <v>13931</v>
      </c>
      <c r="Q3738" s="84" t="s">
        <v>12818</v>
      </c>
      <c r="R3738" s="84" t="s">
        <v>9605</v>
      </c>
      <c r="S3738" s="84">
        <v>3.2000000000000001E-2</v>
      </c>
      <c r="T3738" s="82" t="s">
        <v>13922</v>
      </c>
      <c r="U3738" s="84"/>
      <c r="V3738" s="54"/>
    </row>
    <row r="3739" spans="1:22" s="11" customFormat="1" ht="45" customHeight="1" x14ac:dyDescent="0.2">
      <c r="A3739" s="66" t="s">
        <v>12818</v>
      </c>
      <c r="B3739" s="66" t="s">
        <v>1155</v>
      </c>
      <c r="C3739" s="66" t="s">
        <v>9605</v>
      </c>
      <c r="D3739" s="66" t="s">
        <v>26</v>
      </c>
      <c r="E3739" s="68" t="s">
        <v>13932</v>
      </c>
      <c r="F3739" s="66" t="s">
        <v>13933</v>
      </c>
      <c r="G3739" s="71">
        <v>2530</v>
      </c>
      <c r="H3739" s="73"/>
      <c r="I3739" s="75">
        <v>0.2</v>
      </c>
      <c r="J3739" s="77"/>
      <c r="K3739" s="66"/>
      <c r="L3739" s="66"/>
      <c r="M3739" s="79" t="str">
        <f>HYPERLINK("http://www.pristavka.com/catalog/Honkai_Star_Rail/HSR318/")</f>
        <v>http://www.pristavka.com/catalog/Honkai_Star_Rail/HSR318/</v>
      </c>
      <c r="N3739" s="71">
        <v>4299</v>
      </c>
      <c r="O3739" s="66" t="s">
        <v>27</v>
      </c>
      <c r="P3739" s="82" t="s">
        <v>13934</v>
      </c>
      <c r="Q3739" s="84" t="s">
        <v>12818</v>
      </c>
      <c r="R3739" s="84" t="s">
        <v>9605</v>
      </c>
      <c r="S3739" s="84">
        <v>0.33</v>
      </c>
      <c r="T3739" s="82" t="s">
        <v>13935</v>
      </c>
      <c r="U3739" s="84"/>
      <c r="V3739" s="54"/>
    </row>
    <row r="3740" spans="1:22" s="11" customFormat="1" ht="45" customHeight="1" x14ac:dyDescent="0.2">
      <c r="A3740" s="66" t="s">
        <v>12818</v>
      </c>
      <c r="B3740" s="66" t="s">
        <v>1155</v>
      </c>
      <c r="C3740" s="66" t="s">
        <v>9605</v>
      </c>
      <c r="D3740" s="66">
        <v>6976068142515</v>
      </c>
      <c r="E3740" s="68" t="s">
        <v>13936</v>
      </c>
      <c r="F3740" s="66" t="s">
        <v>13937</v>
      </c>
      <c r="G3740" s="71">
        <v>2689</v>
      </c>
      <c r="H3740" s="73"/>
      <c r="I3740" s="75">
        <v>0.2</v>
      </c>
      <c r="J3740" s="77"/>
      <c r="K3740" s="66"/>
      <c r="L3740" s="66"/>
      <c r="M3740" s="79" t="str">
        <f>HYPERLINK("http://www.pristavka.com/catalog/Honkai_Star_Rail/HSR64/")</f>
        <v>http://www.pristavka.com/catalog/Honkai_Star_Rail/HSR64/</v>
      </c>
      <c r="N3740" s="71">
        <v>4499</v>
      </c>
      <c r="O3740" s="66" t="s">
        <v>27</v>
      </c>
      <c r="P3740" s="82" t="s">
        <v>13938</v>
      </c>
      <c r="Q3740" s="84" t="s">
        <v>12818</v>
      </c>
      <c r="R3740" s="84" t="s">
        <v>9605</v>
      </c>
      <c r="S3740" s="84">
        <v>0.03</v>
      </c>
      <c r="T3740" s="82" t="s">
        <v>13551</v>
      </c>
      <c r="U3740" s="84"/>
      <c r="V3740" s="54"/>
    </row>
    <row r="3741" spans="1:22" s="11" customFormat="1" ht="45" customHeight="1" x14ac:dyDescent="0.2">
      <c r="A3741" s="66" t="s">
        <v>12818</v>
      </c>
      <c r="B3741" s="66" t="s">
        <v>1155</v>
      </c>
      <c r="C3741" s="66" t="s">
        <v>9605</v>
      </c>
      <c r="D3741" s="66">
        <v>6976068142478</v>
      </c>
      <c r="E3741" s="68" t="s">
        <v>13939</v>
      </c>
      <c r="F3741" s="66" t="s">
        <v>13940</v>
      </c>
      <c r="G3741" s="71">
        <v>2689</v>
      </c>
      <c r="H3741" s="73"/>
      <c r="I3741" s="75">
        <v>0.2</v>
      </c>
      <c r="J3741" s="77"/>
      <c r="K3741" s="66"/>
      <c r="L3741" s="66"/>
      <c r="M3741" s="79" t="str">
        <f>HYPERLINK("http://www.pristavka.com/catalog/Honkai_Star_Rail/HSR59/")</f>
        <v>http://www.pristavka.com/catalog/Honkai_Star_Rail/HSR59/</v>
      </c>
      <c r="N3741" s="71">
        <v>4499</v>
      </c>
      <c r="O3741" s="66" t="s">
        <v>28</v>
      </c>
      <c r="P3741" s="82" t="s">
        <v>13941</v>
      </c>
      <c r="Q3741" s="84" t="s">
        <v>12818</v>
      </c>
      <c r="R3741" s="84" t="s">
        <v>9605</v>
      </c>
      <c r="S3741" s="84">
        <v>0.03</v>
      </c>
      <c r="T3741" s="82" t="s">
        <v>13551</v>
      </c>
      <c r="U3741" s="84"/>
      <c r="V3741" s="54"/>
    </row>
    <row r="3742" spans="1:22" s="11" customFormat="1" ht="45" customHeight="1" x14ac:dyDescent="0.2">
      <c r="A3742" s="66" t="s">
        <v>12818</v>
      </c>
      <c r="B3742" s="66" t="s">
        <v>1155</v>
      </c>
      <c r="C3742" s="66" t="s">
        <v>9605</v>
      </c>
      <c r="D3742" s="66">
        <v>6942421128809</v>
      </c>
      <c r="E3742" s="68" t="s">
        <v>13942</v>
      </c>
      <c r="F3742" s="66" t="s">
        <v>13943</v>
      </c>
      <c r="G3742" s="71">
        <v>3164</v>
      </c>
      <c r="H3742" s="73"/>
      <c r="I3742" s="75">
        <v>0.2</v>
      </c>
      <c r="J3742" s="77"/>
      <c r="K3742" s="66"/>
      <c r="L3742" s="66"/>
      <c r="M3742" s="79" t="str">
        <f>HYPERLINK("http://www.pristavka.com/catalog/Honkai_Star_Rail/HSR217/")</f>
        <v>http://www.pristavka.com/catalog/Honkai_Star_Rail/HSR217/</v>
      </c>
      <c r="N3742" s="71">
        <v>5299</v>
      </c>
      <c r="O3742" s="66" t="s">
        <v>27</v>
      </c>
      <c r="P3742" s="82" t="s">
        <v>13944</v>
      </c>
      <c r="Q3742" s="84" t="s">
        <v>12818</v>
      </c>
      <c r="R3742" s="84" t="s">
        <v>9605</v>
      </c>
      <c r="S3742" s="84">
        <v>3.2000000000000001E-2</v>
      </c>
      <c r="T3742" s="82" t="s">
        <v>11427</v>
      </c>
      <c r="U3742" s="84"/>
      <c r="V3742" s="54"/>
    </row>
    <row r="3743" spans="1:22" s="11" customFormat="1" ht="45" customHeight="1" x14ac:dyDescent="0.2">
      <c r="A3743" s="66" t="s">
        <v>12818</v>
      </c>
      <c r="B3743" s="66" t="s">
        <v>1155</v>
      </c>
      <c r="C3743" s="66" t="s">
        <v>9605</v>
      </c>
      <c r="D3743" s="66">
        <v>6976068142393</v>
      </c>
      <c r="E3743" s="68" t="s">
        <v>13945</v>
      </c>
      <c r="F3743" s="66" t="s">
        <v>13946</v>
      </c>
      <c r="G3743" s="71">
        <v>4088</v>
      </c>
      <c r="H3743" s="73"/>
      <c r="I3743" s="75">
        <v>0.2</v>
      </c>
      <c r="J3743" s="77"/>
      <c r="K3743" s="66"/>
      <c r="L3743" s="66"/>
      <c r="M3743" s="79" t="str">
        <f>HYPERLINK("http://www.pristavka.com/catalog/Honkai_Star_Rail/HSR56/")</f>
        <v>http://www.pristavka.com/catalog/Honkai_Star_Rail/HSR56/</v>
      </c>
      <c r="N3743" s="71">
        <v>6899</v>
      </c>
      <c r="O3743" s="66" t="s">
        <v>27</v>
      </c>
      <c r="P3743" s="82" t="s">
        <v>13947</v>
      </c>
      <c r="Q3743" s="84" t="s">
        <v>12818</v>
      </c>
      <c r="R3743" s="84" t="s">
        <v>9605</v>
      </c>
      <c r="S3743" s="84">
        <v>0.03</v>
      </c>
      <c r="T3743" s="82" t="s">
        <v>13551</v>
      </c>
      <c r="U3743" s="84"/>
      <c r="V3743" s="54"/>
    </row>
    <row r="3744" spans="1:22" s="11" customFormat="1" ht="45" customHeight="1" x14ac:dyDescent="0.2">
      <c r="A3744" s="66" t="s">
        <v>12818</v>
      </c>
      <c r="B3744" s="66" t="s">
        <v>1155</v>
      </c>
      <c r="C3744" s="66" t="s">
        <v>9605</v>
      </c>
      <c r="D3744" s="66">
        <v>6976068142768</v>
      </c>
      <c r="E3744" s="68" t="s">
        <v>13948</v>
      </c>
      <c r="F3744" s="66" t="s">
        <v>13949</v>
      </c>
      <c r="G3744" s="71">
        <v>2689</v>
      </c>
      <c r="H3744" s="73"/>
      <c r="I3744" s="75">
        <v>0.2</v>
      </c>
      <c r="J3744" s="77"/>
      <c r="K3744" s="66"/>
      <c r="L3744" s="66"/>
      <c r="M3744" s="79" t="str">
        <f>HYPERLINK("http://www.pristavka.com/catalog/Honkai_Star_Rail/HSR58/")</f>
        <v>http://www.pristavka.com/catalog/Honkai_Star_Rail/HSR58/</v>
      </c>
      <c r="N3744" s="71">
        <v>4499</v>
      </c>
      <c r="O3744" s="66" t="s">
        <v>27</v>
      </c>
      <c r="P3744" s="82" t="s">
        <v>13950</v>
      </c>
      <c r="Q3744" s="84" t="s">
        <v>12818</v>
      </c>
      <c r="R3744" s="84" t="s">
        <v>9605</v>
      </c>
      <c r="S3744" s="84">
        <v>0.03</v>
      </c>
      <c r="T3744" s="82" t="s">
        <v>13551</v>
      </c>
      <c r="U3744" s="84"/>
      <c r="V3744" s="54"/>
    </row>
    <row r="3745" spans="1:22" s="11" customFormat="1" ht="45" customHeight="1" x14ac:dyDescent="0.2">
      <c r="A3745" s="66" t="s">
        <v>12818</v>
      </c>
      <c r="B3745" s="66" t="s">
        <v>1155</v>
      </c>
      <c r="C3745" s="66" t="s">
        <v>9605</v>
      </c>
      <c r="D3745" s="66">
        <v>6976068142744</v>
      </c>
      <c r="E3745" s="68" t="s">
        <v>13951</v>
      </c>
      <c r="F3745" s="66" t="s">
        <v>13952</v>
      </c>
      <c r="G3745" s="71">
        <v>2689</v>
      </c>
      <c r="H3745" s="73"/>
      <c r="I3745" s="75">
        <v>0.2</v>
      </c>
      <c r="J3745" s="77"/>
      <c r="K3745" s="66"/>
      <c r="L3745" s="66"/>
      <c r="M3745" s="79" t="str">
        <f>HYPERLINK("http://www.pristavka.com/catalog/Honkai_Star_Rail/HSR57/")</f>
        <v>http://www.pristavka.com/catalog/Honkai_Star_Rail/HSR57/</v>
      </c>
      <c r="N3745" s="71">
        <v>4499</v>
      </c>
      <c r="O3745" s="66" t="s">
        <v>28</v>
      </c>
      <c r="P3745" s="82" t="s">
        <v>13953</v>
      </c>
      <c r="Q3745" s="84" t="s">
        <v>12818</v>
      </c>
      <c r="R3745" s="84" t="s">
        <v>9605</v>
      </c>
      <c r="S3745" s="84">
        <v>0.03</v>
      </c>
      <c r="T3745" s="82" t="s">
        <v>13551</v>
      </c>
      <c r="U3745" s="84"/>
      <c r="V3745" s="54"/>
    </row>
    <row r="3746" spans="1:22" s="11" customFormat="1" ht="45" customHeight="1" x14ac:dyDescent="0.2">
      <c r="A3746" s="66" t="s">
        <v>12818</v>
      </c>
      <c r="B3746" s="66" t="s">
        <v>1155</v>
      </c>
      <c r="C3746" s="66" t="s">
        <v>9605</v>
      </c>
      <c r="D3746" s="66">
        <v>6942421128946</v>
      </c>
      <c r="E3746" s="68" t="s">
        <v>13954</v>
      </c>
      <c r="F3746" s="66" t="s">
        <v>13955</v>
      </c>
      <c r="G3746" s="71">
        <v>3771</v>
      </c>
      <c r="H3746" s="73"/>
      <c r="I3746" s="75">
        <v>0.2</v>
      </c>
      <c r="J3746" s="77"/>
      <c r="K3746" s="66"/>
      <c r="L3746" s="66"/>
      <c r="M3746" s="79" t="str">
        <f>HYPERLINK("http://www.pristavka.com/catalog/Honkai_Star_Rail/HSR235/")</f>
        <v>http://www.pristavka.com/catalog/Honkai_Star_Rail/HSR235/</v>
      </c>
      <c r="N3746" s="71">
        <v>6299</v>
      </c>
      <c r="O3746" s="66" t="s">
        <v>27</v>
      </c>
      <c r="P3746" s="82" t="s">
        <v>13956</v>
      </c>
      <c r="Q3746" s="84" t="s">
        <v>12818</v>
      </c>
      <c r="R3746" s="84" t="s">
        <v>9605</v>
      </c>
      <c r="S3746" s="84">
        <v>3.4000000000000002E-2</v>
      </c>
      <c r="T3746" s="82" t="s">
        <v>10542</v>
      </c>
      <c r="U3746" s="84"/>
      <c r="V3746" s="54"/>
    </row>
    <row r="3747" spans="1:22" s="11" customFormat="1" ht="45" customHeight="1" x14ac:dyDescent="0.2">
      <c r="A3747" s="66" t="s">
        <v>12818</v>
      </c>
      <c r="B3747" s="66" t="s">
        <v>1155</v>
      </c>
      <c r="C3747" s="66" t="s">
        <v>9605</v>
      </c>
      <c r="D3747" s="66">
        <v>6942421128984</v>
      </c>
      <c r="E3747" s="68" t="s">
        <v>13957</v>
      </c>
      <c r="F3747" s="66" t="s">
        <v>13958</v>
      </c>
      <c r="G3747" s="71">
        <v>3771</v>
      </c>
      <c r="H3747" s="73"/>
      <c r="I3747" s="75">
        <v>0.2</v>
      </c>
      <c r="J3747" s="77"/>
      <c r="K3747" s="66"/>
      <c r="L3747" s="66"/>
      <c r="M3747" s="79" t="str">
        <f>HYPERLINK("http://www.pristavka.com/catalog/Honkai_Star_Rail/HSR234/")</f>
        <v>http://www.pristavka.com/catalog/Honkai_Star_Rail/HSR234/</v>
      </c>
      <c r="N3747" s="71">
        <v>6299</v>
      </c>
      <c r="O3747" s="66" t="s">
        <v>27</v>
      </c>
      <c r="P3747" s="82" t="s">
        <v>13959</v>
      </c>
      <c r="Q3747" s="84" t="s">
        <v>12818</v>
      </c>
      <c r="R3747" s="84" t="s">
        <v>9605</v>
      </c>
      <c r="S3747" s="84">
        <v>3.3000000000000002E-2</v>
      </c>
      <c r="T3747" s="82" t="s">
        <v>10542</v>
      </c>
      <c r="U3747" s="84"/>
      <c r="V3747" s="54"/>
    </row>
    <row r="3748" spans="1:22" s="11" customFormat="1" ht="45" customHeight="1" x14ac:dyDescent="0.2">
      <c r="A3748" s="66" t="s">
        <v>12818</v>
      </c>
      <c r="B3748" s="66" t="s">
        <v>1155</v>
      </c>
      <c r="C3748" s="66" t="s">
        <v>9605</v>
      </c>
      <c r="D3748" s="66">
        <v>6942421101635</v>
      </c>
      <c r="E3748" s="68" t="s">
        <v>13960</v>
      </c>
      <c r="F3748" s="66" t="s">
        <v>13961</v>
      </c>
      <c r="G3748" s="71">
        <v>5039</v>
      </c>
      <c r="H3748" s="73"/>
      <c r="I3748" s="75">
        <v>0.2</v>
      </c>
      <c r="J3748" s="77"/>
      <c r="K3748" s="66"/>
      <c r="L3748" s="66"/>
      <c r="M3748" s="79" t="str">
        <f>HYPERLINK("http://www.pristavka.com/catalog/Honkai_Star_Rail/HSR164/")</f>
        <v>http://www.pristavka.com/catalog/Honkai_Star_Rail/HSR164/</v>
      </c>
      <c r="N3748" s="71">
        <v>8399</v>
      </c>
      <c r="O3748" s="66" t="s">
        <v>27</v>
      </c>
      <c r="P3748" s="82" t="s">
        <v>13962</v>
      </c>
      <c r="Q3748" s="84" t="s">
        <v>12818</v>
      </c>
      <c r="R3748" s="84" t="s">
        <v>9605</v>
      </c>
      <c r="S3748" s="84">
        <v>2.8000000000000001E-2</v>
      </c>
      <c r="T3748" s="82" t="s">
        <v>11208</v>
      </c>
      <c r="U3748" s="84"/>
      <c r="V3748" s="54"/>
    </row>
    <row r="3749" spans="1:22" s="11" customFormat="1" ht="45" customHeight="1" x14ac:dyDescent="0.2">
      <c r="A3749" s="66" t="s">
        <v>12818</v>
      </c>
      <c r="B3749" s="66" t="s">
        <v>1155</v>
      </c>
      <c r="C3749" s="66" t="s">
        <v>9605</v>
      </c>
      <c r="D3749" s="66">
        <v>6942421101642</v>
      </c>
      <c r="E3749" s="68" t="s">
        <v>13963</v>
      </c>
      <c r="F3749" s="66" t="s">
        <v>13964</v>
      </c>
      <c r="G3749" s="71">
        <v>5039</v>
      </c>
      <c r="H3749" s="73"/>
      <c r="I3749" s="75">
        <v>0.2</v>
      </c>
      <c r="J3749" s="77"/>
      <c r="K3749" s="66"/>
      <c r="L3749" s="66"/>
      <c r="M3749" s="79" t="str">
        <f>HYPERLINK("http://www.pristavka.com/catalog/Honkai_Star_Rail/HSR163/")</f>
        <v>http://www.pristavka.com/catalog/Honkai_Star_Rail/HSR163/</v>
      </c>
      <c r="N3749" s="71">
        <v>8399</v>
      </c>
      <c r="O3749" s="66" t="s">
        <v>27</v>
      </c>
      <c r="P3749" s="82" t="s">
        <v>13965</v>
      </c>
      <c r="Q3749" s="84" t="s">
        <v>12818</v>
      </c>
      <c r="R3749" s="84" t="s">
        <v>9605</v>
      </c>
      <c r="S3749" s="84">
        <v>2.9000000000000001E-2</v>
      </c>
      <c r="T3749" s="82" t="s">
        <v>11208</v>
      </c>
      <c r="U3749" s="84"/>
      <c r="V3749" s="54"/>
    </row>
    <row r="3750" spans="1:22" s="11" customFormat="1" ht="45" customHeight="1" x14ac:dyDescent="0.2">
      <c r="A3750" s="66" t="s">
        <v>12818</v>
      </c>
      <c r="B3750" s="66" t="s">
        <v>1155</v>
      </c>
      <c r="C3750" s="66" t="s">
        <v>9605</v>
      </c>
      <c r="D3750" s="66">
        <v>6942421101628</v>
      </c>
      <c r="E3750" s="68" t="s">
        <v>13966</v>
      </c>
      <c r="F3750" s="66" t="s">
        <v>13967</v>
      </c>
      <c r="G3750" s="71">
        <v>5039</v>
      </c>
      <c r="H3750" s="73"/>
      <c r="I3750" s="75">
        <v>0.2</v>
      </c>
      <c r="J3750" s="77"/>
      <c r="K3750" s="66"/>
      <c r="L3750" s="66"/>
      <c r="M3750" s="79" t="str">
        <f>HYPERLINK("http://www.pristavka.com/catalog/Honkai_Star_Rail/HSR165/")</f>
        <v>http://www.pristavka.com/catalog/Honkai_Star_Rail/HSR165/</v>
      </c>
      <c r="N3750" s="71">
        <v>8399</v>
      </c>
      <c r="O3750" s="66" t="s">
        <v>27</v>
      </c>
      <c r="P3750" s="82" t="s">
        <v>13968</v>
      </c>
      <c r="Q3750" s="84" t="s">
        <v>12818</v>
      </c>
      <c r="R3750" s="84" t="s">
        <v>9605</v>
      </c>
      <c r="S3750" s="84">
        <v>2.7E-2</v>
      </c>
      <c r="T3750" s="82" t="s">
        <v>11208</v>
      </c>
      <c r="U3750" s="84"/>
      <c r="V3750" s="54"/>
    </row>
    <row r="3751" spans="1:22" s="11" customFormat="1" ht="45" customHeight="1" x14ac:dyDescent="0.2">
      <c r="A3751" s="66" t="s">
        <v>12818</v>
      </c>
      <c r="B3751" s="66" t="s">
        <v>1155</v>
      </c>
      <c r="C3751" s="66" t="s">
        <v>9605</v>
      </c>
      <c r="D3751" s="66">
        <v>6976068148524</v>
      </c>
      <c r="E3751" s="68" t="s">
        <v>13969</v>
      </c>
      <c r="F3751" s="66" t="s">
        <v>13970</v>
      </c>
      <c r="G3751" s="71">
        <v>3771</v>
      </c>
      <c r="H3751" s="73"/>
      <c r="I3751" s="75">
        <v>0.2</v>
      </c>
      <c r="J3751" s="77"/>
      <c r="K3751" s="66"/>
      <c r="L3751" s="66"/>
      <c r="M3751" s="79" t="str">
        <f>HYPERLINK("http://www.pristavka.com/catalog/Honkai_Star_Rail/HSR89/")</f>
        <v>http://www.pristavka.com/catalog/Honkai_Star_Rail/HSR89/</v>
      </c>
      <c r="N3751" s="71">
        <v>6299</v>
      </c>
      <c r="O3751" s="66" t="s">
        <v>27</v>
      </c>
      <c r="P3751" s="82" t="s">
        <v>13971</v>
      </c>
      <c r="Q3751" s="84" t="s">
        <v>12818</v>
      </c>
      <c r="R3751" s="84" t="s">
        <v>9605</v>
      </c>
      <c r="S3751" s="84">
        <v>0.13800000000000001</v>
      </c>
      <c r="T3751" s="82" t="s">
        <v>13972</v>
      </c>
      <c r="U3751" s="84"/>
      <c r="V3751" s="54"/>
    </row>
    <row r="3752" spans="1:22" s="11" customFormat="1" ht="45" customHeight="1" x14ac:dyDescent="0.2">
      <c r="A3752" s="66" t="s">
        <v>12818</v>
      </c>
      <c r="B3752" s="66" t="s">
        <v>1155</v>
      </c>
      <c r="C3752" s="66" t="s">
        <v>9605</v>
      </c>
      <c r="D3752" s="66">
        <v>6976525001324</v>
      </c>
      <c r="E3752" s="68" t="s">
        <v>13973</v>
      </c>
      <c r="F3752" s="66" t="s">
        <v>13974</v>
      </c>
      <c r="G3752" s="71">
        <v>5039</v>
      </c>
      <c r="H3752" s="73"/>
      <c r="I3752" s="75">
        <v>0.2</v>
      </c>
      <c r="J3752" s="77"/>
      <c r="K3752" s="66"/>
      <c r="L3752" s="66"/>
      <c r="M3752" s="79" t="str">
        <f>HYPERLINK("http://www.pristavka.com/catalog/Honkai_Star_Rail/HSR227/")</f>
        <v>http://www.pristavka.com/catalog/Honkai_Star_Rail/HSR227/</v>
      </c>
      <c r="N3752" s="71">
        <v>8399</v>
      </c>
      <c r="O3752" s="66" t="s">
        <v>27</v>
      </c>
      <c r="P3752" s="82" t="s">
        <v>13975</v>
      </c>
      <c r="Q3752" s="84" t="s">
        <v>12818</v>
      </c>
      <c r="R3752" s="84" t="s">
        <v>9605</v>
      </c>
      <c r="S3752" s="84">
        <v>0.13500000000000001</v>
      </c>
      <c r="T3752" s="82" t="s">
        <v>10860</v>
      </c>
      <c r="U3752" s="84"/>
      <c r="V3752" s="54"/>
    </row>
    <row r="3753" spans="1:22" s="11" customFormat="1" ht="45" customHeight="1" x14ac:dyDescent="0.2">
      <c r="A3753" s="66" t="s">
        <v>12818</v>
      </c>
      <c r="B3753" s="66" t="s">
        <v>1155</v>
      </c>
      <c r="C3753" s="66" t="s">
        <v>9605</v>
      </c>
      <c r="D3753" s="66">
        <v>6942421143314</v>
      </c>
      <c r="E3753" s="68" t="s">
        <v>13976</v>
      </c>
      <c r="F3753" s="66" t="s">
        <v>13977</v>
      </c>
      <c r="G3753" s="71">
        <v>5673</v>
      </c>
      <c r="H3753" s="73"/>
      <c r="I3753" s="75">
        <v>0.2</v>
      </c>
      <c r="J3753" s="77"/>
      <c r="K3753" s="66"/>
      <c r="L3753" s="66"/>
      <c r="M3753" s="79" t="str">
        <f>HYPERLINK("http://www.pristavka.com/catalog/Honkai_Star_Rail/HSR289/")</f>
        <v>http://www.pristavka.com/catalog/Honkai_Star_Rail/HSR289/</v>
      </c>
      <c r="N3753" s="71">
        <v>9499</v>
      </c>
      <c r="O3753" s="66" t="s">
        <v>27</v>
      </c>
      <c r="P3753" s="82" t="s">
        <v>13978</v>
      </c>
      <c r="Q3753" s="84" t="s">
        <v>12818</v>
      </c>
      <c r="R3753" s="84" t="s">
        <v>9605</v>
      </c>
      <c r="S3753" s="84">
        <v>0.15</v>
      </c>
      <c r="T3753" s="82" t="s">
        <v>13979</v>
      </c>
      <c r="U3753" s="84"/>
      <c r="V3753" s="54"/>
    </row>
    <row r="3754" spans="1:22" s="11" customFormat="1" ht="45" customHeight="1" x14ac:dyDescent="0.2">
      <c r="A3754" s="66" t="s">
        <v>12818</v>
      </c>
      <c r="B3754" s="66" t="s">
        <v>1155</v>
      </c>
      <c r="C3754" s="66" t="s">
        <v>9605</v>
      </c>
      <c r="D3754" s="66">
        <v>6942421143307</v>
      </c>
      <c r="E3754" s="68" t="s">
        <v>13980</v>
      </c>
      <c r="F3754" s="66" t="s">
        <v>13981</v>
      </c>
      <c r="G3754" s="71">
        <v>5673</v>
      </c>
      <c r="H3754" s="73"/>
      <c r="I3754" s="75">
        <v>0.2</v>
      </c>
      <c r="J3754" s="77"/>
      <c r="K3754" s="66"/>
      <c r="L3754" s="66"/>
      <c r="M3754" s="79" t="str">
        <f>HYPERLINK("http://www.pristavka.com/catalog/Honkai_Star_Rail/HSR288/")</f>
        <v>http://www.pristavka.com/catalog/Honkai_Star_Rail/HSR288/</v>
      </c>
      <c r="N3754" s="71">
        <v>9499</v>
      </c>
      <c r="O3754" s="66" t="s">
        <v>27</v>
      </c>
      <c r="P3754" s="82" t="s">
        <v>13982</v>
      </c>
      <c r="Q3754" s="84" t="s">
        <v>12818</v>
      </c>
      <c r="R3754" s="84" t="s">
        <v>9605</v>
      </c>
      <c r="S3754" s="84">
        <v>0.14399999999999999</v>
      </c>
      <c r="T3754" s="82" t="s">
        <v>10860</v>
      </c>
      <c r="U3754" s="84"/>
      <c r="V3754" s="54"/>
    </row>
    <row r="3755" spans="1:22" s="11" customFormat="1" ht="45" customHeight="1" x14ac:dyDescent="0.2">
      <c r="A3755" s="66" t="s">
        <v>12818</v>
      </c>
      <c r="B3755" s="66" t="s">
        <v>1155</v>
      </c>
      <c r="C3755" s="66" t="s">
        <v>9605</v>
      </c>
      <c r="D3755" s="66">
        <v>6976068140955</v>
      </c>
      <c r="E3755" s="68" t="s">
        <v>13983</v>
      </c>
      <c r="F3755" s="66" t="s">
        <v>13984</v>
      </c>
      <c r="G3755" s="71">
        <v>3771</v>
      </c>
      <c r="H3755" s="73"/>
      <c r="I3755" s="75">
        <v>0.2</v>
      </c>
      <c r="J3755" s="77"/>
      <c r="K3755" s="66"/>
      <c r="L3755" s="66"/>
      <c r="M3755" s="79" t="str">
        <f>HYPERLINK("http://www.pristavka.com/catalog/Honkai_Star_Rail/HSR85/")</f>
        <v>http://www.pristavka.com/catalog/Honkai_Star_Rail/HSR85/</v>
      </c>
      <c r="N3755" s="71">
        <v>6299</v>
      </c>
      <c r="O3755" s="66" t="s">
        <v>28</v>
      </c>
      <c r="P3755" s="82" t="s">
        <v>13985</v>
      </c>
      <c r="Q3755" s="84" t="s">
        <v>12818</v>
      </c>
      <c r="R3755" s="84" t="s">
        <v>9605</v>
      </c>
      <c r="S3755" s="84">
        <v>0.13800000000000001</v>
      </c>
      <c r="T3755" s="82" t="s">
        <v>13972</v>
      </c>
      <c r="U3755" s="84"/>
      <c r="V3755" s="54"/>
    </row>
    <row r="3756" spans="1:22" s="11" customFormat="1" ht="45" customHeight="1" x14ac:dyDescent="0.2">
      <c r="A3756" s="66" t="s">
        <v>12818</v>
      </c>
      <c r="B3756" s="66" t="s">
        <v>1155</v>
      </c>
      <c r="C3756" s="66" t="s">
        <v>9605</v>
      </c>
      <c r="D3756" s="66">
        <v>6976068148500</v>
      </c>
      <c r="E3756" s="68" t="s">
        <v>13986</v>
      </c>
      <c r="F3756" s="66" t="s">
        <v>13987</v>
      </c>
      <c r="G3756" s="71">
        <v>3771</v>
      </c>
      <c r="H3756" s="73"/>
      <c r="I3756" s="75">
        <v>0.2</v>
      </c>
      <c r="J3756" s="77"/>
      <c r="K3756" s="66"/>
      <c r="L3756" s="66"/>
      <c r="M3756" s="79" t="str">
        <f>HYPERLINK("http://www.pristavka.com/catalog/Honkai_Star_Rail/HSR87/")</f>
        <v>http://www.pristavka.com/catalog/Honkai_Star_Rail/HSR87/</v>
      </c>
      <c r="N3756" s="71">
        <v>6299</v>
      </c>
      <c r="O3756" s="66" t="s">
        <v>27</v>
      </c>
      <c r="P3756" s="82" t="s">
        <v>13988</v>
      </c>
      <c r="Q3756" s="84" t="s">
        <v>12818</v>
      </c>
      <c r="R3756" s="84" t="s">
        <v>9605</v>
      </c>
      <c r="S3756" s="84">
        <v>0.13800000000000001</v>
      </c>
      <c r="T3756" s="82" t="s">
        <v>13972</v>
      </c>
      <c r="U3756" s="84"/>
      <c r="V3756" s="54"/>
    </row>
    <row r="3757" spans="1:22" s="11" customFormat="1" ht="45" customHeight="1" x14ac:dyDescent="0.2">
      <c r="A3757" s="66" t="s">
        <v>12818</v>
      </c>
      <c r="B3757" s="66" t="s">
        <v>1155</v>
      </c>
      <c r="C3757" s="66" t="s">
        <v>9605</v>
      </c>
      <c r="D3757" s="66">
        <v>6976068148517</v>
      </c>
      <c r="E3757" s="68" t="s">
        <v>13989</v>
      </c>
      <c r="F3757" s="66" t="s">
        <v>13990</v>
      </c>
      <c r="G3757" s="71">
        <v>3771</v>
      </c>
      <c r="H3757" s="73"/>
      <c r="I3757" s="75">
        <v>0.2</v>
      </c>
      <c r="J3757" s="77"/>
      <c r="K3757" s="66"/>
      <c r="L3757" s="66"/>
      <c r="M3757" s="79" t="str">
        <f>HYPERLINK("http://www.pristavka.com/catalog/Honkai_Star_Rail/HSR88/")</f>
        <v>http://www.pristavka.com/catalog/Honkai_Star_Rail/HSR88/</v>
      </c>
      <c r="N3757" s="71">
        <v>6299</v>
      </c>
      <c r="O3757" s="66" t="s">
        <v>27</v>
      </c>
      <c r="P3757" s="82" t="s">
        <v>13991</v>
      </c>
      <c r="Q3757" s="84" t="s">
        <v>12818</v>
      </c>
      <c r="R3757" s="84" t="s">
        <v>9605</v>
      </c>
      <c r="S3757" s="84">
        <v>0.13800000000000001</v>
      </c>
      <c r="T3757" s="82" t="s">
        <v>13972</v>
      </c>
      <c r="U3757" s="84"/>
      <c r="V3757" s="54"/>
    </row>
    <row r="3758" spans="1:22" s="11" customFormat="1" ht="45" customHeight="1" x14ac:dyDescent="0.2">
      <c r="A3758" s="66" t="s">
        <v>12818</v>
      </c>
      <c r="B3758" s="66" t="s">
        <v>1155</v>
      </c>
      <c r="C3758" s="66" t="s">
        <v>9605</v>
      </c>
      <c r="D3758" s="66">
        <v>6976068148531</v>
      </c>
      <c r="E3758" s="68" t="s">
        <v>13992</v>
      </c>
      <c r="F3758" s="66" t="s">
        <v>13993</v>
      </c>
      <c r="G3758" s="71">
        <v>3771</v>
      </c>
      <c r="H3758" s="73"/>
      <c r="I3758" s="75">
        <v>0.2</v>
      </c>
      <c r="J3758" s="77"/>
      <c r="K3758" s="66"/>
      <c r="L3758" s="66"/>
      <c r="M3758" s="79" t="str">
        <f>HYPERLINK("http://www.pristavka.com/catalog/Honkai_Star_Rail/HSR90/")</f>
        <v>http://www.pristavka.com/catalog/Honkai_Star_Rail/HSR90/</v>
      </c>
      <c r="N3758" s="71">
        <v>6299</v>
      </c>
      <c r="O3758" s="66" t="s">
        <v>27</v>
      </c>
      <c r="P3758" s="82" t="s">
        <v>13994</v>
      </c>
      <c r="Q3758" s="84" t="s">
        <v>12818</v>
      </c>
      <c r="R3758" s="84" t="s">
        <v>9605</v>
      </c>
      <c r="S3758" s="84">
        <v>0.13800000000000001</v>
      </c>
      <c r="T3758" s="82" t="s">
        <v>13972</v>
      </c>
      <c r="U3758" s="84"/>
      <c r="V3758" s="54"/>
    </row>
    <row r="3759" spans="1:22" s="11" customFormat="1" ht="45" customHeight="1" x14ac:dyDescent="0.2">
      <c r="A3759" s="66" t="s">
        <v>12818</v>
      </c>
      <c r="B3759" s="66" t="s">
        <v>1155</v>
      </c>
      <c r="C3759" s="66" t="s">
        <v>9605</v>
      </c>
      <c r="D3759" s="66">
        <v>6942421128717</v>
      </c>
      <c r="E3759" s="68" t="s">
        <v>13995</v>
      </c>
      <c r="F3759" s="66" t="s">
        <v>13996</v>
      </c>
      <c r="G3759" s="71">
        <v>5673</v>
      </c>
      <c r="H3759" s="73"/>
      <c r="I3759" s="75">
        <v>0.2</v>
      </c>
      <c r="J3759" s="77"/>
      <c r="K3759" s="66"/>
      <c r="L3759" s="66"/>
      <c r="M3759" s="79" t="str">
        <f>HYPERLINK("http://www.pristavka.com/catalog/Honkai_Star_Rail/HSR230/")</f>
        <v>http://www.pristavka.com/catalog/Honkai_Star_Rail/HSR230/</v>
      </c>
      <c r="N3759" s="71">
        <v>9499</v>
      </c>
      <c r="O3759" s="66" t="s">
        <v>27</v>
      </c>
      <c r="P3759" s="82" t="s">
        <v>13997</v>
      </c>
      <c r="Q3759" s="84" t="s">
        <v>12818</v>
      </c>
      <c r="R3759" s="84" t="s">
        <v>9605</v>
      </c>
      <c r="S3759" s="84">
        <v>0.14000000000000001</v>
      </c>
      <c r="T3759" s="82" t="s">
        <v>13998</v>
      </c>
      <c r="U3759" s="84"/>
      <c r="V3759" s="54"/>
    </row>
    <row r="3760" spans="1:22" s="11" customFormat="1" ht="45" customHeight="1" x14ac:dyDescent="0.2">
      <c r="A3760" s="66" t="s">
        <v>12818</v>
      </c>
      <c r="B3760" s="66" t="s">
        <v>1155</v>
      </c>
      <c r="C3760" s="66" t="s">
        <v>9605</v>
      </c>
      <c r="D3760" s="66">
        <v>6976068140962</v>
      </c>
      <c r="E3760" s="68" t="s">
        <v>13999</v>
      </c>
      <c r="F3760" s="66" t="s">
        <v>14000</v>
      </c>
      <c r="G3760" s="71">
        <v>3771</v>
      </c>
      <c r="H3760" s="73"/>
      <c r="I3760" s="75">
        <v>0.2</v>
      </c>
      <c r="J3760" s="77"/>
      <c r="K3760" s="66"/>
      <c r="L3760" s="66"/>
      <c r="M3760" s="79" t="str">
        <f>HYPERLINK("http://www.pristavka.com/catalog/Honkai_Star_Rail/HSR86/")</f>
        <v>http://www.pristavka.com/catalog/Honkai_Star_Rail/HSR86/</v>
      </c>
      <c r="N3760" s="71">
        <v>6299</v>
      </c>
      <c r="O3760" s="66" t="s">
        <v>27</v>
      </c>
      <c r="P3760" s="82" t="s">
        <v>14001</v>
      </c>
      <c r="Q3760" s="84" t="s">
        <v>12818</v>
      </c>
      <c r="R3760" s="84" t="s">
        <v>9605</v>
      </c>
      <c r="S3760" s="84">
        <v>0.13800000000000001</v>
      </c>
      <c r="T3760" s="82" t="s">
        <v>13972</v>
      </c>
      <c r="U3760" s="84"/>
      <c r="V3760" s="54"/>
    </row>
    <row r="3761" spans="1:22" s="11" customFormat="1" ht="45" customHeight="1" x14ac:dyDescent="0.2">
      <c r="A3761" s="66" t="s">
        <v>12818</v>
      </c>
      <c r="B3761" s="66" t="s">
        <v>1155</v>
      </c>
      <c r="C3761" s="66" t="s">
        <v>9605</v>
      </c>
      <c r="D3761" s="66">
        <v>6942421128694</v>
      </c>
      <c r="E3761" s="68" t="s">
        <v>14002</v>
      </c>
      <c r="F3761" s="66" t="s">
        <v>14003</v>
      </c>
      <c r="G3761" s="71">
        <v>5673</v>
      </c>
      <c r="H3761" s="73"/>
      <c r="I3761" s="75">
        <v>0.2</v>
      </c>
      <c r="J3761" s="77"/>
      <c r="K3761" s="66"/>
      <c r="L3761" s="66"/>
      <c r="M3761" s="79" t="str">
        <f>HYPERLINK("http://www.pristavka.com/catalog/Honkai_Star_Rail/HSR229/")</f>
        <v>http://www.pristavka.com/catalog/Honkai_Star_Rail/HSR229/</v>
      </c>
      <c r="N3761" s="71">
        <v>9499</v>
      </c>
      <c r="O3761" s="66" t="s">
        <v>27</v>
      </c>
      <c r="P3761" s="82" t="s">
        <v>14004</v>
      </c>
      <c r="Q3761" s="84" t="s">
        <v>12818</v>
      </c>
      <c r="R3761" s="84" t="s">
        <v>9605</v>
      </c>
      <c r="S3761" s="84">
        <v>0.14199999999999999</v>
      </c>
      <c r="T3761" s="82" t="s">
        <v>13998</v>
      </c>
      <c r="U3761" s="84"/>
      <c r="V3761" s="54"/>
    </row>
    <row r="3762" spans="1:22" s="11" customFormat="1" ht="45" customHeight="1" x14ac:dyDescent="0.2">
      <c r="A3762" s="66" t="s">
        <v>12818</v>
      </c>
      <c r="B3762" s="66" t="s">
        <v>1155</v>
      </c>
      <c r="C3762" s="66" t="s">
        <v>9605</v>
      </c>
      <c r="D3762" s="66">
        <v>6942421122784</v>
      </c>
      <c r="E3762" s="68" t="s">
        <v>14005</v>
      </c>
      <c r="F3762" s="66" t="s">
        <v>14006</v>
      </c>
      <c r="G3762" s="71">
        <v>5356</v>
      </c>
      <c r="H3762" s="73"/>
      <c r="I3762" s="75">
        <v>0.2</v>
      </c>
      <c r="J3762" s="77"/>
      <c r="K3762" s="66"/>
      <c r="L3762" s="66"/>
      <c r="M3762" s="79" t="str">
        <f>HYPERLINK("http://www.pristavka.com/catalog/Honkai_Star_Rail/HSR228/")</f>
        <v>http://www.pristavka.com/catalog/Honkai_Star_Rail/HSR228/</v>
      </c>
      <c r="N3762" s="71">
        <v>8999</v>
      </c>
      <c r="O3762" s="66" t="s">
        <v>27</v>
      </c>
      <c r="P3762" s="82" t="s">
        <v>14007</v>
      </c>
      <c r="Q3762" s="84" t="s">
        <v>12818</v>
      </c>
      <c r="R3762" s="84" t="s">
        <v>9605</v>
      </c>
      <c r="S3762" s="84">
        <v>0.14199999999999999</v>
      </c>
      <c r="T3762" s="82" t="s">
        <v>13998</v>
      </c>
      <c r="U3762" s="84"/>
      <c r="V3762" s="54"/>
    </row>
    <row r="3763" spans="1:22" s="11" customFormat="1" ht="45" customHeight="1" x14ac:dyDescent="0.2">
      <c r="A3763" s="66" t="s">
        <v>12818</v>
      </c>
      <c r="B3763" s="66" t="s">
        <v>1155</v>
      </c>
      <c r="C3763" s="66" t="s">
        <v>9605</v>
      </c>
      <c r="D3763" s="66" t="s">
        <v>26</v>
      </c>
      <c r="E3763" s="68" t="s">
        <v>14008</v>
      </c>
      <c r="F3763" s="66" t="s">
        <v>14009</v>
      </c>
      <c r="G3763" s="71">
        <v>2403</v>
      </c>
      <c r="H3763" s="73"/>
      <c r="I3763" s="75">
        <v>0.2</v>
      </c>
      <c r="J3763" s="77"/>
      <c r="K3763" s="66"/>
      <c r="L3763" s="66"/>
      <c r="M3763" s="79" t="str">
        <f>HYPERLINK("http://www.pristavka.com/catalog/Honkai_Star_Rail/HSR366/")</f>
        <v>http://www.pristavka.com/catalog/Honkai_Star_Rail/HSR366/</v>
      </c>
      <c r="N3763" s="71">
        <v>4099</v>
      </c>
      <c r="O3763" s="66" t="s">
        <v>27</v>
      </c>
      <c r="P3763" s="82" t="s">
        <v>14010</v>
      </c>
      <c r="Q3763" s="84" t="s">
        <v>12818</v>
      </c>
      <c r="R3763" s="84" t="s">
        <v>9605</v>
      </c>
      <c r="S3763" s="84">
        <v>2.5000000000000001E-2</v>
      </c>
      <c r="T3763" s="82" t="s">
        <v>14011</v>
      </c>
      <c r="U3763" s="84"/>
      <c r="V3763" s="54"/>
    </row>
    <row r="3764" spans="1:22" s="11" customFormat="1" ht="45" customHeight="1" x14ac:dyDescent="0.2">
      <c r="A3764" s="66" t="s">
        <v>12818</v>
      </c>
      <c r="B3764" s="66" t="s">
        <v>1155</v>
      </c>
      <c r="C3764" s="66" t="s">
        <v>9605</v>
      </c>
      <c r="D3764" s="66" t="s">
        <v>26</v>
      </c>
      <c r="E3764" s="68" t="s">
        <v>14012</v>
      </c>
      <c r="F3764" s="66" t="s">
        <v>14013</v>
      </c>
      <c r="G3764" s="71">
        <v>2403</v>
      </c>
      <c r="H3764" s="73"/>
      <c r="I3764" s="75">
        <v>0.2</v>
      </c>
      <c r="J3764" s="77"/>
      <c r="K3764" s="66"/>
      <c r="L3764" s="66"/>
      <c r="M3764" s="79" t="str">
        <f>HYPERLINK("http://www.pristavka.com/catalog/Honkai_Star_Rail/HSR363/")</f>
        <v>http://www.pristavka.com/catalog/Honkai_Star_Rail/HSR363/</v>
      </c>
      <c r="N3764" s="71">
        <v>4099</v>
      </c>
      <c r="O3764" s="66" t="s">
        <v>27</v>
      </c>
      <c r="P3764" s="82" t="s">
        <v>14014</v>
      </c>
      <c r="Q3764" s="84" t="s">
        <v>12818</v>
      </c>
      <c r="R3764" s="84" t="s">
        <v>9605</v>
      </c>
      <c r="S3764" s="84">
        <v>2.8000000000000001E-2</v>
      </c>
      <c r="T3764" s="82" t="s">
        <v>14015</v>
      </c>
      <c r="U3764" s="84"/>
      <c r="V3764" s="54"/>
    </row>
    <row r="3765" spans="1:22" s="11" customFormat="1" ht="45" customHeight="1" x14ac:dyDescent="0.2">
      <c r="A3765" s="66" t="s">
        <v>12818</v>
      </c>
      <c r="B3765" s="66" t="s">
        <v>1155</v>
      </c>
      <c r="C3765" s="66" t="s">
        <v>9605</v>
      </c>
      <c r="D3765" s="66" t="s">
        <v>26</v>
      </c>
      <c r="E3765" s="68" t="s">
        <v>14016</v>
      </c>
      <c r="F3765" s="66" t="s">
        <v>14017</v>
      </c>
      <c r="G3765" s="71">
        <v>2403</v>
      </c>
      <c r="H3765" s="73"/>
      <c r="I3765" s="75">
        <v>0.2</v>
      </c>
      <c r="J3765" s="77"/>
      <c r="K3765" s="66"/>
      <c r="L3765" s="66"/>
      <c r="M3765" s="79" t="str">
        <f>HYPERLINK("http://www.pristavka.com/catalog/Honkai_Star_Rail/HSR359/")</f>
        <v>http://www.pristavka.com/catalog/Honkai_Star_Rail/HSR359/</v>
      </c>
      <c r="N3765" s="71">
        <v>4099</v>
      </c>
      <c r="O3765" s="66" t="s">
        <v>27</v>
      </c>
      <c r="P3765" s="82" t="s">
        <v>14018</v>
      </c>
      <c r="Q3765" s="84" t="s">
        <v>12818</v>
      </c>
      <c r="R3765" s="84" t="s">
        <v>9605</v>
      </c>
      <c r="S3765" s="84">
        <v>2.8000000000000001E-2</v>
      </c>
      <c r="T3765" s="82" t="s">
        <v>14011</v>
      </c>
      <c r="U3765" s="84"/>
      <c r="V3765" s="54"/>
    </row>
    <row r="3766" spans="1:22" s="11" customFormat="1" ht="45" customHeight="1" x14ac:dyDescent="0.2">
      <c r="A3766" s="66" t="s">
        <v>12818</v>
      </c>
      <c r="B3766" s="66" t="s">
        <v>1155</v>
      </c>
      <c r="C3766" s="66" t="s">
        <v>9605</v>
      </c>
      <c r="D3766" s="66" t="s">
        <v>26</v>
      </c>
      <c r="E3766" s="68" t="s">
        <v>14019</v>
      </c>
      <c r="F3766" s="66" t="s">
        <v>14020</v>
      </c>
      <c r="G3766" s="71">
        <v>2403</v>
      </c>
      <c r="H3766" s="73"/>
      <c r="I3766" s="75">
        <v>0.2</v>
      </c>
      <c r="J3766" s="77"/>
      <c r="K3766" s="66"/>
      <c r="L3766" s="66"/>
      <c r="M3766" s="79" t="str">
        <f>HYPERLINK("http://www.pristavka.com/catalog/Honkai_Star_Rail/HSR356/")</f>
        <v>http://www.pristavka.com/catalog/Honkai_Star_Rail/HSR356/</v>
      </c>
      <c r="N3766" s="71">
        <v>4099</v>
      </c>
      <c r="O3766" s="66" t="s">
        <v>27</v>
      </c>
      <c r="P3766" s="82" t="s">
        <v>14021</v>
      </c>
      <c r="Q3766" s="84" t="s">
        <v>12818</v>
      </c>
      <c r="R3766" s="84" t="s">
        <v>9605</v>
      </c>
      <c r="S3766" s="84">
        <v>0.03</v>
      </c>
      <c r="T3766" s="82" t="s">
        <v>14011</v>
      </c>
      <c r="U3766" s="84"/>
      <c r="V3766" s="54"/>
    </row>
    <row r="3767" spans="1:22" s="11" customFormat="1" ht="45" customHeight="1" x14ac:dyDescent="0.2">
      <c r="A3767" s="66" t="s">
        <v>12818</v>
      </c>
      <c r="B3767" s="66" t="s">
        <v>1155</v>
      </c>
      <c r="C3767" s="66" t="s">
        <v>9605</v>
      </c>
      <c r="D3767" s="66" t="s">
        <v>26</v>
      </c>
      <c r="E3767" s="68" t="s">
        <v>14022</v>
      </c>
      <c r="F3767" s="66" t="s">
        <v>14023</v>
      </c>
      <c r="G3767" s="71">
        <v>2403</v>
      </c>
      <c r="H3767" s="73"/>
      <c r="I3767" s="75">
        <v>0.2</v>
      </c>
      <c r="J3767" s="77"/>
      <c r="K3767" s="66"/>
      <c r="L3767" s="66"/>
      <c r="M3767" s="79" t="str">
        <f>HYPERLINK("http://www.pristavka.com/catalog/Honkai_Star_Rail/HSR365/")</f>
        <v>http://www.pristavka.com/catalog/Honkai_Star_Rail/HSR365/</v>
      </c>
      <c r="N3767" s="71">
        <v>4099</v>
      </c>
      <c r="O3767" s="66" t="s">
        <v>27</v>
      </c>
      <c r="P3767" s="82" t="s">
        <v>14024</v>
      </c>
      <c r="Q3767" s="84" t="s">
        <v>12818</v>
      </c>
      <c r="R3767" s="84" t="s">
        <v>9605</v>
      </c>
      <c r="S3767" s="84">
        <v>2.8000000000000001E-2</v>
      </c>
      <c r="T3767" s="82" t="s">
        <v>14025</v>
      </c>
      <c r="U3767" s="84"/>
      <c r="V3767" s="54"/>
    </row>
    <row r="3768" spans="1:22" s="11" customFormat="1" ht="45" customHeight="1" x14ac:dyDescent="0.2">
      <c r="A3768" s="66" t="s">
        <v>12818</v>
      </c>
      <c r="B3768" s="66" t="s">
        <v>1155</v>
      </c>
      <c r="C3768" s="66" t="s">
        <v>9605</v>
      </c>
      <c r="D3768" s="66" t="s">
        <v>26</v>
      </c>
      <c r="E3768" s="68" t="s">
        <v>14026</v>
      </c>
      <c r="F3768" s="66" t="s">
        <v>14027</v>
      </c>
      <c r="G3768" s="71">
        <v>2403</v>
      </c>
      <c r="H3768" s="73"/>
      <c r="I3768" s="75">
        <v>0.2</v>
      </c>
      <c r="J3768" s="77"/>
      <c r="K3768" s="66"/>
      <c r="L3768" s="66"/>
      <c r="M3768" s="79" t="str">
        <f>HYPERLINK("http://www.pristavka.com/catalog/Honkai_Star_Rail/HSR353/")</f>
        <v>http://www.pristavka.com/catalog/Honkai_Star_Rail/HSR353/</v>
      </c>
      <c r="N3768" s="71">
        <v>4099</v>
      </c>
      <c r="O3768" s="66" t="s">
        <v>27</v>
      </c>
      <c r="P3768" s="82" t="s">
        <v>14028</v>
      </c>
      <c r="Q3768" s="84" t="s">
        <v>12818</v>
      </c>
      <c r="R3768" s="84" t="s">
        <v>9605</v>
      </c>
      <c r="S3768" s="84">
        <v>0.03</v>
      </c>
      <c r="T3768" s="82" t="s">
        <v>14011</v>
      </c>
      <c r="U3768" s="84"/>
      <c r="V3768" s="54"/>
    </row>
    <row r="3769" spans="1:22" s="11" customFormat="1" ht="45" customHeight="1" x14ac:dyDescent="0.2">
      <c r="A3769" s="66" t="s">
        <v>12818</v>
      </c>
      <c r="B3769" s="66" t="s">
        <v>1155</v>
      </c>
      <c r="C3769" s="66" t="s">
        <v>9605</v>
      </c>
      <c r="D3769" s="66" t="s">
        <v>26</v>
      </c>
      <c r="E3769" s="68" t="s">
        <v>14029</v>
      </c>
      <c r="F3769" s="66" t="s">
        <v>14030</v>
      </c>
      <c r="G3769" s="71">
        <v>2403</v>
      </c>
      <c r="H3769" s="73"/>
      <c r="I3769" s="75">
        <v>0.2</v>
      </c>
      <c r="J3769" s="77"/>
      <c r="K3769" s="66"/>
      <c r="L3769" s="66"/>
      <c r="M3769" s="79" t="str">
        <f>HYPERLINK("http://www.pristavka.com/catalog/Honkai_Star_Rail/HSR361/")</f>
        <v>http://www.pristavka.com/catalog/Honkai_Star_Rail/HSR361/</v>
      </c>
      <c r="N3769" s="71">
        <v>4099</v>
      </c>
      <c r="O3769" s="66" t="s">
        <v>27</v>
      </c>
      <c r="P3769" s="82" t="s">
        <v>14031</v>
      </c>
      <c r="Q3769" s="84" t="s">
        <v>12818</v>
      </c>
      <c r="R3769" s="84" t="s">
        <v>9605</v>
      </c>
      <c r="S3769" s="84">
        <v>3.1E-2</v>
      </c>
      <c r="T3769" s="82" t="s">
        <v>14032</v>
      </c>
      <c r="U3769" s="84"/>
      <c r="V3769" s="54"/>
    </row>
    <row r="3770" spans="1:22" s="11" customFormat="1" ht="45" customHeight="1" x14ac:dyDescent="0.2">
      <c r="A3770" s="66" t="s">
        <v>12818</v>
      </c>
      <c r="B3770" s="66" t="s">
        <v>1155</v>
      </c>
      <c r="C3770" s="66" t="s">
        <v>9605</v>
      </c>
      <c r="D3770" s="66" t="s">
        <v>26</v>
      </c>
      <c r="E3770" s="68" t="s">
        <v>14033</v>
      </c>
      <c r="F3770" s="66" t="s">
        <v>14034</v>
      </c>
      <c r="G3770" s="71">
        <v>2403</v>
      </c>
      <c r="H3770" s="73"/>
      <c r="I3770" s="75">
        <v>0.2</v>
      </c>
      <c r="J3770" s="77"/>
      <c r="K3770" s="66"/>
      <c r="L3770" s="66"/>
      <c r="M3770" s="79" t="str">
        <f>HYPERLINK("http://www.pristavka.com/catalog/Honkai_Star_Rail/HSR354/")</f>
        <v>http://www.pristavka.com/catalog/Honkai_Star_Rail/HSR354/</v>
      </c>
      <c r="N3770" s="71">
        <v>4099</v>
      </c>
      <c r="O3770" s="66" t="s">
        <v>27</v>
      </c>
      <c r="P3770" s="82" t="s">
        <v>14035</v>
      </c>
      <c r="Q3770" s="84" t="s">
        <v>12818</v>
      </c>
      <c r="R3770" s="84" t="s">
        <v>9605</v>
      </c>
      <c r="S3770" s="84">
        <v>2.7E-2</v>
      </c>
      <c r="T3770" s="82" t="s">
        <v>14015</v>
      </c>
      <c r="U3770" s="84"/>
      <c r="V3770" s="54"/>
    </row>
    <row r="3771" spans="1:22" s="11" customFormat="1" ht="45" customHeight="1" x14ac:dyDescent="0.2">
      <c r="A3771" s="66" t="s">
        <v>12818</v>
      </c>
      <c r="B3771" s="66" t="s">
        <v>1155</v>
      </c>
      <c r="C3771" s="66" t="s">
        <v>9605</v>
      </c>
      <c r="D3771" s="66" t="s">
        <v>26</v>
      </c>
      <c r="E3771" s="68" t="s">
        <v>14036</v>
      </c>
      <c r="F3771" s="66" t="s">
        <v>14037</v>
      </c>
      <c r="G3771" s="71">
        <v>2403</v>
      </c>
      <c r="H3771" s="73"/>
      <c r="I3771" s="75">
        <v>0.2</v>
      </c>
      <c r="J3771" s="77"/>
      <c r="K3771" s="66"/>
      <c r="L3771" s="66"/>
      <c r="M3771" s="79" t="str">
        <f>HYPERLINK("http://www.pristavka.com/catalog/Honkai_Star_Rail/HSR358/")</f>
        <v>http://www.pristavka.com/catalog/Honkai_Star_Rail/HSR358/</v>
      </c>
      <c r="N3771" s="71">
        <v>4099</v>
      </c>
      <c r="O3771" s="66" t="s">
        <v>27</v>
      </c>
      <c r="P3771" s="82" t="s">
        <v>14038</v>
      </c>
      <c r="Q3771" s="84" t="s">
        <v>12818</v>
      </c>
      <c r="R3771" s="84" t="s">
        <v>9605</v>
      </c>
      <c r="S3771" s="84">
        <v>2.5000000000000001E-2</v>
      </c>
      <c r="T3771" s="82" t="s">
        <v>14011</v>
      </c>
      <c r="U3771" s="84"/>
      <c r="V3771" s="54"/>
    </row>
    <row r="3772" spans="1:22" s="11" customFormat="1" ht="45" customHeight="1" x14ac:dyDescent="0.2">
      <c r="A3772" s="66" t="s">
        <v>12818</v>
      </c>
      <c r="B3772" s="66" t="s">
        <v>1155</v>
      </c>
      <c r="C3772" s="66" t="s">
        <v>9605</v>
      </c>
      <c r="D3772" s="66" t="s">
        <v>26</v>
      </c>
      <c r="E3772" s="68" t="s">
        <v>14039</v>
      </c>
      <c r="F3772" s="66" t="s">
        <v>14040</v>
      </c>
      <c r="G3772" s="71">
        <v>2403</v>
      </c>
      <c r="H3772" s="73"/>
      <c r="I3772" s="75">
        <v>0.2</v>
      </c>
      <c r="J3772" s="77"/>
      <c r="K3772" s="66"/>
      <c r="L3772" s="66"/>
      <c r="M3772" s="79" t="str">
        <f>HYPERLINK("http://www.pristavka.com/catalog/Honkai_Star_Rail/HSR357/")</f>
        <v>http://www.pristavka.com/catalog/Honkai_Star_Rail/HSR357/</v>
      </c>
      <c r="N3772" s="71">
        <v>4099</v>
      </c>
      <c r="O3772" s="66" t="s">
        <v>27</v>
      </c>
      <c r="P3772" s="82" t="s">
        <v>14041</v>
      </c>
      <c r="Q3772" s="84" t="s">
        <v>12818</v>
      </c>
      <c r="R3772" s="84" t="s">
        <v>9605</v>
      </c>
      <c r="S3772" s="84">
        <v>0.03</v>
      </c>
      <c r="T3772" s="82" t="s">
        <v>14011</v>
      </c>
      <c r="U3772" s="84"/>
      <c r="V3772" s="54"/>
    </row>
    <row r="3773" spans="1:22" s="11" customFormat="1" ht="45" customHeight="1" x14ac:dyDescent="0.2">
      <c r="A3773" s="66" t="s">
        <v>12818</v>
      </c>
      <c r="B3773" s="66" t="s">
        <v>1155</v>
      </c>
      <c r="C3773" s="66" t="s">
        <v>9605</v>
      </c>
      <c r="D3773" s="66" t="s">
        <v>26</v>
      </c>
      <c r="E3773" s="68" t="s">
        <v>14042</v>
      </c>
      <c r="F3773" s="66" t="s">
        <v>14043</v>
      </c>
      <c r="G3773" s="71">
        <v>2403</v>
      </c>
      <c r="H3773" s="73"/>
      <c r="I3773" s="75">
        <v>0.2</v>
      </c>
      <c r="J3773" s="77"/>
      <c r="K3773" s="66"/>
      <c r="L3773" s="66"/>
      <c r="M3773" s="79" t="str">
        <f>HYPERLINK("http://www.pristavka.com/catalog/Honkai_Star_Rail/HSR362/")</f>
        <v>http://www.pristavka.com/catalog/Honkai_Star_Rail/HSR362/</v>
      </c>
      <c r="N3773" s="71">
        <v>4099</v>
      </c>
      <c r="O3773" s="66" t="s">
        <v>27</v>
      </c>
      <c r="P3773" s="82" t="s">
        <v>14044</v>
      </c>
      <c r="Q3773" s="84" t="s">
        <v>12818</v>
      </c>
      <c r="R3773" s="84" t="s">
        <v>9605</v>
      </c>
      <c r="S3773" s="84">
        <v>0.03</v>
      </c>
      <c r="T3773" s="82" t="s">
        <v>14011</v>
      </c>
      <c r="U3773" s="84"/>
      <c r="V3773" s="54"/>
    </row>
    <row r="3774" spans="1:22" s="11" customFormat="1" ht="45" customHeight="1" x14ac:dyDescent="0.2">
      <c r="A3774" s="66" t="s">
        <v>12818</v>
      </c>
      <c r="B3774" s="66" t="s">
        <v>1155</v>
      </c>
      <c r="C3774" s="66" t="s">
        <v>9605</v>
      </c>
      <c r="D3774" s="66" t="s">
        <v>26</v>
      </c>
      <c r="E3774" s="68" t="s">
        <v>14045</v>
      </c>
      <c r="F3774" s="66" t="s">
        <v>14046</v>
      </c>
      <c r="G3774" s="71">
        <v>2403</v>
      </c>
      <c r="H3774" s="73"/>
      <c r="I3774" s="75">
        <v>0.2</v>
      </c>
      <c r="J3774" s="77"/>
      <c r="K3774" s="66"/>
      <c r="L3774" s="66"/>
      <c r="M3774" s="79" t="str">
        <f>HYPERLINK("http://www.pristavka.com/catalog/Honkai_Star_Rail/HSR355/")</f>
        <v>http://www.pristavka.com/catalog/Honkai_Star_Rail/HSR355/</v>
      </c>
      <c r="N3774" s="71">
        <v>4099</v>
      </c>
      <c r="O3774" s="66" t="s">
        <v>27</v>
      </c>
      <c r="P3774" s="82" t="s">
        <v>14047</v>
      </c>
      <c r="Q3774" s="84" t="s">
        <v>12818</v>
      </c>
      <c r="R3774" s="84" t="s">
        <v>9605</v>
      </c>
      <c r="S3774" s="84">
        <v>2.5000000000000001E-2</v>
      </c>
      <c r="T3774" s="82" t="s">
        <v>14011</v>
      </c>
      <c r="U3774" s="84"/>
      <c r="V3774" s="54"/>
    </row>
    <row r="3775" spans="1:22" s="11" customFormat="1" ht="45" customHeight="1" x14ac:dyDescent="0.2">
      <c r="A3775" s="66" t="s">
        <v>12818</v>
      </c>
      <c r="B3775" s="66" t="s">
        <v>1155</v>
      </c>
      <c r="C3775" s="66" t="s">
        <v>9605</v>
      </c>
      <c r="D3775" s="66" t="s">
        <v>26</v>
      </c>
      <c r="E3775" s="68" t="s">
        <v>14048</v>
      </c>
      <c r="F3775" s="66" t="s">
        <v>14049</v>
      </c>
      <c r="G3775" s="71">
        <v>2403</v>
      </c>
      <c r="H3775" s="73"/>
      <c r="I3775" s="75">
        <v>0.2</v>
      </c>
      <c r="J3775" s="77"/>
      <c r="K3775" s="66"/>
      <c r="L3775" s="66"/>
      <c r="M3775" s="79" t="str">
        <f>HYPERLINK("http://www.pristavka.com/catalog/Honkai_Star_Rail/HSR364/")</f>
        <v>http://www.pristavka.com/catalog/Honkai_Star_Rail/HSR364/</v>
      </c>
      <c r="N3775" s="71">
        <v>4099</v>
      </c>
      <c r="O3775" s="66" t="s">
        <v>27</v>
      </c>
      <c r="P3775" s="82" t="s">
        <v>14050</v>
      </c>
      <c r="Q3775" s="84" t="s">
        <v>12818</v>
      </c>
      <c r="R3775" s="84" t="s">
        <v>9605</v>
      </c>
      <c r="S3775" s="84">
        <v>0.03</v>
      </c>
      <c r="T3775" s="82" t="s">
        <v>14011</v>
      </c>
      <c r="U3775" s="84"/>
      <c r="V3775" s="54"/>
    </row>
    <row r="3776" spans="1:22" s="11" customFormat="1" ht="45" customHeight="1" x14ac:dyDescent="0.2">
      <c r="A3776" s="66" t="s">
        <v>12818</v>
      </c>
      <c r="B3776" s="66" t="s">
        <v>1155</v>
      </c>
      <c r="C3776" s="66" t="s">
        <v>9605</v>
      </c>
      <c r="D3776" s="66">
        <v>6976068142867</v>
      </c>
      <c r="E3776" s="68" t="s">
        <v>14051</v>
      </c>
      <c r="F3776" s="66" t="s">
        <v>14052</v>
      </c>
      <c r="G3776" s="71">
        <v>1262</v>
      </c>
      <c r="H3776" s="73"/>
      <c r="I3776" s="75">
        <v>0.2</v>
      </c>
      <c r="J3776" s="77"/>
      <c r="K3776" s="66"/>
      <c r="L3776" s="66"/>
      <c r="M3776" s="79" t="str">
        <f>HYPERLINK("http://www.pristavka.com/catalog/Honkai_Star_Rail/HSR24/")</f>
        <v>http://www.pristavka.com/catalog/Honkai_Star_Rail/HSR24/</v>
      </c>
      <c r="N3776" s="71">
        <v>2199</v>
      </c>
      <c r="O3776" s="66" t="s">
        <v>27</v>
      </c>
      <c r="P3776" s="82" t="s">
        <v>14053</v>
      </c>
      <c r="Q3776" s="84" t="s">
        <v>12818</v>
      </c>
      <c r="R3776" s="84" t="s">
        <v>9605</v>
      </c>
      <c r="S3776" s="84">
        <v>2.5000000000000001E-2</v>
      </c>
      <c r="T3776" s="82" t="s">
        <v>10998</v>
      </c>
      <c r="U3776" s="84"/>
      <c r="V3776" s="54"/>
    </row>
    <row r="3777" spans="1:22" s="11" customFormat="1" ht="45" customHeight="1" x14ac:dyDescent="0.2">
      <c r="A3777" s="66" t="s">
        <v>12818</v>
      </c>
      <c r="B3777" s="66" t="s">
        <v>1155</v>
      </c>
      <c r="C3777" s="66" t="s">
        <v>9605</v>
      </c>
      <c r="D3777" s="66">
        <v>6975628249992</v>
      </c>
      <c r="E3777" s="68" t="s">
        <v>14054</v>
      </c>
      <c r="F3777" s="66" t="s">
        <v>14055</v>
      </c>
      <c r="G3777" s="71">
        <v>1262</v>
      </c>
      <c r="H3777" s="73"/>
      <c r="I3777" s="75">
        <v>0.2</v>
      </c>
      <c r="J3777" s="77"/>
      <c r="K3777" s="66"/>
      <c r="L3777" s="66"/>
      <c r="M3777" s="79" t="str">
        <f>HYPERLINK("http://www.pristavka.com/catalog/Honkai_Star_Rail/HSR25/")</f>
        <v>http://www.pristavka.com/catalog/Honkai_Star_Rail/HSR25/</v>
      </c>
      <c r="N3777" s="71">
        <v>2199</v>
      </c>
      <c r="O3777" s="66" t="s">
        <v>27</v>
      </c>
      <c r="P3777" s="82" t="s">
        <v>14056</v>
      </c>
      <c r="Q3777" s="84" t="s">
        <v>12818</v>
      </c>
      <c r="R3777" s="84" t="s">
        <v>9605</v>
      </c>
      <c r="S3777" s="84">
        <v>2.5000000000000001E-2</v>
      </c>
      <c r="T3777" s="82" t="s">
        <v>10998</v>
      </c>
      <c r="U3777" s="84"/>
      <c r="V3777" s="54"/>
    </row>
    <row r="3778" spans="1:22" s="11" customFormat="1" ht="45" customHeight="1" x14ac:dyDescent="0.2">
      <c r="A3778" s="66" t="s">
        <v>12818</v>
      </c>
      <c r="B3778" s="66" t="s">
        <v>1155</v>
      </c>
      <c r="C3778" s="66" t="s">
        <v>9605</v>
      </c>
      <c r="D3778" s="66">
        <v>6976068142676</v>
      </c>
      <c r="E3778" s="68" t="s">
        <v>14057</v>
      </c>
      <c r="F3778" s="66" t="s">
        <v>14058</v>
      </c>
      <c r="G3778" s="71">
        <v>1262</v>
      </c>
      <c r="H3778" s="73"/>
      <c r="I3778" s="75">
        <v>0.2</v>
      </c>
      <c r="J3778" s="77"/>
      <c r="K3778" s="66"/>
      <c r="L3778" s="66"/>
      <c r="M3778" s="79" t="str">
        <f>HYPERLINK("http://www.pristavka.com/catalog/Honkai_Star_Rail/HSR23/")</f>
        <v>http://www.pristavka.com/catalog/Honkai_Star_Rail/HSR23/</v>
      </c>
      <c r="N3778" s="71">
        <v>2199</v>
      </c>
      <c r="O3778" s="66" t="s">
        <v>27</v>
      </c>
      <c r="P3778" s="82" t="s">
        <v>14059</v>
      </c>
      <c r="Q3778" s="84" t="s">
        <v>12818</v>
      </c>
      <c r="R3778" s="84" t="s">
        <v>9605</v>
      </c>
      <c r="S3778" s="84">
        <v>2.5000000000000001E-2</v>
      </c>
      <c r="T3778" s="82" t="s">
        <v>10998</v>
      </c>
      <c r="U3778" s="84"/>
      <c r="V3778" s="54"/>
    </row>
    <row r="3779" spans="1:22" s="11" customFormat="1" ht="45" customHeight="1" x14ac:dyDescent="0.2">
      <c r="A3779" s="66" t="s">
        <v>12818</v>
      </c>
      <c r="B3779" s="66" t="s">
        <v>1155</v>
      </c>
      <c r="C3779" s="66" t="s">
        <v>9605</v>
      </c>
      <c r="D3779" s="66">
        <v>6942421145783</v>
      </c>
      <c r="E3779" s="68" t="s">
        <v>14060</v>
      </c>
      <c r="F3779" s="66" t="s">
        <v>14061</v>
      </c>
      <c r="G3779" s="71">
        <v>1643</v>
      </c>
      <c r="H3779" s="73"/>
      <c r="I3779" s="75">
        <v>0.2</v>
      </c>
      <c r="J3779" s="77"/>
      <c r="K3779" s="66"/>
      <c r="L3779" s="66"/>
      <c r="M3779" s="79" t="str">
        <f>HYPERLINK("http://www.pristavka.com/catalog/Honkai_Star_Rail/HSR257/")</f>
        <v>http://www.pristavka.com/catalog/Honkai_Star_Rail/HSR257/</v>
      </c>
      <c r="N3779" s="71">
        <v>2799</v>
      </c>
      <c r="O3779" s="66" t="s">
        <v>27</v>
      </c>
      <c r="P3779" s="82" t="s">
        <v>14062</v>
      </c>
      <c r="Q3779" s="84" t="s">
        <v>12818</v>
      </c>
      <c r="R3779" s="84" t="s">
        <v>9605</v>
      </c>
      <c r="S3779" s="84">
        <v>2.4E-2</v>
      </c>
      <c r="T3779" s="82" t="s">
        <v>14063</v>
      </c>
      <c r="U3779" s="84"/>
      <c r="V3779" s="54"/>
    </row>
    <row r="3780" spans="1:22" s="11" customFormat="1" ht="45" customHeight="1" x14ac:dyDescent="0.2">
      <c r="A3780" s="66" t="s">
        <v>12818</v>
      </c>
      <c r="B3780" s="66" t="s">
        <v>1155</v>
      </c>
      <c r="C3780" s="66" t="s">
        <v>9605</v>
      </c>
      <c r="D3780" s="66">
        <v>6975628249831</v>
      </c>
      <c r="E3780" s="68" t="s">
        <v>14064</v>
      </c>
      <c r="F3780" s="66" t="s">
        <v>14065</v>
      </c>
      <c r="G3780" s="71">
        <v>1262</v>
      </c>
      <c r="H3780" s="73"/>
      <c r="I3780" s="75">
        <v>0.2</v>
      </c>
      <c r="J3780" s="77"/>
      <c r="K3780" s="66"/>
      <c r="L3780" s="66"/>
      <c r="M3780" s="79" t="str">
        <f>HYPERLINK("http://www.pristavka.com/catalog/Honkai_Star_Rail/HSR3/")</f>
        <v>http://www.pristavka.com/catalog/Honkai_Star_Rail/HSR3/</v>
      </c>
      <c r="N3780" s="71">
        <v>2199</v>
      </c>
      <c r="O3780" s="66" t="s">
        <v>27</v>
      </c>
      <c r="P3780" s="82" t="s">
        <v>14066</v>
      </c>
      <c r="Q3780" s="84" t="s">
        <v>12818</v>
      </c>
      <c r="R3780" s="84" t="s">
        <v>9605</v>
      </c>
      <c r="S3780" s="84">
        <v>2.5000000000000001E-2</v>
      </c>
      <c r="T3780" s="82" t="s">
        <v>10998</v>
      </c>
      <c r="U3780" s="84"/>
      <c r="V3780" s="54"/>
    </row>
    <row r="3781" spans="1:22" s="11" customFormat="1" ht="45" customHeight="1" x14ac:dyDescent="0.2">
      <c r="A3781" s="66" t="s">
        <v>12818</v>
      </c>
      <c r="B3781" s="66" t="s">
        <v>1155</v>
      </c>
      <c r="C3781" s="66" t="s">
        <v>9605</v>
      </c>
      <c r="D3781" s="66">
        <v>6976068142652</v>
      </c>
      <c r="E3781" s="68" t="s">
        <v>14067</v>
      </c>
      <c r="F3781" s="66" t="s">
        <v>14068</v>
      </c>
      <c r="G3781" s="71">
        <v>1262</v>
      </c>
      <c r="H3781" s="73"/>
      <c r="I3781" s="75">
        <v>0.2</v>
      </c>
      <c r="J3781" s="77"/>
      <c r="K3781" s="66"/>
      <c r="L3781" s="66"/>
      <c r="M3781" s="79" t="str">
        <f>HYPERLINK("http://www.pristavka.com/catalog/Honkai_Star_Rail/HSR4/")</f>
        <v>http://www.pristavka.com/catalog/Honkai_Star_Rail/HSR4/</v>
      </c>
      <c r="N3781" s="71">
        <v>2199</v>
      </c>
      <c r="O3781" s="66" t="s">
        <v>27</v>
      </c>
      <c r="P3781" s="82" t="s">
        <v>14069</v>
      </c>
      <c r="Q3781" s="84" t="s">
        <v>12818</v>
      </c>
      <c r="R3781" s="84" t="s">
        <v>9605</v>
      </c>
      <c r="S3781" s="84">
        <v>2.5000000000000001E-2</v>
      </c>
      <c r="T3781" s="82" t="s">
        <v>10998</v>
      </c>
      <c r="U3781" s="84"/>
      <c r="V3781" s="54"/>
    </row>
    <row r="3782" spans="1:22" s="11" customFormat="1" ht="45" customHeight="1" x14ac:dyDescent="0.2">
      <c r="A3782" s="66" t="s">
        <v>12818</v>
      </c>
      <c r="B3782" s="66" t="s">
        <v>1155</v>
      </c>
      <c r="C3782" s="66" t="s">
        <v>9605</v>
      </c>
      <c r="D3782" s="66">
        <v>6976068142706</v>
      </c>
      <c r="E3782" s="68" t="s">
        <v>14070</v>
      </c>
      <c r="F3782" s="66" t="s">
        <v>14071</v>
      </c>
      <c r="G3782" s="71">
        <v>1262</v>
      </c>
      <c r="H3782" s="73"/>
      <c r="I3782" s="75">
        <v>0.2</v>
      </c>
      <c r="J3782" s="77"/>
      <c r="K3782" s="66"/>
      <c r="L3782" s="66"/>
      <c r="M3782" s="79" t="str">
        <f>HYPERLINK("http://www.pristavka.com/catalog/Honkai_Star_Rail/HSR5/")</f>
        <v>http://www.pristavka.com/catalog/Honkai_Star_Rail/HSR5/</v>
      </c>
      <c r="N3782" s="71">
        <v>2199</v>
      </c>
      <c r="O3782" s="66" t="s">
        <v>27</v>
      </c>
      <c r="P3782" s="82" t="s">
        <v>14072</v>
      </c>
      <c r="Q3782" s="84" t="s">
        <v>12818</v>
      </c>
      <c r="R3782" s="84" t="s">
        <v>9605</v>
      </c>
      <c r="S3782" s="84">
        <v>2.5000000000000001E-2</v>
      </c>
      <c r="T3782" s="82" t="s">
        <v>10998</v>
      </c>
      <c r="U3782" s="84"/>
      <c r="V3782" s="54"/>
    </row>
    <row r="3783" spans="1:22" s="11" customFormat="1" ht="45" customHeight="1" x14ac:dyDescent="0.2">
      <c r="A3783" s="66" t="s">
        <v>12818</v>
      </c>
      <c r="B3783" s="66" t="s">
        <v>1155</v>
      </c>
      <c r="C3783" s="66" t="s">
        <v>9605</v>
      </c>
      <c r="D3783" s="66">
        <v>6975628249862</v>
      </c>
      <c r="E3783" s="68" t="s">
        <v>14073</v>
      </c>
      <c r="F3783" s="66" t="s">
        <v>14074</v>
      </c>
      <c r="G3783" s="71">
        <v>1262</v>
      </c>
      <c r="H3783" s="73"/>
      <c r="I3783" s="75">
        <v>0.2</v>
      </c>
      <c r="J3783" s="77"/>
      <c r="K3783" s="66"/>
      <c r="L3783" s="66"/>
      <c r="M3783" s="79" t="str">
        <f>HYPERLINK("http://www.pristavka.com/catalog/Honkai_Star_Rail/HSR2/")</f>
        <v>http://www.pristavka.com/catalog/Honkai_Star_Rail/HSR2/</v>
      </c>
      <c r="N3783" s="71">
        <v>2199</v>
      </c>
      <c r="O3783" s="66" t="s">
        <v>27</v>
      </c>
      <c r="P3783" s="82" t="s">
        <v>14075</v>
      </c>
      <c r="Q3783" s="84" t="s">
        <v>12818</v>
      </c>
      <c r="R3783" s="84" t="s">
        <v>9605</v>
      </c>
      <c r="S3783" s="84">
        <v>2.5000000000000001E-2</v>
      </c>
      <c r="T3783" s="82" t="s">
        <v>10998</v>
      </c>
      <c r="U3783" s="84"/>
      <c r="V3783" s="54"/>
    </row>
    <row r="3784" spans="1:22" s="11" customFormat="1" ht="45" customHeight="1" x14ac:dyDescent="0.2">
      <c r="A3784" s="66" t="s">
        <v>12818</v>
      </c>
      <c r="B3784" s="66" t="s">
        <v>1155</v>
      </c>
      <c r="C3784" s="66" t="s">
        <v>9605</v>
      </c>
      <c r="D3784" s="66">
        <v>6975628249855</v>
      </c>
      <c r="E3784" s="68" t="s">
        <v>14076</v>
      </c>
      <c r="F3784" s="66" t="s">
        <v>14077</v>
      </c>
      <c r="G3784" s="71">
        <v>1262</v>
      </c>
      <c r="H3784" s="73"/>
      <c r="I3784" s="75">
        <v>0.2</v>
      </c>
      <c r="J3784" s="77"/>
      <c r="K3784" s="66"/>
      <c r="L3784" s="66"/>
      <c r="M3784" s="79" t="str">
        <f>HYPERLINK("http://www.pristavka.com/catalog/Honkai_Star_Rail/HSR1")</f>
        <v>http://www.pristavka.com/catalog/Honkai_Star_Rail/HSR1</v>
      </c>
      <c r="N3784" s="71">
        <v>2199</v>
      </c>
      <c r="O3784" s="66" t="s">
        <v>27</v>
      </c>
      <c r="P3784" s="82" t="s">
        <v>14078</v>
      </c>
      <c r="Q3784" s="84" t="s">
        <v>12818</v>
      </c>
      <c r="R3784" s="84" t="s">
        <v>9605</v>
      </c>
      <c r="S3784" s="84">
        <v>2.5000000000000001E-2</v>
      </c>
      <c r="T3784" s="82" t="s">
        <v>10998</v>
      </c>
      <c r="U3784" s="84"/>
      <c r="V3784" s="54"/>
    </row>
    <row r="3785" spans="1:22" s="11" customFormat="1" ht="45" customHeight="1" x14ac:dyDescent="0.2">
      <c r="A3785" s="66" t="s">
        <v>12818</v>
      </c>
      <c r="B3785" s="66" t="s">
        <v>1155</v>
      </c>
      <c r="C3785" s="66" t="s">
        <v>9605</v>
      </c>
      <c r="D3785" s="66">
        <v>6975628249824</v>
      </c>
      <c r="E3785" s="68" t="s">
        <v>14079</v>
      </c>
      <c r="F3785" s="66" t="s">
        <v>14080</v>
      </c>
      <c r="G3785" s="71">
        <v>1674</v>
      </c>
      <c r="H3785" s="73"/>
      <c r="I3785" s="75">
        <v>0.2</v>
      </c>
      <c r="J3785" s="77"/>
      <c r="K3785" s="66"/>
      <c r="L3785" s="66"/>
      <c r="M3785" s="79" t="str">
        <f>HYPERLINK("http://www.pristavka.com/catalog/Honkai_Star_Rail/HSR11/")</f>
        <v>http://www.pristavka.com/catalog/Honkai_Star_Rail/HSR11/</v>
      </c>
      <c r="N3785" s="71">
        <v>2799</v>
      </c>
      <c r="O3785" s="66" t="s">
        <v>27</v>
      </c>
      <c r="P3785" s="82" t="s">
        <v>14081</v>
      </c>
      <c r="Q3785" s="84" t="s">
        <v>12818</v>
      </c>
      <c r="R3785" s="84" t="s">
        <v>9605</v>
      </c>
      <c r="S3785" s="84">
        <v>2.5000000000000001E-2</v>
      </c>
      <c r="T3785" s="82" t="s">
        <v>10998</v>
      </c>
      <c r="U3785" s="84"/>
      <c r="V3785" s="54"/>
    </row>
    <row r="3786" spans="1:22" s="11" customFormat="1" ht="45" customHeight="1" x14ac:dyDescent="0.2">
      <c r="A3786" s="66" t="s">
        <v>12818</v>
      </c>
      <c r="B3786" s="66" t="s">
        <v>1155</v>
      </c>
      <c r="C3786" s="66" t="s">
        <v>9605</v>
      </c>
      <c r="D3786" s="66">
        <v>6975628249787</v>
      </c>
      <c r="E3786" s="68" t="s">
        <v>14082</v>
      </c>
      <c r="F3786" s="66" t="s">
        <v>14083</v>
      </c>
      <c r="G3786" s="71">
        <v>1262</v>
      </c>
      <c r="H3786" s="73"/>
      <c r="I3786" s="75">
        <v>0.2</v>
      </c>
      <c r="J3786" s="77"/>
      <c r="K3786" s="66"/>
      <c r="L3786" s="66"/>
      <c r="M3786" s="79" t="str">
        <f>HYPERLINK("http://www.pristavka.com/catalog/Honkai_Star_Rail/HSR10/")</f>
        <v>http://www.pristavka.com/catalog/Honkai_Star_Rail/HSR10/</v>
      </c>
      <c r="N3786" s="71">
        <v>2199</v>
      </c>
      <c r="O3786" s="66" t="s">
        <v>27</v>
      </c>
      <c r="P3786" s="82" t="s">
        <v>14084</v>
      </c>
      <c r="Q3786" s="84" t="s">
        <v>12818</v>
      </c>
      <c r="R3786" s="84" t="s">
        <v>9605</v>
      </c>
      <c r="S3786" s="84">
        <v>2.5000000000000001E-2</v>
      </c>
      <c r="T3786" s="82" t="s">
        <v>10998</v>
      </c>
      <c r="U3786" s="84"/>
      <c r="V3786" s="54"/>
    </row>
    <row r="3787" spans="1:22" s="11" customFormat="1" ht="45" customHeight="1" x14ac:dyDescent="0.2">
      <c r="A3787" s="66" t="s">
        <v>12818</v>
      </c>
      <c r="B3787" s="66" t="s">
        <v>1155</v>
      </c>
      <c r="C3787" s="66" t="s">
        <v>9605</v>
      </c>
      <c r="D3787" s="66">
        <v>6976068142904</v>
      </c>
      <c r="E3787" s="68" t="s">
        <v>14085</v>
      </c>
      <c r="F3787" s="66" t="s">
        <v>14086</v>
      </c>
      <c r="G3787" s="71">
        <v>1262</v>
      </c>
      <c r="H3787" s="73"/>
      <c r="I3787" s="75">
        <v>0.2</v>
      </c>
      <c r="J3787" s="77"/>
      <c r="K3787" s="66"/>
      <c r="L3787" s="66"/>
      <c r="M3787" s="79" t="str">
        <f>HYPERLINK("http://www.pristavka.com/catalog/Honkai_Star_Rail/HSR14/")</f>
        <v>http://www.pristavka.com/catalog/Honkai_Star_Rail/HSR14/</v>
      </c>
      <c r="N3787" s="71">
        <v>2199</v>
      </c>
      <c r="O3787" s="66" t="s">
        <v>27</v>
      </c>
      <c r="P3787" s="82" t="s">
        <v>14087</v>
      </c>
      <c r="Q3787" s="84" t="s">
        <v>12818</v>
      </c>
      <c r="R3787" s="84" t="s">
        <v>9605</v>
      </c>
      <c r="S3787" s="84">
        <v>2.5000000000000001E-2</v>
      </c>
      <c r="T3787" s="82" t="s">
        <v>10998</v>
      </c>
      <c r="U3787" s="84"/>
      <c r="V3787" s="54"/>
    </row>
    <row r="3788" spans="1:22" s="11" customFormat="1" ht="45" customHeight="1" x14ac:dyDescent="0.2">
      <c r="A3788" s="66" t="s">
        <v>12818</v>
      </c>
      <c r="B3788" s="66" t="s">
        <v>1155</v>
      </c>
      <c r="C3788" s="66" t="s">
        <v>9605</v>
      </c>
      <c r="D3788" s="66">
        <v>6976068142669</v>
      </c>
      <c r="E3788" s="68" t="s">
        <v>14088</v>
      </c>
      <c r="F3788" s="66" t="s">
        <v>14089</v>
      </c>
      <c r="G3788" s="71">
        <v>1262</v>
      </c>
      <c r="H3788" s="73"/>
      <c r="I3788" s="75">
        <v>0.2</v>
      </c>
      <c r="J3788" s="77"/>
      <c r="K3788" s="66"/>
      <c r="L3788" s="66"/>
      <c r="M3788" s="79" t="str">
        <f>HYPERLINK("http://www.pristavka.com/catalog/Honkai_Star_Rail/HSR13/")</f>
        <v>http://www.pristavka.com/catalog/Honkai_Star_Rail/HSR13/</v>
      </c>
      <c r="N3788" s="71">
        <v>2199</v>
      </c>
      <c r="O3788" s="66" t="s">
        <v>27</v>
      </c>
      <c r="P3788" s="82" t="s">
        <v>14090</v>
      </c>
      <c r="Q3788" s="84" t="s">
        <v>12818</v>
      </c>
      <c r="R3788" s="84" t="s">
        <v>9605</v>
      </c>
      <c r="S3788" s="84">
        <v>2.5000000000000001E-2</v>
      </c>
      <c r="T3788" s="82" t="s">
        <v>14091</v>
      </c>
      <c r="U3788" s="84"/>
      <c r="V3788" s="54"/>
    </row>
    <row r="3789" spans="1:22" s="11" customFormat="1" ht="45" customHeight="1" x14ac:dyDescent="0.2">
      <c r="A3789" s="66" t="s">
        <v>12818</v>
      </c>
      <c r="B3789" s="66" t="s">
        <v>1155</v>
      </c>
      <c r="C3789" s="66" t="s">
        <v>9605</v>
      </c>
      <c r="D3789" s="66">
        <v>6975628249848</v>
      </c>
      <c r="E3789" s="68" t="s">
        <v>14092</v>
      </c>
      <c r="F3789" s="66" t="s">
        <v>14093</v>
      </c>
      <c r="G3789" s="71">
        <v>1262</v>
      </c>
      <c r="H3789" s="73"/>
      <c r="I3789" s="75">
        <v>0.2</v>
      </c>
      <c r="J3789" s="77"/>
      <c r="K3789" s="66"/>
      <c r="L3789" s="66"/>
      <c r="M3789" s="79" t="str">
        <f>HYPERLINK("http://www.pristavka.com/catalog/Honkai_Star_Rail/HSR19/")</f>
        <v>http://www.pristavka.com/catalog/Honkai_Star_Rail/HSR19/</v>
      </c>
      <c r="N3789" s="71">
        <v>2199</v>
      </c>
      <c r="O3789" s="66" t="s">
        <v>27</v>
      </c>
      <c r="P3789" s="82" t="s">
        <v>14094</v>
      </c>
      <c r="Q3789" s="84" t="s">
        <v>12818</v>
      </c>
      <c r="R3789" s="84" t="s">
        <v>9605</v>
      </c>
      <c r="S3789" s="84">
        <v>2.5000000000000001E-2</v>
      </c>
      <c r="T3789" s="82" t="s">
        <v>10998</v>
      </c>
      <c r="U3789" s="84"/>
      <c r="V3789" s="54"/>
    </row>
    <row r="3790" spans="1:22" s="11" customFormat="1" ht="45" customHeight="1" x14ac:dyDescent="0.2">
      <c r="A3790" s="66" t="s">
        <v>12818</v>
      </c>
      <c r="B3790" s="66" t="s">
        <v>1155</v>
      </c>
      <c r="C3790" s="66" t="s">
        <v>9605</v>
      </c>
      <c r="D3790" s="66">
        <v>6976068142638</v>
      </c>
      <c r="E3790" s="68" t="s">
        <v>14095</v>
      </c>
      <c r="F3790" s="66" t="s">
        <v>14096</v>
      </c>
      <c r="G3790" s="71">
        <v>1262</v>
      </c>
      <c r="H3790" s="73"/>
      <c r="I3790" s="75">
        <v>0.2</v>
      </c>
      <c r="J3790" s="77"/>
      <c r="K3790" s="66"/>
      <c r="L3790" s="66"/>
      <c r="M3790" s="79" t="str">
        <f>HYPERLINK("http://www.pristavka.com/catalog/Honkai_Star_Rail/HSR20/")</f>
        <v>http://www.pristavka.com/catalog/Honkai_Star_Rail/HSR20/</v>
      </c>
      <c r="N3790" s="71">
        <v>2199</v>
      </c>
      <c r="O3790" s="66" t="s">
        <v>27</v>
      </c>
      <c r="P3790" s="82" t="s">
        <v>14097</v>
      </c>
      <c r="Q3790" s="84" t="s">
        <v>12818</v>
      </c>
      <c r="R3790" s="84" t="s">
        <v>9605</v>
      </c>
      <c r="S3790" s="84">
        <v>2.5000000000000001E-2</v>
      </c>
      <c r="T3790" s="82" t="s">
        <v>10998</v>
      </c>
      <c r="U3790" s="84"/>
      <c r="V3790" s="54"/>
    </row>
    <row r="3791" spans="1:22" s="11" customFormat="1" ht="45" customHeight="1" x14ac:dyDescent="0.2">
      <c r="A3791" s="66" t="s">
        <v>12818</v>
      </c>
      <c r="B3791" s="66" t="s">
        <v>1155</v>
      </c>
      <c r="C3791" s="66" t="s">
        <v>9605</v>
      </c>
      <c r="D3791" s="66">
        <v>6976068142898</v>
      </c>
      <c r="E3791" s="68" t="s">
        <v>14098</v>
      </c>
      <c r="F3791" s="66" t="s">
        <v>14099</v>
      </c>
      <c r="G3791" s="71">
        <v>1262</v>
      </c>
      <c r="H3791" s="73"/>
      <c r="I3791" s="75">
        <v>0.2</v>
      </c>
      <c r="J3791" s="77"/>
      <c r="K3791" s="66"/>
      <c r="L3791" s="66"/>
      <c r="M3791" s="79" t="str">
        <f>HYPERLINK("http://www.pristavka.com/catalog/Honkai_Star_Rail/HSR21/")</f>
        <v>http://www.pristavka.com/catalog/Honkai_Star_Rail/HSR21/</v>
      </c>
      <c r="N3791" s="71">
        <v>2199</v>
      </c>
      <c r="O3791" s="66" t="s">
        <v>27</v>
      </c>
      <c r="P3791" s="82" t="s">
        <v>14100</v>
      </c>
      <c r="Q3791" s="84" t="s">
        <v>12818</v>
      </c>
      <c r="R3791" s="84" t="s">
        <v>9605</v>
      </c>
      <c r="S3791" s="84">
        <v>2.5000000000000001E-2</v>
      </c>
      <c r="T3791" s="82" t="s">
        <v>10998</v>
      </c>
      <c r="U3791" s="84"/>
      <c r="V3791" s="54"/>
    </row>
    <row r="3792" spans="1:22" s="11" customFormat="1" ht="45" customHeight="1" x14ac:dyDescent="0.2">
      <c r="A3792" s="66" t="s">
        <v>12818</v>
      </c>
      <c r="B3792" s="66" t="s">
        <v>1155</v>
      </c>
      <c r="C3792" s="66" t="s">
        <v>9605</v>
      </c>
      <c r="D3792" s="66">
        <v>6976068142881</v>
      </c>
      <c r="E3792" s="68" t="s">
        <v>14101</v>
      </c>
      <c r="F3792" s="66" t="s">
        <v>14102</v>
      </c>
      <c r="G3792" s="71">
        <v>1262</v>
      </c>
      <c r="H3792" s="73"/>
      <c r="I3792" s="75">
        <v>0.2</v>
      </c>
      <c r="J3792" s="77"/>
      <c r="K3792" s="66"/>
      <c r="L3792" s="66"/>
      <c r="M3792" s="79" t="str">
        <f>HYPERLINK("http://www.pristavka.com/catalog/Honkai_Star_Rail/HSR22/")</f>
        <v>http://www.pristavka.com/catalog/Honkai_Star_Rail/HSR22/</v>
      </c>
      <c r="N3792" s="71">
        <v>2199</v>
      </c>
      <c r="O3792" s="66" t="s">
        <v>27</v>
      </c>
      <c r="P3792" s="82" t="s">
        <v>14103</v>
      </c>
      <c r="Q3792" s="84" t="s">
        <v>12818</v>
      </c>
      <c r="R3792" s="84" t="s">
        <v>9605</v>
      </c>
      <c r="S3792" s="84">
        <v>2.5000000000000001E-2</v>
      </c>
      <c r="T3792" s="82" t="s">
        <v>14091</v>
      </c>
      <c r="U3792" s="84"/>
      <c r="V3792" s="54"/>
    </row>
    <row r="3793" spans="1:22" s="11" customFormat="1" ht="45" customHeight="1" x14ac:dyDescent="0.2">
      <c r="A3793" s="66" t="s">
        <v>12818</v>
      </c>
      <c r="B3793" s="66" t="s">
        <v>1155</v>
      </c>
      <c r="C3793" s="66" t="s">
        <v>9605</v>
      </c>
      <c r="D3793" s="66">
        <v>6942421116660</v>
      </c>
      <c r="E3793" s="68" t="s">
        <v>14104</v>
      </c>
      <c r="F3793" s="66" t="s">
        <v>14105</v>
      </c>
      <c r="G3793" s="71">
        <v>1674</v>
      </c>
      <c r="H3793" s="73"/>
      <c r="I3793" s="75">
        <v>0.2</v>
      </c>
      <c r="J3793" s="77"/>
      <c r="K3793" s="66"/>
      <c r="L3793" s="66"/>
      <c r="M3793" s="79" t="str">
        <f>HYPERLINK("http://www.pristavka.com/catalog/Honkai_Star_Rail/HSR110/")</f>
        <v>http://www.pristavka.com/catalog/Honkai_Star_Rail/HSR110/</v>
      </c>
      <c r="N3793" s="71">
        <v>2799</v>
      </c>
      <c r="O3793" s="66" t="s">
        <v>27</v>
      </c>
      <c r="P3793" s="82" t="s">
        <v>14106</v>
      </c>
      <c r="Q3793" s="84" t="s">
        <v>12818</v>
      </c>
      <c r="R3793" s="84" t="s">
        <v>9605</v>
      </c>
      <c r="S3793" s="84">
        <v>2.5999999999999999E-2</v>
      </c>
      <c r="T3793" s="82" t="s">
        <v>14107</v>
      </c>
      <c r="U3793" s="84"/>
      <c r="V3793" s="54"/>
    </row>
    <row r="3794" spans="1:22" s="11" customFormat="1" ht="45" customHeight="1" x14ac:dyDescent="0.2">
      <c r="A3794" s="66" t="s">
        <v>12818</v>
      </c>
      <c r="B3794" s="66" t="s">
        <v>1155</v>
      </c>
      <c r="C3794" s="66" t="s">
        <v>9605</v>
      </c>
      <c r="D3794" s="66">
        <v>6976525003489</v>
      </c>
      <c r="E3794" s="68" t="s">
        <v>14108</v>
      </c>
      <c r="F3794" s="66" t="s">
        <v>14109</v>
      </c>
      <c r="G3794" s="71">
        <v>1674</v>
      </c>
      <c r="H3794" s="73"/>
      <c r="I3794" s="75">
        <v>0.2</v>
      </c>
      <c r="J3794" s="77"/>
      <c r="K3794" s="66"/>
      <c r="L3794" s="66"/>
      <c r="M3794" s="79" t="str">
        <f>HYPERLINK("http://www.pristavka.com/catalog/Honkai_Star_Rail/HSR107/")</f>
        <v>http://www.pristavka.com/catalog/Honkai_Star_Rail/HSR107/</v>
      </c>
      <c r="N3794" s="71">
        <v>2799</v>
      </c>
      <c r="O3794" s="66" t="s">
        <v>27</v>
      </c>
      <c r="P3794" s="82" t="s">
        <v>14110</v>
      </c>
      <c r="Q3794" s="84" t="s">
        <v>12818</v>
      </c>
      <c r="R3794" s="84" t="s">
        <v>9605</v>
      </c>
      <c r="S3794" s="84">
        <v>2.5999999999999999E-2</v>
      </c>
      <c r="T3794" s="82" t="s">
        <v>10998</v>
      </c>
      <c r="U3794" s="84"/>
      <c r="V3794" s="54"/>
    </row>
    <row r="3795" spans="1:22" s="11" customFormat="1" ht="45" customHeight="1" x14ac:dyDescent="0.2">
      <c r="A3795" s="66" t="s">
        <v>12818</v>
      </c>
      <c r="B3795" s="66" t="s">
        <v>1155</v>
      </c>
      <c r="C3795" s="66" t="s">
        <v>9605</v>
      </c>
      <c r="D3795" s="66">
        <v>6976525009559</v>
      </c>
      <c r="E3795" s="68" t="s">
        <v>14111</v>
      </c>
      <c r="F3795" s="66" t="s">
        <v>14112</v>
      </c>
      <c r="G3795" s="71">
        <v>1516</v>
      </c>
      <c r="H3795" s="73"/>
      <c r="I3795" s="75">
        <v>0.2</v>
      </c>
      <c r="J3795" s="77"/>
      <c r="K3795" s="66"/>
      <c r="L3795" s="66"/>
      <c r="M3795" s="79" t="str">
        <f>HYPERLINK("http://www.pristavka.com/catalog/Honkai_Star_Rail/HSR169/")</f>
        <v>http://www.pristavka.com/catalog/Honkai_Star_Rail/HSR169/</v>
      </c>
      <c r="N3795" s="71">
        <v>2599</v>
      </c>
      <c r="O3795" s="66" t="s">
        <v>27</v>
      </c>
      <c r="P3795" s="82" t="s">
        <v>14113</v>
      </c>
      <c r="Q3795" s="84" t="s">
        <v>12818</v>
      </c>
      <c r="R3795" s="84" t="s">
        <v>9605</v>
      </c>
      <c r="S3795" s="84">
        <v>2.1999999999999999E-2</v>
      </c>
      <c r="T3795" s="82" t="s">
        <v>10450</v>
      </c>
      <c r="U3795" s="84"/>
      <c r="V3795" s="54"/>
    </row>
    <row r="3796" spans="1:22" s="11" customFormat="1" ht="45" customHeight="1" x14ac:dyDescent="0.2">
      <c r="A3796" s="66" t="s">
        <v>12818</v>
      </c>
      <c r="B3796" s="66" t="s">
        <v>1155</v>
      </c>
      <c r="C3796" s="66" t="s">
        <v>9605</v>
      </c>
      <c r="D3796" s="66">
        <v>6976068148333</v>
      </c>
      <c r="E3796" s="68" t="s">
        <v>14114</v>
      </c>
      <c r="F3796" s="66" t="s">
        <v>14115</v>
      </c>
      <c r="G3796" s="71">
        <v>1674</v>
      </c>
      <c r="H3796" s="73"/>
      <c r="I3796" s="75">
        <v>0.2</v>
      </c>
      <c r="J3796" s="77"/>
      <c r="K3796" s="66"/>
      <c r="L3796" s="66"/>
      <c r="M3796" s="79" t="str">
        <f>HYPERLINK("http://www.pristavka.com/catalog/Honkai_Star_Rail/HSR104/")</f>
        <v>http://www.pristavka.com/catalog/Honkai_Star_Rail/HSR104/</v>
      </c>
      <c r="N3796" s="71">
        <v>2799</v>
      </c>
      <c r="O3796" s="66" t="s">
        <v>27</v>
      </c>
      <c r="P3796" s="82" t="s">
        <v>14116</v>
      </c>
      <c r="Q3796" s="84" t="s">
        <v>12818</v>
      </c>
      <c r="R3796" s="84" t="s">
        <v>9605</v>
      </c>
      <c r="S3796" s="84">
        <v>2.5999999999999999E-2</v>
      </c>
      <c r="T3796" s="82" t="s">
        <v>14107</v>
      </c>
      <c r="U3796" s="84"/>
      <c r="V3796" s="54"/>
    </row>
    <row r="3797" spans="1:22" s="11" customFormat="1" ht="45" customHeight="1" x14ac:dyDescent="0.2">
      <c r="A3797" s="66" t="s">
        <v>12818</v>
      </c>
      <c r="B3797" s="66" t="s">
        <v>1155</v>
      </c>
      <c r="C3797" s="66" t="s">
        <v>9605</v>
      </c>
      <c r="D3797" s="66">
        <v>6976068147299</v>
      </c>
      <c r="E3797" s="68" t="s">
        <v>14117</v>
      </c>
      <c r="F3797" s="66" t="s">
        <v>14118</v>
      </c>
      <c r="G3797" s="71">
        <v>1516</v>
      </c>
      <c r="H3797" s="73"/>
      <c r="I3797" s="75">
        <v>0.2</v>
      </c>
      <c r="J3797" s="77"/>
      <c r="K3797" s="66"/>
      <c r="L3797" s="66"/>
      <c r="M3797" s="79" t="str">
        <f>HYPERLINK("http://www.pristavka.com/catalog/Honkai_Star_Rail/HSR167/")</f>
        <v>http://www.pristavka.com/catalog/Honkai_Star_Rail/HSR167/</v>
      </c>
      <c r="N3797" s="71">
        <v>2599</v>
      </c>
      <c r="O3797" s="66" t="s">
        <v>27</v>
      </c>
      <c r="P3797" s="82" t="s">
        <v>14119</v>
      </c>
      <c r="Q3797" s="84" t="s">
        <v>12818</v>
      </c>
      <c r="R3797" s="84" t="s">
        <v>9605</v>
      </c>
      <c r="S3797" s="84">
        <v>2.1999999999999999E-2</v>
      </c>
      <c r="T3797" s="82" t="s">
        <v>10450</v>
      </c>
      <c r="U3797" s="84"/>
      <c r="V3797" s="54"/>
    </row>
    <row r="3798" spans="1:22" s="11" customFormat="1" ht="45" customHeight="1" x14ac:dyDescent="0.2">
      <c r="A3798" s="66" t="s">
        <v>12818</v>
      </c>
      <c r="B3798" s="66" t="s">
        <v>1155</v>
      </c>
      <c r="C3798" s="66" t="s">
        <v>9605</v>
      </c>
      <c r="D3798" s="66">
        <v>6942421122630</v>
      </c>
      <c r="E3798" s="68" t="s">
        <v>14120</v>
      </c>
      <c r="F3798" s="66" t="s">
        <v>14121</v>
      </c>
      <c r="G3798" s="71">
        <v>1674</v>
      </c>
      <c r="H3798" s="73"/>
      <c r="I3798" s="75">
        <v>0.2</v>
      </c>
      <c r="J3798" s="77"/>
      <c r="K3798" s="66"/>
      <c r="L3798" s="66"/>
      <c r="M3798" s="79" t="str">
        <f>HYPERLINK("http://www.pristavka.com/catalog/Honkai_Star_Rail/HSR109/")</f>
        <v>http://www.pristavka.com/catalog/Honkai_Star_Rail/HSR109/</v>
      </c>
      <c r="N3798" s="71">
        <v>2799</v>
      </c>
      <c r="O3798" s="66" t="s">
        <v>27</v>
      </c>
      <c r="P3798" s="82" t="s">
        <v>14122</v>
      </c>
      <c r="Q3798" s="84" t="s">
        <v>12818</v>
      </c>
      <c r="R3798" s="84" t="s">
        <v>9605</v>
      </c>
      <c r="S3798" s="84">
        <v>0.03</v>
      </c>
      <c r="T3798" s="82" t="s">
        <v>14091</v>
      </c>
      <c r="U3798" s="84"/>
      <c r="V3798" s="54"/>
    </row>
    <row r="3799" spans="1:22" s="11" customFormat="1" ht="45" customHeight="1" x14ac:dyDescent="0.2">
      <c r="A3799" s="66" t="s">
        <v>12818</v>
      </c>
      <c r="B3799" s="66" t="s">
        <v>1155</v>
      </c>
      <c r="C3799" s="66" t="s">
        <v>9605</v>
      </c>
      <c r="D3799" s="66">
        <v>6975628249817</v>
      </c>
      <c r="E3799" s="68" t="s">
        <v>14123</v>
      </c>
      <c r="F3799" s="66" t="s">
        <v>14124</v>
      </c>
      <c r="G3799" s="71">
        <v>1674</v>
      </c>
      <c r="H3799" s="73"/>
      <c r="I3799" s="75">
        <v>0.2</v>
      </c>
      <c r="J3799" s="77"/>
      <c r="K3799" s="66"/>
      <c r="L3799" s="66"/>
      <c r="M3799" s="79" t="str">
        <f>HYPERLINK("http://www.pristavka.com/catalog/Honkai_Star_Rail/HSR105/")</f>
        <v>http://www.pristavka.com/catalog/Honkai_Star_Rail/HSR105/</v>
      </c>
      <c r="N3799" s="71">
        <v>2799</v>
      </c>
      <c r="O3799" s="66" t="s">
        <v>27</v>
      </c>
      <c r="P3799" s="82" t="s">
        <v>14125</v>
      </c>
      <c r="Q3799" s="84" t="s">
        <v>12818</v>
      </c>
      <c r="R3799" s="84" t="s">
        <v>9605</v>
      </c>
      <c r="S3799" s="84">
        <v>2.7E-2</v>
      </c>
      <c r="T3799" s="82" t="s">
        <v>1564</v>
      </c>
      <c r="U3799" s="84"/>
      <c r="V3799" s="54"/>
    </row>
    <row r="3800" spans="1:22" s="11" customFormat="1" ht="45" customHeight="1" x14ac:dyDescent="0.2">
      <c r="A3800" s="66" t="s">
        <v>12818</v>
      </c>
      <c r="B3800" s="66" t="s">
        <v>1155</v>
      </c>
      <c r="C3800" s="66" t="s">
        <v>9605</v>
      </c>
      <c r="D3800" s="66">
        <v>6976068148760</v>
      </c>
      <c r="E3800" s="68" t="s">
        <v>14126</v>
      </c>
      <c r="F3800" s="66" t="s">
        <v>14127</v>
      </c>
      <c r="G3800" s="71">
        <v>1516</v>
      </c>
      <c r="H3800" s="73"/>
      <c r="I3800" s="75">
        <v>0.2</v>
      </c>
      <c r="J3800" s="77"/>
      <c r="K3800" s="66"/>
      <c r="L3800" s="66"/>
      <c r="M3800" s="79" t="str">
        <f>HYPERLINK("http://www.pristavka.com/catalog/Honkai_Star_Rail/HSR173/")</f>
        <v>http://www.pristavka.com/catalog/Honkai_Star_Rail/HSR173/</v>
      </c>
      <c r="N3800" s="71">
        <v>2599</v>
      </c>
      <c r="O3800" s="66" t="s">
        <v>27</v>
      </c>
      <c r="P3800" s="82" t="s">
        <v>14128</v>
      </c>
      <c r="Q3800" s="84" t="s">
        <v>12818</v>
      </c>
      <c r="R3800" s="84" t="s">
        <v>9605</v>
      </c>
      <c r="S3800" s="84">
        <v>1.7999999999999999E-2</v>
      </c>
      <c r="T3800" s="82" t="s">
        <v>11296</v>
      </c>
      <c r="U3800" s="84"/>
      <c r="V3800" s="54"/>
    </row>
    <row r="3801" spans="1:22" s="11" customFormat="1" ht="45" customHeight="1" x14ac:dyDescent="0.2">
      <c r="A3801" s="66" t="s">
        <v>12818</v>
      </c>
      <c r="B3801" s="66" t="s">
        <v>1155</v>
      </c>
      <c r="C3801" s="66" t="s">
        <v>9605</v>
      </c>
      <c r="D3801" s="66">
        <v>6976525001171</v>
      </c>
      <c r="E3801" s="68" t="s">
        <v>14129</v>
      </c>
      <c r="F3801" s="66" t="s">
        <v>14130</v>
      </c>
      <c r="G3801" s="71">
        <v>1516</v>
      </c>
      <c r="H3801" s="73"/>
      <c r="I3801" s="75">
        <v>0.2</v>
      </c>
      <c r="J3801" s="77"/>
      <c r="K3801" s="66"/>
      <c r="L3801" s="66"/>
      <c r="M3801" s="79" t="str">
        <f>HYPERLINK("http://www.pristavka.com/catalog/Honkai_Star_Rail/HSR166/")</f>
        <v>http://www.pristavka.com/catalog/Honkai_Star_Rail/HSR166/</v>
      </c>
      <c r="N3801" s="71">
        <v>2599</v>
      </c>
      <c r="O3801" s="66" t="s">
        <v>27</v>
      </c>
      <c r="P3801" s="82" t="s">
        <v>14131</v>
      </c>
      <c r="Q3801" s="84" t="s">
        <v>12818</v>
      </c>
      <c r="R3801" s="84" t="s">
        <v>9605</v>
      </c>
      <c r="S3801" s="84">
        <v>2.1999999999999999E-2</v>
      </c>
      <c r="T3801" s="82" t="s">
        <v>14132</v>
      </c>
      <c r="U3801" s="84"/>
      <c r="V3801" s="54"/>
    </row>
    <row r="3802" spans="1:22" s="11" customFormat="1" ht="45" customHeight="1" x14ac:dyDescent="0.2">
      <c r="A3802" s="66" t="s">
        <v>12818</v>
      </c>
      <c r="B3802" s="66" t="s">
        <v>1155</v>
      </c>
      <c r="C3802" s="66" t="s">
        <v>9605</v>
      </c>
      <c r="D3802" s="66">
        <v>6976525005667</v>
      </c>
      <c r="E3802" s="68" t="s">
        <v>14133</v>
      </c>
      <c r="F3802" s="66" t="s">
        <v>14134</v>
      </c>
      <c r="G3802" s="71">
        <v>1516</v>
      </c>
      <c r="H3802" s="73"/>
      <c r="I3802" s="75">
        <v>0.2</v>
      </c>
      <c r="J3802" s="77"/>
      <c r="K3802" s="66"/>
      <c r="L3802" s="66"/>
      <c r="M3802" s="79" t="str">
        <f>HYPERLINK("http://www.pristavka.com/catalog/Honkai_Star_Rail/HSR142/")</f>
        <v>http://www.pristavka.com/catalog/Honkai_Star_Rail/HSR142/</v>
      </c>
      <c r="N3802" s="71">
        <v>2599</v>
      </c>
      <c r="O3802" s="66" t="s">
        <v>27</v>
      </c>
      <c r="P3802" s="82" t="s">
        <v>14135</v>
      </c>
      <c r="Q3802" s="84" t="s">
        <v>12818</v>
      </c>
      <c r="R3802" s="84" t="s">
        <v>9605</v>
      </c>
      <c r="S3802" s="84">
        <v>1.6E-2</v>
      </c>
      <c r="T3802" s="82" t="s">
        <v>10450</v>
      </c>
      <c r="U3802" s="84"/>
      <c r="V3802" s="54"/>
    </row>
    <row r="3803" spans="1:22" s="11" customFormat="1" ht="45" customHeight="1" x14ac:dyDescent="0.2">
      <c r="A3803" s="66" t="s">
        <v>12818</v>
      </c>
      <c r="B3803" s="66" t="s">
        <v>1155</v>
      </c>
      <c r="C3803" s="66" t="s">
        <v>9605</v>
      </c>
      <c r="D3803" s="66">
        <v>6976068148739</v>
      </c>
      <c r="E3803" s="68" t="s">
        <v>14136</v>
      </c>
      <c r="F3803" s="66" t="s">
        <v>14137</v>
      </c>
      <c r="G3803" s="71">
        <v>1516</v>
      </c>
      <c r="H3803" s="73"/>
      <c r="I3803" s="75">
        <v>0.2</v>
      </c>
      <c r="J3803" s="77"/>
      <c r="K3803" s="66"/>
      <c r="L3803" s="66"/>
      <c r="M3803" s="79" t="str">
        <f>HYPERLINK("http://www.pristavka.com/catalog/Honkai_Star_Rail/HSR175/")</f>
        <v>http://www.pristavka.com/catalog/Honkai_Star_Rail/HSR175/</v>
      </c>
      <c r="N3803" s="71">
        <v>2599</v>
      </c>
      <c r="O3803" s="66" t="s">
        <v>27</v>
      </c>
      <c r="P3803" s="82" t="s">
        <v>14138</v>
      </c>
      <c r="Q3803" s="84" t="s">
        <v>12818</v>
      </c>
      <c r="R3803" s="84" t="s">
        <v>9605</v>
      </c>
      <c r="S3803" s="84">
        <v>1.7999999999999999E-2</v>
      </c>
      <c r="T3803" s="82" t="s">
        <v>11002</v>
      </c>
      <c r="U3803" s="84"/>
      <c r="V3803" s="54"/>
    </row>
    <row r="3804" spans="1:22" s="11" customFormat="1" ht="45" customHeight="1" x14ac:dyDescent="0.2">
      <c r="A3804" s="66" t="s">
        <v>12818</v>
      </c>
      <c r="B3804" s="66" t="s">
        <v>1155</v>
      </c>
      <c r="C3804" s="66" t="s">
        <v>9605</v>
      </c>
      <c r="D3804" s="66">
        <v>6976525003458</v>
      </c>
      <c r="E3804" s="68" t="s">
        <v>14139</v>
      </c>
      <c r="F3804" s="66" t="s">
        <v>14140</v>
      </c>
      <c r="G3804" s="71">
        <v>1674</v>
      </c>
      <c r="H3804" s="73"/>
      <c r="I3804" s="75">
        <v>0.2</v>
      </c>
      <c r="J3804" s="77"/>
      <c r="K3804" s="66"/>
      <c r="L3804" s="66"/>
      <c r="M3804" s="79" t="str">
        <f>HYPERLINK("http://www.pristavka.com/catalog/Honkai_Star_Rail/HSR102/")</f>
        <v>http://www.pristavka.com/catalog/Honkai_Star_Rail/HSR102/</v>
      </c>
      <c r="N3804" s="71">
        <v>2799</v>
      </c>
      <c r="O3804" s="66" t="s">
        <v>27</v>
      </c>
      <c r="P3804" s="82" t="s">
        <v>14141</v>
      </c>
      <c r="Q3804" s="84" t="s">
        <v>12818</v>
      </c>
      <c r="R3804" s="84" t="s">
        <v>9605</v>
      </c>
      <c r="S3804" s="84">
        <v>2.5000000000000001E-2</v>
      </c>
      <c r="T3804" s="82" t="s">
        <v>14091</v>
      </c>
      <c r="U3804" s="84"/>
      <c r="V3804" s="54"/>
    </row>
    <row r="3805" spans="1:22" s="11" customFormat="1" ht="45" customHeight="1" x14ac:dyDescent="0.2">
      <c r="A3805" s="66" t="s">
        <v>12818</v>
      </c>
      <c r="B3805" s="66" t="s">
        <v>1155</v>
      </c>
      <c r="C3805" s="66" t="s">
        <v>9605</v>
      </c>
      <c r="D3805" s="66">
        <v>6976068148326</v>
      </c>
      <c r="E3805" s="68" t="s">
        <v>14142</v>
      </c>
      <c r="F3805" s="66" t="s">
        <v>14143</v>
      </c>
      <c r="G3805" s="71">
        <v>1674</v>
      </c>
      <c r="H3805" s="73"/>
      <c r="I3805" s="75">
        <v>0.2</v>
      </c>
      <c r="J3805" s="77"/>
      <c r="K3805" s="66"/>
      <c r="L3805" s="66"/>
      <c r="M3805" s="79" t="str">
        <f>HYPERLINK("http://www.pristavka.com/catalog/Honkai_Star_Rail/HSR106/")</f>
        <v>http://www.pristavka.com/catalog/Honkai_Star_Rail/HSR106/</v>
      </c>
      <c r="N3805" s="71">
        <v>2799</v>
      </c>
      <c r="O3805" s="66" t="s">
        <v>27</v>
      </c>
      <c r="P3805" s="82" t="s">
        <v>14144</v>
      </c>
      <c r="Q3805" s="84" t="s">
        <v>12818</v>
      </c>
      <c r="R3805" s="84" t="s">
        <v>9605</v>
      </c>
      <c r="S3805" s="84">
        <v>2.5999999999999999E-2</v>
      </c>
      <c r="T3805" s="82" t="s">
        <v>14091</v>
      </c>
      <c r="U3805" s="84"/>
      <c r="V3805" s="54"/>
    </row>
    <row r="3806" spans="1:22" s="11" customFormat="1" ht="45" customHeight="1" x14ac:dyDescent="0.2">
      <c r="A3806" s="66" t="s">
        <v>12818</v>
      </c>
      <c r="B3806" s="66" t="s">
        <v>1155</v>
      </c>
      <c r="C3806" s="66" t="s">
        <v>9605</v>
      </c>
      <c r="D3806" s="66">
        <v>6976068148715</v>
      </c>
      <c r="E3806" s="68" t="s">
        <v>14145</v>
      </c>
      <c r="F3806" s="66" t="s">
        <v>14146</v>
      </c>
      <c r="G3806" s="71">
        <v>1516</v>
      </c>
      <c r="H3806" s="73"/>
      <c r="I3806" s="75">
        <v>0.2</v>
      </c>
      <c r="J3806" s="77"/>
      <c r="K3806" s="66"/>
      <c r="L3806" s="66"/>
      <c r="M3806" s="79" t="str">
        <f>HYPERLINK("http://www.pristavka.com/catalog/Honkai_Star_Rail/HSR174/")</f>
        <v>http://www.pristavka.com/catalog/Honkai_Star_Rail/HSR174/</v>
      </c>
      <c r="N3806" s="71">
        <v>2599</v>
      </c>
      <c r="O3806" s="66" t="s">
        <v>27</v>
      </c>
      <c r="P3806" s="82" t="s">
        <v>14147</v>
      </c>
      <c r="Q3806" s="84" t="s">
        <v>12818</v>
      </c>
      <c r="R3806" s="84" t="s">
        <v>9605</v>
      </c>
      <c r="S3806" s="84">
        <v>1.9E-2</v>
      </c>
      <c r="T3806" s="82" t="s">
        <v>11224</v>
      </c>
      <c r="U3806" s="84"/>
      <c r="V3806" s="54"/>
    </row>
    <row r="3807" spans="1:22" s="11" customFormat="1" ht="45" customHeight="1" x14ac:dyDescent="0.2">
      <c r="A3807" s="66" t="s">
        <v>12818</v>
      </c>
      <c r="B3807" s="66" t="s">
        <v>1155</v>
      </c>
      <c r="C3807" s="66" t="s">
        <v>9605</v>
      </c>
      <c r="D3807" s="66">
        <v>6976525009672</v>
      </c>
      <c r="E3807" s="68" t="s">
        <v>14148</v>
      </c>
      <c r="F3807" s="66" t="s">
        <v>14149</v>
      </c>
      <c r="G3807" s="71">
        <v>1674</v>
      </c>
      <c r="H3807" s="73"/>
      <c r="I3807" s="75">
        <v>0.2</v>
      </c>
      <c r="J3807" s="77"/>
      <c r="K3807" s="66"/>
      <c r="L3807" s="66"/>
      <c r="M3807" s="79" t="str">
        <f>HYPERLINK("http://www.pristavka.com/catalog/Honkai_Star_Rail/HSR108/")</f>
        <v>http://www.pristavka.com/catalog/Honkai_Star_Rail/HSR108/</v>
      </c>
      <c r="N3807" s="71">
        <v>2799</v>
      </c>
      <c r="O3807" s="66" t="s">
        <v>27</v>
      </c>
      <c r="P3807" s="82" t="s">
        <v>14150</v>
      </c>
      <c r="Q3807" s="84" t="s">
        <v>12818</v>
      </c>
      <c r="R3807" s="84" t="s">
        <v>9605</v>
      </c>
      <c r="S3807" s="84">
        <v>2.5999999999999999E-2</v>
      </c>
      <c r="T3807" s="82" t="s">
        <v>14091</v>
      </c>
      <c r="U3807" s="84"/>
      <c r="V3807" s="54"/>
    </row>
    <row r="3808" spans="1:22" s="11" customFormat="1" ht="45" customHeight="1" x14ac:dyDescent="0.2">
      <c r="A3808" s="66" t="s">
        <v>12818</v>
      </c>
      <c r="B3808" s="66" t="s">
        <v>1155</v>
      </c>
      <c r="C3808" s="66" t="s">
        <v>9605</v>
      </c>
      <c r="D3808" s="66">
        <v>6976525005582</v>
      </c>
      <c r="E3808" s="68" t="s">
        <v>14151</v>
      </c>
      <c r="F3808" s="66" t="s">
        <v>14152</v>
      </c>
      <c r="G3808" s="71">
        <v>1516</v>
      </c>
      <c r="H3808" s="73"/>
      <c r="I3808" s="75">
        <v>0.2</v>
      </c>
      <c r="J3808" s="77"/>
      <c r="K3808" s="66"/>
      <c r="L3808" s="66"/>
      <c r="M3808" s="79" t="str">
        <f>HYPERLINK("http://www.pristavka.com/catalog/Honkai_Star_Rail/HSR141/")</f>
        <v>http://www.pristavka.com/catalog/Honkai_Star_Rail/HSR141/</v>
      </c>
      <c r="N3808" s="71">
        <v>2599</v>
      </c>
      <c r="O3808" s="66" t="s">
        <v>27</v>
      </c>
      <c r="P3808" s="82" t="s">
        <v>14153</v>
      </c>
      <c r="Q3808" s="84" t="s">
        <v>12818</v>
      </c>
      <c r="R3808" s="84" t="s">
        <v>9605</v>
      </c>
      <c r="S3808" s="84">
        <v>0.02</v>
      </c>
      <c r="T3808" s="82" t="s">
        <v>14154</v>
      </c>
      <c r="U3808" s="84"/>
      <c r="V3808" s="54"/>
    </row>
    <row r="3809" spans="1:22" s="11" customFormat="1" ht="45" customHeight="1" x14ac:dyDescent="0.2">
      <c r="A3809" s="66" t="s">
        <v>12818</v>
      </c>
      <c r="B3809" s="66" t="s">
        <v>1155</v>
      </c>
      <c r="C3809" s="66" t="s">
        <v>9605</v>
      </c>
      <c r="D3809" s="66">
        <v>6942421109839</v>
      </c>
      <c r="E3809" s="68" t="s">
        <v>14155</v>
      </c>
      <c r="F3809" s="66" t="s">
        <v>14156</v>
      </c>
      <c r="G3809" s="71">
        <v>1516</v>
      </c>
      <c r="H3809" s="73"/>
      <c r="I3809" s="75">
        <v>0.2</v>
      </c>
      <c r="J3809" s="77"/>
      <c r="K3809" s="66"/>
      <c r="L3809" s="66"/>
      <c r="M3809" s="79" t="str">
        <f>HYPERLINK("http://www.pristavka.com/catalog/Honkai_Star_Rail/HSR170/")</f>
        <v>http://www.pristavka.com/catalog/Honkai_Star_Rail/HSR170/</v>
      </c>
      <c r="N3809" s="71">
        <v>2599</v>
      </c>
      <c r="O3809" s="66" t="s">
        <v>27</v>
      </c>
      <c r="P3809" s="82" t="s">
        <v>14157</v>
      </c>
      <c r="Q3809" s="84" t="s">
        <v>12818</v>
      </c>
      <c r="R3809" s="84" t="s">
        <v>9605</v>
      </c>
      <c r="S3809" s="84">
        <v>0.02</v>
      </c>
      <c r="T3809" s="82" t="s">
        <v>14132</v>
      </c>
      <c r="U3809" s="84"/>
      <c r="V3809" s="54"/>
    </row>
    <row r="3810" spans="1:22" s="11" customFormat="1" ht="45" customHeight="1" x14ac:dyDescent="0.2">
      <c r="A3810" s="66" t="s">
        <v>12818</v>
      </c>
      <c r="B3810" s="66" t="s">
        <v>1155</v>
      </c>
      <c r="C3810" s="66" t="s">
        <v>9605</v>
      </c>
      <c r="D3810" s="66">
        <v>6976525003441</v>
      </c>
      <c r="E3810" s="68" t="s">
        <v>14158</v>
      </c>
      <c r="F3810" s="66" t="s">
        <v>14159</v>
      </c>
      <c r="G3810" s="71">
        <v>1674</v>
      </c>
      <c r="H3810" s="73"/>
      <c r="I3810" s="75">
        <v>0.2</v>
      </c>
      <c r="J3810" s="77"/>
      <c r="K3810" s="66"/>
      <c r="L3810" s="66"/>
      <c r="M3810" s="79" t="str">
        <f>HYPERLINK("http://www.pristavka.com/catalog/Honkai_Star_Rail/HSR103/")</f>
        <v>http://www.pristavka.com/catalog/Honkai_Star_Rail/HSR103/</v>
      </c>
      <c r="N3810" s="71">
        <v>2799</v>
      </c>
      <c r="O3810" s="66" t="s">
        <v>27</v>
      </c>
      <c r="P3810" s="82" t="s">
        <v>14160</v>
      </c>
      <c r="Q3810" s="84" t="s">
        <v>12818</v>
      </c>
      <c r="R3810" s="84" t="s">
        <v>9605</v>
      </c>
      <c r="S3810" s="84">
        <v>2.5999999999999999E-2</v>
      </c>
      <c r="T3810" s="82" t="s">
        <v>14091</v>
      </c>
      <c r="U3810" s="84"/>
      <c r="V3810" s="54"/>
    </row>
    <row r="3811" spans="1:22" s="11" customFormat="1" ht="45" customHeight="1" x14ac:dyDescent="0.2">
      <c r="A3811" s="66" t="s">
        <v>12818</v>
      </c>
      <c r="B3811" s="66" t="s">
        <v>1155</v>
      </c>
      <c r="C3811" s="66" t="s">
        <v>9605</v>
      </c>
      <c r="D3811" s="66">
        <v>6976525001188</v>
      </c>
      <c r="E3811" s="68" t="s">
        <v>14161</v>
      </c>
      <c r="F3811" s="66" t="s">
        <v>14162</v>
      </c>
      <c r="G3811" s="71">
        <v>1516</v>
      </c>
      <c r="H3811" s="73"/>
      <c r="I3811" s="75">
        <v>0.2</v>
      </c>
      <c r="J3811" s="77"/>
      <c r="K3811" s="66"/>
      <c r="L3811" s="66"/>
      <c r="M3811" s="79" t="str">
        <f>HYPERLINK("http://www.pristavka.com/catalog/Honkai_Star_Rail/HSR168/")</f>
        <v>http://www.pristavka.com/catalog/Honkai_Star_Rail/HSR168/</v>
      </c>
      <c r="N3811" s="71">
        <v>2599</v>
      </c>
      <c r="O3811" s="66" t="s">
        <v>27</v>
      </c>
      <c r="P3811" s="82" t="s">
        <v>14163</v>
      </c>
      <c r="Q3811" s="84" t="s">
        <v>12818</v>
      </c>
      <c r="R3811" s="84" t="s">
        <v>9605</v>
      </c>
      <c r="S3811" s="84">
        <v>2.1999999999999999E-2</v>
      </c>
      <c r="T3811" s="82" t="s">
        <v>14132</v>
      </c>
      <c r="U3811" s="84"/>
      <c r="V3811" s="54"/>
    </row>
    <row r="3812" spans="1:22" s="11" customFormat="1" ht="45" customHeight="1" x14ac:dyDescent="0.2">
      <c r="A3812" s="66" t="s">
        <v>12818</v>
      </c>
      <c r="B3812" s="66" t="s">
        <v>1155</v>
      </c>
      <c r="C3812" s="66" t="s">
        <v>9605</v>
      </c>
      <c r="D3812" s="66">
        <v>6976525003625</v>
      </c>
      <c r="E3812" s="68" t="s">
        <v>14164</v>
      </c>
      <c r="F3812" s="66" t="s">
        <v>14165</v>
      </c>
      <c r="G3812" s="71">
        <v>1674</v>
      </c>
      <c r="H3812" s="73"/>
      <c r="I3812" s="75">
        <v>0.2</v>
      </c>
      <c r="J3812" s="77"/>
      <c r="K3812" s="66"/>
      <c r="L3812" s="66"/>
      <c r="M3812" s="79" t="str">
        <f>HYPERLINK("http://www.pristavka.com/catalog/Honkai_Star_Rail/HSR112/")</f>
        <v>http://www.pristavka.com/catalog/Honkai_Star_Rail/HSR112/</v>
      </c>
      <c r="N3812" s="71">
        <v>2799</v>
      </c>
      <c r="O3812" s="66" t="s">
        <v>27</v>
      </c>
      <c r="P3812" s="82" t="s">
        <v>14166</v>
      </c>
      <c r="Q3812" s="84" t="s">
        <v>12818</v>
      </c>
      <c r="R3812" s="84" t="s">
        <v>9605</v>
      </c>
      <c r="S3812" s="84">
        <v>2.7E-2</v>
      </c>
      <c r="T3812" s="82" t="s">
        <v>14167</v>
      </c>
      <c r="U3812" s="84"/>
      <c r="V3812" s="54"/>
    </row>
    <row r="3813" spans="1:22" s="11" customFormat="1" ht="45" customHeight="1" x14ac:dyDescent="0.2">
      <c r="A3813" s="66" t="s">
        <v>12818</v>
      </c>
      <c r="B3813" s="66" t="s">
        <v>1155</v>
      </c>
      <c r="C3813" s="66" t="s">
        <v>9605</v>
      </c>
      <c r="D3813" s="66">
        <v>6976525003632</v>
      </c>
      <c r="E3813" s="68" t="s">
        <v>14168</v>
      </c>
      <c r="F3813" s="66" t="s">
        <v>14169</v>
      </c>
      <c r="G3813" s="71">
        <v>1674</v>
      </c>
      <c r="H3813" s="73"/>
      <c r="I3813" s="75">
        <v>0.2</v>
      </c>
      <c r="J3813" s="77"/>
      <c r="K3813" s="66"/>
      <c r="L3813" s="66"/>
      <c r="M3813" s="79" t="str">
        <f>HYPERLINK("http://www.pristavka.com/catalog/Honkai_Star_Rail/HSR113/")</f>
        <v>http://www.pristavka.com/catalog/Honkai_Star_Rail/HSR113/</v>
      </c>
      <c r="N3813" s="71">
        <v>2799</v>
      </c>
      <c r="O3813" s="66" t="s">
        <v>27</v>
      </c>
      <c r="P3813" s="82" t="s">
        <v>14170</v>
      </c>
      <c r="Q3813" s="84" t="s">
        <v>12818</v>
      </c>
      <c r="R3813" s="84" t="s">
        <v>9605</v>
      </c>
      <c r="S3813" s="84">
        <v>2.5999999999999999E-2</v>
      </c>
      <c r="T3813" s="82" t="s">
        <v>14107</v>
      </c>
      <c r="U3813" s="84"/>
      <c r="V3813" s="54"/>
    </row>
    <row r="3814" spans="1:22" s="11" customFormat="1" ht="45" customHeight="1" x14ac:dyDescent="0.2">
      <c r="A3814" s="66" t="s">
        <v>12818</v>
      </c>
      <c r="B3814" s="66" t="s">
        <v>1155</v>
      </c>
      <c r="C3814" s="66" t="s">
        <v>9605</v>
      </c>
      <c r="D3814" s="66">
        <v>6942421114482</v>
      </c>
      <c r="E3814" s="68" t="s">
        <v>14171</v>
      </c>
      <c r="F3814" s="66" t="s">
        <v>14172</v>
      </c>
      <c r="G3814" s="71">
        <v>1389</v>
      </c>
      <c r="H3814" s="73"/>
      <c r="I3814" s="75">
        <v>0.2</v>
      </c>
      <c r="J3814" s="77"/>
      <c r="K3814" s="66"/>
      <c r="L3814" s="66"/>
      <c r="M3814" s="79" t="str">
        <f>HYPERLINK("http://www.pristavka.com/catalog/Honkai_Star_Rail/HSR176/")</f>
        <v>http://www.pristavka.com/catalog/Honkai_Star_Rail/HSR176/</v>
      </c>
      <c r="N3814" s="71">
        <v>2399</v>
      </c>
      <c r="O3814" s="66" t="s">
        <v>27</v>
      </c>
      <c r="P3814" s="82" t="s">
        <v>14173</v>
      </c>
      <c r="Q3814" s="84" t="s">
        <v>12818</v>
      </c>
      <c r="R3814" s="84" t="s">
        <v>9605</v>
      </c>
      <c r="S3814" s="84">
        <v>1.7000000000000001E-2</v>
      </c>
      <c r="T3814" s="82" t="s">
        <v>14174</v>
      </c>
      <c r="U3814" s="84"/>
      <c r="V3814" s="54"/>
    </row>
    <row r="3815" spans="1:22" s="11" customFormat="1" ht="45" customHeight="1" x14ac:dyDescent="0.2">
      <c r="A3815" s="66" t="s">
        <v>12818</v>
      </c>
      <c r="B3815" s="66" t="s">
        <v>1155</v>
      </c>
      <c r="C3815" s="66" t="s">
        <v>9605</v>
      </c>
      <c r="D3815" s="66">
        <v>6976525009887</v>
      </c>
      <c r="E3815" s="68" t="s">
        <v>14175</v>
      </c>
      <c r="F3815" s="66" t="s">
        <v>14176</v>
      </c>
      <c r="G3815" s="71">
        <v>1516</v>
      </c>
      <c r="H3815" s="73"/>
      <c r="I3815" s="75">
        <v>0.2</v>
      </c>
      <c r="J3815" s="77"/>
      <c r="K3815" s="66"/>
      <c r="L3815" s="66"/>
      <c r="M3815" s="79" t="str">
        <f>HYPERLINK("http://www.pristavka.com/catalog/Honkai_Star_Rail/HSR181/")</f>
        <v>http://www.pristavka.com/catalog/Honkai_Star_Rail/HSR181/</v>
      </c>
      <c r="N3815" s="71">
        <v>2599</v>
      </c>
      <c r="O3815" s="66" t="s">
        <v>27</v>
      </c>
      <c r="P3815" s="82" t="s">
        <v>14177</v>
      </c>
      <c r="Q3815" s="84" t="s">
        <v>12818</v>
      </c>
      <c r="R3815" s="84" t="s">
        <v>9605</v>
      </c>
      <c r="S3815" s="84">
        <v>1.7999999999999999E-2</v>
      </c>
      <c r="T3815" s="82" t="s">
        <v>11002</v>
      </c>
      <c r="U3815" s="84"/>
      <c r="V3815" s="54"/>
    </row>
    <row r="3816" spans="1:22" s="11" customFormat="1" ht="45" customHeight="1" x14ac:dyDescent="0.2">
      <c r="A3816" s="66" t="s">
        <v>12818</v>
      </c>
      <c r="B3816" s="66" t="s">
        <v>1155</v>
      </c>
      <c r="C3816" s="66" t="s">
        <v>9605</v>
      </c>
      <c r="D3816" s="66">
        <v>6942421103066</v>
      </c>
      <c r="E3816" s="68" t="s">
        <v>14178</v>
      </c>
      <c r="F3816" s="66" t="s">
        <v>14179</v>
      </c>
      <c r="G3816" s="71">
        <v>1389</v>
      </c>
      <c r="H3816" s="73"/>
      <c r="I3816" s="75">
        <v>0.2</v>
      </c>
      <c r="J3816" s="77"/>
      <c r="K3816" s="66"/>
      <c r="L3816" s="66"/>
      <c r="M3816" s="79" t="str">
        <f>HYPERLINK("http://www.pristavka.com/catalog/Honkai_Star_Rail/HSR184/")</f>
        <v>http://www.pristavka.com/catalog/Honkai_Star_Rail/HSR184/</v>
      </c>
      <c r="N3816" s="71">
        <v>2399</v>
      </c>
      <c r="O3816" s="66" t="s">
        <v>27</v>
      </c>
      <c r="P3816" s="82" t="s">
        <v>14180</v>
      </c>
      <c r="Q3816" s="84" t="s">
        <v>12818</v>
      </c>
      <c r="R3816" s="84" t="s">
        <v>9605</v>
      </c>
      <c r="S3816" s="84">
        <v>1.7000000000000001E-2</v>
      </c>
      <c r="T3816" s="82" t="s">
        <v>11002</v>
      </c>
      <c r="U3816" s="84"/>
      <c r="V3816" s="54"/>
    </row>
    <row r="3817" spans="1:22" s="11" customFormat="1" ht="45" customHeight="1" x14ac:dyDescent="0.2">
      <c r="A3817" s="66" t="s">
        <v>12818</v>
      </c>
      <c r="B3817" s="66" t="s">
        <v>1155</v>
      </c>
      <c r="C3817" s="66" t="s">
        <v>9605</v>
      </c>
      <c r="D3817" s="66">
        <v>6976525009894</v>
      </c>
      <c r="E3817" s="68" t="s">
        <v>14181</v>
      </c>
      <c r="F3817" s="66" t="s">
        <v>14182</v>
      </c>
      <c r="G3817" s="71">
        <v>1516</v>
      </c>
      <c r="H3817" s="73"/>
      <c r="I3817" s="75">
        <v>0.2</v>
      </c>
      <c r="J3817" s="77"/>
      <c r="K3817" s="66"/>
      <c r="L3817" s="66"/>
      <c r="M3817" s="79" t="str">
        <f>HYPERLINK("http://www.pristavka.com/catalog/Honkai_Star_Rail/HSR179/")</f>
        <v>http://www.pristavka.com/catalog/Honkai_Star_Rail/HSR179/</v>
      </c>
      <c r="N3817" s="71">
        <v>2599</v>
      </c>
      <c r="O3817" s="66" t="s">
        <v>27</v>
      </c>
      <c r="P3817" s="82" t="s">
        <v>14183</v>
      </c>
      <c r="Q3817" s="84" t="s">
        <v>12818</v>
      </c>
      <c r="R3817" s="84" t="s">
        <v>9605</v>
      </c>
      <c r="S3817" s="84">
        <v>1.9E-2</v>
      </c>
      <c r="T3817" s="82" t="s">
        <v>10450</v>
      </c>
      <c r="U3817" s="84"/>
      <c r="V3817" s="54"/>
    </row>
    <row r="3818" spans="1:22" s="11" customFormat="1" ht="45" customHeight="1" x14ac:dyDescent="0.2">
      <c r="A3818" s="66" t="s">
        <v>12818</v>
      </c>
      <c r="B3818" s="66" t="s">
        <v>1155</v>
      </c>
      <c r="C3818" s="66" t="s">
        <v>9605</v>
      </c>
      <c r="D3818" s="66">
        <v>6976068148364</v>
      </c>
      <c r="E3818" s="68" t="s">
        <v>14184</v>
      </c>
      <c r="F3818" s="66" t="s">
        <v>14185</v>
      </c>
      <c r="G3818" s="71">
        <v>1674</v>
      </c>
      <c r="H3818" s="73"/>
      <c r="I3818" s="75">
        <v>0.2</v>
      </c>
      <c r="J3818" s="77"/>
      <c r="K3818" s="66"/>
      <c r="L3818" s="66"/>
      <c r="M3818" s="79" t="str">
        <f>HYPERLINK("http://www.pristavka.com/catalog/Honkai_Star_Rail/HSR111/")</f>
        <v>http://www.pristavka.com/catalog/Honkai_Star_Rail/HSR111/</v>
      </c>
      <c r="N3818" s="71">
        <v>2799</v>
      </c>
      <c r="O3818" s="66" t="s">
        <v>27</v>
      </c>
      <c r="P3818" s="82" t="s">
        <v>14186</v>
      </c>
      <c r="Q3818" s="84" t="s">
        <v>12818</v>
      </c>
      <c r="R3818" s="84" t="s">
        <v>9605</v>
      </c>
      <c r="S3818" s="84">
        <v>2.5999999999999999E-2</v>
      </c>
      <c r="T3818" s="82" t="s">
        <v>10998</v>
      </c>
      <c r="U3818" s="84"/>
      <c r="V3818" s="54"/>
    </row>
    <row r="3819" spans="1:22" s="11" customFormat="1" ht="45" customHeight="1" x14ac:dyDescent="0.2">
      <c r="A3819" s="66" t="s">
        <v>12818</v>
      </c>
      <c r="B3819" s="66" t="s">
        <v>1155</v>
      </c>
      <c r="C3819" s="66" t="s">
        <v>9605</v>
      </c>
      <c r="D3819" s="66">
        <v>6976525009863</v>
      </c>
      <c r="E3819" s="68" t="s">
        <v>14187</v>
      </c>
      <c r="F3819" s="66" t="s">
        <v>14188</v>
      </c>
      <c r="G3819" s="71">
        <v>1516</v>
      </c>
      <c r="H3819" s="73"/>
      <c r="I3819" s="75">
        <v>0.2</v>
      </c>
      <c r="J3819" s="77"/>
      <c r="K3819" s="66"/>
      <c r="L3819" s="66"/>
      <c r="M3819" s="79" t="str">
        <f>HYPERLINK("http://www.pristavka.com/catalog/Honkai_Star_Rail/HSR183/")</f>
        <v>http://www.pristavka.com/catalog/Honkai_Star_Rail/HSR183/</v>
      </c>
      <c r="N3819" s="71">
        <v>2599</v>
      </c>
      <c r="O3819" s="66" t="s">
        <v>27</v>
      </c>
      <c r="P3819" s="82" t="s">
        <v>14189</v>
      </c>
      <c r="Q3819" s="84" t="s">
        <v>12818</v>
      </c>
      <c r="R3819" s="84" t="s">
        <v>9605</v>
      </c>
      <c r="S3819" s="84">
        <v>1.9E-2</v>
      </c>
      <c r="T3819" s="82" t="s">
        <v>14154</v>
      </c>
      <c r="U3819" s="84"/>
      <c r="V3819" s="54"/>
    </row>
    <row r="3820" spans="1:22" s="11" customFormat="1" ht="45" customHeight="1" x14ac:dyDescent="0.2">
      <c r="A3820" s="66" t="s">
        <v>12818</v>
      </c>
      <c r="B3820" s="66" t="s">
        <v>1155</v>
      </c>
      <c r="C3820" s="66" t="s">
        <v>9605</v>
      </c>
      <c r="D3820" s="66">
        <v>6976525009825</v>
      </c>
      <c r="E3820" s="68" t="s">
        <v>14190</v>
      </c>
      <c r="F3820" s="66" t="s">
        <v>14191</v>
      </c>
      <c r="G3820" s="71">
        <v>1516</v>
      </c>
      <c r="H3820" s="73"/>
      <c r="I3820" s="75">
        <v>0.2</v>
      </c>
      <c r="J3820" s="77"/>
      <c r="K3820" s="66"/>
      <c r="L3820" s="66"/>
      <c r="M3820" s="79" t="str">
        <f>HYPERLINK("http://www.pristavka.com/catalog/Honkai_Star_Rail/HSR180/")</f>
        <v>http://www.pristavka.com/catalog/Honkai_Star_Rail/HSR180/</v>
      </c>
      <c r="N3820" s="71">
        <v>2599</v>
      </c>
      <c r="O3820" s="66" t="s">
        <v>27</v>
      </c>
      <c r="P3820" s="82" t="s">
        <v>14192</v>
      </c>
      <c r="Q3820" s="84" t="s">
        <v>12818</v>
      </c>
      <c r="R3820" s="84" t="s">
        <v>9605</v>
      </c>
      <c r="S3820" s="84">
        <v>1.7000000000000001E-2</v>
      </c>
      <c r="T3820" s="82" t="s">
        <v>11002</v>
      </c>
      <c r="U3820" s="84"/>
      <c r="V3820" s="54"/>
    </row>
    <row r="3821" spans="1:22" s="11" customFormat="1" ht="45" customHeight="1" x14ac:dyDescent="0.2">
      <c r="A3821" s="66" t="s">
        <v>12818</v>
      </c>
      <c r="B3821" s="66" t="s">
        <v>1155</v>
      </c>
      <c r="C3821" s="66" t="s">
        <v>9605</v>
      </c>
      <c r="D3821" s="66">
        <v>6942421114499</v>
      </c>
      <c r="E3821" s="68" t="s">
        <v>14193</v>
      </c>
      <c r="F3821" s="66" t="s">
        <v>14194</v>
      </c>
      <c r="G3821" s="71">
        <v>1389</v>
      </c>
      <c r="H3821" s="73"/>
      <c r="I3821" s="75">
        <v>0.2</v>
      </c>
      <c r="J3821" s="77"/>
      <c r="K3821" s="66"/>
      <c r="L3821" s="66"/>
      <c r="M3821" s="79" t="str">
        <f>HYPERLINK("http://www.pristavka.com/catalog/Honkai_Star_Rail/HSR177/")</f>
        <v>http://www.pristavka.com/catalog/Honkai_Star_Rail/HSR177/</v>
      </c>
      <c r="N3821" s="71">
        <v>2399</v>
      </c>
      <c r="O3821" s="66" t="s">
        <v>27</v>
      </c>
      <c r="P3821" s="82" t="s">
        <v>14195</v>
      </c>
      <c r="Q3821" s="84" t="s">
        <v>12818</v>
      </c>
      <c r="R3821" s="84" t="s">
        <v>9605</v>
      </c>
      <c r="S3821" s="84">
        <v>1.9E-2</v>
      </c>
      <c r="T3821" s="82" t="s">
        <v>11224</v>
      </c>
      <c r="U3821" s="84"/>
      <c r="V3821" s="54"/>
    </row>
    <row r="3822" spans="1:22" s="11" customFormat="1" ht="45" customHeight="1" x14ac:dyDescent="0.2">
      <c r="A3822" s="66" t="s">
        <v>12818</v>
      </c>
      <c r="B3822" s="66" t="s">
        <v>1155</v>
      </c>
      <c r="C3822" s="66" t="s">
        <v>9605</v>
      </c>
      <c r="D3822" s="66">
        <v>6976525009870</v>
      </c>
      <c r="E3822" s="68" t="s">
        <v>14196</v>
      </c>
      <c r="F3822" s="66" t="s">
        <v>14197</v>
      </c>
      <c r="G3822" s="71">
        <v>1516</v>
      </c>
      <c r="H3822" s="73"/>
      <c r="I3822" s="75">
        <v>0.2</v>
      </c>
      <c r="J3822" s="77"/>
      <c r="K3822" s="66"/>
      <c r="L3822" s="66"/>
      <c r="M3822" s="79" t="str">
        <f>HYPERLINK("http://www.pristavka.com/catalog/Honkai_Star_Rail/HSR182/")</f>
        <v>http://www.pristavka.com/catalog/Honkai_Star_Rail/HSR182/</v>
      </c>
      <c r="N3822" s="71">
        <v>2599</v>
      </c>
      <c r="O3822" s="66" t="s">
        <v>27</v>
      </c>
      <c r="P3822" s="82" t="s">
        <v>14198</v>
      </c>
      <c r="Q3822" s="84" t="s">
        <v>12818</v>
      </c>
      <c r="R3822" s="84" t="s">
        <v>9605</v>
      </c>
      <c r="S3822" s="84">
        <v>1.7000000000000001E-2</v>
      </c>
      <c r="T3822" s="82" t="s">
        <v>11002</v>
      </c>
      <c r="U3822" s="84"/>
      <c r="V3822" s="54"/>
    </row>
    <row r="3823" spans="1:22" s="11" customFormat="1" ht="45" customHeight="1" x14ac:dyDescent="0.2">
      <c r="A3823" s="66" t="s">
        <v>12818</v>
      </c>
      <c r="B3823" s="66" t="s">
        <v>1155</v>
      </c>
      <c r="C3823" s="66" t="s">
        <v>9605</v>
      </c>
      <c r="D3823" s="66" t="s">
        <v>26</v>
      </c>
      <c r="E3823" s="68" t="s">
        <v>14199</v>
      </c>
      <c r="F3823" s="66" t="s">
        <v>14200</v>
      </c>
      <c r="G3823" s="71">
        <v>1136</v>
      </c>
      <c r="H3823" s="73"/>
      <c r="I3823" s="75">
        <v>0.2</v>
      </c>
      <c r="J3823" s="77"/>
      <c r="K3823" s="66"/>
      <c r="L3823" s="66"/>
      <c r="M3823" s="79" t="str">
        <f>HYPERLINK("http://www.pristavka.com/catalog/Honkai_Star_Rail/HSR352/")</f>
        <v>http://www.pristavka.com/catalog/Honkai_Star_Rail/HSR352/</v>
      </c>
      <c r="N3823" s="71">
        <v>1899</v>
      </c>
      <c r="O3823" s="66" t="s">
        <v>27</v>
      </c>
      <c r="P3823" s="82" t="s">
        <v>14201</v>
      </c>
      <c r="Q3823" s="84" t="s">
        <v>12818</v>
      </c>
      <c r="R3823" s="84" t="s">
        <v>9605</v>
      </c>
      <c r="S3823" s="84">
        <v>1.6E-2</v>
      </c>
      <c r="T3823" s="82" t="s">
        <v>14202</v>
      </c>
      <c r="U3823" s="84"/>
      <c r="V3823" s="54"/>
    </row>
    <row r="3824" spans="1:22" s="11" customFormat="1" ht="45" customHeight="1" x14ac:dyDescent="0.2">
      <c r="A3824" s="66" t="s">
        <v>12818</v>
      </c>
      <c r="B3824" s="66" t="s">
        <v>1155</v>
      </c>
      <c r="C3824" s="66" t="s">
        <v>9605</v>
      </c>
      <c r="D3824" s="66" t="s">
        <v>26</v>
      </c>
      <c r="E3824" s="68" t="s">
        <v>14203</v>
      </c>
      <c r="F3824" s="66" t="s">
        <v>14204</v>
      </c>
      <c r="G3824" s="71">
        <v>1136</v>
      </c>
      <c r="H3824" s="73"/>
      <c r="I3824" s="75">
        <v>0.2</v>
      </c>
      <c r="J3824" s="77"/>
      <c r="K3824" s="66"/>
      <c r="L3824" s="66"/>
      <c r="M3824" s="79" t="str">
        <f>HYPERLINK("http://www.pristavka.com/catalog/Honkai_Star_Rail/HSR349/")</f>
        <v>http://www.pristavka.com/catalog/Honkai_Star_Rail/HSR349/</v>
      </c>
      <c r="N3824" s="71">
        <v>1899</v>
      </c>
      <c r="O3824" s="66" t="s">
        <v>27</v>
      </c>
      <c r="P3824" s="82" t="s">
        <v>14205</v>
      </c>
      <c r="Q3824" s="84" t="s">
        <v>12818</v>
      </c>
      <c r="R3824" s="84" t="s">
        <v>9605</v>
      </c>
      <c r="S3824" s="84">
        <v>1.6E-2</v>
      </c>
      <c r="T3824" s="82" t="s">
        <v>14202</v>
      </c>
      <c r="U3824" s="84"/>
      <c r="V3824" s="54"/>
    </row>
    <row r="3825" spans="1:22" s="11" customFormat="1" ht="45" customHeight="1" x14ac:dyDescent="0.2">
      <c r="A3825" s="66" t="s">
        <v>12818</v>
      </c>
      <c r="B3825" s="66" t="s">
        <v>1155</v>
      </c>
      <c r="C3825" s="66" t="s">
        <v>9605</v>
      </c>
      <c r="D3825" s="66" t="s">
        <v>26</v>
      </c>
      <c r="E3825" s="68" t="s">
        <v>14206</v>
      </c>
      <c r="F3825" s="66" t="s">
        <v>14207</v>
      </c>
      <c r="G3825" s="71">
        <v>1136</v>
      </c>
      <c r="H3825" s="73"/>
      <c r="I3825" s="75">
        <v>0.2</v>
      </c>
      <c r="J3825" s="77"/>
      <c r="K3825" s="66"/>
      <c r="L3825" s="66"/>
      <c r="M3825" s="79" t="str">
        <f>HYPERLINK("http://www.pristavka.com/catalog/Honkai_Star_Rail/HSR332/")</f>
        <v>http://www.pristavka.com/catalog/Honkai_Star_Rail/HSR332/</v>
      </c>
      <c r="N3825" s="71">
        <v>1899</v>
      </c>
      <c r="O3825" s="66" t="s">
        <v>27</v>
      </c>
      <c r="P3825" s="82" t="s">
        <v>14208</v>
      </c>
      <c r="Q3825" s="84" t="s">
        <v>12818</v>
      </c>
      <c r="R3825" s="84" t="s">
        <v>9605</v>
      </c>
      <c r="S3825" s="84">
        <v>1.6E-2</v>
      </c>
      <c r="T3825" s="82" t="s">
        <v>14202</v>
      </c>
      <c r="U3825" s="84"/>
      <c r="V3825" s="54"/>
    </row>
    <row r="3826" spans="1:22" s="11" customFormat="1" ht="45" customHeight="1" x14ac:dyDescent="0.2">
      <c r="A3826" s="66" t="s">
        <v>12818</v>
      </c>
      <c r="B3826" s="66" t="s">
        <v>1155</v>
      </c>
      <c r="C3826" s="66" t="s">
        <v>9605</v>
      </c>
      <c r="D3826" s="66" t="s">
        <v>26</v>
      </c>
      <c r="E3826" s="68" t="s">
        <v>14209</v>
      </c>
      <c r="F3826" s="66" t="s">
        <v>14210</v>
      </c>
      <c r="G3826" s="71">
        <v>1136</v>
      </c>
      <c r="H3826" s="73"/>
      <c r="I3826" s="75">
        <v>0.2</v>
      </c>
      <c r="J3826" s="77"/>
      <c r="K3826" s="66"/>
      <c r="L3826" s="66"/>
      <c r="M3826" s="79" t="str">
        <f>HYPERLINK("http://www.pristavka.com/catalog/Honkai_Star_Rail/HSR341/")</f>
        <v>http://www.pristavka.com/catalog/Honkai_Star_Rail/HSR341/</v>
      </c>
      <c r="N3826" s="71">
        <v>1899</v>
      </c>
      <c r="O3826" s="66" t="s">
        <v>27</v>
      </c>
      <c r="P3826" s="82" t="s">
        <v>14211</v>
      </c>
      <c r="Q3826" s="84" t="s">
        <v>12818</v>
      </c>
      <c r="R3826" s="84" t="s">
        <v>9605</v>
      </c>
      <c r="S3826" s="84">
        <v>1.4999999999999999E-2</v>
      </c>
      <c r="T3826" s="82" t="s">
        <v>14174</v>
      </c>
      <c r="U3826" s="84"/>
      <c r="V3826" s="54"/>
    </row>
    <row r="3827" spans="1:22" s="11" customFormat="1" ht="45" customHeight="1" x14ac:dyDescent="0.2">
      <c r="A3827" s="66" t="s">
        <v>12818</v>
      </c>
      <c r="B3827" s="66" t="s">
        <v>1155</v>
      </c>
      <c r="C3827" s="66" t="s">
        <v>9605</v>
      </c>
      <c r="D3827" s="66" t="s">
        <v>26</v>
      </c>
      <c r="E3827" s="68" t="s">
        <v>14212</v>
      </c>
      <c r="F3827" s="66" t="s">
        <v>14213</v>
      </c>
      <c r="G3827" s="71">
        <v>1104</v>
      </c>
      <c r="H3827" s="73"/>
      <c r="I3827" s="75">
        <v>0.2</v>
      </c>
      <c r="J3827" s="77"/>
      <c r="K3827" s="66"/>
      <c r="L3827" s="66"/>
      <c r="M3827" s="79" t="str">
        <f>HYPERLINK("http://www.pristavka.com/catalog/Honkai_Star_Rail/HSR303/")</f>
        <v>http://www.pristavka.com/catalog/Honkai_Star_Rail/HSR303/</v>
      </c>
      <c r="N3827" s="71">
        <v>1899</v>
      </c>
      <c r="O3827" s="66" t="s">
        <v>27</v>
      </c>
      <c r="P3827" s="82" t="s">
        <v>14214</v>
      </c>
      <c r="Q3827" s="84" t="s">
        <v>12818</v>
      </c>
      <c r="R3827" s="84" t="s">
        <v>9605</v>
      </c>
      <c r="S3827" s="84">
        <v>2.1999999999999999E-2</v>
      </c>
      <c r="T3827" s="82" t="s">
        <v>14132</v>
      </c>
      <c r="U3827" s="84"/>
      <c r="V3827" s="54"/>
    </row>
    <row r="3828" spans="1:22" s="11" customFormat="1" ht="45" customHeight="1" x14ac:dyDescent="0.2">
      <c r="A3828" s="66" t="s">
        <v>12818</v>
      </c>
      <c r="B3828" s="66" t="s">
        <v>1155</v>
      </c>
      <c r="C3828" s="66" t="s">
        <v>9605</v>
      </c>
      <c r="D3828" s="66" t="s">
        <v>26</v>
      </c>
      <c r="E3828" s="68" t="s">
        <v>14215</v>
      </c>
      <c r="F3828" s="66" t="s">
        <v>14216</v>
      </c>
      <c r="G3828" s="71">
        <v>1136</v>
      </c>
      <c r="H3828" s="73"/>
      <c r="I3828" s="75">
        <v>0.2</v>
      </c>
      <c r="J3828" s="77"/>
      <c r="K3828" s="66"/>
      <c r="L3828" s="66"/>
      <c r="M3828" s="79" t="str">
        <f>HYPERLINK("http://www.pristavka.com/catalog/Honkai_Star_Rail/HSR342/")</f>
        <v>http://www.pristavka.com/catalog/Honkai_Star_Rail/HSR342/</v>
      </c>
      <c r="N3828" s="71">
        <v>1899</v>
      </c>
      <c r="O3828" s="66" t="s">
        <v>27</v>
      </c>
      <c r="P3828" s="82" t="s">
        <v>14217</v>
      </c>
      <c r="Q3828" s="84" t="s">
        <v>12818</v>
      </c>
      <c r="R3828" s="84" t="s">
        <v>9605</v>
      </c>
      <c r="S3828" s="84">
        <v>1.7000000000000001E-2</v>
      </c>
      <c r="T3828" s="82" t="s">
        <v>14202</v>
      </c>
      <c r="U3828" s="84"/>
      <c r="V3828" s="54"/>
    </row>
    <row r="3829" spans="1:22" s="11" customFormat="1" ht="45" customHeight="1" x14ac:dyDescent="0.2">
      <c r="A3829" s="66" t="s">
        <v>12818</v>
      </c>
      <c r="B3829" s="66" t="s">
        <v>1155</v>
      </c>
      <c r="C3829" s="66" t="s">
        <v>9605</v>
      </c>
      <c r="D3829" s="66" t="s">
        <v>26</v>
      </c>
      <c r="E3829" s="68" t="s">
        <v>14218</v>
      </c>
      <c r="F3829" s="66" t="s">
        <v>14219</v>
      </c>
      <c r="G3829" s="71">
        <v>1136</v>
      </c>
      <c r="H3829" s="73"/>
      <c r="I3829" s="75">
        <v>0.2</v>
      </c>
      <c r="J3829" s="77"/>
      <c r="K3829" s="66"/>
      <c r="L3829" s="66"/>
      <c r="M3829" s="79" t="str">
        <f>HYPERLINK("http://www.pristavka.com/catalog/Honkai_Star_Rail/HSR350/")</f>
        <v>http://www.pristavka.com/catalog/Honkai_Star_Rail/HSR350/</v>
      </c>
      <c r="N3829" s="71">
        <v>1899</v>
      </c>
      <c r="O3829" s="66" t="s">
        <v>27</v>
      </c>
      <c r="P3829" s="82" t="s">
        <v>14220</v>
      </c>
      <c r="Q3829" s="84" t="s">
        <v>12818</v>
      </c>
      <c r="R3829" s="84" t="s">
        <v>9605</v>
      </c>
      <c r="S3829" s="84">
        <v>1.7000000000000001E-2</v>
      </c>
      <c r="T3829" s="82" t="s">
        <v>14202</v>
      </c>
      <c r="U3829" s="84"/>
      <c r="V3829" s="54"/>
    </row>
    <row r="3830" spans="1:22" s="11" customFormat="1" ht="45" customHeight="1" x14ac:dyDescent="0.2">
      <c r="A3830" s="66" t="s">
        <v>12818</v>
      </c>
      <c r="B3830" s="66" t="s">
        <v>1155</v>
      </c>
      <c r="C3830" s="66" t="s">
        <v>9605</v>
      </c>
      <c r="D3830" s="66" t="s">
        <v>26</v>
      </c>
      <c r="E3830" s="68" t="s">
        <v>14221</v>
      </c>
      <c r="F3830" s="66" t="s">
        <v>14222</v>
      </c>
      <c r="G3830" s="71">
        <v>1262</v>
      </c>
      <c r="H3830" s="73"/>
      <c r="I3830" s="75">
        <v>0.2</v>
      </c>
      <c r="J3830" s="77"/>
      <c r="K3830" s="66"/>
      <c r="L3830" s="66"/>
      <c r="M3830" s="79" t="str">
        <f>HYPERLINK("http://www.pristavka.com/catalog/Honkai_Star_Rail/HSR314/")</f>
        <v>http://www.pristavka.com/catalog/Honkai_Star_Rail/HSR314/</v>
      </c>
      <c r="N3830" s="71">
        <v>2199</v>
      </c>
      <c r="O3830" s="66" t="s">
        <v>27</v>
      </c>
      <c r="P3830" s="82" t="s">
        <v>14223</v>
      </c>
      <c r="Q3830" s="84" t="s">
        <v>12818</v>
      </c>
      <c r="R3830" s="84" t="s">
        <v>9605</v>
      </c>
      <c r="S3830" s="84">
        <v>2.7E-2</v>
      </c>
      <c r="T3830" s="82" t="s">
        <v>13679</v>
      </c>
      <c r="U3830" s="84"/>
      <c r="V3830" s="54"/>
    </row>
    <row r="3831" spans="1:22" s="11" customFormat="1" ht="45" customHeight="1" x14ac:dyDescent="0.2">
      <c r="A3831" s="66" t="s">
        <v>12818</v>
      </c>
      <c r="B3831" s="66" t="s">
        <v>1155</v>
      </c>
      <c r="C3831" s="66" t="s">
        <v>9605</v>
      </c>
      <c r="D3831" s="66" t="s">
        <v>26</v>
      </c>
      <c r="E3831" s="68" t="s">
        <v>14224</v>
      </c>
      <c r="F3831" s="66" t="s">
        <v>14225</v>
      </c>
      <c r="G3831" s="71">
        <v>1136</v>
      </c>
      <c r="H3831" s="73"/>
      <c r="I3831" s="75">
        <v>0.2</v>
      </c>
      <c r="J3831" s="77"/>
      <c r="K3831" s="66"/>
      <c r="L3831" s="66"/>
      <c r="M3831" s="79" t="str">
        <f>HYPERLINK("http://www.pristavka.com/catalog/Honkai_Star_Rail/HSR337/")</f>
        <v>http://www.pristavka.com/catalog/Honkai_Star_Rail/HSR337/</v>
      </c>
      <c r="N3831" s="71">
        <v>1899</v>
      </c>
      <c r="O3831" s="66" t="s">
        <v>27</v>
      </c>
      <c r="P3831" s="82" t="s">
        <v>14226</v>
      </c>
      <c r="Q3831" s="84" t="s">
        <v>12818</v>
      </c>
      <c r="R3831" s="84" t="s">
        <v>9605</v>
      </c>
      <c r="S3831" s="84">
        <v>1.6E-2</v>
      </c>
      <c r="T3831" s="82" t="s">
        <v>14202</v>
      </c>
      <c r="U3831" s="84"/>
      <c r="V3831" s="54"/>
    </row>
    <row r="3832" spans="1:22" s="11" customFormat="1" ht="45" customHeight="1" x14ac:dyDescent="0.2">
      <c r="A3832" s="66" t="s">
        <v>12818</v>
      </c>
      <c r="B3832" s="66" t="s">
        <v>1155</v>
      </c>
      <c r="C3832" s="66" t="s">
        <v>9605</v>
      </c>
      <c r="D3832" s="66" t="s">
        <v>26</v>
      </c>
      <c r="E3832" s="68" t="s">
        <v>14227</v>
      </c>
      <c r="F3832" s="66" t="s">
        <v>14228</v>
      </c>
      <c r="G3832" s="71">
        <v>1136</v>
      </c>
      <c r="H3832" s="73"/>
      <c r="I3832" s="75">
        <v>0.2</v>
      </c>
      <c r="J3832" s="77"/>
      <c r="K3832" s="66"/>
      <c r="L3832" s="66"/>
      <c r="M3832" s="79" t="str">
        <f>HYPERLINK("http://www.pristavka.com/catalog/Honkai_Star_Rail/HSR319/")</f>
        <v>http://www.pristavka.com/catalog/Honkai_Star_Rail/HSR319/</v>
      </c>
      <c r="N3832" s="71">
        <v>1899</v>
      </c>
      <c r="O3832" s="66" t="s">
        <v>27</v>
      </c>
      <c r="P3832" s="82" t="s">
        <v>14229</v>
      </c>
      <c r="Q3832" s="84" t="s">
        <v>12818</v>
      </c>
      <c r="R3832" s="84" t="s">
        <v>9605</v>
      </c>
      <c r="S3832" s="84">
        <v>1.7000000000000001E-2</v>
      </c>
      <c r="T3832" s="82" t="s">
        <v>9702</v>
      </c>
      <c r="U3832" s="84"/>
      <c r="V3832" s="54"/>
    </row>
    <row r="3833" spans="1:22" s="11" customFormat="1" ht="45" customHeight="1" x14ac:dyDescent="0.2">
      <c r="A3833" s="66" t="s">
        <v>12818</v>
      </c>
      <c r="B3833" s="66" t="s">
        <v>1155</v>
      </c>
      <c r="C3833" s="66" t="s">
        <v>9605</v>
      </c>
      <c r="D3833" s="66" t="s">
        <v>26</v>
      </c>
      <c r="E3833" s="68" t="s">
        <v>14230</v>
      </c>
      <c r="F3833" s="66" t="s">
        <v>14231</v>
      </c>
      <c r="G3833" s="71">
        <v>1136</v>
      </c>
      <c r="H3833" s="73"/>
      <c r="I3833" s="75">
        <v>0.2</v>
      </c>
      <c r="J3833" s="77"/>
      <c r="K3833" s="66"/>
      <c r="L3833" s="66"/>
      <c r="M3833" s="79" t="str">
        <f>HYPERLINK("http://www.pristavka.com/catalog/Honkai_Star_Rail/HSR333/")</f>
        <v>http://www.pristavka.com/catalog/Honkai_Star_Rail/HSR333/</v>
      </c>
      <c r="N3833" s="71">
        <v>1899</v>
      </c>
      <c r="O3833" s="66" t="s">
        <v>27</v>
      </c>
      <c r="P3833" s="82" t="s">
        <v>14232</v>
      </c>
      <c r="Q3833" s="84" t="s">
        <v>12818</v>
      </c>
      <c r="R3833" s="84" t="s">
        <v>9605</v>
      </c>
      <c r="S3833" s="84">
        <v>1.4999999999999999E-2</v>
      </c>
      <c r="T3833" s="82" t="s">
        <v>11332</v>
      </c>
      <c r="U3833" s="84"/>
      <c r="V3833" s="54"/>
    </row>
    <row r="3834" spans="1:22" s="11" customFormat="1" ht="45" customHeight="1" x14ac:dyDescent="0.2">
      <c r="A3834" s="66" t="s">
        <v>12818</v>
      </c>
      <c r="B3834" s="66" t="s">
        <v>1155</v>
      </c>
      <c r="C3834" s="66" t="s">
        <v>9605</v>
      </c>
      <c r="D3834" s="66" t="s">
        <v>26</v>
      </c>
      <c r="E3834" s="68" t="s">
        <v>14233</v>
      </c>
      <c r="F3834" s="66" t="s">
        <v>14234</v>
      </c>
      <c r="G3834" s="71">
        <v>1136</v>
      </c>
      <c r="H3834" s="73"/>
      <c r="I3834" s="75">
        <v>0.2</v>
      </c>
      <c r="J3834" s="77"/>
      <c r="K3834" s="66"/>
      <c r="L3834" s="66"/>
      <c r="M3834" s="79" t="str">
        <f>HYPERLINK("http://www.pristavka.com/catalog/Honkai_Star_Rail/HSR346/")</f>
        <v>http://www.pristavka.com/catalog/Honkai_Star_Rail/HSR346/</v>
      </c>
      <c r="N3834" s="71">
        <v>1899</v>
      </c>
      <c r="O3834" s="66" t="s">
        <v>27</v>
      </c>
      <c r="P3834" s="82" t="s">
        <v>14235</v>
      </c>
      <c r="Q3834" s="84" t="s">
        <v>12818</v>
      </c>
      <c r="R3834" s="84" t="s">
        <v>9605</v>
      </c>
      <c r="S3834" s="84">
        <v>1.6E-2</v>
      </c>
      <c r="T3834" s="82" t="s">
        <v>14202</v>
      </c>
      <c r="U3834" s="84"/>
      <c r="V3834" s="54"/>
    </row>
    <row r="3835" spans="1:22" s="11" customFormat="1" ht="45" customHeight="1" x14ac:dyDescent="0.2">
      <c r="A3835" s="66" t="s">
        <v>12818</v>
      </c>
      <c r="B3835" s="66" t="s">
        <v>1155</v>
      </c>
      <c r="C3835" s="66" t="s">
        <v>9605</v>
      </c>
      <c r="D3835" s="66" t="s">
        <v>26</v>
      </c>
      <c r="E3835" s="68" t="s">
        <v>14236</v>
      </c>
      <c r="F3835" s="66" t="s">
        <v>14237</v>
      </c>
      <c r="G3835" s="71">
        <v>1136</v>
      </c>
      <c r="H3835" s="73"/>
      <c r="I3835" s="75">
        <v>0.2</v>
      </c>
      <c r="J3835" s="77"/>
      <c r="K3835" s="66"/>
      <c r="L3835" s="66"/>
      <c r="M3835" s="79" t="str">
        <f>HYPERLINK("http://www.pristavka.com/catalog/Honkai_Star_Rail/HSR345/")</f>
        <v>http://www.pristavka.com/catalog/Honkai_Star_Rail/HSR345/</v>
      </c>
      <c r="N3835" s="71">
        <v>1899</v>
      </c>
      <c r="O3835" s="66" t="s">
        <v>27</v>
      </c>
      <c r="P3835" s="82" t="s">
        <v>14238</v>
      </c>
      <c r="Q3835" s="84" t="s">
        <v>12818</v>
      </c>
      <c r="R3835" s="84" t="s">
        <v>9605</v>
      </c>
      <c r="S3835" s="84">
        <v>0.02</v>
      </c>
      <c r="T3835" s="82" t="s">
        <v>14239</v>
      </c>
      <c r="U3835" s="84"/>
      <c r="V3835" s="54"/>
    </row>
    <row r="3836" spans="1:22" s="11" customFormat="1" ht="45" customHeight="1" x14ac:dyDescent="0.2">
      <c r="A3836" s="66" t="s">
        <v>12818</v>
      </c>
      <c r="B3836" s="66" t="s">
        <v>1155</v>
      </c>
      <c r="C3836" s="66" t="s">
        <v>9605</v>
      </c>
      <c r="D3836" s="66" t="s">
        <v>26</v>
      </c>
      <c r="E3836" s="68" t="s">
        <v>14240</v>
      </c>
      <c r="F3836" s="66" t="s">
        <v>14241</v>
      </c>
      <c r="G3836" s="71">
        <v>1136</v>
      </c>
      <c r="H3836" s="73"/>
      <c r="I3836" s="75">
        <v>0.2</v>
      </c>
      <c r="J3836" s="77"/>
      <c r="K3836" s="66"/>
      <c r="L3836" s="66"/>
      <c r="M3836" s="79" t="str">
        <f>HYPERLINK("http://www.pristavka.com/catalog/Honkai_Star_Rail/HSR347/")</f>
        <v>http://www.pristavka.com/catalog/Honkai_Star_Rail/HSR347/</v>
      </c>
      <c r="N3836" s="71">
        <v>1899</v>
      </c>
      <c r="O3836" s="66" t="s">
        <v>27</v>
      </c>
      <c r="P3836" s="82" t="s">
        <v>14242</v>
      </c>
      <c r="Q3836" s="84" t="s">
        <v>12818</v>
      </c>
      <c r="R3836" s="84" t="s">
        <v>9605</v>
      </c>
      <c r="S3836" s="84">
        <v>1.4999999999999999E-2</v>
      </c>
      <c r="T3836" s="82" t="s">
        <v>14239</v>
      </c>
      <c r="U3836" s="84"/>
      <c r="V3836" s="54"/>
    </row>
    <row r="3837" spans="1:22" s="11" customFormat="1" ht="45" customHeight="1" x14ac:dyDescent="0.2">
      <c r="A3837" s="66" t="s">
        <v>12818</v>
      </c>
      <c r="B3837" s="66" t="s">
        <v>1155</v>
      </c>
      <c r="C3837" s="66" t="s">
        <v>9605</v>
      </c>
      <c r="D3837" s="66" t="s">
        <v>26</v>
      </c>
      <c r="E3837" s="68" t="s">
        <v>14243</v>
      </c>
      <c r="F3837" s="66" t="s">
        <v>14244</v>
      </c>
      <c r="G3837" s="71">
        <v>1136</v>
      </c>
      <c r="H3837" s="73"/>
      <c r="I3837" s="75">
        <v>0.2</v>
      </c>
      <c r="J3837" s="77"/>
      <c r="K3837" s="66"/>
      <c r="L3837" s="66"/>
      <c r="M3837" s="79" t="str">
        <f>HYPERLINK("http://www.pristavka.com/catalog/Honkai_Star_Rail/HSR338/")</f>
        <v>http://www.pristavka.com/catalog/Honkai_Star_Rail/HSR338/</v>
      </c>
      <c r="N3837" s="71">
        <v>1899</v>
      </c>
      <c r="O3837" s="66" t="s">
        <v>27</v>
      </c>
      <c r="P3837" s="82" t="s">
        <v>14245</v>
      </c>
      <c r="Q3837" s="84" t="s">
        <v>12818</v>
      </c>
      <c r="R3837" s="84" t="s">
        <v>9605</v>
      </c>
      <c r="S3837" s="84">
        <v>1.7000000000000001E-2</v>
      </c>
      <c r="T3837" s="82" t="s">
        <v>14202</v>
      </c>
      <c r="U3837" s="84"/>
      <c r="V3837" s="54"/>
    </row>
    <row r="3838" spans="1:22" s="11" customFormat="1" ht="45" customHeight="1" x14ac:dyDescent="0.2">
      <c r="A3838" s="66" t="s">
        <v>12818</v>
      </c>
      <c r="B3838" s="66" t="s">
        <v>1155</v>
      </c>
      <c r="C3838" s="66" t="s">
        <v>9605</v>
      </c>
      <c r="D3838" s="66" t="s">
        <v>26</v>
      </c>
      <c r="E3838" s="68" t="s">
        <v>14246</v>
      </c>
      <c r="F3838" s="66" t="s">
        <v>14247</v>
      </c>
      <c r="G3838" s="71">
        <v>1136</v>
      </c>
      <c r="H3838" s="73"/>
      <c r="I3838" s="75">
        <v>0.2</v>
      </c>
      <c r="J3838" s="77"/>
      <c r="K3838" s="66"/>
      <c r="L3838" s="66"/>
      <c r="M3838" s="79" t="str">
        <f>HYPERLINK("http://www.pristavka.com/catalog/Honkai_Star_Rail/HSR343/")</f>
        <v>http://www.pristavka.com/catalog/Honkai_Star_Rail/HSR343/</v>
      </c>
      <c r="N3838" s="71">
        <v>1899</v>
      </c>
      <c r="O3838" s="66" t="s">
        <v>27</v>
      </c>
      <c r="P3838" s="82" t="s">
        <v>14248</v>
      </c>
      <c r="Q3838" s="84" t="s">
        <v>12818</v>
      </c>
      <c r="R3838" s="84" t="s">
        <v>9605</v>
      </c>
      <c r="S3838" s="84">
        <v>1.7000000000000001E-2</v>
      </c>
      <c r="T3838" s="82" t="s">
        <v>9710</v>
      </c>
      <c r="U3838" s="84"/>
      <c r="V3838" s="54"/>
    </row>
    <row r="3839" spans="1:22" s="11" customFormat="1" ht="45" customHeight="1" x14ac:dyDescent="0.2">
      <c r="A3839" s="66" t="s">
        <v>12818</v>
      </c>
      <c r="B3839" s="66" t="s">
        <v>1155</v>
      </c>
      <c r="C3839" s="66" t="s">
        <v>9605</v>
      </c>
      <c r="D3839" s="66" t="s">
        <v>26</v>
      </c>
      <c r="E3839" s="68" t="s">
        <v>14249</v>
      </c>
      <c r="F3839" s="66" t="s">
        <v>14250</v>
      </c>
      <c r="G3839" s="71">
        <v>1136</v>
      </c>
      <c r="H3839" s="73"/>
      <c r="I3839" s="75">
        <v>0.2</v>
      </c>
      <c r="J3839" s="77"/>
      <c r="K3839" s="66"/>
      <c r="L3839" s="66"/>
      <c r="M3839" s="79" t="str">
        <f>HYPERLINK("http://www.pristavka.com/catalog/Honkai_Star_Rail/HSR351/")</f>
        <v>http://www.pristavka.com/catalog/Honkai_Star_Rail/HSR351/</v>
      </c>
      <c r="N3839" s="71">
        <v>1899</v>
      </c>
      <c r="O3839" s="66" t="s">
        <v>27</v>
      </c>
      <c r="P3839" s="82" t="s">
        <v>14251</v>
      </c>
      <c r="Q3839" s="84" t="s">
        <v>12818</v>
      </c>
      <c r="R3839" s="84" t="s">
        <v>9605</v>
      </c>
      <c r="S3839" s="84">
        <v>1.6E-2</v>
      </c>
      <c r="T3839" s="82" t="s">
        <v>14202</v>
      </c>
      <c r="U3839" s="84"/>
      <c r="V3839" s="54"/>
    </row>
    <row r="3840" spans="1:22" s="11" customFormat="1" ht="45" customHeight="1" x14ac:dyDescent="0.2">
      <c r="A3840" s="66" t="s">
        <v>12818</v>
      </c>
      <c r="B3840" s="66" t="s">
        <v>1155</v>
      </c>
      <c r="C3840" s="66" t="s">
        <v>9605</v>
      </c>
      <c r="D3840" s="66" t="s">
        <v>26</v>
      </c>
      <c r="E3840" s="68" t="s">
        <v>14252</v>
      </c>
      <c r="F3840" s="66" t="s">
        <v>14253</v>
      </c>
      <c r="G3840" s="71">
        <v>1136</v>
      </c>
      <c r="H3840" s="73"/>
      <c r="I3840" s="75">
        <v>0.2</v>
      </c>
      <c r="J3840" s="77"/>
      <c r="K3840" s="66"/>
      <c r="L3840" s="66"/>
      <c r="M3840" s="79" t="str">
        <f>HYPERLINK("http://www.pristavka.com/catalog/Honkai_Star_Rail/HSR340/")</f>
        <v>http://www.pristavka.com/catalog/Honkai_Star_Rail/HSR340/</v>
      </c>
      <c r="N3840" s="71">
        <v>1899</v>
      </c>
      <c r="O3840" s="66" t="s">
        <v>27</v>
      </c>
      <c r="P3840" s="82" t="s">
        <v>14254</v>
      </c>
      <c r="Q3840" s="84" t="s">
        <v>12818</v>
      </c>
      <c r="R3840" s="84" t="s">
        <v>9605</v>
      </c>
      <c r="S3840" s="84">
        <v>1.6E-2</v>
      </c>
      <c r="T3840" s="82" t="s">
        <v>14202</v>
      </c>
      <c r="U3840" s="84"/>
      <c r="V3840" s="54"/>
    </row>
    <row r="3841" spans="1:22" s="11" customFormat="1" ht="45" customHeight="1" x14ac:dyDescent="0.2">
      <c r="A3841" s="66" t="s">
        <v>12818</v>
      </c>
      <c r="B3841" s="66" t="s">
        <v>1155</v>
      </c>
      <c r="C3841" s="66" t="s">
        <v>9605</v>
      </c>
      <c r="D3841" s="66" t="s">
        <v>26</v>
      </c>
      <c r="E3841" s="68" t="s">
        <v>14255</v>
      </c>
      <c r="F3841" s="66" t="s">
        <v>14256</v>
      </c>
      <c r="G3841" s="71">
        <v>1104</v>
      </c>
      <c r="H3841" s="73"/>
      <c r="I3841" s="75">
        <v>0.2</v>
      </c>
      <c r="J3841" s="77"/>
      <c r="K3841" s="66"/>
      <c r="L3841" s="66"/>
      <c r="M3841" s="79" t="str">
        <f>HYPERLINK("http://www.pristavka.com/catalog/Honkai_Star_Rail/HSR302/")</f>
        <v>http://www.pristavka.com/catalog/Honkai_Star_Rail/HSR302/</v>
      </c>
      <c r="N3841" s="71">
        <v>1899</v>
      </c>
      <c r="O3841" s="66" t="s">
        <v>27</v>
      </c>
      <c r="P3841" s="82" t="s">
        <v>14257</v>
      </c>
      <c r="Q3841" s="84" t="s">
        <v>12818</v>
      </c>
      <c r="R3841" s="84" t="s">
        <v>9605</v>
      </c>
      <c r="S3841" s="84">
        <v>2.1999999999999999E-2</v>
      </c>
      <c r="T3841" s="82" t="s">
        <v>10450</v>
      </c>
      <c r="U3841" s="84"/>
      <c r="V3841" s="54"/>
    </row>
    <row r="3842" spans="1:22" s="11" customFormat="1" ht="45" customHeight="1" x14ac:dyDescent="0.2">
      <c r="A3842" s="66" t="s">
        <v>12818</v>
      </c>
      <c r="B3842" s="66" t="s">
        <v>1155</v>
      </c>
      <c r="C3842" s="66" t="s">
        <v>9605</v>
      </c>
      <c r="D3842" s="66" t="s">
        <v>26</v>
      </c>
      <c r="E3842" s="68" t="s">
        <v>14258</v>
      </c>
      <c r="F3842" s="66" t="s">
        <v>14259</v>
      </c>
      <c r="G3842" s="71">
        <v>1104</v>
      </c>
      <c r="H3842" s="73"/>
      <c r="I3842" s="75">
        <v>0.2</v>
      </c>
      <c r="J3842" s="77"/>
      <c r="K3842" s="66"/>
      <c r="L3842" s="66"/>
      <c r="M3842" s="79" t="str">
        <f>HYPERLINK("http://www.pristavka.com/catalog/Honkai_Star_Rail/HSR301/")</f>
        <v>http://www.pristavka.com/catalog/Honkai_Star_Rail/HSR301/</v>
      </c>
      <c r="N3842" s="71">
        <v>1899</v>
      </c>
      <c r="O3842" s="66" t="s">
        <v>27</v>
      </c>
      <c r="P3842" s="82" t="s">
        <v>14260</v>
      </c>
      <c r="Q3842" s="84" t="s">
        <v>12818</v>
      </c>
      <c r="R3842" s="84" t="s">
        <v>9605</v>
      </c>
      <c r="S3842" s="84">
        <v>2.1999999999999999E-2</v>
      </c>
      <c r="T3842" s="82" t="s">
        <v>14261</v>
      </c>
      <c r="U3842" s="84"/>
      <c r="V3842" s="54"/>
    </row>
    <row r="3843" spans="1:22" s="11" customFormat="1" ht="45" customHeight="1" x14ac:dyDescent="0.2">
      <c r="A3843" s="66" t="s">
        <v>12818</v>
      </c>
      <c r="B3843" s="66" t="s">
        <v>1155</v>
      </c>
      <c r="C3843" s="66" t="s">
        <v>9605</v>
      </c>
      <c r="D3843" s="66" t="s">
        <v>26</v>
      </c>
      <c r="E3843" s="68" t="s">
        <v>14262</v>
      </c>
      <c r="F3843" s="66" t="s">
        <v>14263</v>
      </c>
      <c r="G3843" s="71">
        <v>1136</v>
      </c>
      <c r="H3843" s="73"/>
      <c r="I3843" s="75">
        <v>0.2</v>
      </c>
      <c r="J3843" s="77"/>
      <c r="K3843" s="66"/>
      <c r="L3843" s="66"/>
      <c r="M3843" s="79" t="str">
        <f>HYPERLINK("http://www.pristavka.com/catalog/Honkai_Star_Rail/HSR348/")</f>
        <v>http://www.pristavka.com/catalog/Honkai_Star_Rail/HSR348/</v>
      </c>
      <c r="N3843" s="71">
        <v>1899</v>
      </c>
      <c r="O3843" s="66" t="s">
        <v>27</v>
      </c>
      <c r="P3843" s="82" t="s">
        <v>14264</v>
      </c>
      <c r="Q3843" s="84" t="s">
        <v>12818</v>
      </c>
      <c r="R3843" s="84" t="s">
        <v>9605</v>
      </c>
      <c r="S3843" s="84">
        <v>1.6E-2</v>
      </c>
      <c r="T3843" s="82" t="s">
        <v>14202</v>
      </c>
      <c r="U3843" s="84"/>
      <c r="V3843" s="54"/>
    </row>
    <row r="3844" spans="1:22" s="11" customFormat="1" ht="45" customHeight="1" x14ac:dyDescent="0.2">
      <c r="A3844" s="66" t="s">
        <v>12818</v>
      </c>
      <c r="B3844" s="66" t="s">
        <v>1155</v>
      </c>
      <c r="C3844" s="66" t="s">
        <v>9605</v>
      </c>
      <c r="D3844" s="66" t="s">
        <v>26</v>
      </c>
      <c r="E3844" s="68" t="s">
        <v>14265</v>
      </c>
      <c r="F3844" s="66" t="s">
        <v>14266</v>
      </c>
      <c r="G3844" s="71">
        <v>1136</v>
      </c>
      <c r="H3844" s="73"/>
      <c r="I3844" s="75">
        <v>0.2</v>
      </c>
      <c r="J3844" s="77"/>
      <c r="K3844" s="66"/>
      <c r="L3844" s="66"/>
      <c r="M3844" s="79" t="str">
        <f>HYPERLINK("http://www.pristavka.com/catalog/Honkai_Star_Rail/HSR320/")</f>
        <v>http://www.pristavka.com/catalog/Honkai_Star_Rail/HSR320/</v>
      </c>
      <c r="N3844" s="71">
        <v>1899</v>
      </c>
      <c r="O3844" s="66" t="s">
        <v>27</v>
      </c>
      <c r="P3844" s="82" t="s">
        <v>14267</v>
      </c>
      <c r="Q3844" s="84" t="s">
        <v>12818</v>
      </c>
      <c r="R3844" s="84" t="s">
        <v>9605</v>
      </c>
      <c r="S3844" s="84">
        <v>1.6E-2</v>
      </c>
      <c r="T3844" s="82" t="s">
        <v>9702</v>
      </c>
      <c r="U3844" s="84"/>
      <c r="V3844" s="54"/>
    </row>
    <row r="3845" spans="1:22" s="11" customFormat="1" ht="45" customHeight="1" x14ac:dyDescent="0.2">
      <c r="A3845" s="66" t="s">
        <v>12818</v>
      </c>
      <c r="B3845" s="66" t="s">
        <v>1155</v>
      </c>
      <c r="C3845" s="66" t="s">
        <v>9605</v>
      </c>
      <c r="D3845" s="66" t="s">
        <v>26</v>
      </c>
      <c r="E3845" s="68" t="s">
        <v>14268</v>
      </c>
      <c r="F3845" s="66" t="s">
        <v>14269</v>
      </c>
      <c r="G3845" s="71">
        <v>1262</v>
      </c>
      <c r="H3845" s="73"/>
      <c r="I3845" s="75">
        <v>0.2</v>
      </c>
      <c r="J3845" s="77"/>
      <c r="K3845" s="66"/>
      <c r="L3845" s="66"/>
      <c r="M3845" s="79" t="str">
        <f>HYPERLINK("http://www.pristavka.com/catalog/Honkai_Star_Rail/HSR313/")</f>
        <v>http://www.pristavka.com/catalog/Honkai_Star_Rail/HSR313/</v>
      </c>
      <c r="N3845" s="71">
        <v>2199</v>
      </c>
      <c r="O3845" s="66" t="s">
        <v>27</v>
      </c>
      <c r="P3845" s="82" t="s">
        <v>14270</v>
      </c>
      <c r="Q3845" s="84" t="s">
        <v>12818</v>
      </c>
      <c r="R3845" s="84" t="s">
        <v>9605</v>
      </c>
      <c r="S3845" s="84">
        <v>2.7E-2</v>
      </c>
      <c r="T3845" s="82" t="s">
        <v>13679</v>
      </c>
      <c r="U3845" s="84"/>
      <c r="V3845" s="54"/>
    </row>
    <row r="3846" spans="1:22" s="11" customFormat="1" ht="45" customHeight="1" x14ac:dyDescent="0.2">
      <c r="A3846" s="66" t="s">
        <v>12818</v>
      </c>
      <c r="B3846" s="66" t="s">
        <v>1155</v>
      </c>
      <c r="C3846" s="66" t="s">
        <v>9605</v>
      </c>
      <c r="D3846" s="66" t="s">
        <v>26</v>
      </c>
      <c r="E3846" s="68" t="s">
        <v>14271</v>
      </c>
      <c r="F3846" s="66" t="s">
        <v>14272</v>
      </c>
      <c r="G3846" s="71">
        <v>1136</v>
      </c>
      <c r="H3846" s="73"/>
      <c r="I3846" s="75">
        <v>0.2</v>
      </c>
      <c r="J3846" s="77"/>
      <c r="K3846" s="66"/>
      <c r="L3846" s="66"/>
      <c r="M3846" s="79" t="str">
        <f>HYPERLINK("http://www.pristavka.com/catalog/Honkai_Star_Rail/HSR339/")</f>
        <v>http://www.pristavka.com/catalog/Honkai_Star_Rail/HSR339/</v>
      </c>
      <c r="N3846" s="71">
        <v>1899</v>
      </c>
      <c r="O3846" s="66" t="s">
        <v>27</v>
      </c>
      <c r="P3846" s="82" t="s">
        <v>14273</v>
      </c>
      <c r="Q3846" s="84" t="s">
        <v>12818</v>
      </c>
      <c r="R3846" s="84" t="s">
        <v>9605</v>
      </c>
      <c r="S3846" s="84">
        <v>1.6E-2</v>
      </c>
      <c r="T3846" s="82" t="s">
        <v>14202</v>
      </c>
      <c r="U3846" s="84"/>
      <c r="V3846" s="54"/>
    </row>
    <row r="3847" spans="1:22" s="11" customFormat="1" ht="45" customHeight="1" x14ac:dyDescent="0.2">
      <c r="A3847" s="66" t="s">
        <v>12818</v>
      </c>
      <c r="B3847" s="66" t="s">
        <v>1155</v>
      </c>
      <c r="C3847" s="66" t="s">
        <v>9605</v>
      </c>
      <c r="D3847" s="66" t="s">
        <v>26</v>
      </c>
      <c r="E3847" s="68" t="s">
        <v>14274</v>
      </c>
      <c r="F3847" s="66" t="s">
        <v>14275</v>
      </c>
      <c r="G3847" s="71">
        <v>1136</v>
      </c>
      <c r="H3847" s="73"/>
      <c r="I3847" s="75">
        <v>0.2</v>
      </c>
      <c r="J3847" s="77"/>
      <c r="K3847" s="66"/>
      <c r="L3847" s="66"/>
      <c r="M3847" s="79" t="str">
        <f>HYPERLINK("http://www.pristavka.com/catalog/Honkai_Star_Rail/HSR331/")</f>
        <v>http://www.pristavka.com/catalog/Honkai_Star_Rail/HSR331/</v>
      </c>
      <c r="N3847" s="71">
        <v>1899</v>
      </c>
      <c r="O3847" s="66" t="s">
        <v>27</v>
      </c>
      <c r="P3847" s="82" t="s">
        <v>14276</v>
      </c>
      <c r="Q3847" s="84" t="s">
        <v>12818</v>
      </c>
      <c r="R3847" s="84" t="s">
        <v>9605</v>
      </c>
      <c r="S3847" s="84">
        <v>1.4999999999999999E-2</v>
      </c>
      <c r="T3847" s="82" t="s">
        <v>11332</v>
      </c>
      <c r="U3847" s="84"/>
      <c r="V3847" s="54"/>
    </row>
    <row r="3848" spans="1:22" s="11" customFormat="1" ht="45" customHeight="1" x14ac:dyDescent="0.2">
      <c r="A3848" s="66" t="s">
        <v>12818</v>
      </c>
      <c r="B3848" s="66" t="s">
        <v>1155</v>
      </c>
      <c r="C3848" s="66" t="s">
        <v>9605</v>
      </c>
      <c r="D3848" s="66" t="s">
        <v>26</v>
      </c>
      <c r="E3848" s="68" t="s">
        <v>14277</v>
      </c>
      <c r="F3848" s="66" t="s">
        <v>14278</v>
      </c>
      <c r="G3848" s="71">
        <v>1136</v>
      </c>
      <c r="H3848" s="73"/>
      <c r="I3848" s="75">
        <v>0.2</v>
      </c>
      <c r="J3848" s="77"/>
      <c r="K3848" s="66"/>
      <c r="L3848" s="66"/>
      <c r="M3848" s="79" t="str">
        <f>HYPERLINK("http://www.pristavka.com/catalog/Honkai_Star_Rail/HSR344/")</f>
        <v>http://www.pristavka.com/catalog/Honkai_Star_Rail/HSR344/</v>
      </c>
      <c r="N3848" s="71">
        <v>1899</v>
      </c>
      <c r="O3848" s="66" t="s">
        <v>27</v>
      </c>
      <c r="P3848" s="82" t="s">
        <v>14279</v>
      </c>
      <c r="Q3848" s="84" t="s">
        <v>12818</v>
      </c>
      <c r="R3848" s="84" t="s">
        <v>9605</v>
      </c>
      <c r="S3848" s="84">
        <v>1.6E-2</v>
      </c>
      <c r="T3848" s="82" t="s">
        <v>14202</v>
      </c>
      <c r="U3848" s="84"/>
      <c r="V3848" s="54"/>
    </row>
    <row r="3849" spans="1:22" s="11" customFormat="1" ht="45" customHeight="1" x14ac:dyDescent="0.2">
      <c r="A3849" s="66" t="s">
        <v>12818</v>
      </c>
      <c r="B3849" s="66" t="s">
        <v>1155</v>
      </c>
      <c r="C3849" s="66" t="s">
        <v>9605</v>
      </c>
      <c r="D3849" s="66" t="s">
        <v>26</v>
      </c>
      <c r="E3849" s="68" t="s">
        <v>14280</v>
      </c>
      <c r="F3849" s="66" t="s">
        <v>14281</v>
      </c>
      <c r="G3849" s="71">
        <v>1136</v>
      </c>
      <c r="H3849" s="73"/>
      <c r="I3849" s="75">
        <v>0.2</v>
      </c>
      <c r="J3849" s="77"/>
      <c r="K3849" s="66"/>
      <c r="L3849" s="66"/>
      <c r="M3849" s="79" t="str">
        <f>HYPERLINK("http://www.pristavka.com/catalog/Honkai_Star_Rail/HSR321/")</f>
        <v>http://www.pristavka.com/catalog/Honkai_Star_Rail/HSR321/</v>
      </c>
      <c r="N3849" s="71">
        <v>1899</v>
      </c>
      <c r="O3849" s="66" t="s">
        <v>27</v>
      </c>
      <c r="P3849" s="82" t="s">
        <v>14282</v>
      </c>
      <c r="Q3849" s="84" t="s">
        <v>12818</v>
      </c>
      <c r="R3849" s="84" t="s">
        <v>9605</v>
      </c>
      <c r="S3849" s="84">
        <v>1.7000000000000001E-2</v>
      </c>
      <c r="T3849" s="82" t="s">
        <v>9702</v>
      </c>
      <c r="U3849" s="84"/>
      <c r="V3849" s="54"/>
    </row>
    <row r="3850" spans="1:22" s="11" customFormat="1" ht="45" customHeight="1" x14ac:dyDescent="0.2">
      <c r="A3850" s="66" t="s">
        <v>12818</v>
      </c>
      <c r="B3850" s="66" t="s">
        <v>1155</v>
      </c>
      <c r="C3850" s="66" t="s">
        <v>9605</v>
      </c>
      <c r="D3850" s="66">
        <v>6942421137795</v>
      </c>
      <c r="E3850" s="68" t="s">
        <v>14283</v>
      </c>
      <c r="F3850" s="66" t="s">
        <v>14284</v>
      </c>
      <c r="G3850" s="71">
        <v>1358</v>
      </c>
      <c r="H3850" s="73"/>
      <c r="I3850" s="75">
        <v>0.2</v>
      </c>
      <c r="J3850" s="77"/>
      <c r="K3850" s="66"/>
      <c r="L3850" s="66"/>
      <c r="M3850" s="79" t="str">
        <f>HYPERLINK("http://www.pristavka.com/catalog/Honkai_Star_Rail/HSR279/")</f>
        <v>http://www.pristavka.com/catalog/Honkai_Star_Rail/HSR279/</v>
      </c>
      <c r="N3850" s="71">
        <v>2299</v>
      </c>
      <c r="O3850" s="66" t="s">
        <v>27</v>
      </c>
      <c r="P3850" s="82" t="s">
        <v>14285</v>
      </c>
      <c r="Q3850" s="84" t="s">
        <v>12818</v>
      </c>
      <c r="R3850" s="84" t="s">
        <v>9605</v>
      </c>
      <c r="S3850" s="84">
        <v>1.7000000000000001E-2</v>
      </c>
      <c r="T3850" s="82" t="s">
        <v>11208</v>
      </c>
      <c r="U3850" s="84"/>
      <c r="V3850" s="54"/>
    </row>
    <row r="3851" spans="1:22" s="11" customFormat="1" ht="45" customHeight="1" x14ac:dyDescent="0.2">
      <c r="A3851" s="66" t="s">
        <v>12818</v>
      </c>
      <c r="B3851" s="66" t="s">
        <v>1155</v>
      </c>
      <c r="C3851" s="66" t="s">
        <v>9605</v>
      </c>
      <c r="D3851" s="66">
        <v>6942421137801</v>
      </c>
      <c r="E3851" s="68" t="s">
        <v>14286</v>
      </c>
      <c r="F3851" s="66" t="s">
        <v>14287</v>
      </c>
      <c r="G3851" s="71">
        <v>1358</v>
      </c>
      <c r="H3851" s="73"/>
      <c r="I3851" s="75">
        <v>0.2</v>
      </c>
      <c r="J3851" s="77"/>
      <c r="K3851" s="66"/>
      <c r="L3851" s="66"/>
      <c r="M3851" s="79" t="str">
        <f>HYPERLINK("http://www.pristavka.com/catalog/Honkai_Star_Rail/HSR273/")</f>
        <v>http://www.pristavka.com/catalog/Honkai_Star_Rail/HSR273/</v>
      </c>
      <c r="N3851" s="71">
        <v>2299</v>
      </c>
      <c r="O3851" s="66" t="s">
        <v>27</v>
      </c>
      <c r="P3851" s="82" t="s">
        <v>14288</v>
      </c>
      <c r="Q3851" s="84" t="s">
        <v>12818</v>
      </c>
      <c r="R3851" s="84" t="s">
        <v>9605</v>
      </c>
      <c r="S3851" s="84">
        <v>1.6E-2</v>
      </c>
      <c r="T3851" s="82" t="s">
        <v>11332</v>
      </c>
      <c r="U3851" s="84"/>
      <c r="V3851" s="54"/>
    </row>
    <row r="3852" spans="1:22" s="11" customFormat="1" ht="45" customHeight="1" x14ac:dyDescent="0.2">
      <c r="A3852" s="66" t="s">
        <v>12818</v>
      </c>
      <c r="B3852" s="66" t="s">
        <v>1155</v>
      </c>
      <c r="C3852" s="66" t="s">
        <v>9605</v>
      </c>
      <c r="D3852" s="66">
        <v>6942421137771</v>
      </c>
      <c r="E3852" s="68" t="s">
        <v>14289</v>
      </c>
      <c r="F3852" s="66" t="s">
        <v>14290</v>
      </c>
      <c r="G3852" s="71">
        <v>1358</v>
      </c>
      <c r="H3852" s="73"/>
      <c r="I3852" s="75">
        <v>0.2</v>
      </c>
      <c r="J3852" s="77"/>
      <c r="K3852" s="66"/>
      <c r="L3852" s="66"/>
      <c r="M3852" s="79" t="str">
        <f>HYPERLINK("http://www.pristavka.com/catalog/Honkai_Star_Rail/HSR278/")</f>
        <v>http://www.pristavka.com/catalog/Honkai_Star_Rail/HSR278/</v>
      </c>
      <c r="N3852" s="71">
        <v>2299</v>
      </c>
      <c r="O3852" s="66" t="s">
        <v>27</v>
      </c>
      <c r="P3852" s="82" t="s">
        <v>14291</v>
      </c>
      <c r="Q3852" s="84" t="s">
        <v>12818</v>
      </c>
      <c r="R3852" s="84" t="s">
        <v>9605</v>
      </c>
      <c r="S3852" s="84">
        <v>1.7000000000000001E-2</v>
      </c>
      <c r="T3852" s="82" t="s">
        <v>11208</v>
      </c>
      <c r="U3852" s="84"/>
      <c r="V3852" s="54"/>
    </row>
    <row r="3853" spans="1:22" s="11" customFormat="1" ht="45" customHeight="1" x14ac:dyDescent="0.2">
      <c r="A3853" s="66" t="s">
        <v>12818</v>
      </c>
      <c r="B3853" s="66" t="s">
        <v>1155</v>
      </c>
      <c r="C3853" s="66" t="s">
        <v>9605</v>
      </c>
      <c r="D3853" s="66">
        <v>6942421137825</v>
      </c>
      <c r="E3853" s="68" t="s">
        <v>14292</v>
      </c>
      <c r="F3853" s="66" t="s">
        <v>14293</v>
      </c>
      <c r="G3853" s="71">
        <v>1358</v>
      </c>
      <c r="H3853" s="73"/>
      <c r="I3853" s="75">
        <v>0.2</v>
      </c>
      <c r="J3853" s="77"/>
      <c r="K3853" s="66"/>
      <c r="L3853" s="66"/>
      <c r="M3853" s="79" t="str">
        <f>HYPERLINK("http://www.pristavka.com/catalog/Honkai_Star_Rail/HSR276/")</f>
        <v>http://www.pristavka.com/catalog/Honkai_Star_Rail/HSR276/</v>
      </c>
      <c r="N3853" s="71">
        <v>2299</v>
      </c>
      <c r="O3853" s="66" t="s">
        <v>27</v>
      </c>
      <c r="P3853" s="82" t="s">
        <v>14294</v>
      </c>
      <c r="Q3853" s="84" t="s">
        <v>12818</v>
      </c>
      <c r="R3853" s="84" t="s">
        <v>9605</v>
      </c>
      <c r="S3853" s="84">
        <v>1.7000000000000001E-2</v>
      </c>
      <c r="T3853" s="82" t="s">
        <v>11002</v>
      </c>
      <c r="U3853" s="84"/>
      <c r="V3853" s="54"/>
    </row>
    <row r="3854" spans="1:22" s="11" customFormat="1" ht="45" customHeight="1" x14ac:dyDescent="0.2">
      <c r="A3854" s="66" t="s">
        <v>12818</v>
      </c>
      <c r="B3854" s="66" t="s">
        <v>1155</v>
      </c>
      <c r="C3854" s="66" t="s">
        <v>9605</v>
      </c>
      <c r="D3854" s="66">
        <v>6942421137832</v>
      </c>
      <c r="E3854" s="68" t="s">
        <v>14295</v>
      </c>
      <c r="F3854" s="66" t="s">
        <v>14296</v>
      </c>
      <c r="G3854" s="71">
        <v>1358</v>
      </c>
      <c r="H3854" s="73"/>
      <c r="I3854" s="75">
        <v>0.2</v>
      </c>
      <c r="J3854" s="77"/>
      <c r="K3854" s="66"/>
      <c r="L3854" s="66"/>
      <c r="M3854" s="79" t="str">
        <f>HYPERLINK("http://www.pristavka.com/catalog/Honkai_Star_Rail/HSR277/")</f>
        <v>http://www.pristavka.com/catalog/Honkai_Star_Rail/HSR277/</v>
      </c>
      <c r="N3854" s="71">
        <v>2299</v>
      </c>
      <c r="O3854" s="66" t="s">
        <v>27</v>
      </c>
      <c r="P3854" s="82" t="s">
        <v>14297</v>
      </c>
      <c r="Q3854" s="84" t="s">
        <v>12818</v>
      </c>
      <c r="R3854" s="84" t="s">
        <v>9605</v>
      </c>
      <c r="S3854" s="84">
        <v>1.7000000000000001E-2</v>
      </c>
      <c r="T3854" s="82" t="s">
        <v>11208</v>
      </c>
      <c r="U3854" s="84"/>
      <c r="V3854" s="54"/>
    </row>
    <row r="3855" spans="1:22" s="11" customFormat="1" ht="45" customHeight="1" x14ac:dyDescent="0.2">
      <c r="A3855" s="66" t="s">
        <v>12818</v>
      </c>
      <c r="B3855" s="66" t="s">
        <v>1155</v>
      </c>
      <c r="C3855" s="66" t="s">
        <v>9605</v>
      </c>
      <c r="D3855" s="66">
        <v>6942421137818</v>
      </c>
      <c r="E3855" s="68" t="s">
        <v>14298</v>
      </c>
      <c r="F3855" s="66" t="s">
        <v>14299</v>
      </c>
      <c r="G3855" s="71">
        <v>1358</v>
      </c>
      <c r="H3855" s="73"/>
      <c r="I3855" s="75">
        <v>0.2</v>
      </c>
      <c r="J3855" s="77"/>
      <c r="K3855" s="66"/>
      <c r="L3855" s="66"/>
      <c r="M3855" s="79" t="str">
        <f>HYPERLINK("http://www.pristavka.com/catalog/Honkai_Star_Rail/HSR275/")</f>
        <v>http://www.pristavka.com/catalog/Honkai_Star_Rail/HSR275/</v>
      </c>
      <c r="N3855" s="71">
        <v>2299</v>
      </c>
      <c r="O3855" s="66" t="s">
        <v>27</v>
      </c>
      <c r="P3855" s="82" t="s">
        <v>14300</v>
      </c>
      <c r="Q3855" s="84" t="s">
        <v>12818</v>
      </c>
      <c r="R3855" s="84" t="s">
        <v>9605</v>
      </c>
      <c r="S3855" s="84">
        <v>1.6E-2</v>
      </c>
      <c r="T3855" s="82" t="s">
        <v>10486</v>
      </c>
      <c r="U3855" s="84"/>
      <c r="V3855" s="54"/>
    </row>
    <row r="3856" spans="1:22" s="11" customFormat="1" ht="45" customHeight="1" x14ac:dyDescent="0.2">
      <c r="A3856" s="66" t="s">
        <v>12818</v>
      </c>
      <c r="B3856" s="66" t="s">
        <v>1155</v>
      </c>
      <c r="C3856" s="66" t="s">
        <v>9605</v>
      </c>
      <c r="D3856" s="66">
        <v>6942421137788</v>
      </c>
      <c r="E3856" s="68" t="s">
        <v>14301</v>
      </c>
      <c r="F3856" s="66" t="s">
        <v>14302</v>
      </c>
      <c r="G3856" s="71">
        <v>1358</v>
      </c>
      <c r="H3856" s="73"/>
      <c r="I3856" s="75">
        <v>0.2</v>
      </c>
      <c r="J3856" s="77"/>
      <c r="K3856" s="66"/>
      <c r="L3856" s="66"/>
      <c r="M3856" s="79" t="str">
        <f>HYPERLINK("http://www.pristavka.com/catalog/Honkai_Star_Rail/HSR274/")</f>
        <v>http://www.pristavka.com/catalog/Honkai_Star_Rail/HSR274/</v>
      </c>
      <c r="N3856" s="71">
        <v>2299</v>
      </c>
      <c r="O3856" s="66" t="s">
        <v>27</v>
      </c>
      <c r="P3856" s="82" t="s">
        <v>14303</v>
      </c>
      <c r="Q3856" s="84" t="s">
        <v>12818</v>
      </c>
      <c r="R3856" s="84" t="s">
        <v>9605</v>
      </c>
      <c r="S3856" s="84">
        <v>1.7000000000000001E-2</v>
      </c>
      <c r="T3856" s="82" t="s">
        <v>11208</v>
      </c>
      <c r="U3856" s="84"/>
      <c r="V3856" s="54"/>
    </row>
    <row r="3857" spans="1:22" s="11" customFormat="1" ht="45" customHeight="1" x14ac:dyDescent="0.2">
      <c r="A3857" s="66" t="s">
        <v>12818</v>
      </c>
      <c r="B3857" s="66" t="s">
        <v>1155</v>
      </c>
      <c r="C3857" s="66" t="s">
        <v>9605</v>
      </c>
      <c r="D3857" s="66">
        <v>6975628249954</v>
      </c>
      <c r="E3857" s="68" t="s">
        <v>14304</v>
      </c>
      <c r="F3857" s="66" t="s">
        <v>14305</v>
      </c>
      <c r="G3857" s="71">
        <v>1516</v>
      </c>
      <c r="H3857" s="73"/>
      <c r="I3857" s="75">
        <v>0.2</v>
      </c>
      <c r="J3857" s="77"/>
      <c r="K3857" s="66"/>
      <c r="L3857" s="66"/>
      <c r="M3857" s="79" t="str">
        <f>HYPERLINK("http://www.pristavka.com/catalog/Honkai_Star_Rail/HSR76/")</f>
        <v>http://www.pristavka.com/catalog/Honkai_Star_Rail/HSR76/</v>
      </c>
      <c r="N3857" s="71">
        <v>2599</v>
      </c>
      <c r="O3857" s="66" t="s">
        <v>27</v>
      </c>
      <c r="P3857" s="82" t="s">
        <v>14306</v>
      </c>
      <c r="Q3857" s="84" t="s">
        <v>12818</v>
      </c>
      <c r="R3857" s="84" t="s">
        <v>9605</v>
      </c>
      <c r="S3857" s="84">
        <v>0.02</v>
      </c>
      <c r="T3857" s="82" t="s">
        <v>14307</v>
      </c>
      <c r="U3857" s="84"/>
      <c r="V3857" s="54"/>
    </row>
    <row r="3858" spans="1:22" s="11" customFormat="1" ht="45" customHeight="1" x14ac:dyDescent="0.2">
      <c r="A3858" s="66" t="s">
        <v>12818</v>
      </c>
      <c r="B3858" s="66" t="s">
        <v>1155</v>
      </c>
      <c r="C3858" s="66" t="s">
        <v>9605</v>
      </c>
      <c r="D3858" s="66">
        <v>6976068147251</v>
      </c>
      <c r="E3858" s="68" t="s">
        <v>14308</v>
      </c>
      <c r="F3858" s="66" t="s">
        <v>14309</v>
      </c>
      <c r="G3858" s="71">
        <v>1516</v>
      </c>
      <c r="H3858" s="73"/>
      <c r="I3858" s="75">
        <v>0.2</v>
      </c>
      <c r="J3858" s="77"/>
      <c r="K3858" s="66"/>
      <c r="L3858" s="66"/>
      <c r="M3858" s="79" t="str">
        <f>HYPERLINK("http://www.pristavka.com/catalog/Honkai_Star_Rail/HSR78/")</f>
        <v>http://www.pristavka.com/catalog/Honkai_Star_Rail/HSR78/</v>
      </c>
      <c r="N3858" s="71">
        <v>2599</v>
      </c>
      <c r="O3858" s="66" t="s">
        <v>27</v>
      </c>
      <c r="P3858" s="82" t="s">
        <v>14310</v>
      </c>
      <c r="Q3858" s="84" t="s">
        <v>12818</v>
      </c>
      <c r="R3858" s="84" t="s">
        <v>9605</v>
      </c>
      <c r="S3858" s="84">
        <v>0.02</v>
      </c>
      <c r="T3858" s="82" t="s">
        <v>14307</v>
      </c>
      <c r="U3858" s="84"/>
      <c r="V3858" s="54"/>
    </row>
    <row r="3859" spans="1:22" s="11" customFormat="1" ht="45" customHeight="1" x14ac:dyDescent="0.2">
      <c r="A3859" s="66" t="s">
        <v>12818</v>
      </c>
      <c r="B3859" s="66" t="s">
        <v>1155</v>
      </c>
      <c r="C3859" s="66" t="s">
        <v>9605</v>
      </c>
      <c r="D3859" s="66">
        <v>6942421144618</v>
      </c>
      <c r="E3859" s="68" t="s">
        <v>14311</v>
      </c>
      <c r="F3859" s="66" t="s">
        <v>14312</v>
      </c>
      <c r="G3859" s="71">
        <v>1358</v>
      </c>
      <c r="H3859" s="73"/>
      <c r="I3859" s="75">
        <v>0.2</v>
      </c>
      <c r="J3859" s="77"/>
      <c r="K3859" s="66"/>
      <c r="L3859" s="66"/>
      <c r="M3859" s="79" t="str">
        <f>HYPERLINK("http://www.pristavka.com/catalog/Honkai_Star_Rail/HSR251/")</f>
        <v>http://www.pristavka.com/catalog/Honkai_Star_Rail/HSR251/</v>
      </c>
      <c r="N3859" s="71">
        <v>2299</v>
      </c>
      <c r="O3859" s="66" t="s">
        <v>27</v>
      </c>
      <c r="P3859" s="82" t="s">
        <v>14313</v>
      </c>
      <c r="Q3859" s="84" t="s">
        <v>12818</v>
      </c>
      <c r="R3859" s="84" t="s">
        <v>9605</v>
      </c>
      <c r="S3859" s="84">
        <v>1.4E-2</v>
      </c>
      <c r="T3859" s="82" t="s">
        <v>11272</v>
      </c>
      <c r="U3859" s="84"/>
      <c r="V3859" s="54"/>
    </row>
    <row r="3860" spans="1:22" s="11" customFormat="1" ht="45" customHeight="1" x14ac:dyDescent="0.2">
      <c r="A3860" s="66" t="s">
        <v>12818</v>
      </c>
      <c r="B3860" s="66" t="s">
        <v>1155</v>
      </c>
      <c r="C3860" s="66" t="s">
        <v>9605</v>
      </c>
      <c r="D3860" s="66">
        <v>6942421144625</v>
      </c>
      <c r="E3860" s="68" t="s">
        <v>14314</v>
      </c>
      <c r="F3860" s="66" t="s">
        <v>14315</v>
      </c>
      <c r="G3860" s="71">
        <v>1358</v>
      </c>
      <c r="H3860" s="73"/>
      <c r="I3860" s="75">
        <v>0.2</v>
      </c>
      <c r="J3860" s="77"/>
      <c r="K3860" s="66"/>
      <c r="L3860" s="66"/>
      <c r="M3860" s="79" t="str">
        <f>HYPERLINK("http://www.pristavka.com/catalog/Honkai_Star_Rail/HSR252/")</f>
        <v>http://www.pristavka.com/catalog/Honkai_Star_Rail/HSR252/</v>
      </c>
      <c r="N3860" s="71">
        <v>2299</v>
      </c>
      <c r="O3860" s="66" t="s">
        <v>27</v>
      </c>
      <c r="P3860" s="82" t="s">
        <v>14316</v>
      </c>
      <c r="Q3860" s="84" t="s">
        <v>12818</v>
      </c>
      <c r="R3860" s="84" t="s">
        <v>9605</v>
      </c>
      <c r="S3860" s="84">
        <v>2.1999999999999999E-2</v>
      </c>
      <c r="T3860" s="82" t="s">
        <v>10450</v>
      </c>
      <c r="U3860" s="84"/>
      <c r="V3860" s="54"/>
    </row>
    <row r="3861" spans="1:22" s="11" customFormat="1" ht="45" customHeight="1" x14ac:dyDescent="0.2">
      <c r="A3861" s="66" t="s">
        <v>12818</v>
      </c>
      <c r="B3861" s="66" t="s">
        <v>1155</v>
      </c>
      <c r="C3861" s="66" t="s">
        <v>9605</v>
      </c>
      <c r="D3861" s="66">
        <v>6942421144632</v>
      </c>
      <c r="E3861" s="68" t="s">
        <v>14317</v>
      </c>
      <c r="F3861" s="66" t="s">
        <v>14318</v>
      </c>
      <c r="G3861" s="71">
        <v>1358</v>
      </c>
      <c r="H3861" s="73"/>
      <c r="I3861" s="75">
        <v>0.2</v>
      </c>
      <c r="J3861" s="77"/>
      <c r="K3861" s="66"/>
      <c r="L3861" s="66"/>
      <c r="M3861" s="79" t="str">
        <f>HYPERLINK("http://www.pristavka.com/catalog/Honkai_Star_Rail/HSR253/")</f>
        <v>http://www.pristavka.com/catalog/Honkai_Star_Rail/HSR253/</v>
      </c>
      <c r="N3861" s="71">
        <v>2299</v>
      </c>
      <c r="O3861" s="66" t="s">
        <v>27</v>
      </c>
      <c r="P3861" s="82" t="s">
        <v>14319</v>
      </c>
      <c r="Q3861" s="84" t="s">
        <v>12818</v>
      </c>
      <c r="R3861" s="84" t="s">
        <v>9605</v>
      </c>
      <c r="S3861" s="84">
        <v>2.1999999999999999E-2</v>
      </c>
      <c r="T3861" s="82" t="s">
        <v>11384</v>
      </c>
      <c r="U3861" s="84"/>
      <c r="V3861" s="54"/>
    </row>
    <row r="3862" spans="1:22" s="11" customFormat="1" ht="45" customHeight="1" x14ac:dyDescent="0.2">
      <c r="A3862" s="66" t="s">
        <v>12818</v>
      </c>
      <c r="B3862" s="66" t="s">
        <v>1155</v>
      </c>
      <c r="C3862" s="66" t="s">
        <v>9605</v>
      </c>
      <c r="D3862" s="66">
        <v>6976068142683</v>
      </c>
      <c r="E3862" s="68" t="s">
        <v>14320</v>
      </c>
      <c r="F3862" s="66" t="s">
        <v>14321</v>
      </c>
      <c r="G3862" s="71">
        <v>1262</v>
      </c>
      <c r="H3862" s="73"/>
      <c r="I3862" s="75">
        <v>0.2</v>
      </c>
      <c r="J3862" s="77"/>
      <c r="K3862" s="66"/>
      <c r="L3862" s="66"/>
      <c r="M3862" s="79" t="str">
        <f>HYPERLINK("http://www.pristavka.com/catalog/Honkai_Star_Rail/HSR16/")</f>
        <v>http://www.pristavka.com/catalog/Honkai_Star_Rail/HSR16/</v>
      </c>
      <c r="N3862" s="71">
        <v>2199</v>
      </c>
      <c r="O3862" s="66" t="s">
        <v>27</v>
      </c>
      <c r="P3862" s="82" t="s">
        <v>14322</v>
      </c>
      <c r="Q3862" s="84" t="s">
        <v>12818</v>
      </c>
      <c r="R3862" s="84" t="s">
        <v>9605</v>
      </c>
      <c r="S3862" s="84">
        <v>2.5000000000000001E-2</v>
      </c>
      <c r="T3862" s="82" t="s">
        <v>14091</v>
      </c>
      <c r="U3862" s="84"/>
      <c r="V3862" s="54"/>
    </row>
    <row r="3863" spans="1:22" s="11" customFormat="1" ht="45" customHeight="1" x14ac:dyDescent="0.2">
      <c r="A3863" s="66" t="s">
        <v>12818</v>
      </c>
      <c r="B3863" s="66" t="s">
        <v>1155</v>
      </c>
      <c r="C3863" s="66" t="s">
        <v>9605</v>
      </c>
      <c r="D3863" s="66">
        <v>6975628249909</v>
      </c>
      <c r="E3863" s="68" t="s">
        <v>14323</v>
      </c>
      <c r="F3863" s="66" t="s">
        <v>14324</v>
      </c>
      <c r="G3863" s="71">
        <v>1262</v>
      </c>
      <c r="H3863" s="73"/>
      <c r="I3863" s="75">
        <v>0.2</v>
      </c>
      <c r="J3863" s="77"/>
      <c r="K3863" s="66"/>
      <c r="L3863" s="66"/>
      <c r="M3863" s="79" t="str">
        <f>HYPERLINK("http://www.pristavka.com/catalog/Honkai_Star_Rail/HSR18/")</f>
        <v>http://www.pristavka.com/catalog/Honkai_Star_Rail/HSR18/</v>
      </c>
      <c r="N3863" s="71">
        <v>2199</v>
      </c>
      <c r="O3863" s="66" t="s">
        <v>27</v>
      </c>
      <c r="P3863" s="82" t="s">
        <v>14325</v>
      </c>
      <c r="Q3863" s="84" t="s">
        <v>12818</v>
      </c>
      <c r="R3863" s="84" t="s">
        <v>9605</v>
      </c>
      <c r="S3863" s="84">
        <v>2.5000000000000001E-2</v>
      </c>
      <c r="T3863" s="82" t="s">
        <v>14091</v>
      </c>
      <c r="U3863" s="84"/>
      <c r="V3863" s="54"/>
    </row>
    <row r="3864" spans="1:22" s="11" customFormat="1" ht="45" customHeight="1" x14ac:dyDescent="0.2">
      <c r="A3864" s="66" t="s">
        <v>12818</v>
      </c>
      <c r="B3864" s="66" t="s">
        <v>1155</v>
      </c>
      <c r="C3864" s="66" t="s">
        <v>9605</v>
      </c>
      <c r="D3864" s="66">
        <v>6975628249794</v>
      </c>
      <c r="E3864" s="68" t="s">
        <v>14326</v>
      </c>
      <c r="F3864" s="66" t="s">
        <v>14327</v>
      </c>
      <c r="G3864" s="71">
        <v>1262</v>
      </c>
      <c r="H3864" s="73"/>
      <c r="I3864" s="75">
        <v>0.2</v>
      </c>
      <c r="J3864" s="77"/>
      <c r="K3864" s="66"/>
      <c r="L3864" s="66"/>
      <c r="M3864" s="79" t="str">
        <f>HYPERLINK("http://www.pristavka.com/catalog/Honkai_Star_Rail/HSR15/")</f>
        <v>http://www.pristavka.com/catalog/Honkai_Star_Rail/HSR15/</v>
      </c>
      <c r="N3864" s="71">
        <v>2199</v>
      </c>
      <c r="O3864" s="66" t="s">
        <v>27</v>
      </c>
      <c r="P3864" s="82" t="s">
        <v>14328</v>
      </c>
      <c r="Q3864" s="84" t="s">
        <v>12818</v>
      </c>
      <c r="R3864" s="84" t="s">
        <v>9605</v>
      </c>
      <c r="S3864" s="84">
        <v>2.8000000000000001E-2</v>
      </c>
      <c r="T3864" s="82" t="s">
        <v>14329</v>
      </c>
      <c r="U3864" s="84"/>
      <c r="V3864" s="54"/>
    </row>
    <row r="3865" spans="1:22" s="11" customFormat="1" ht="45" customHeight="1" x14ac:dyDescent="0.2">
      <c r="A3865" s="66" t="s">
        <v>12818</v>
      </c>
      <c r="B3865" s="66" t="s">
        <v>1155</v>
      </c>
      <c r="C3865" s="66" t="s">
        <v>9605</v>
      </c>
      <c r="D3865" s="66">
        <v>6942421133636</v>
      </c>
      <c r="E3865" s="68" t="s">
        <v>14330</v>
      </c>
      <c r="F3865" s="66" t="s">
        <v>14331</v>
      </c>
      <c r="G3865" s="71">
        <v>4088</v>
      </c>
      <c r="H3865" s="73"/>
      <c r="I3865" s="75">
        <v>0.2</v>
      </c>
      <c r="J3865" s="77"/>
      <c r="K3865" s="66"/>
      <c r="L3865" s="66"/>
      <c r="M3865" s="79" t="str">
        <f>HYPERLINK("http://www.pristavka.com/catalog/Honkai_Star_Rail/HSR264/")</f>
        <v>http://www.pristavka.com/catalog/Honkai_Star_Rail/HSR264/</v>
      </c>
      <c r="N3865" s="71">
        <v>6899</v>
      </c>
      <c r="O3865" s="66" t="s">
        <v>27</v>
      </c>
      <c r="P3865" s="82" t="s">
        <v>14332</v>
      </c>
      <c r="Q3865" s="84" t="s">
        <v>12818</v>
      </c>
      <c r="R3865" s="84" t="s">
        <v>9605</v>
      </c>
      <c r="S3865" s="84">
        <v>2.5000000000000001E-2</v>
      </c>
      <c r="T3865" s="82" t="s">
        <v>11183</v>
      </c>
      <c r="U3865" s="84"/>
      <c r="V3865" s="54"/>
    </row>
    <row r="3866" spans="1:22" s="11" customFormat="1" ht="45" customHeight="1" x14ac:dyDescent="0.2">
      <c r="A3866" s="66" t="s">
        <v>12818</v>
      </c>
      <c r="B3866" s="66" t="s">
        <v>1155</v>
      </c>
      <c r="C3866" s="66" t="s">
        <v>9605</v>
      </c>
      <c r="D3866" s="66">
        <v>6942421133643</v>
      </c>
      <c r="E3866" s="68" t="s">
        <v>14333</v>
      </c>
      <c r="F3866" s="66" t="s">
        <v>14334</v>
      </c>
      <c r="G3866" s="71">
        <v>4088</v>
      </c>
      <c r="H3866" s="73"/>
      <c r="I3866" s="75">
        <v>0.2</v>
      </c>
      <c r="J3866" s="77"/>
      <c r="K3866" s="66"/>
      <c r="L3866" s="66"/>
      <c r="M3866" s="79" t="str">
        <f>HYPERLINK("http://www.pristavka.com/catalog/Honkai_Star_Rail/HSR265/")</f>
        <v>http://www.pristavka.com/catalog/Honkai_Star_Rail/HSR265/</v>
      </c>
      <c r="N3866" s="71">
        <v>6899</v>
      </c>
      <c r="O3866" s="66" t="s">
        <v>27</v>
      </c>
      <c r="P3866" s="82" t="s">
        <v>14335</v>
      </c>
      <c r="Q3866" s="84" t="s">
        <v>12818</v>
      </c>
      <c r="R3866" s="84" t="s">
        <v>9605</v>
      </c>
      <c r="S3866" s="84">
        <v>2.1999999999999999E-2</v>
      </c>
      <c r="T3866" s="82" t="s">
        <v>14336</v>
      </c>
      <c r="U3866" s="84"/>
      <c r="V3866" s="54"/>
    </row>
    <row r="3867" spans="1:22" s="11" customFormat="1" ht="45" customHeight="1" x14ac:dyDescent="0.2">
      <c r="A3867" s="66" t="s">
        <v>12818</v>
      </c>
      <c r="B3867" s="66" t="s">
        <v>1155</v>
      </c>
      <c r="C3867" s="66" t="s">
        <v>9605</v>
      </c>
      <c r="D3867" s="66">
        <v>6942421133612</v>
      </c>
      <c r="E3867" s="68" t="s">
        <v>14337</v>
      </c>
      <c r="F3867" s="66" t="s">
        <v>14338</v>
      </c>
      <c r="G3867" s="71">
        <v>4088</v>
      </c>
      <c r="H3867" s="73"/>
      <c r="I3867" s="75">
        <v>0.2</v>
      </c>
      <c r="J3867" s="77"/>
      <c r="K3867" s="66"/>
      <c r="L3867" s="66"/>
      <c r="M3867" s="79" t="str">
        <f>HYPERLINK("http://www.pristavka.com/catalog/Honkai_Star_Rail/HSR262/")</f>
        <v>http://www.pristavka.com/catalog/Honkai_Star_Rail/HSR262/</v>
      </c>
      <c r="N3867" s="71">
        <v>6899</v>
      </c>
      <c r="O3867" s="66" t="s">
        <v>27</v>
      </c>
      <c r="P3867" s="82" t="s">
        <v>14339</v>
      </c>
      <c r="Q3867" s="84" t="s">
        <v>12818</v>
      </c>
      <c r="R3867" s="84" t="s">
        <v>9605</v>
      </c>
      <c r="S3867" s="84">
        <v>2.3E-2</v>
      </c>
      <c r="T3867" s="82" t="s">
        <v>14340</v>
      </c>
      <c r="U3867" s="84"/>
      <c r="V3867" s="54"/>
    </row>
    <row r="3868" spans="1:22" s="11" customFormat="1" ht="45" customHeight="1" x14ac:dyDescent="0.2">
      <c r="A3868" s="66" t="s">
        <v>12818</v>
      </c>
      <c r="B3868" s="66" t="s">
        <v>1155</v>
      </c>
      <c r="C3868" s="66" t="s">
        <v>9605</v>
      </c>
      <c r="D3868" s="66">
        <v>6942421146957</v>
      </c>
      <c r="E3868" s="68" t="s">
        <v>14341</v>
      </c>
      <c r="F3868" s="66" t="s">
        <v>14342</v>
      </c>
      <c r="G3868" s="71">
        <v>5673</v>
      </c>
      <c r="H3868" s="73"/>
      <c r="I3868" s="75">
        <v>0.2</v>
      </c>
      <c r="J3868" s="77"/>
      <c r="K3868" s="66"/>
      <c r="L3868" s="66"/>
      <c r="M3868" s="79" t="str">
        <f>HYPERLINK("http://www.pristavka.com/catalog/Honkai_Star_Rail/HSR261/")</f>
        <v>http://www.pristavka.com/catalog/Honkai_Star_Rail/HSR261/</v>
      </c>
      <c r="N3868" s="71">
        <v>9499</v>
      </c>
      <c r="O3868" s="66" t="s">
        <v>27</v>
      </c>
      <c r="P3868" s="82" t="s">
        <v>14343</v>
      </c>
      <c r="Q3868" s="84" t="s">
        <v>12818</v>
      </c>
      <c r="R3868" s="84" t="s">
        <v>9605</v>
      </c>
      <c r="S3868" s="84">
        <v>0.1</v>
      </c>
      <c r="T3868" s="82" t="s">
        <v>14344</v>
      </c>
      <c r="U3868" s="84"/>
      <c r="V3868" s="54"/>
    </row>
    <row r="3869" spans="1:22" s="11" customFormat="1" ht="45" customHeight="1" x14ac:dyDescent="0.2">
      <c r="A3869" s="66" t="s">
        <v>12818</v>
      </c>
      <c r="B3869" s="66" t="s">
        <v>1155</v>
      </c>
      <c r="C3869" s="66" t="s">
        <v>9605</v>
      </c>
      <c r="D3869" s="66">
        <v>6942421146940</v>
      </c>
      <c r="E3869" s="68" t="s">
        <v>14345</v>
      </c>
      <c r="F3869" s="66" t="s">
        <v>14346</v>
      </c>
      <c r="G3869" s="71">
        <v>5673</v>
      </c>
      <c r="H3869" s="73"/>
      <c r="I3869" s="75">
        <v>0.2</v>
      </c>
      <c r="J3869" s="77"/>
      <c r="K3869" s="66"/>
      <c r="L3869" s="66"/>
      <c r="M3869" s="79" t="str">
        <f>HYPERLINK("http://www.pristavka.com/catalog/Honkai_Star_Rail/HSR260/")</f>
        <v>http://www.pristavka.com/catalog/Honkai_Star_Rail/HSR260/</v>
      </c>
      <c r="N3869" s="71">
        <v>9499</v>
      </c>
      <c r="O3869" s="66" t="s">
        <v>27</v>
      </c>
      <c r="P3869" s="82" t="s">
        <v>14347</v>
      </c>
      <c r="Q3869" s="84" t="s">
        <v>12818</v>
      </c>
      <c r="R3869" s="84" t="s">
        <v>9605</v>
      </c>
      <c r="S3869" s="84">
        <v>0.106</v>
      </c>
      <c r="T3869" s="82" t="s">
        <v>14348</v>
      </c>
      <c r="U3869" s="84"/>
      <c r="V3869" s="54"/>
    </row>
    <row r="3870" spans="1:22" s="11" customFormat="1" ht="45" customHeight="1" x14ac:dyDescent="0.2">
      <c r="A3870" s="66" t="s">
        <v>12818</v>
      </c>
      <c r="B3870" s="66" t="s">
        <v>1155</v>
      </c>
      <c r="C3870" s="66" t="s">
        <v>9605</v>
      </c>
      <c r="D3870" s="66">
        <v>6942421133667</v>
      </c>
      <c r="E3870" s="68" t="s">
        <v>14349</v>
      </c>
      <c r="F3870" s="66" t="s">
        <v>14350</v>
      </c>
      <c r="G3870" s="71">
        <v>4088</v>
      </c>
      <c r="H3870" s="73"/>
      <c r="I3870" s="75">
        <v>0.2</v>
      </c>
      <c r="J3870" s="77"/>
      <c r="K3870" s="66"/>
      <c r="L3870" s="66"/>
      <c r="M3870" s="79" t="str">
        <f>HYPERLINK("http://www.pristavka.com/catalog/Honkai_Star_Rail/HSR266/")</f>
        <v>http://www.pristavka.com/catalog/Honkai_Star_Rail/HSR266/</v>
      </c>
      <c r="N3870" s="71">
        <v>6899</v>
      </c>
      <c r="O3870" s="66" t="s">
        <v>27</v>
      </c>
      <c r="P3870" s="82" t="s">
        <v>14351</v>
      </c>
      <c r="Q3870" s="84" t="s">
        <v>12818</v>
      </c>
      <c r="R3870" s="84" t="s">
        <v>9605</v>
      </c>
      <c r="S3870" s="84">
        <v>2.4E-2</v>
      </c>
      <c r="T3870" s="82" t="s">
        <v>14340</v>
      </c>
      <c r="U3870" s="84"/>
      <c r="V3870" s="54"/>
    </row>
    <row r="3871" spans="1:22" s="11" customFormat="1" ht="45" customHeight="1" x14ac:dyDescent="0.2">
      <c r="A3871" s="66" t="s">
        <v>12818</v>
      </c>
      <c r="B3871" s="66" t="s">
        <v>1155</v>
      </c>
      <c r="C3871" s="66" t="s">
        <v>9605</v>
      </c>
      <c r="D3871" s="66">
        <v>6942421133674</v>
      </c>
      <c r="E3871" s="68" t="s">
        <v>14352</v>
      </c>
      <c r="F3871" s="66" t="s">
        <v>14353</v>
      </c>
      <c r="G3871" s="71">
        <v>4088</v>
      </c>
      <c r="H3871" s="73"/>
      <c r="I3871" s="75">
        <v>0.2</v>
      </c>
      <c r="J3871" s="77"/>
      <c r="K3871" s="66"/>
      <c r="L3871" s="66"/>
      <c r="M3871" s="79" t="str">
        <f>HYPERLINK("http://www.pristavka.com/catalog/Honkai_Star_Rail/HSR267/")</f>
        <v>http://www.pristavka.com/catalog/Honkai_Star_Rail/HSR267/</v>
      </c>
      <c r="N3871" s="71">
        <v>6899</v>
      </c>
      <c r="O3871" s="66" t="s">
        <v>27</v>
      </c>
      <c r="P3871" s="82" t="s">
        <v>14354</v>
      </c>
      <c r="Q3871" s="84" t="s">
        <v>12818</v>
      </c>
      <c r="R3871" s="84" t="s">
        <v>9605</v>
      </c>
      <c r="S3871" s="84">
        <v>2.3E-2</v>
      </c>
      <c r="T3871" s="82" t="s">
        <v>14355</v>
      </c>
      <c r="U3871" s="84"/>
      <c r="V3871" s="54"/>
    </row>
    <row r="3872" spans="1:22" s="11" customFormat="1" ht="45" customHeight="1" x14ac:dyDescent="0.2">
      <c r="A3872" s="66" t="s">
        <v>12818</v>
      </c>
      <c r="B3872" s="66" t="s">
        <v>1155</v>
      </c>
      <c r="C3872" s="66" t="s">
        <v>9605</v>
      </c>
      <c r="D3872" s="66">
        <v>6942421133629</v>
      </c>
      <c r="E3872" s="68" t="s">
        <v>14356</v>
      </c>
      <c r="F3872" s="66" t="s">
        <v>14357</v>
      </c>
      <c r="G3872" s="71">
        <v>4088</v>
      </c>
      <c r="H3872" s="73"/>
      <c r="I3872" s="75">
        <v>0.2</v>
      </c>
      <c r="J3872" s="77"/>
      <c r="K3872" s="66"/>
      <c r="L3872" s="66"/>
      <c r="M3872" s="79" t="str">
        <f>HYPERLINK("http://www.pristavka.com/catalog/Honkai_Star_Rail/HSR263/")</f>
        <v>http://www.pristavka.com/catalog/Honkai_Star_Rail/HSR263/</v>
      </c>
      <c r="N3872" s="71">
        <v>6899</v>
      </c>
      <c r="O3872" s="66" t="s">
        <v>27</v>
      </c>
      <c r="P3872" s="82" t="s">
        <v>14358</v>
      </c>
      <c r="Q3872" s="84" t="s">
        <v>12818</v>
      </c>
      <c r="R3872" s="84" t="s">
        <v>9605</v>
      </c>
      <c r="S3872" s="84">
        <v>2.5000000000000001E-2</v>
      </c>
      <c r="T3872" s="82" t="s">
        <v>14340</v>
      </c>
      <c r="U3872" s="84"/>
      <c r="V3872" s="54"/>
    </row>
    <row r="3873" spans="1:22" s="11" customFormat="1" ht="45" customHeight="1" x14ac:dyDescent="0.2">
      <c r="A3873" s="66" t="s">
        <v>12818</v>
      </c>
      <c r="B3873" s="66" t="s">
        <v>1155</v>
      </c>
      <c r="C3873" s="66" t="s">
        <v>9605</v>
      </c>
      <c r="D3873" s="66">
        <v>6976068142645</v>
      </c>
      <c r="E3873" s="68" t="s">
        <v>14359</v>
      </c>
      <c r="F3873" s="66" t="s">
        <v>14360</v>
      </c>
      <c r="G3873" s="71">
        <v>1262</v>
      </c>
      <c r="H3873" s="73"/>
      <c r="I3873" s="75">
        <v>0.2</v>
      </c>
      <c r="J3873" s="77"/>
      <c r="K3873" s="66"/>
      <c r="L3873" s="66"/>
      <c r="M3873" s="79" t="str">
        <f>HYPERLINK("http://www.pristavka.com/catalog/Honkai_Star_Rail/HSR9/")</f>
        <v>http://www.pristavka.com/catalog/Honkai_Star_Rail/HSR9/</v>
      </c>
      <c r="N3873" s="71">
        <v>2199</v>
      </c>
      <c r="O3873" s="66" t="s">
        <v>27</v>
      </c>
      <c r="P3873" s="82" t="s">
        <v>14361</v>
      </c>
      <c r="Q3873" s="84" t="s">
        <v>12818</v>
      </c>
      <c r="R3873" s="84" t="s">
        <v>9605</v>
      </c>
      <c r="S3873" s="84">
        <v>2.5000000000000001E-2</v>
      </c>
      <c r="T3873" s="82" t="s">
        <v>10998</v>
      </c>
      <c r="U3873" s="84"/>
      <c r="V3873" s="54"/>
    </row>
    <row r="3874" spans="1:22" s="11" customFormat="1" ht="45" customHeight="1" x14ac:dyDescent="0.2">
      <c r="A3874" s="66" t="s">
        <v>12818</v>
      </c>
      <c r="B3874" s="66" t="s">
        <v>1155</v>
      </c>
      <c r="C3874" s="66" t="s">
        <v>9605</v>
      </c>
      <c r="D3874" s="66">
        <v>6975628249770</v>
      </c>
      <c r="E3874" s="68" t="s">
        <v>14362</v>
      </c>
      <c r="F3874" s="66" t="s">
        <v>14363</v>
      </c>
      <c r="G3874" s="71">
        <v>1262</v>
      </c>
      <c r="H3874" s="73"/>
      <c r="I3874" s="75">
        <v>0.2</v>
      </c>
      <c r="J3874" s="77"/>
      <c r="K3874" s="66"/>
      <c r="L3874" s="66"/>
      <c r="M3874" s="79" t="str">
        <f>HYPERLINK("http://www.pristavka.com/catalog/Honkai_Star_Rail/HSR6/")</f>
        <v>http://www.pristavka.com/catalog/Honkai_Star_Rail/HSR6/</v>
      </c>
      <c r="N3874" s="71">
        <v>2199</v>
      </c>
      <c r="O3874" s="66" t="s">
        <v>27</v>
      </c>
      <c r="P3874" s="82" t="s">
        <v>14364</v>
      </c>
      <c r="Q3874" s="84" t="s">
        <v>12818</v>
      </c>
      <c r="R3874" s="84" t="s">
        <v>9605</v>
      </c>
      <c r="S3874" s="84">
        <v>2.5000000000000001E-2</v>
      </c>
      <c r="T3874" s="82" t="s">
        <v>10998</v>
      </c>
      <c r="U3874" s="84"/>
      <c r="V3874" s="54"/>
    </row>
    <row r="3875" spans="1:22" s="11" customFormat="1" ht="45" customHeight="1" x14ac:dyDescent="0.2">
      <c r="A3875" s="66" t="s">
        <v>12818</v>
      </c>
      <c r="B3875" s="66" t="s">
        <v>1155</v>
      </c>
      <c r="C3875" s="66" t="s">
        <v>9605</v>
      </c>
      <c r="D3875" s="66">
        <v>6976068142874</v>
      </c>
      <c r="E3875" s="68" t="s">
        <v>14365</v>
      </c>
      <c r="F3875" s="66" t="s">
        <v>14366</v>
      </c>
      <c r="G3875" s="71">
        <v>1262</v>
      </c>
      <c r="H3875" s="73"/>
      <c r="I3875" s="75">
        <v>0.2</v>
      </c>
      <c r="J3875" s="77"/>
      <c r="K3875" s="66"/>
      <c r="L3875" s="66"/>
      <c r="M3875" s="79" t="str">
        <f>HYPERLINK("http://www.pristavka.com/catalog/Honkai_Star_Rail/HSR8/")</f>
        <v>http://www.pristavka.com/catalog/Honkai_Star_Rail/HSR8/</v>
      </c>
      <c r="N3875" s="71">
        <v>2199</v>
      </c>
      <c r="O3875" s="66" t="s">
        <v>27</v>
      </c>
      <c r="P3875" s="82" t="s">
        <v>14367</v>
      </c>
      <c r="Q3875" s="84" t="s">
        <v>12818</v>
      </c>
      <c r="R3875" s="84" t="s">
        <v>9605</v>
      </c>
      <c r="S3875" s="84">
        <v>2.5000000000000001E-2</v>
      </c>
      <c r="T3875" s="82" t="s">
        <v>10998</v>
      </c>
      <c r="U3875" s="84"/>
      <c r="V3875" s="54"/>
    </row>
    <row r="3876" spans="1:22" s="11" customFormat="1" ht="45" customHeight="1" x14ac:dyDescent="0.2">
      <c r="A3876" s="66" t="s">
        <v>12818</v>
      </c>
      <c r="B3876" s="66" t="s">
        <v>1155</v>
      </c>
      <c r="C3876" s="66" t="s">
        <v>9605</v>
      </c>
      <c r="D3876" s="66">
        <v>6976068142850</v>
      </c>
      <c r="E3876" s="68" t="s">
        <v>14368</v>
      </c>
      <c r="F3876" s="66" t="s">
        <v>14369</v>
      </c>
      <c r="G3876" s="71">
        <v>1262</v>
      </c>
      <c r="H3876" s="73"/>
      <c r="I3876" s="75">
        <v>0.2</v>
      </c>
      <c r="J3876" s="77"/>
      <c r="K3876" s="66"/>
      <c r="L3876" s="66"/>
      <c r="M3876" s="79" t="str">
        <f>HYPERLINK("http://www.pristavka.com/catalog/Honkai_Star_Rail/HSR7/")</f>
        <v>http://www.pristavka.com/catalog/Honkai_Star_Rail/HSR7/</v>
      </c>
      <c r="N3876" s="71">
        <v>2199</v>
      </c>
      <c r="O3876" s="66" t="s">
        <v>27</v>
      </c>
      <c r="P3876" s="82" t="s">
        <v>14370</v>
      </c>
      <c r="Q3876" s="84" t="s">
        <v>12818</v>
      </c>
      <c r="R3876" s="84" t="s">
        <v>9605</v>
      </c>
      <c r="S3876" s="84">
        <v>2.5000000000000001E-2</v>
      </c>
      <c r="T3876" s="82" t="s">
        <v>10998</v>
      </c>
      <c r="U3876" s="84"/>
      <c r="V3876" s="54"/>
    </row>
    <row r="3877" spans="1:22" s="11" customFormat="1" ht="45" customHeight="1" x14ac:dyDescent="0.2">
      <c r="A3877" s="66" t="s">
        <v>12818</v>
      </c>
      <c r="B3877" s="66" t="s">
        <v>1155</v>
      </c>
      <c r="C3877" s="66" t="s">
        <v>9605</v>
      </c>
      <c r="D3877" s="66">
        <v>6942421128885</v>
      </c>
      <c r="E3877" s="68" t="s">
        <v>14371</v>
      </c>
      <c r="F3877" s="66" t="s">
        <v>14372</v>
      </c>
      <c r="G3877" s="71">
        <v>1358</v>
      </c>
      <c r="H3877" s="73"/>
      <c r="I3877" s="75">
        <v>0.2</v>
      </c>
      <c r="J3877" s="77"/>
      <c r="K3877" s="66"/>
      <c r="L3877" s="66"/>
      <c r="M3877" s="79" t="str">
        <f>HYPERLINK("http://www.pristavka.com/catalog/Honkai_Star_Rail/HSR231/")</f>
        <v>http://www.pristavka.com/catalog/Honkai_Star_Rail/HSR231/</v>
      </c>
      <c r="N3877" s="71">
        <v>2299</v>
      </c>
      <c r="O3877" s="66" t="s">
        <v>27</v>
      </c>
      <c r="P3877" s="82" t="s">
        <v>14373</v>
      </c>
      <c r="Q3877" s="84" t="s">
        <v>12818</v>
      </c>
      <c r="R3877" s="84" t="s">
        <v>9605</v>
      </c>
      <c r="S3877" s="84">
        <v>1.6E-2</v>
      </c>
      <c r="T3877" s="82" t="s">
        <v>14336</v>
      </c>
      <c r="U3877" s="84"/>
      <c r="V3877" s="54"/>
    </row>
    <row r="3878" spans="1:22" s="11" customFormat="1" ht="45" customHeight="1" x14ac:dyDescent="0.2">
      <c r="A3878" s="66" t="s">
        <v>12818</v>
      </c>
      <c r="B3878" s="66" t="s">
        <v>1155</v>
      </c>
      <c r="C3878" s="66" t="s">
        <v>9605</v>
      </c>
      <c r="D3878" s="66">
        <v>6942421128830</v>
      </c>
      <c r="E3878" s="68" t="s">
        <v>14374</v>
      </c>
      <c r="F3878" s="66" t="s">
        <v>14375</v>
      </c>
      <c r="G3878" s="71">
        <v>1643</v>
      </c>
      <c r="H3878" s="73"/>
      <c r="I3878" s="75">
        <v>0.2</v>
      </c>
      <c r="J3878" s="77"/>
      <c r="K3878" s="66"/>
      <c r="L3878" s="66"/>
      <c r="M3878" s="79" t="str">
        <f>HYPERLINK("http://www.pristavka.com/catalog/Honkai_Star_Rail/HSR209/")</f>
        <v>http://www.pristavka.com/catalog/Honkai_Star_Rail/HSR209/</v>
      </c>
      <c r="N3878" s="71">
        <v>2799</v>
      </c>
      <c r="O3878" s="66" t="s">
        <v>27</v>
      </c>
      <c r="P3878" s="82" t="s">
        <v>14376</v>
      </c>
      <c r="Q3878" s="84" t="s">
        <v>12818</v>
      </c>
      <c r="R3878" s="84" t="s">
        <v>9605</v>
      </c>
      <c r="S3878" s="84">
        <v>2.5000000000000001E-2</v>
      </c>
      <c r="T3878" s="82" t="s">
        <v>14091</v>
      </c>
      <c r="U3878" s="84"/>
      <c r="V3878" s="54"/>
    </row>
    <row r="3879" spans="1:22" s="11" customFormat="1" ht="45" customHeight="1" x14ac:dyDescent="0.2">
      <c r="A3879" s="66" t="s">
        <v>12818</v>
      </c>
      <c r="B3879" s="66" t="s">
        <v>1155</v>
      </c>
      <c r="C3879" s="66" t="s">
        <v>9605</v>
      </c>
      <c r="D3879" s="66">
        <v>6976525005636</v>
      </c>
      <c r="E3879" s="68" t="s">
        <v>14377</v>
      </c>
      <c r="F3879" s="66" t="s">
        <v>14378</v>
      </c>
      <c r="G3879" s="71">
        <v>1262</v>
      </c>
      <c r="H3879" s="73"/>
      <c r="I3879" s="75">
        <v>0.2</v>
      </c>
      <c r="J3879" s="77"/>
      <c r="K3879" s="66"/>
      <c r="L3879" s="66"/>
      <c r="M3879" s="79" t="str">
        <f>HYPERLINK("http://www.pristavka.com/catalog/Honkai_Star_Rail/HSR211/")</f>
        <v>http://www.pristavka.com/catalog/Honkai_Star_Rail/HSR211/</v>
      </c>
      <c r="N3879" s="71">
        <v>2199</v>
      </c>
      <c r="O3879" s="66" t="s">
        <v>27</v>
      </c>
      <c r="P3879" s="82" t="s">
        <v>14379</v>
      </c>
      <c r="Q3879" s="84" t="s">
        <v>12818</v>
      </c>
      <c r="R3879" s="84" t="s">
        <v>9605</v>
      </c>
      <c r="S3879" s="84">
        <v>1.7000000000000001E-2</v>
      </c>
      <c r="T3879" s="82" t="s">
        <v>14174</v>
      </c>
      <c r="U3879" s="84"/>
      <c r="V3879" s="54"/>
    </row>
    <row r="3880" spans="1:22" s="11" customFormat="1" ht="45" customHeight="1" x14ac:dyDescent="0.2">
      <c r="A3880" s="66" t="s">
        <v>12818</v>
      </c>
      <c r="B3880" s="66" t="s">
        <v>1155</v>
      </c>
      <c r="C3880" s="66" t="s">
        <v>9605</v>
      </c>
      <c r="D3880" s="66">
        <v>6942421110200</v>
      </c>
      <c r="E3880" s="68" t="s">
        <v>14380</v>
      </c>
      <c r="F3880" s="66" t="s">
        <v>14381</v>
      </c>
      <c r="G3880" s="71">
        <v>1453</v>
      </c>
      <c r="H3880" s="73"/>
      <c r="I3880" s="75">
        <v>0.2</v>
      </c>
      <c r="J3880" s="77"/>
      <c r="K3880" s="66"/>
      <c r="L3880" s="66"/>
      <c r="M3880" s="79" t="str">
        <f>HYPERLINK("http://www.pristavka.com/catalog/Honkai_Star_Rail/HSR208/")</f>
        <v>http://www.pristavka.com/catalog/Honkai_Star_Rail/HSR208/</v>
      </c>
      <c r="N3880" s="71">
        <v>2499</v>
      </c>
      <c r="O3880" s="66" t="s">
        <v>27</v>
      </c>
      <c r="P3880" s="82" t="s">
        <v>14382</v>
      </c>
      <c r="Q3880" s="84" t="s">
        <v>12818</v>
      </c>
      <c r="R3880" s="84" t="s">
        <v>9605</v>
      </c>
      <c r="S3880" s="84">
        <v>2.5999999999999999E-2</v>
      </c>
      <c r="T3880" s="82" t="s">
        <v>14383</v>
      </c>
      <c r="U3880" s="84"/>
      <c r="V3880" s="54"/>
    </row>
    <row r="3881" spans="1:22" s="11" customFormat="1" ht="45" customHeight="1" x14ac:dyDescent="0.2">
      <c r="A3881" s="66" t="s">
        <v>12818</v>
      </c>
      <c r="B3881" s="66" t="s">
        <v>1155</v>
      </c>
      <c r="C3881" s="66" t="s">
        <v>9605</v>
      </c>
      <c r="D3881" s="66">
        <v>6942421128656</v>
      </c>
      <c r="E3881" s="68" t="s">
        <v>14384</v>
      </c>
      <c r="F3881" s="66" t="s">
        <v>14385</v>
      </c>
      <c r="G3881" s="71">
        <v>1358</v>
      </c>
      <c r="H3881" s="73"/>
      <c r="I3881" s="75">
        <v>0.2</v>
      </c>
      <c r="J3881" s="77"/>
      <c r="K3881" s="66"/>
      <c r="L3881" s="66"/>
      <c r="M3881" s="79" t="str">
        <f>HYPERLINK("http://www.pristavka.com/catalog/Honkai_Star_Rail/HSR212/")</f>
        <v>http://www.pristavka.com/catalog/Honkai_Star_Rail/HSR212/</v>
      </c>
      <c r="N3881" s="71">
        <v>2299</v>
      </c>
      <c r="O3881" s="66" t="s">
        <v>27</v>
      </c>
      <c r="P3881" s="82" t="s">
        <v>14386</v>
      </c>
      <c r="Q3881" s="84" t="s">
        <v>12818</v>
      </c>
      <c r="R3881" s="84" t="s">
        <v>9605</v>
      </c>
      <c r="S3881" s="84">
        <v>2.1999999999999999E-2</v>
      </c>
      <c r="T3881" s="82" t="s">
        <v>11384</v>
      </c>
      <c r="U3881" s="84"/>
      <c r="V3881" s="54"/>
    </row>
    <row r="3882" spans="1:22" s="11" customFormat="1" ht="45" customHeight="1" x14ac:dyDescent="0.2">
      <c r="A3882" s="66" t="s">
        <v>12818</v>
      </c>
      <c r="B3882" s="66" t="s">
        <v>1155</v>
      </c>
      <c r="C3882" s="66" t="s">
        <v>9605</v>
      </c>
      <c r="D3882" s="66">
        <v>6942421102830</v>
      </c>
      <c r="E3882" s="68" t="s">
        <v>14387</v>
      </c>
      <c r="F3882" s="66" t="s">
        <v>14388</v>
      </c>
      <c r="G3882" s="71">
        <v>1421</v>
      </c>
      <c r="H3882" s="73"/>
      <c r="I3882" s="75">
        <v>0.2</v>
      </c>
      <c r="J3882" s="77"/>
      <c r="K3882" s="66"/>
      <c r="L3882" s="66"/>
      <c r="M3882" s="79" t="str">
        <f>HYPERLINK("http://www.pristavka.com/catalog/Honkai_Star_Rail/HSR147/")</f>
        <v>http://www.pristavka.com/catalog/Honkai_Star_Rail/HSR147/</v>
      </c>
      <c r="N3882" s="71">
        <v>2399</v>
      </c>
      <c r="O3882" s="66" t="s">
        <v>28</v>
      </c>
      <c r="P3882" s="82" t="s">
        <v>14389</v>
      </c>
      <c r="Q3882" s="84" t="s">
        <v>12818</v>
      </c>
      <c r="R3882" s="84" t="s">
        <v>9605</v>
      </c>
      <c r="S3882" s="84">
        <v>5.0000000000000001E-3</v>
      </c>
      <c r="T3882" s="82" t="s">
        <v>14390</v>
      </c>
      <c r="U3882" s="84"/>
      <c r="V3882" s="54"/>
    </row>
    <row r="3883" spans="1:22" s="11" customFormat="1" ht="45" customHeight="1" x14ac:dyDescent="0.2">
      <c r="A3883" s="66" t="s">
        <v>12818</v>
      </c>
      <c r="B3883" s="66" t="s">
        <v>1155</v>
      </c>
      <c r="C3883" s="66" t="s">
        <v>9605</v>
      </c>
      <c r="D3883" s="66">
        <v>6976525009818</v>
      </c>
      <c r="E3883" s="68" t="s">
        <v>14391</v>
      </c>
      <c r="F3883" s="66" t="s">
        <v>14392</v>
      </c>
      <c r="G3883" s="71">
        <v>1421</v>
      </c>
      <c r="H3883" s="73"/>
      <c r="I3883" s="75">
        <v>0.2</v>
      </c>
      <c r="J3883" s="77"/>
      <c r="K3883" s="66"/>
      <c r="L3883" s="66"/>
      <c r="M3883" s="79" t="str">
        <f>HYPERLINK("http://www.pristavka.com/catalog/Honkai_Star_Rail/HSR150/")</f>
        <v>http://www.pristavka.com/catalog/Honkai_Star_Rail/HSR150/</v>
      </c>
      <c r="N3883" s="71">
        <v>2399</v>
      </c>
      <c r="O3883" s="66" t="s">
        <v>28</v>
      </c>
      <c r="P3883" s="82" t="s">
        <v>14393</v>
      </c>
      <c r="Q3883" s="84" t="s">
        <v>12818</v>
      </c>
      <c r="R3883" s="84" t="s">
        <v>9605</v>
      </c>
      <c r="S3883" s="84">
        <v>0.01</v>
      </c>
      <c r="T3883" s="82" t="s">
        <v>14394</v>
      </c>
      <c r="U3883" s="84"/>
      <c r="V3883" s="54"/>
    </row>
    <row r="3884" spans="1:22" s="11" customFormat="1" ht="45" customHeight="1" x14ac:dyDescent="0.2">
      <c r="A3884" s="66" t="s">
        <v>12818</v>
      </c>
      <c r="B3884" s="66" t="s">
        <v>1155</v>
      </c>
      <c r="C3884" s="66" t="s">
        <v>9605</v>
      </c>
      <c r="D3884" s="66">
        <v>6942421102878</v>
      </c>
      <c r="E3884" s="68" t="s">
        <v>14395</v>
      </c>
      <c r="F3884" s="66" t="s">
        <v>14396</v>
      </c>
      <c r="G3884" s="71">
        <v>1421</v>
      </c>
      <c r="H3884" s="73"/>
      <c r="I3884" s="75">
        <v>0.2</v>
      </c>
      <c r="J3884" s="77"/>
      <c r="K3884" s="66"/>
      <c r="L3884" s="66"/>
      <c r="M3884" s="79" t="str">
        <f>HYPERLINK("http://www.pristavka.com/catalog/Honkai_Star_Rail/HSR148/")</f>
        <v>http://www.pristavka.com/catalog/Honkai_Star_Rail/HSR148/</v>
      </c>
      <c r="N3884" s="71">
        <v>2399</v>
      </c>
      <c r="O3884" s="66" t="s">
        <v>27</v>
      </c>
      <c r="P3884" s="82" t="s">
        <v>14397</v>
      </c>
      <c r="Q3884" s="84" t="s">
        <v>12818</v>
      </c>
      <c r="R3884" s="84" t="s">
        <v>9605</v>
      </c>
      <c r="S3884" s="84">
        <v>5.0000000000000001E-3</v>
      </c>
      <c r="T3884" s="82" t="s">
        <v>14398</v>
      </c>
      <c r="U3884" s="84"/>
      <c r="V3884" s="54"/>
    </row>
    <row r="3885" spans="1:22" s="11" customFormat="1" ht="45" customHeight="1" x14ac:dyDescent="0.2">
      <c r="A3885" s="66" t="s">
        <v>12818</v>
      </c>
      <c r="B3885" s="66" t="s">
        <v>1155</v>
      </c>
      <c r="C3885" s="66" t="s">
        <v>9605</v>
      </c>
      <c r="D3885" s="66" t="s">
        <v>26</v>
      </c>
      <c r="E3885" s="68" t="s">
        <v>14399</v>
      </c>
      <c r="F3885" s="66" t="s">
        <v>14400</v>
      </c>
      <c r="G3885" s="71">
        <v>946</v>
      </c>
      <c r="H3885" s="73"/>
      <c r="I3885" s="75">
        <v>0.2</v>
      </c>
      <c r="J3885" s="77"/>
      <c r="K3885" s="66"/>
      <c r="L3885" s="66"/>
      <c r="M3885" s="79" t="str">
        <f>HYPERLINK("http://www.pristavka.com/catalog/Honkai_Star_Rail/HSR325/")</f>
        <v>http://www.pristavka.com/catalog/Honkai_Star_Rail/HSR325/</v>
      </c>
      <c r="N3885" s="71">
        <v>1599</v>
      </c>
      <c r="O3885" s="66" t="s">
        <v>27</v>
      </c>
      <c r="P3885" s="82" t="s">
        <v>14401</v>
      </c>
      <c r="Q3885" s="84" t="s">
        <v>12818</v>
      </c>
      <c r="R3885" s="84" t="s">
        <v>9605</v>
      </c>
      <c r="S3885" s="84">
        <v>1.4999999999999999E-2</v>
      </c>
      <c r="T3885" s="82" t="s">
        <v>13864</v>
      </c>
      <c r="U3885" s="84"/>
      <c r="V3885" s="54"/>
    </row>
    <row r="3886" spans="1:22" s="11" customFormat="1" ht="45" customHeight="1" x14ac:dyDescent="0.2">
      <c r="A3886" s="66" t="s">
        <v>12818</v>
      </c>
      <c r="B3886" s="66" t="s">
        <v>1155</v>
      </c>
      <c r="C3886" s="66" t="s">
        <v>9605</v>
      </c>
      <c r="D3886" s="66" t="s">
        <v>26</v>
      </c>
      <c r="E3886" s="68" t="s">
        <v>14402</v>
      </c>
      <c r="F3886" s="66" t="s">
        <v>14403</v>
      </c>
      <c r="G3886" s="71">
        <v>946</v>
      </c>
      <c r="H3886" s="73"/>
      <c r="I3886" s="75">
        <v>0.2</v>
      </c>
      <c r="J3886" s="77"/>
      <c r="K3886" s="66"/>
      <c r="L3886" s="66"/>
      <c r="M3886" s="79" t="str">
        <f>HYPERLINK("http://www.pristavka.com/catalog/Honkai_Star_Rail/HSR326/")</f>
        <v>http://www.pristavka.com/catalog/Honkai_Star_Rail/HSR326/</v>
      </c>
      <c r="N3886" s="71">
        <v>1599</v>
      </c>
      <c r="O3886" s="66" t="s">
        <v>27</v>
      </c>
      <c r="P3886" s="82" t="s">
        <v>14404</v>
      </c>
      <c r="Q3886" s="84" t="s">
        <v>12818</v>
      </c>
      <c r="R3886" s="84" t="s">
        <v>9605</v>
      </c>
      <c r="S3886" s="84">
        <v>1.4999999999999999E-2</v>
      </c>
      <c r="T3886" s="82" t="s">
        <v>13864</v>
      </c>
      <c r="U3886" s="84"/>
      <c r="V3886" s="54"/>
    </row>
    <row r="3887" spans="1:22" s="11" customFormat="1" ht="45" customHeight="1" x14ac:dyDescent="0.2">
      <c r="A3887" s="66" t="s">
        <v>12818</v>
      </c>
      <c r="B3887" s="66" t="s">
        <v>1155</v>
      </c>
      <c r="C3887" s="66" t="s">
        <v>9605</v>
      </c>
      <c r="D3887" s="66">
        <v>6942421129066</v>
      </c>
      <c r="E3887" s="68" t="s">
        <v>14405</v>
      </c>
      <c r="F3887" s="66" t="s">
        <v>14406</v>
      </c>
      <c r="G3887" s="71">
        <v>1136</v>
      </c>
      <c r="H3887" s="73"/>
      <c r="I3887" s="75">
        <v>0.2</v>
      </c>
      <c r="J3887" s="77"/>
      <c r="K3887" s="66"/>
      <c r="L3887" s="66"/>
      <c r="M3887" s="79" t="str">
        <f>HYPERLINK("http://www.pristavka.com/catalog/Honkai_Star_Rail/HSR236/")</f>
        <v>http://www.pristavka.com/catalog/Honkai_Star_Rail/HSR236/</v>
      </c>
      <c r="N3887" s="71">
        <v>1899</v>
      </c>
      <c r="O3887" s="66" t="s">
        <v>27</v>
      </c>
      <c r="P3887" s="82" t="s">
        <v>14407</v>
      </c>
      <c r="Q3887" s="84" t="s">
        <v>12818</v>
      </c>
      <c r="R3887" s="84" t="s">
        <v>9605</v>
      </c>
      <c r="S3887" s="84">
        <v>1.4999999999999999E-2</v>
      </c>
      <c r="T3887" s="82" t="s">
        <v>14408</v>
      </c>
      <c r="U3887" s="84"/>
      <c r="V3887" s="54"/>
    </row>
    <row r="3888" spans="1:22" s="11" customFormat="1" ht="45" customHeight="1" x14ac:dyDescent="0.2">
      <c r="A3888" s="66" t="s">
        <v>12818</v>
      </c>
      <c r="B3888" s="66" t="s">
        <v>1155</v>
      </c>
      <c r="C3888" s="66" t="s">
        <v>9605</v>
      </c>
      <c r="D3888" s="66" t="s">
        <v>26</v>
      </c>
      <c r="E3888" s="68" t="s">
        <v>14409</v>
      </c>
      <c r="F3888" s="66" t="s">
        <v>14410</v>
      </c>
      <c r="G3888" s="71">
        <v>946</v>
      </c>
      <c r="H3888" s="73"/>
      <c r="I3888" s="75">
        <v>0.2</v>
      </c>
      <c r="J3888" s="77"/>
      <c r="K3888" s="66"/>
      <c r="L3888" s="66"/>
      <c r="M3888" s="79" t="str">
        <f>HYPERLINK("http://www.pristavka.com/catalog/Honkai_Star_Rail/HSR327/")</f>
        <v>http://www.pristavka.com/catalog/Honkai_Star_Rail/HSR327/</v>
      </c>
      <c r="N3888" s="71">
        <v>1599</v>
      </c>
      <c r="O3888" s="66" t="s">
        <v>27</v>
      </c>
      <c r="P3888" s="82" t="s">
        <v>14411</v>
      </c>
      <c r="Q3888" s="84" t="s">
        <v>12818</v>
      </c>
      <c r="R3888" s="84" t="s">
        <v>9605</v>
      </c>
      <c r="S3888" s="84">
        <v>1.4E-2</v>
      </c>
      <c r="T3888" s="82" t="s">
        <v>14412</v>
      </c>
      <c r="U3888" s="84"/>
      <c r="V3888" s="54"/>
    </row>
    <row r="3889" spans="1:22" s="11" customFormat="1" ht="45" customHeight="1" x14ac:dyDescent="0.2">
      <c r="A3889" s="66" t="s">
        <v>12818</v>
      </c>
      <c r="B3889" s="66" t="s">
        <v>1155</v>
      </c>
      <c r="C3889" s="66" t="s">
        <v>9605</v>
      </c>
      <c r="D3889" s="66">
        <v>6942421118695</v>
      </c>
      <c r="E3889" s="68" t="s">
        <v>14413</v>
      </c>
      <c r="F3889" s="66" t="s">
        <v>14414</v>
      </c>
      <c r="G3889" s="71">
        <v>7258</v>
      </c>
      <c r="H3889" s="73"/>
      <c r="I3889" s="75">
        <v>0.2</v>
      </c>
      <c r="J3889" s="77"/>
      <c r="K3889" s="66"/>
      <c r="L3889" s="66"/>
      <c r="M3889" s="79" t="str">
        <f>HYPERLINK("http://www.pristavka.com/catalog/Honkai_Star_Rail/HSR224/")</f>
        <v>http://www.pristavka.com/catalog/Honkai_Star_Rail/HSR224/</v>
      </c>
      <c r="N3889" s="71">
        <v>12099</v>
      </c>
      <c r="O3889" s="66" t="s">
        <v>27</v>
      </c>
      <c r="P3889" s="82" t="s">
        <v>14415</v>
      </c>
      <c r="Q3889" s="84" t="s">
        <v>12818</v>
      </c>
      <c r="R3889" s="84" t="s">
        <v>9605</v>
      </c>
      <c r="S3889" s="84">
        <v>0.1</v>
      </c>
      <c r="T3889" s="82" t="s">
        <v>14416</v>
      </c>
      <c r="U3889" s="84"/>
      <c r="V3889" s="54"/>
    </row>
    <row r="3890" spans="1:22" s="11" customFormat="1" ht="45" customHeight="1" x14ac:dyDescent="0.2">
      <c r="A3890" s="66" t="s">
        <v>12818</v>
      </c>
      <c r="B3890" s="66" t="s">
        <v>1155</v>
      </c>
      <c r="C3890" s="66" t="s">
        <v>9605</v>
      </c>
      <c r="D3890" s="66" t="s">
        <v>26</v>
      </c>
      <c r="E3890" s="68" t="s">
        <v>14417</v>
      </c>
      <c r="F3890" s="66" t="s">
        <v>14418</v>
      </c>
      <c r="G3890" s="71">
        <v>3164</v>
      </c>
      <c r="H3890" s="73"/>
      <c r="I3890" s="75">
        <v>0.2</v>
      </c>
      <c r="J3890" s="77"/>
      <c r="K3890" s="66"/>
      <c r="L3890" s="66"/>
      <c r="M3890" s="79" t="str">
        <f>HYPERLINK("http://www.pristavka.com/catalog/Honkai_Star_Rail/HSR377/")</f>
        <v>http://www.pristavka.com/catalog/Honkai_Star_Rail/HSR377/</v>
      </c>
      <c r="N3890" s="71">
        <v>5299</v>
      </c>
      <c r="O3890" s="66" t="s">
        <v>27</v>
      </c>
      <c r="P3890" s="82" t="s">
        <v>14419</v>
      </c>
      <c r="Q3890" s="84" t="s">
        <v>12818</v>
      </c>
      <c r="R3890" s="84" t="s">
        <v>9605</v>
      </c>
      <c r="S3890" s="84">
        <v>3.5000000000000003E-2</v>
      </c>
      <c r="T3890" s="82" t="s">
        <v>14420</v>
      </c>
      <c r="U3890" s="84"/>
      <c r="V3890" s="54"/>
    </row>
    <row r="3891" spans="1:22" s="11" customFormat="1" ht="45" customHeight="1" x14ac:dyDescent="0.2">
      <c r="A3891" s="66" t="s">
        <v>12818</v>
      </c>
      <c r="B3891" s="66" t="s">
        <v>1155</v>
      </c>
      <c r="C3891" s="66" t="s">
        <v>9605</v>
      </c>
      <c r="D3891" s="66">
        <v>6976068140993</v>
      </c>
      <c r="E3891" s="68" t="s">
        <v>14421</v>
      </c>
      <c r="F3891" s="66" t="s">
        <v>14422</v>
      </c>
      <c r="G3891" s="71">
        <v>6307</v>
      </c>
      <c r="H3891" s="73"/>
      <c r="I3891" s="75">
        <v>0.2</v>
      </c>
      <c r="J3891" s="77"/>
      <c r="K3891" s="66"/>
      <c r="L3891" s="66"/>
      <c r="M3891" s="79" t="str">
        <f>HYPERLINK("http://www.pristavka.com/catalog/Honkai_Star_Rail/HSR101/")</f>
        <v>http://www.pristavka.com/catalog/Honkai_Star_Rail/HSR101/</v>
      </c>
      <c r="N3891" s="71">
        <v>10599</v>
      </c>
      <c r="O3891" s="66" t="s">
        <v>27</v>
      </c>
      <c r="P3891" s="82" t="s">
        <v>14423</v>
      </c>
      <c r="Q3891" s="84" t="s">
        <v>12818</v>
      </c>
      <c r="R3891" s="84" t="s">
        <v>9605</v>
      </c>
      <c r="S3891" s="84">
        <v>0.58399999999999996</v>
      </c>
      <c r="T3891" s="82" t="s">
        <v>14424</v>
      </c>
      <c r="U3891" s="84"/>
      <c r="V3891" s="54"/>
    </row>
    <row r="3892" spans="1:22" s="11" customFormat="1" ht="45" customHeight="1" x14ac:dyDescent="0.2">
      <c r="A3892" s="66" t="s">
        <v>12818</v>
      </c>
      <c r="B3892" s="66" t="s">
        <v>1155</v>
      </c>
      <c r="C3892" s="66" t="s">
        <v>9605</v>
      </c>
      <c r="D3892" s="66">
        <v>6976068141044</v>
      </c>
      <c r="E3892" s="68" t="s">
        <v>14425</v>
      </c>
      <c r="F3892" s="66" t="s">
        <v>14426</v>
      </c>
      <c r="G3892" s="71">
        <v>6307</v>
      </c>
      <c r="H3892" s="73"/>
      <c r="I3892" s="75">
        <v>0.2</v>
      </c>
      <c r="J3892" s="77"/>
      <c r="K3892" s="66"/>
      <c r="L3892" s="66"/>
      <c r="M3892" s="79" t="str">
        <f>HYPERLINK("http://www.pristavka.com/catalog/Honkai_Star_Rail/HSR100/")</f>
        <v>http://www.pristavka.com/catalog/Honkai_Star_Rail/HSR100/</v>
      </c>
      <c r="N3892" s="71">
        <v>10599</v>
      </c>
      <c r="O3892" s="66" t="s">
        <v>27</v>
      </c>
      <c r="P3892" s="82" t="s">
        <v>14427</v>
      </c>
      <c r="Q3892" s="84" t="s">
        <v>12818</v>
      </c>
      <c r="R3892" s="84" t="s">
        <v>9605</v>
      </c>
      <c r="S3892" s="84">
        <v>0.53400000000000003</v>
      </c>
      <c r="T3892" s="82" t="s">
        <v>14424</v>
      </c>
      <c r="U3892" s="84"/>
      <c r="V3892" s="54"/>
    </row>
    <row r="3893" spans="1:22" s="11" customFormat="1" ht="45" customHeight="1" x14ac:dyDescent="0.2">
      <c r="A3893" s="66" t="s">
        <v>12818</v>
      </c>
      <c r="B3893" s="66" t="s">
        <v>1155</v>
      </c>
      <c r="C3893" s="66" t="s">
        <v>9605</v>
      </c>
      <c r="D3893" s="66">
        <v>6942421139188</v>
      </c>
      <c r="E3893" s="68" t="s">
        <v>14428</v>
      </c>
      <c r="F3893" s="66" t="s">
        <v>14429</v>
      </c>
      <c r="G3893" s="71">
        <v>12646</v>
      </c>
      <c r="H3893" s="73"/>
      <c r="I3893" s="75">
        <v>0.2</v>
      </c>
      <c r="J3893" s="77"/>
      <c r="K3893" s="66"/>
      <c r="L3893" s="66"/>
      <c r="M3893" s="79" t="str">
        <f>HYPERLINK("http://www.pristavka.com/catalog/Honkai_Star_Rail/HSR249/")</f>
        <v>http://www.pristavka.com/catalog/Honkai_Star_Rail/HSR249/</v>
      </c>
      <c r="N3893" s="71">
        <v>21099</v>
      </c>
      <c r="O3893" s="66" t="s">
        <v>27</v>
      </c>
      <c r="P3893" s="82" t="s">
        <v>14430</v>
      </c>
      <c r="Q3893" s="84" t="s">
        <v>12818</v>
      </c>
      <c r="R3893" s="84" t="s">
        <v>9605</v>
      </c>
      <c r="S3893" s="84">
        <v>0.26</v>
      </c>
      <c r="T3893" s="82" t="s">
        <v>14431</v>
      </c>
      <c r="U3893" s="84"/>
      <c r="V3893" s="54"/>
    </row>
    <row r="3894" spans="1:22" s="11" customFormat="1" ht="45" customHeight="1" x14ac:dyDescent="0.2">
      <c r="A3894" s="66" t="s">
        <v>12818</v>
      </c>
      <c r="B3894" s="66" t="s">
        <v>1155</v>
      </c>
      <c r="C3894" s="66" t="s">
        <v>9605</v>
      </c>
      <c r="D3894" s="66">
        <v>6942421139195</v>
      </c>
      <c r="E3894" s="68" t="s">
        <v>14432</v>
      </c>
      <c r="F3894" s="66" t="s">
        <v>14433</v>
      </c>
      <c r="G3894" s="71">
        <v>12646</v>
      </c>
      <c r="H3894" s="73"/>
      <c r="I3894" s="75">
        <v>0.2</v>
      </c>
      <c r="J3894" s="77"/>
      <c r="K3894" s="66"/>
      <c r="L3894" s="66"/>
      <c r="M3894" s="79" t="str">
        <f>HYPERLINK("http://www.pristavka.com/catalog/Honkai_Star_Rail/HSR248/")</f>
        <v>http://www.pristavka.com/catalog/Honkai_Star_Rail/HSR248/</v>
      </c>
      <c r="N3894" s="71">
        <v>21099</v>
      </c>
      <c r="O3894" s="66" t="s">
        <v>27</v>
      </c>
      <c r="P3894" s="82" t="s">
        <v>14434</v>
      </c>
      <c r="Q3894" s="84" t="s">
        <v>12818</v>
      </c>
      <c r="R3894" s="84" t="s">
        <v>9605</v>
      </c>
      <c r="S3894" s="84">
        <v>0.26</v>
      </c>
      <c r="T3894" s="82" t="s">
        <v>14431</v>
      </c>
      <c r="U3894" s="84"/>
      <c r="V3894" s="54"/>
    </row>
    <row r="3895" spans="1:22" s="11" customFormat="1" ht="45" customHeight="1" x14ac:dyDescent="0.2">
      <c r="A3895" s="66" t="s">
        <v>12818</v>
      </c>
      <c r="B3895" s="66" t="s">
        <v>1155</v>
      </c>
      <c r="C3895" s="66" t="s">
        <v>9605</v>
      </c>
      <c r="D3895" s="66">
        <v>6942421107088</v>
      </c>
      <c r="E3895" s="68" t="s">
        <v>14435</v>
      </c>
      <c r="F3895" s="66" t="s">
        <v>14436</v>
      </c>
      <c r="G3895" s="71">
        <v>4722</v>
      </c>
      <c r="H3895" s="73"/>
      <c r="I3895" s="75">
        <v>0.2</v>
      </c>
      <c r="J3895" s="77"/>
      <c r="K3895" s="66"/>
      <c r="L3895" s="66"/>
      <c r="M3895" s="79" t="str">
        <f>HYPERLINK("http://www.pristavka.com/catalog/Honkai_Star_Rail/HSR116/")</f>
        <v>http://www.pristavka.com/catalog/Honkai_Star_Rail/HSR116/</v>
      </c>
      <c r="N3895" s="71">
        <v>7899</v>
      </c>
      <c r="O3895" s="66" t="s">
        <v>28</v>
      </c>
      <c r="P3895" s="82" t="s">
        <v>14437</v>
      </c>
      <c r="Q3895" s="84" t="s">
        <v>12818</v>
      </c>
      <c r="R3895" s="84" t="s">
        <v>9605</v>
      </c>
      <c r="S3895" s="84">
        <v>0.05</v>
      </c>
      <c r="T3895" s="82" t="s">
        <v>14438</v>
      </c>
      <c r="U3895" s="84"/>
      <c r="V3895" s="54"/>
    </row>
    <row r="3896" spans="1:22" s="11" customFormat="1" ht="45" customHeight="1" x14ac:dyDescent="0.2">
      <c r="A3896" s="66" t="s">
        <v>12818</v>
      </c>
      <c r="B3896" s="66" t="s">
        <v>1155</v>
      </c>
      <c r="C3896" s="66" t="s">
        <v>9605</v>
      </c>
      <c r="D3896" s="66">
        <v>6942421107057</v>
      </c>
      <c r="E3896" s="68" t="s">
        <v>14439</v>
      </c>
      <c r="F3896" s="66" t="s">
        <v>14440</v>
      </c>
      <c r="G3896" s="71">
        <v>4722</v>
      </c>
      <c r="H3896" s="73"/>
      <c r="I3896" s="75">
        <v>0.2</v>
      </c>
      <c r="J3896" s="77"/>
      <c r="K3896" s="66"/>
      <c r="L3896" s="66"/>
      <c r="M3896" s="79" t="str">
        <f>HYPERLINK("http://www.pristavka.com/catalog/Honkai_Star_Rail/HSR115/")</f>
        <v>http://www.pristavka.com/catalog/Honkai_Star_Rail/HSR115/</v>
      </c>
      <c r="N3896" s="71">
        <v>7899</v>
      </c>
      <c r="O3896" s="66" t="s">
        <v>27</v>
      </c>
      <c r="P3896" s="82" t="s">
        <v>14441</v>
      </c>
      <c r="Q3896" s="84" t="s">
        <v>12818</v>
      </c>
      <c r="R3896" s="84" t="s">
        <v>9605</v>
      </c>
      <c r="S3896" s="84">
        <v>0.05</v>
      </c>
      <c r="T3896" s="82" t="s">
        <v>14438</v>
      </c>
      <c r="U3896" s="84"/>
      <c r="V3896" s="54"/>
    </row>
    <row r="3897" spans="1:22" s="11" customFormat="1" ht="45" customHeight="1" x14ac:dyDescent="0.2">
      <c r="A3897" s="66" t="s">
        <v>12818</v>
      </c>
      <c r="B3897" s="66" t="s">
        <v>1155</v>
      </c>
      <c r="C3897" s="66" t="s">
        <v>9605</v>
      </c>
      <c r="D3897" s="66">
        <v>6942421107071</v>
      </c>
      <c r="E3897" s="68" t="s">
        <v>14442</v>
      </c>
      <c r="F3897" s="66" t="s">
        <v>14443</v>
      </c>
      <c r="G3897" s="71">
        <v>4722</v>
      </c>
      <c r="H3897" s="73"/>
      <c r="I3897" s="75">
        <v>0.2</v>
      </c>
      <c r="J3897" s="77"/>
      <c r="K3897" s="66"/>
      <c r="L3897" s="66"/>
      <c r="M3897" s="79" t="str">
        <f>HYPERLINK("http://www.pristavka.com/catalog/Honkai_Star_Rail/HSR117/")</f>
        <v>http://www.pristavka.com/catalog/Honkai_Star_Rail/HSR117/</v>
      </c>
      <c r="N3897" s="71">
        <v>7899</v>
      </c>
      <c r="O3897" s="66" t="s">
        <v>28</v>
      </c>
      <c r="P3897" s="82" t="s">
        <v>14444</v>
      </c>
      <c r="Q3897" s="84" t="s">
        <v>12818</v>
      </c>
      <c r="R3897" s="84" t="s">
        <v>9605</v>
      </c>
      <c r="S3897" s="84">
        <v>4.4999999999999998E-2</v>
      </c>
      <c r="T3897" s="82" t="s">
        <v>14438</v>
      </c>
      <c r="U3897" s="84"/>
      <c r="V3897" s="54"/>
    </row>
    <row r="3898" spans="1:22" s="11" customFormat="1" ht="45" customHeight="1" x14ac:dyDescent="0.2">
      <c r="A3898" s="66" t="s">
        <v>12818</v>
      </c>
      <c r="B3898" s="66" t="s">
        <v>1155</v>
      </c>
      <c r="C3898" s="66" t="s">
        <v>9605</v>
      </c>
      <c r="D3898" s="66">
        <v>6942421107040</v>
      </c>
      <c r="E3898" s="68" t="s">
        <v>14445</v>
      </c>
      <c r="F3898" s="66" t="s">
        <v>14446</v>
      </c>
      <c r="G3898" s="71">
        <v>4722</v>
      </c>
      <c r="H3898" s="73"/>
      <c r="I3898" s="75">
        <v>0.2</v>
      </c>
      <c r="J3898" s="77"/>
      <c r="K3898" s="66"/>
      <c r="L3898" s="66"/>
      <c r="M3898" s="79" t="str">
        <f>HYPERLINK("http://www.pristavka.com/catalog/Honkai_Star_Rail/HSR118/")</f>
        <v>http://www.pristavka.com/catalog/Honkai_Star_Rail/HSR118/</v>
      </c>
      <c r="N3898" s="71">
        <v>7899</v>
      </c>
      <c r="O3898" s="66" t="s">
        <v>27</v>
      </c>
      <c r="P3898" s="82" t="s">
        <v>14447</v>
      </c>
      <c r="Q3898" s="84" t="s">
        <v>12818</v>
      </c>
      <c r="R3898" s="84" t="s">
        <v>9605</v>
      </c>
      <c r="S3898" s="84">
        <v>0.05</v>
      </c>
      <c r="T3898" s="82" t="s">
        <v>14438</v>
      </c>
      <c r="U3898" s="84"/>
      <c r="V3898" s="54"/>
    </row>
    <row r="3899" spans="1:22" s="11" customFormat="1" ht="45" customHeight="1" x14ac:dyDescent="0.2">
      <c r="A3899" s="66" t="s">
        <v>12818</v>
      </c>
      <c r="B3899" s="66" t="s">
        <v>1155</v>
      </c>
      <c r="C3899" s="66" t="s">
        <v>9605</v>
      </c>
      <c r="D3899" s="66">
        <v>6942421118671</v>
      </c>
      <c r="E3899" s="68" t="s">
        <v>14448</v>
      </c>
      <c r="F3899" s="66" t="s">
        <v>14449</v>
      </c>
      <c r="G3899" s="71">
        <v>8842</v>
      </c>
      <c r="H3899" s="73"/>
      <c r="I3899" s="75">
        <v>0.2</v>
      </c>
      <c r="J3899" s="77"/>
      <c r="K3899" s="66"/>
      <c r="L3899" s="66"/>
      <c r="M3899" s="79" t="str">
        <f>HYPERLINK("http://www.pristavka.com/catalog/Honkai_Star_Rail/HSR196/")</f>
        <v>http://www.pristavka.com/catalog/Honkai_Star_Rail/HSR196/</v>
      </c>
      <c r="N3899" s="71">
        <v>14799</v>
      </c>
      <c r="O3899" s="66" t="s">
        <v>27</v>
      </c>
      <c r="P3899" s="82" t="s">
        <v>14450</v>
      </c>
      <c r="Q3899" s="84" t="s">
        <v>12818</v>
      </c>
      <c r="R3899" s="84" t="s">
        <v>9605</v>
      </c>
      <c r="S3899" s="84">
        <v>0.106</v>
      </c>
      <c r="T3899" s="82" t="s">
        <v>14451</v>
      </c>
      <c r="U3899" s="84"/>
      <c r="V3899" s="54"/>
    </row>
    <row r="3900" spans="1:22" s="11" customFormat="1" ht="45" customHeight="1" x14ac:dyDescent="0.2">
      <c r="A3900" s="66" t="s">
        <v>12818</v>
      </c>
      <c r="B3900" s="66" t="s">
        <v>1155</v>
      </c>
      <c r="C3900" s="66" t="s">
        <v>9605</v>
      </c>
      <c r="D3900" s="66">
        <v>6942421118640</v>
      </c>
      <c r="E3900" s="68" t="s">
        <v>14452</v>
      </c>
      <c r="F3900" s="66" t="s">
        <v>14453</v>
      </c>
      <c r="G3900" s="71">
        <v>8842</v>
      </c>
      <c r="H3900" s="73"/>
      <c r="I3900" s="75">
        <v>0.2</v>
      </c>
      <c r="J3900" s="77"/>
      <c r="K3900" s="66"/>
      <c r="L3900" s="66"/>
      <c r="M3900" s="79" t="str">
        <f>HYPERLINK("http://www.pristavka.com/catalog/Honkai_Star_Rail/HSR193/")</f>
        <v>http://www.pristavka.com/catalog/Honkai_Star_Rail/HSR193/</v>
      </c>
      <c r="N3900" s="71">
        <v>14799</v>
      </c>
      <c r="O3900" s="66" t="s">
        <v>27</v>
      </c>
      <c r="P3900" s="82" t="s">
        <v>14454</v>
      </c>
      <c r="Q3900" s="84" t="s">
        <v>12818</v>
      </c>
      <c r="R3900" s="84" t="s">
        <v>9605</v>
      </c>
      <c r="S3900" s="84">
        <v>0.1</v>
      </c>
      <c r="T3900" s="82" t="s">
        <v>14416</v>
      </c>
      <c r="U3900" s="84"/>
      <c r="V3900" s="54"/>
    </row>
    <row r="3901" spans="1:22" s="11" customFormat="1" ht="45" customHeight="1" x14ac:dyDescent="0.2">
      <c r="A3901" s="66" t="s">
        <v>12818</v>
      </c>
      <c r="B3901" s="66" t="s">
        <v>1155</v>
      </c>
      <c r="C3901" s="66" t="s">
        <v>9605</v>
      </c>
      <c r="D3901" s="66">
        <v>6942421118657</v>
      </c>
      <c r="E3901" s="68" t="s">
        <v>14455</v>
      </c>
      <c r="F3901" s="66" t="s">
        <v>14456</v>
      </c>
      <c r="G3901" s="71">
        <v>8842</v>
      </c>
      <c r="H3901" s="73"/>
      <c r="I3901" s="75">
        <v>0.2</v>
      </c>
      <c r="J3901" s="77"/>
      <c r="K3901" s="66"/>
      <c r="L3901" s="66"/>
      <c r="M3901" s="79" t="str">
        <f>HYPERLINK("http://www.pristavka.com/catalog/Honkai_Star_Rail/HSR194/")</f>
        <v>http://www.pristavka.com/catalog/Honkai_Star_Rail/HSR194/</v>
      </c>
      <c r="N3901" s="71">
        <v>14799</v>
      </c>
      <c r="O3901" s="66" t="s">
        <v>27</v>
      </c>
      <c r="P3901" s="82" t="s">
        <v>14457</v>
      </c>
      <c r="Q3901" s="84" t="s">
        <v>12818</v>
      </c>
      <c r="R3901" s="84" t="s">
        <v>9605</v>
      </c>
      <c r="S3901" s="84">
        <v>0.105</v>
      </c>
      <c r="T3901" s="82" t="s">
        <v>14416</v>
      </c>
      <c r="U3901" s="84"/>
      <c r="V3901" s="54"/>
    </row>
    <row r="3902" spans="1:22" s="11" customFormat="1" ht="45" customHeight="1" x14ac:dyDescent="0.2">
      <c r="A3902" s="66" t="s">
        <v>12818</v>
      </c>
      <c r="B3902" s="66" t="s">
        <v>1155</v>
      </c>
      <c r="C3902" s="66" t="s">
        <v>9605</v>
      </c>
      <c r="D3902" s="66">
        <v>6942421118664</v>
      </c>
      <c r="E3902" s="68" t="s">
        <v>14458</v>
      </c>
      <c r="F3902" s="66" t="s">
        <v>14459</v>
      </c>
      <c r="G3902" s="71">
        <v>8842</v>
      </c>
      <c r="H3902" s="73"/>
      <c r="I3902" s="75">
        <v>0.2</v>
      </c>
      <c r="J3902" s="77"/>
      <c r="K3902" s="66"/>
      <c r="L3902" s="66"/>
      <c r="M3902" s="79" t="str">
        <f>HYPERLINK("http://www.pristavka.com/catalog/Honkai_Star_Rail/HSR195/")</f>
        <v>http://www.pristavka.com/catalog/Honkai_Star_Rail/HSR195/</v>
      </c>
      <c r="N3902" s="71">
        <v>14799</v>
      </c>
      <c r="O3902" s="66" t="s">
        <v>27</v>
      </c>
      <c r="P3902" s="82" t="s">
        <v>14460</v>
      </c>
      <c r="Q3902" s="84" t="s">
        <v>12818</v>
      </c>
      <c r="R3902" s="84" t="s">
        <v>9605</v>
      </c>
      <c r="S3902" s="84">
        <v>0.10100000000000001</v>
      </c>
      <c r="T3902" s="82" t="s">
        <v>14461</v>
      </c>
      <c r="U3902" s="84"/>
      <c r="V3902" s="54"/>
    </row>
    <row r="3903" spans="1:22" s="11" customFormat="1" ht="45" customHeight="1" x14ac:dyDescent="0.2">
      <c r="A3903" s="66" t="s">
        <v>12818</v>
      </c>
      <c r="B3903" s="66" t="s">
        <v>1155</v>
      </c>
      <c r="C3903" s="66" t="s">
        <v>9605</v>
      </c>
      <c r="D3903" s="66">
        <v>6942421136293</v>
      </c>
      <c r="E3903" s="68" t="s">
        <v>14462</v>
      </c>
      <c r="F3903" s="66" t="s">
        <v>14463</v>
      </c>
      <c r="G3903" s="71">
        <v>10427</v>
      </c>
      <c r="H3903" s="73"/>
      <c r="I3903" s="75">
        <v>0.2</v>
      </c>
      <c r="J3903" s="77"/>
      <c r="K3903" s="66"/>
      <c r="L3903" s="66"/>
      <c r="M3903" s="79" t="str">
        <f>HYPERLINK("http://www.pristavka.com/catalog/Honkai_Star_Rail/HSR223/")</f>
        <v>http://www.pristavka.com/catalog/Honkai_Star_Rail/HSR223/</v>
      </c>
      <c r="N3903" s="71">
        <v>17399</v>
      </c>
      <c r="O3903" s="66" t="s">
        <v>27</v>
      </c>
      <c r="P3903" s="82" t="s">
        <v>14464</v>
      </c>
      <c r="Q3903" s="84" t="s">
        <v>12818</v>
      </c>
      <c r="R3903" s="84" t="s">
        <v>9605</v>
      </c>
      <c r="S3903" s="84">
        <v>0.23599999999999999</v>
      </c>
      <c r="T3903" s="82" t="s">
        <v>14465</v>
      </c>
      <c r="U3903" s="84"/>
      <c r="V3903" s="54"/>
    </row>
    <row r="3904" spans="1:22" s="11" customFormat="1" ht="45" customHeight="1" x14ac:dyDescent="0.2">
      <c r="A3904" s="66" t="s">
        <v>12818</v>
      </c>
      <c r="B3904" s="66" t="s">
        <v>1155</v>
      </c>
      <c r="C3904" s="66" t="s">
        <v>9605</v>
      </c>
      <c r="D3904" s="66">
        <v>6976525004974</v>
      </c>
      <c r="E3904" s="68" t="s">
        <v>14466</v>
      </c>
      <c r="F3904" s="66" t="s">
        <v>14467</v>
      </c>
      <c r="G3904" s="71">
        <v>2055</v>
      </c>
      <c r="H3904" s="73"/>
      <c r="I3904" s="75">
        <v>0.2</v>
      </c>
      <c r="J3904" s="77"/>
      <c r="K3904" s="66"/>
      <c r="L3904" s="66"/>
      <c r="M3904" s="79" t="str">
        <f>HYPERLINK("http://www.pristavka.com/catalog/Honkai_Star_Rail/HSR201/")</f>
        <v>http://www.pristavka.com/catalog/Honkai_Star_Rail/HSR201/</v>
      </c>
      <c r="N3904" s="71">
        <v>3499</v>
      </c>
      <c r="O3904" s="66" t="s">
        <v>27</v>
      </c>
      <c r="P3904" s="82" t="s">
        <v>14468</v>
      </c>
      <c r="Q3904" s="84" t="s">
        <v>12818</v>
      </c>
      <c r="R3904" s="84" t="s">
        <v>9605</v>
      </c>
      <c r="S3904" s="84">
        <v>5.0000000000000001E-3</v>
      </c>
      <c r="T3904" s="82" t="s">
        <v>14469</v>
      </c>
      <c r="U3904" s="84"/>
      <c r="V3904" s="54"/>
    </row>
    <row r="3905" spans="1:22" s="11" customFormat="1" ht="45" customHeight="1" x14ac:dyDescent="0.2">
      <c r="A3905" s="66" t="s">
        <v>12818</v>
      </c>
      <c r="B3905" s="66" t="s">
        <v>1155</v>
      </c>
      <c r="C3905" s="66" t="s">
        <v>9605</v>
      </c>
      <c r="D3905" s="66">
        <v>6976525003328</v>
      </c>
      <c r="E3905" s="68" t="s">
        <v>14470</v>
      </c>
      <c r="F3905" s="66" t="s">
        <v>14471</v>
      </c>
      <c r="G3905" s="71">
        <v>2055</v>
      </c>
      <c r="H3905" s="73"/>
      <c r="I3905" s="75">
        <v>0.2</v>
      </c>
      <c r="J3905" s="77"/>
      <c r="K3905" s="66"/>
      <c r="L3905" s="66"/>
      <c r="M3905" s="79" t="str">
        <f>HYPERLINK("http://www.pristavka.com/catalog/Honkai_Star_Rail/HSR205/")</f>
        <v>http://www.pristavka.com/catalog/Honkai_Star_Rail/HSR205/</v>
      </c>
      <c r="N3905" s="71">
        <v>3499</v>
      </c>
      <c r="O3905" s="66" t="s">
        <v>27</v>
      </c>
      <c r="P3905" s="82" t="s">
        <v>14472</v>
      </c>
      <c r="Q3905" s="84" t="s">
        <v>12818</v>
      </c>
      <c r="R3905" s="84" t="s">
        <v>9605</v>
      </c>
      <c r="S3905" s="84">
        <v>0.01</v>
      </c>
      <c r="T3905" s="82" t="s">
        <v>14473</v>
      </c>
      <c r="U3905" s="84"/>
      <c r="V3905" s="54"/>
    </row>
    <row r="3906" spans="1:22" s="11" customFormat="1" ht="45" customHeight="1" x14ac:dyDescent="0.2">
      <c r="A3906" s="66" t="s">
        <v>12818</v>
      </c>
      <c r="B3906" s="66" t="s">
        <v>1155</v>
      </c>
      <c r="C3906" s="66" t="s">
        <v>9605</v>
      </c>
      <c r="D3906" s="66">
        <v>6976525005025</v>
      </c>
      <c r="E3906" s="68" t="s">
        <v>14474</v>
      </c>
      <c r="F3906" s="66" t="s">
        <v>14475</v>
      </c>
      <c r="G3906" s="71">
        <v>2055</v>
      </c>
      <c r="H3906" s="73"/>
      <c r="I3906" s="75">
        <v>0.2</v>
      </c>
      <c r="J3906" s="77"/>
      <c r="K3906" s="66"/>
      <c r="L3906" s="66"/>
      <c r="M3906" s="79" t="str">
        <f>HYPERLINK("http://www.pristavka.com/catalog/Honkai_Star_Rail/HSR204/")</f>
        <v>http://www.pristavka.com/catalog/Honkai_Star_Rail/HSR204/</v>
      </c>
      <c r="N3906" s="71">
        <v>3499</v>
      </c>
      <c r="O3906" s="66" t="s">
        <v>27</v>
      </c>
      <c r="P3906" s="82" t="s">
        <v>14476</v>
      </c>
      <c r="Q3906" s="84" t="s">
        <v>12818</v>
      </c>
      <c r="R3906" s="84" t="s">
        <v>9605</v>
      </c>
      <c r="S3906" s="84">
        <v>5.0000000000000001E-3</v>
      </c>
      <c r="T3906" s="82" t="s">
        <v>14469</v>
      </c>
      <c r="U3906" s="84"/>
      <c r="V3906" s="54"/>
    </row>
    <row r="3907" spans="1:22" s="11" customFormat="1" ht="45" customHeight="1" x14ac:dyDescent="0.2">
      <c r="A3907" s="66" t="s">
        <v>12818</v>
      </c>
      <c r="B3907" s="66" t="s">
        <v>1155</v>
      </c>
      <c r="C3907" s="66" t="s">
        <v>9605</v>
      </c>
      <c r="D3907" s="66">
        <v>6976525005018</v>
      </c>
      <c r="E3907" s="68" t="s">
        <v>14477</v>
      </c>
      <c r="F3907" s="66" t="s">
        <v>14478</v>
      </c>
      <c r="G3907" s="71">
        <v>2055</v>
      </c>
      <c r="H3907" s="73"/>
      <c r="I3907" s="75">
        <v>0.2</v>
      </c>
      <c r="J3907" s="77"/>
      <c r="K3907" s="66"/>
      <c r="L3907" s="66"/>
      <c r="M3907" s="79" t="str">
        <f>HYPERLINK("http://www.pristavka.com/catalog/Honkai_Star_Rail/HSR206/")</f>
        <v>http://www.pristavka.com/catalog/Honkai_Star_Rail/HSR206/</v>
      </c>
      <c r="N3907" s="71">
        <v>3499</v>
      </c>
      <c r="O3907" s="66" t="s">
        <v>27</v>
      </c>
      <c r="P3907" s="82" t="s">
        <v>14479</v>
      </c>
      <c r="Q3907" s="84" t="s">
        <v>12818</v>
      </c>
      <c r="R3907" s="84" t="s">
        <v>9605</v>
      </c>
      <c r="S3907" s="84">
        <v>0.01</v>
      </c>
      <c r="T3907" s="82" t="s">
        <v>14473</v>
      </c>
      <c r="U3907" s="84"/>
      <c r="V3907" s="54"/>
    </row>
    <row r="3908" spans="1:22" s="11" customFormat="1" ht="45" customHeight="1" x14ac:dyDescent="0.2">
      <c r="A3908" s="66" t="s">
        <v>12818</v>
      </c>
      <c r="B3908" s="66" t="s">
        <v>1155</v>
      </c>
      <c r="C3908" s="66" t="s">
        <v>9605</v>
      </c>
      <c r="D3908" s="66">
        <v>6976525005001</v>
      </c>
      <c r="E3908" s="68" t="s">
        <v>14480</v>
      </c>
      <c r="F3908" s="66" t="s">
        <v>14481</v>
      </c>
      <c r="G3908" s="71">
        <v>2055</v>
      </c>
      <c r="H3908" s="73"/>
      <c r="I3908" s="75">
        <v>0.2</v>
      </c>
      <c r="J3908" s="77"/>
      <c r="K3908" s="66"/>
      <c r="L3908" s="66"/>
      <c r="M3908" s="79" t="str">
        <f>HYPERLINK("http://www.pristavka.com/catalog/Honkai_Star_Rail/HSR203/")</f>
        <v>http://www.pristavka.com/catalog/Honkai_Star_Rail/HSR203/</v>
      </c>
      <c r="N3908" s="71">
        <v>3499</v>
      </c>
      <c r="O3908" s="66" t="s">
        <v>27</v>
      </c>
      <c r="P3908" s="82" t="s">
        <v>14482</v>
      </c>
      <c r="Q3908" s="84" t="s">
        <v>12818</v>
      </c>
      <c r="R3908" s="84" t="s">
        <v>9605</v>
      </c>
      <c r="S3908" s="84">
        <v>5.0000000000000001E-3</v>
      </c>
      <c r="T3908" s="82" t="s">
        <v>14469</v>
      </c>
      <c r="U3908" s="84"/>
      <c r="V3908" s="54"/>
    </row>
    <row r="3909" spans="1:22" s="11" customFormat="1" ht="45" customHeight="1" x14ac:dyDescent="0.2">
      <c r="A3909" s="66" t="s">
        <v>12818</v>
      </c>
      <c r="B3909" s="66" t="s">
        <v>1155</v>
      </c>
      <c r="C3909" s="66" t="s">
        <v>9605</v>
      </c>
      <c r="D3909" s="66">
        <v>6976525004981</v>
      </c>
      <c r="E3909" s="68" t="s">
        <v>14483</v>
      </c>
      <c r="F3909" s="66" t="s">
        <v>14484</v>
      </c>
      <c r="G3909" s="71">
        <v>2055</v>
      </c>
      <c r="H3909" s="73"/>
      <c r="I3909" s="75">
        <v>0.2</v>
      </c>
      <c r="J3909" s="77"/>
      <c r="K3909" s="66"/>
      <c r="L3909" s="66"/>
      <c r="M3909" s="79" t="str">
        <f>HYPERLINK("http://www.pristavka.com/catalog/Honkai_Star_Rail/HSR202/")</f>
        <v>http://www.pristavka.com/catalog/Honkai_Star_Rail/HSR202/</v>
      </c>
      <c r="N3909" s="71">
        <v>3499</v>
      </c>
      <c r="O3909" s="66" t="s">
        <v>27</v>
      </c>
      <c r="P3909" s="82" t="s">
        <v>14485</v>
      </c>
      <c r="Q3909" s="84" t="s">
        <v>12818</v>
      </c>
      <c r="R3909" s="84" t="s">
        <v>9605</v>
      </c>
      <c r="S3909" s="84">
        <v>5.0000000000000001E-3</v>
      </c>
      <c r="T3909" s="82" t="s">
        <v>14469</v>
      </c>
      <c r="U3909" s="84"/>
      <c r="V3909" s="54"/>
    </row>
    <row r="3910" spans="1:22" s="11" customFormat="1" ht="45" customHeight="1" x14ac:dyDescent="0.2">
      <c r="A3910" s="66" t="s">
        <v>12818</v>
      </c>
      <c r="B3910" s="66" t="s">
        <v>1155</v>
      </c>
      <c r="C3910" s="66" t="s">
        <v>9605</v>
      </c>
      <c r="D3910" s="66">
        <v>6942421104797</v>
      </c>
      <c r="E3910" s="68" t="s">
        <v>14486</v>
      </c>
      <c r="F3910" s="66" t="s">
        <v>14487</v>
      </c>
      <c r="G3910" s="71">
        <v>1262</v>
      </c>
      <c r="H3910" s="73"/>
      <c r="I3910" s="75">
        <v>0.2</v>
      </c>
      <c r="J3910" s="77"/>
      <c r="K3910" s="66"/>
      <c r="L3910" s="66"/>
      <c r="M3910" s="79" t="str">
        <f>HYPERLINK("http://www.pristavka.com/catalog/Honkai_Star_Rail/HSR242/")</f>
        <v>http://www.pristavka.com/catalog/Honkai_Star_Rail/HSR242/</v>
      </c>
      <c r="N3910" s="71">
        <v>2199</v>
      </c>
      <c r="O3910" s="66" t="s">
        <v>27</v>
      </c>
      <c r="P3910" s="82" t="s">
        <v>14488</v>
      </c>
      <c r="Q3910" s="84" t="s">
        <v>12818</v>
      </c>
      <c r="R3910" s="84" t="s">
        <v>9605</v>
      </c>
      <c r="S3910" s="84">
        <v>1E-3</v>
      </c>
      <c r="T3910" s="82" t="s">
        <v>14489</v>
      </c>
      <c r="U3910" s="84"/>
      <c r="V3910" s="54"/>
    </row>
    <row r="3911" spans="1:22" s="11" customFormat="1" ht="45" customHeight="1" x14ac:dyDescent="0.2">
      <c r="A3911" s="66" t="s">
        <v>12818</v>
      </c>
      <c r="B3911" s="66" t="s">
        <v>1155</v>
      </c>
      <c r="C3911" s="66" t="s">
        <v>9605</v>
      </c>
      <c r="D3911" s="66">
        <v>6942421104759</v>
      </c>
      <c r="E3911" s="68" t="s">
        <v>14490</v>
      </c>
      <c r="F3911" s="66" t="s">
        <v>14491</v>
      </c>
      <c r="G3911" s="71">
        <v>1262</v>
      </c>
      <c r="H3911" s="73"/>
      <c r="I3911" s="75">
        <v>0.2</v>
      </c>
      <c r="J3911" s="77"/>
      <c r="K3911" s="66"/>
      <c r="L3911" s="66"/>
      <c r="M3911" s="79" t="str">
        <f>HYPERLINK("http://www.pristavka.com/catalog/Honkai_Star_Rail/HSR243/")</f>
        <v>http://www.pristavka.com/catalog/Honkai_Star_Rail/HSR243/</v>
      </c>
      <c r="N3911" s="71">
        <v>2199</v>
      </c>
      <c r="O3911" s="66" t="s">
        <v>27</v>
      </c>
      <c r="P3911" s="82" t="s">
        <v>14492</v>
      </c>
      <c r="Q3911" s="84" t="s">
        <v>12818</v>
      </c>
      <c r="R3911" s="84" t="s">
        <v>9605</v>
      </c>
      <c r="S3911" s="84">
        <v>3.0000000000000001E-3</v>
      </c>
      <c r="T3911" s="82" t="s">
        <v>14398</v>
      </c>
      <c r="U3911" s="84"/>
      <c r="V3911" s="54"/>
    </row>
    <row r="3912" spans="1:22" s="11" customFormat="1" ht="45" customHeight="1" x14ac:dyDescent="0.2">
      <c r="A3912" s="66" t="s">
        <v>12818</v>
      </c>
      <c r="B3912" s="66" t="s">
        <v>1155</v>
      </c>
      <c r="C3912" s="66" t="s">
        <v>9605</v>
      </c>
      <c r="D3912" s="66">
        <v>6942421140061</v>
      </c>
      <c r="E3912" s="68" t="s">
        <v>14493</v>
      </c>
      <c r="F3912" s="66" t="s">
        <v>14494</v>
      </c>
      <c r="G3912" s="71">
        <v>1262</v>
      </c>
      <c r="H3912" s="73"/>
      <c r="I3912" s="75">
        <v>0.2</v>
      </c>
      <c r="J3912" s="77"/>
      <c r="K3912" s="66"/>
      <c r="L3912" s="66"/>
      <c r="M3912" s="79" t="str">
        <f>HYPERLINK("http://www.pristavka.com/catalog/Honkai_Star_Rail/HSR245/")</f>
        <v>http://www.pristavka.com/catalog/Honkai_Star_Rail/HSR245/</v>
      </c>
      <c r="N3912" s="71">
        <v>2199</v>
      </c>
      <c r="O3912" s="66" t="s">
        <v>27</v>
      </c>
      <c r="P3912" s="82" t="s">
        <v>14495</v>
      </c>
      <c r="Q3912" s="84" t="s">
        <v>12818</v>
      </c>
      <c r="R3912" s="84" t="s">
        <v>9605</v>
      </c>
      <c r="S3912" s="84">
        <v>5.0000000000000001E-3</v>
      </c>
      <c r="T3912" s="82" t="s">
        <v>14496</v>
      </c>
      <c r="U3912" s="84"/>
      <c r="V3912" s="54"/>
    </row>
    <row r="3913" spans="1:22" s="11" customFormat="1" ht="45" customHeight="1" x14ac:dyDescent="0.2">
      <c r="A3913" s="66" t="s">
        <v>12818</v>
      </c>
      <c r="B3913" s="66" t="s">
        <v>1155</v>
      </c>
      <c r="C3913" s="66" t="s">
        <v>9605</v>
      </c>
      <c r="D3913" s="66">
        <v>6942421119272</v>
      </c>
      <c r="E3913" s="68" t="s">
        <v>14497</v>
      </c>
      <c r="F3913" s="66" t="s">
        <v>14498</v>
      </c>
      <c r="G3913" s="71">
        <v>1262</v>
      </c>
      <c r="H3913" s="73"/>
      <c r="I3913" s="75">
        <v>0.2</v>
      </c>
      <c r="J3913" s="77"/>
      <c r="K3913" s="66"/>
      <c r="L3913" s="66"/>
      <c r="M3913" s="79" t="str">
        <f>HYPERLINK("http://www.pristavka.com/catalog/Honkai_Star_Rail/HSR239/")</f>
        <v>http://www.pristavka.com/catalog/Honkai_Star_Rail/HSR239/</v>
      </c>
      <c r="N3913" s="71">
        <v>2199</v>
      </c>
      <c r="O3913" s="66" t="s">
        <v>27</v>
      </c>
      <c r="P3913" s="82" t="s">
        <v>14499</v>
      </c>
      <c r="Q3913" s="84" t="s">
        <v>12818</v>
      </c>
      <c r="R3913" s="84" t="s">
        <v>9605</v>
      </c>
      <c r="S3913" s="84">
        <v>2.1000000000000001E-2</v>
      </c>
      <c r="T3913" s="82" t="s">
        <v>14500</v>
      </c>
      <c r="U3913" s="84"/>
      <c r="V3913" s="54"/>
    </row>
    <row r="3914" spans="1:22" s="11" customFormat="1" ht="45" customHeight="1" x14ac:dyDescent="0.2">
      <c r="A3914" s="66" t="s">
        <v>12818</v>
      </c>
      <c r="B3914" s="66" t="s">
        <v>1155</v>
      </c>
      <c r="C3914" s="66" t="s">
        <v>9605</v>
      </c>
      <c r="D3914" s="66">
        <v>6942421119289</v>
      </c>
      <c r="E3914" s="68" t="s">
        <v>14501</v>
      </c>
      <c r="F3914" s="66" t="s">
        <v>14502</v>
      </c>
      <c r="G3914" s="71">
        <v>1262</v>
      </c>
      <c r="H3914" s="73"/>
      <c r="I3914" s="75">
        <v>0.2</v>
      </c>
      <c r="J3914" s="77"/>
      <c r="K3914" s="66"/>
      <c r="L3914" s="66"/>
      <c r="M3914" s="79" t="str">
        <f>HYPERLINK("http://www.pristavka.com/catalog/Honkai_Star_Rail/HSR240/")</f>
        <v>http://www.pristavka.com/catalog/Honkai_Star_Rail/HSR240/</v>
      </c>
      <c r="N3914" s="71">
        <v>2199</v>
      </c>
      <c r="O3914" s="66" t="s">
        <v>28</v>
      </c>
      <c r="P3914" s="82" t="s">
        <v>14503</v>
      </c>
      <c r="Q3914" s="84" t="s">
        <v>12818</v>
      </c>
      <c r="R3914" s="84" t="s">
        <v>9605</v>
      </c>
      <c r="S3914" s="84">
        <v>2.1999999999999999E-2</v>
      </c>
      <c r="T3914" s="82" t="s">
        <v>14500</v>
      </c>
      <c r="U3914" s="84"/>
      <c r="V3914" s="54"/>
    </row>
    <row r="3915" spans="1:22" s="11" customFormat="1" ht="45" customHeight="1" x14ac:dyDescent="0.2">
      <c r="A3915" s="66" t="s">
        <v>12818</v>
      </c>
      <c r="B3915" s="66" t="s">
        <v>1155</v>
      </c>
      <c r="C3915" s="66" t="s">
        <v>9605</v>
      </c>
      <c r="D3915" s="66">
        <v>6942421104803</v>
      </c>
      <c r="E3915" s="68" t="s">
        <v>14504</v>
      </c>
      <c r="F3915" s="66" t="s">
        <v>14505</v>
      </c>
      <c r="G3915" s="71">
        <v>1262</v>
      </c>
      <c r="H3915" s="73"/>
      <c r="I3915" s="75">
        <v>0.2</v>
      </c>
      <c r="J3915" s="77"/>
      <c r="K3915" s="66"/>
      <c r="L3915" s="66"/>
      <c r="M3915" s="79" t="str">
        <f>HYPERLINK("http://www.pristavka.com/catalog/Honkai_Star_Rail/HSR244/")</f>
        <v>http://www.pristavka.com/catalog/Honkai_Star_Rail/HSR244/</v>
      </c>
      <c r="N3915" s="71">
        <v>2199</v>
      </c>
      <c r="O3915" s="66" t="s">
        <v>27</v>
      </c>
      <c r="P3915" s="82" t="s">
        <v>14506</v>
      </c>
      <c r="Q3915" s="84" t="s">
        <v>12818</v>
      </c>
      <c r="R3915" s="84" t="s">
        <v>9605</v>
      </c>
      <c r="S3915" s="84">
        <v>1E-3</v>
      </c>
      <c r="T3915" s="82" t="s">
        <v>14489</v>
      </c>
      <c r="U3915" s="84"/>
      <c r="V3915" s="54"/>
    </row>
    <row r="3916" spans="1:22" s="11" customFormat="1" ht="45" customHeight="1" x14ac:dyDescent="0.2">
      <c r="A3916" s="66" t="s">
        <v>12818</v>
      </c>
      <c r="B3916" s="66" t="s">
        <v>1155</v>
      </c>
      <c r="C3916" s="66" t="s">
        <v>9605</v>
      </c>
      <c r="D3916" s="66">
        <v>6942421119326</v>
      </c>
      <c r="E3916" s="68" t="s">
        <v>14507</v>
      </c>
      <c r="F3916" s="66" t="s">
        <v>14508</v>
      </c>
      <c r="G3916" s="71">
        <v>1262</v>
      </c>
      <c r="H3916" s="73"/>
      <c r="I3916" s="75">
        <v>0.2</v>
      </c>
      <c r="J3916" s="77"/>
      <c r="K3916" s="66"/>
      <c r="L3916" s="66"/>
      <c r="M3916" s="79" t="str">
        <f>HYPERLINK("http://www.pristavka.com/catalog/Honkai_Star_Rail/HSR237/")</f>
        <v>http://www.pristavka.com/catalog/Honkai_Star_Rail/HSR237/</v>
      </c>
      <c r="N3916" s="71">
        <v>2199</v>
      </c>
      <c r="O3916" s="66" t="s">
        <v>27</v>
      </c>
      <c r="P3916" s="82" t="s">
        <v>14509</v>
      </c>
      <c r="Q3916" s="84" t="s">
        <v>12818</v>
      </c>
      <c r="R3916" s="84" t="s">
        <v>9605</v>
      </c>
      <c r="S3916" s="84">
        <v>2.1999999999999999E-2</v>
      </c>
      <c r="T3916" s="82" t="s">
        <v>14510</v>
      </c>
      <c r="U3916" s="84"/>
      <c r="V3916" s="54"/>
    </row>
    <row r="3917" spans="1:22" s="11" customFormat="1" ht="45" customHeight="1" x14ac:dyDescent="0.2">
      <c r="A3917" s="66" t="s">
        <v>12818</v>
      </c>
      <c r="B3917" s="66" t="s">
        <v>1155</v>
      </c>
      <c r="C3917" s="66" t="s">
        <v>9605</v>
      </c>
      <c r="D3917" s="66">
        <v>6942421104780</v>
      </c>
      <c r="E3917" s="68" t="s">
        <v>14511</v>
      </c>
      <c r="F3917" s="66" t="s">
        <v>14512</v>
      </c>
      <c r="G3917" s="71">
        <v>1262</v>
      </c>
      <c r="H3917" s="73"/>
      <c r="I3917" s="75">
        <v>0.2</v>
      </c>
      <c r="J3917" s="77"/>
      <c r="K3917" s="66"/>
      <c r="L3917" s="66"/>
      <c r="M3917" s="79" t="str">
        <f>HYPERLINK("http://www.pristavka.com/catalog/Honkai_Star_Rail/HSR241/")</f>
        <v>http://www.pristavka.com/catalog/Honkai_Star_Rail/HSR241/</v>
      </c>
      <c r="N3917" s="71">
        <v>2199</v>
      </c>
      <c r="O3917" s="66" t="s">
        <v>27</v>
      </c>
      <c r="P3917" s="82" t="s">
        <v>14513</v>
      </c>
      <c r="Q3917" s="84" t="s">
        <v>12818</v>
      </c>
      <c r="R3917" s="84" t="s">
        <v>9605</v>
      </c>
      <c r="S3917" s="84">
        <v>5.0000000000000001E-3</v>
      </c>
      <c r="T3917" s="82" t="s">
        <v>14398</v>
      </c>
      <c r="U3917" s="84"/>
      <c r="V3917" s="54"/>
    </row>
    <row r="3918" spans="1:22" s="11" customFormat="1" ht="45" customHeight="1" x14ac:dyDescent="0.2">
      <c r="A3918" s="66" t="s">
        <v>12818</v>
      </c>
      <c r="B3918" s="66" t="s">
        <v>1155</v>
      </c>
      <c r="C3918" s="66" t="s">
        <v>9605</v>
      </c>
      <c r="D3918" s="66">
        <v>6942421105633</v>
      </c>
      <c r="E3918" s="68" t="s">
        <v>14514</v>
      </c>
      <c r="F3918" s="66" t="s">
        <v>14515</v>
      </c>
      <c r="G3918" s="71">
        <v>6941</v>
      </c>
      <c r="H3918" s="73"/>
      <c r="I3918" s="75">
        <v>0.2</v>
      </c>
      <c r="J3918" s="77"/>
      <c r="K3918" s="66"/>
      <c r="L3918" s="66"/>
      <c r="M3918" s="79" t="str">
        <f>HYPERLINK("http://www.pristavka.com/catalog/Honkai_Star_Rail/HSR199/")</f>
        <v>http://www.pristavka.com/catalog/Honkai_Star_Rail/HSR199/</v>
      </c>
      <c r="N3918" s="71">
        <v>11599</v>
      </c>
      <c r="O3918" s="66" t="s">
        <v>27</v>
      </c>
      <c r="P3918" s="82" t="s">
        <v>14516</v>
      </c>
      <c r="Q3918" s="84" t="s">
        <v>12818</v>
      </c>
      <c r="R3918" s="84" t="s">
        <v>9605</v>
      </c>
      <c r="S3918" s="84">
        <v>0.13</v>
      </c>
      <c r="T3918" s="82" t="s">
        <v>14517</v>
      </c>
      <c r="U3918" s="84"/>
      <c r="V3918" s="54"/>
    </row>
    <row r="3919" spans="1:22" s="11" customFormat="1" ht="45" customHeight="1" x14ac:dyDescent="0.2">
      <c r="A3919" s="66" t="s">
        <v>12818</v>
      </c>
      <c r="B3919" s="66" t="s">
        <v>1155</v>
      </c>
      <c r="C3919" s="66" t="s">
        <v>9605</v>
      </c>
      <c r="D3919" s="66">
        <v>6942421105626</v>
      </c>
      <c r="E3919" s="68" t="s">
        <v>14518</v>
      </c>
      <c r="F3919" s="66" t="s">
        <v>14519</v>
      </c>
      <c r="G3919" s="71">
        <v>6941</v>
      </c>
      <c r="H3919" s="73"/>
      <c r="I3919" s="75">
        <v>0.2</v>
      </c>
      <c r="J3919" s="77"/>
      <c r="K3919" s="66"/>
      <c r="L3919" s="66"/>
      <c r="M3919" s="79" t="str">
        <f>HYPERLINK("http://www.pristavka.com/catalog/Honkai_Star_Rail/HSR200/")</f>
        <v>http://www.pristavka.com/catalog/Honkai_Star_Rail/HSR200/</v>
      </c>
      <c r="N3919" s="71">
        <v>11599</v>
      </c>
      <c r="O3919" s="66" t="s">
        <v>27</v>
      </c>
      <c r="P3919" s="82" t="s">
        <v>14520</v>
      </c>
      <c r="Q3919" s="84" t="s">
        <v>12818</v>
      </c>
      <c r="R3919" s="84" t="s">
        <v>9605</v>
      </c>
      <c r="S3919" s="84">
        <v>0.13</v>
      </c>
      <c r="T3919" s="82" t="s">
        <v>14517</v>
      </c>
      <c r="U3919" s="84"/>
      <c r="V3919" s="54"/>
    </row>
    <row r="3920" spans="1:22" s="11" customFormat="1" ht="45" customHeight="1" x14ac:dyDescent="0.2">
      <c r="A3920" s="66" t="s">
        <v>12818</v>
      </c>
      <c r="B3920" s="66" t="s">
        <v>1155</v>
      </c>
      <c r="C3920" s="66" t="s">
        <v>9605</v>
      </c>
      <c r="D3920" s="66">
        <v>6976525009962</v>
      </c>
      <c r="E3920" s="68" t="s">
        <v>14521</v>
      </c>
      <c r="F3920" s="66" t="s">
        <v>14522</v>
      </c>
      <c r="G3920" s="71">
        <v>18667</v>
      </c>
      <c r="H3920" s="73"/>
      <c r="I3920" s="75">
        <v>0.2</v>
      </c>
      <c r="J3920" s="77"/>
      <c r="K3920" s="66"/>
      <c r="L3920" s="66"/>
      <c r="M3920" s="79" t="str">
        <f>HYPERLINK("http://www.pristavka.com/catalog/Honkai_Star_Rail/HSR246/")</f>
        <v>http://www.pristavka.com/catalog/Honkai_Star_Rail/HSR246/</v>
      </c>
      <c r="N3920" s="71">
        <v>31199</v>
      </c>
      <c r="O3920" s="66" t="s">
        <v>27</v>
      </c>
      <c r="P3920" s="82" t="s">
        <v>14523</v>
      </c>
      <c r="Q3920" s="84" t="s">
        <v>12818</v>
      </c>
      <c r="R3920" s="84" t="s">
        <v>9605</v>
      </c>
      <c r="S3920" s="84">
        <v>0.51600000000000001</v>
      </c>
      <c r="T3920" s="82" t="s">
        <v>14524</v>
      </c>
      <c r="U3920" s="84"/>
      <c r="V3920" s="54"/>
    </row>
    <row r="3921" spans="1:22" s="11" customFormat="1" ht="45" customHeight="1" x14ac:dyDescent="0.2">
      <c r="A3921" s="66" t="s">
        <v>12818</v>
      </c>
      <c r="B3921" s="66" t="s">
        <v>1155</v>
      </c>
      <c r="C3921" s="66" t="s">
        <v>9605</v>
      </c>
      <c r="D3921" s="66" t="s">
        <v>26</v>
      </c>
      <c r="E3921" s="68" t="s">
        <v>14525</v>
      </c>
      <c r="F3921" s="66" t="s">
        <v>14526</v>
      </c>
      <c r="G3921" s="71">
        <v>5673</v>
      </c>
      <c r="H3921" s="73"/>
      <c r="I3921" s="75">
        <v>0.2</v>
      </c>
      <c r="J3921" s="77"/>
      <c r="K3921" s="66"/>
      <c r="L3921" s="66"/>
      <c r="M3921" s="79" t="str">
        <f>HYPERLINK("http://www.pristavka.com/catalog/Honkai_Star_Rail/HSR315/")</f>
        <v>http://www.pristavka.com/catalog/Honkai_Star_Rail/HSR315/</v>
      </c>
      <c r="N3921" s="71">
        <v>9499</v>
      </c>
      <c r="O3921" s="66" t="s">
        <v>27</v>
      </c>
      <c r="P3921" s="82" t="s">
        <v>14527</v>
      </c>
      <c r="Q3921" s="84" t="s">
        <v>12818</v>
      </c>
      <c r="R3921" s="84" t="s">
        <v>9605</v>
      </c>
      <c r="S3921" s="84">
        <v>0.15</v>
      </c>
      <c r="T3921" s="82" t="s">
        <v>13633</v>
      </c>
      <c r="U3921" s="84"/>
      <c r="V3921" s="54"/>
    </row>
    <row r="3922" spans="1:22" s="11" customFormat="1" ht="45" customHeight="1" x14ac:dyDescent="0.2">
      <c r="A3922" s="66" t="s">
        <v>12818</v>
      </c>
      <c r="B3922" s="66" t="s">
        <v>1155</v>
      </c>
      <c r="C3922" s="66" t="s">
        <v>9605</v>
      </c>
      <c r="D3922" s="66" t="s">
        <v>26</v>
      </c>
      <c r="E3922" s="68" t="s">
        <v>14528</v>
      </c>
      <c r="F3922" s="66" t="s">
        <v>14529</v>
      </c>
      <c r="G3922" s="71">
        <v>4405</v>
      </c>
      <c r="H3922" s="73"/>
      <c r="I3922" s="75">
        <v>0.2</v>
      </c>
      <c r="J3922" s="77"/>
      <c r="K3922" s="66"/>
      <c r="L3922" s="66"/>
      <c r="M3922" s="79" t="str">
        <f>HYPERLINK("http://www.pristavka.com/catalog/Honkai_Star_Rail/HSR324/")</f>
        <v>http://www.pristavka.com/catalog/Honkai_Star_Rail/HSR324/</v>
      </c>
      <c r="N3922" s="71">
        <v>7399</v>
      </c>
      <c r="O3922" s="66" t="s">
        <v>27</v>
      </c>
      <c r="P3922" s="82" t="s">
        <v>14530</v>
      </c>
      <c r="Q3922" s="84" t="s">
        <v>12818</v>
      </c>
      <c r="R3922" s="84" t="s">
        <v>9605</v>
      </c>
      <c r="S3922" s="84">
        <v>0.14000000000000001</v>
      </c>
      <c r="T3922" s="82" t="s">
        <v>14531</v>
      </c>
      <c r="U3922" s="84"/>
      <c r="V3922" s="54"/>
    </row>
    <row r="3923" spans="1:22" s="11" customFormat="1" ht="45" customHeight="1" x14ac:dyDescent="0.2">
      <c r="A3923" s="66" t="s">
        <v>12818</v>
      </c>
      <c r="B3923" s="66" t="s">
        <v>1155</v>
      </c>
      <c r="C3923" s="66" t="s">
        <v>9605</v>
      </c>
      <c r="D3923" s="66" t="s">
        <v>26</v>
      </c>
      <c r="E3923" s="68" t="s">
        <v>14532</v>
      </c>
      <c r="F3923" s="66" t="s">
        <v>14533</v>
      </c>
      <c r="G3923" s="71">
        <v>5673</v>
      </c>
      <c r="H3923" s="73"/>
      <c r="I3923" s="75">
        <v>0.2</v>
      </c>
      <c r="J3923" s="77"/>
      <c r="K3923" s="66"/>
      <c r="L3923" s="66"/>
      <c r="M3923" s="79" t="str">
        <f>HYPERLINK("http://www.pristavka.com/catalog/Honkai_Star_Rail/HSR316/")</f>
        <v>http://www.pristavka.com/catalog/Honkai_Star_Rail/HSR316/</v>
      </c>
      <c r="N3923" s="71">
        <v>9499</v>
      </c>
      <c r="O3923" s="66" t="s">
        <v>27</v>
      </c>
      <c r="P3923" s="82" t="s">
        <v>14534</v>
      </c>
      <c r="Q3923" s="84" t="s">
        <v>12818</v>
      </c>
      <c r="R3923" s="84" t="s">
        <v>9605</v>
      </c>
      <c r="S3923" s="84">
        <v>0.16200000000000001</v>
      </c>
      <c r="T3923" s="82" t="s">
        <v>13633</v>
      </c>
      <c r="U3923" s="84"/>
      <c r="V3923" s="54"/>
    </row>
    <row r="3924" spans="1:22" s="11" customFormat="1" ht="45" customHeight="1" x14ac:dyDescent="0.2">
      <c r="A3924" s="66" t="s">
        <v>12818</v>
      </c>
      <c r="B3924" s="66" t="s">
        <v>1155</v>
      </c>
      <c r="C3924" s="66" t="s">
        <v>9605</v>
      </c>
      <c r="D3924" s="66" t="s">
        <v>26</v>
      </c>
      <c r="E3924" s="68" t="s">
        <v>14535</v>
      </c>
      <c r="F3924" s="66" t="s">
        <v>14536</v>
      </c>
      <c r="G3924" s="71">
        <v>4405</v>
      </c>
      <c r="H3924" s="73"/>
      <c r="I3924" s="75">
        <v>0.2</v>
      </c>
      <c r="J3924" s="77"/>
      <c r="K3924" s="66"/>
      <c r="L3924" s="66"/>
      <c r="M3924" s="79" t="str">
        <f>HYPERLINK("http://www.pristavka.com/catalog/Honkai_Star_Rail/HSR323/")</f>
        <v>http://www.pristavka.com/catalog/Honkai_Star_Rail/HSR323/</v>
      </c>
      <c r="N3924" s="71">
        <v>7399</v>
      </c>
      <c r="O3924" s="66" t="s">
        <v>27</v>
      </c>
      <c r="P3924" s="82" t="s">
        <v>14537</v>
      </c>
      <c r="Q3924" s="84" t="s">
        <v>12818</v>
      </c>
      <c r="R3924" s="84" t="s">
        <v>9605</v>
      </c>
      <c r="S3924" s="84">
        <v>0.14499999999999999</v>
      </c>
      <c r="T3924" s="82" t="s">
        <v>14531</v>
      </c>
      <c r="U3924" s="84"/>
      <c r="V3924" s="54"/>
    </row>
    <row r="3925" spans="1:22" s="11" customFormat="1" ht="45" customHeight="1" x14ac:dyDescent="0.2">
      <c r="A3925" s="66" t="s">
        <v>12818</v>
      </c>
      <c r="B3925" s="66" t="s">
        <v>1155</v>
      </c>
      <c r="C3925" s="66" t="s">
        <v>9605</v>
      </c>
      <c r="D3925" s="66" t="s">
        <v>26</v>
      </c>
      <c r="E3925" s="68" t="s">
        <v>14538</v>
      </c>
      <c r="F3925" s="66" t="s">
        <v>14539</v>
      </c>
      <c r="G3925" s="71">
        <v>4405</v>
      </c>
      <c r="H3925" s="73"/>
      <c r="I3925" s="75">
        <v>0.2</v>
      </c>
      <c r="J3925" s="77"/>
      <c r="K3925" s="66"/>
      <c r="L3925" s="66"/>
      <c r="M3925" s="79" t="str">
        <f>HYPERLINK("http://www.pristavka.com/catalog/Honkai_Star_Rail/HSR322/")</f>
        <v>http://www.pristavka.com/catalog/Honkai_Star_Rail/HSR322/</v>
      </c>
      <c r="N3925" s="71">
        <v>7399</v>
      </c>
      <c r="O3925" s="66" t="s">
        <v>27</v>
      </c>
      <c r="P3925" s="82" t="s">
        <v>14540</v>
      </c>
      <c r="Q3925" s="84" t="s">
        <v>12818</v>
      </c>
      <c r="R3925" s="84" t="s">
        <v>9605</v>
      </c>
      <c r="S3925" s="84">
        <v>0.14000000000000001</v>
      </c>
      <c r="T3925" s="82" t="s">
        <v>14531</v>
      </c>
      <c r="U3925" s="84"/>
      <c r="V3925" s="54"/>
    </row>
    <row r="3926" spans="1:22" s="11" customFormat="1" ht="45" customHeight="1" x14ac:dyDescent="0.2">
      <c r="A3926" s="66" t="s">
        <v>12818</v>
      </c>
      <c r="B3926" s="66" t="s">
        <v>1155</v>
      </c>
      <c r="C3926" s="66" t="s">
        <v>9605</v>
      </c>
      <c r="D3926" s="66">
        <v>6911400439687</v>
      </c>
      <c r="E3926" s="68" t="s">
        <v>14541</v>
      </c>
      <c r="F3926" s="66" t="s">
        <v>14542</v>
      </c>
      <c r="G3926" s="71">
        <v>2530</v>
      </c>
      <c r="H3926" s="73"/>
      <c r="I3926" s="75">
        <v>0.2</v>
      </c>
      <c r="J3926" s="77"/>
      <c r="K3926" s="66"/>
      <c r="L3926" s="66"/>
      <c r="M3926" s="79" t="str">
        <f>HYPERLINK("http://www.pristavka.com/catalog/Honkai_Star_Rail/HSR299/")</f>
        <v>http://www.pristavka.com/catalog/Honkai_Star_Rail/HSR299/</v>
      </c>
      <c r="N3926" s="71">
        <v>4299</v>
      </c>
      <c r="O3926" s="66" t="s">
        <v>27</v>
      </c>
      <c r="P3926" s="82" t="s">
        <v>14543</v>
      </c>
      <c r="Q3926" s="84" t="s">
        <v>12818</v>
      </c>
      <c r="R3926" s="84" t="s">
        <v>9605</v>
      </c>
      <c r="S3926" s="84">
        <v>0.03</v>
      </c>
      <c r="T3926" s="82" t="s">
        <v>14544</v>
      </c>
      <c r="U3926" s="84"/>
      <c r="V3926" s="54"/>
    </row>
    <row r="3927" spans="1:22" s="11" customFormat="1" ht="45" customHeight="1" x14ac:dyDescent="0.2">
      <c r="A3927" s="66" t="s">
        <v>12818</v>
      </c>
      <c r="B3927" s="66" t="s">
        <v>1155</v>
      </c>
      <c r="C3927" s="66" t="s">
        <v>9605</v>
      </c>
      <c r="D3927" s="66">
        <v>6976068141556</v>
      </c>
      <c r="E3927" s="68" t="s">
        <v>14545</v>
      </c>
      <c r="F3927" s="66" t="s">
        <v>14546</v>
      </c>
      <c r="G3927" s="71">
        <v>87119</v>
      </c>
      <c r="H3927" s="73"/>
      <c r="I3927" s="75">
        <v>0.2</v>
      </c>
      <c r="J3927" s="77"/>
      <c r="K3927" s="66"/>
      <c r="L3927" s="66"/>
      <c r="M3927" s="79" t="str">
        <f>HYPERLINK("http://www.pristavka.com/catalog/Honkai_Star_Rail/HSR290/")</f>
        <v>http://www.pristavka.com/catalog/Honkai_Star_Rail/HSR290/</v>
      </c>
      <c r="N3927" s="71">
        <v>116199</v>
      </c>
      <c r="O3927" s="66" t="s">
        <v>27</v>
      </c>
      <c r="P3927" s="82" t="s">
        <v>14547</v>
      </c>
      <c r="Q3927" s="84" t="s">
        <v>12818</v>
      </c>
      <c r="R3927" s="84" t="s">
        <v>9605</v>
      </c>
      <c r="S3927" s="84">
        <v>0.47799999999999998</v>
      </c>
      <c r="T3927" s="82" t="s">
        <v>14548</v>
      </c>
      <c r="U3927" s="84"/>
      <c r="V3927" s="54"/>
    </row>
    <row r="3928" spans="1:22" s="11" customFormat="1" ht="45" customHeight="1" x14ac:dyDescent="0.2">
      <c r="A3928" s="66" t="s">
        <v>12818</v>
      </c>
      <c r="B3928" s="66" t="s">
        <v>1155</v>
      </c>
      <c r="C3928" s="66" t="s">
        <v>9605</v>
      </c>
      <c r="D3928" s="66">
        <v>6942421110682</v>
      </c>
      <c r="E3928" s="68" t="s">
        <v>14549</v>
      </c>
      <c r="F3928" s="66" t="s">
        <v>14550</v>
      </c>
      <c r="G3928" s="71">
        <v>9476</v>
      </c>
      <c r="H3928" s="73"/>
      <c r="I3928" s="75">
        <v>0.2</v>
      </c>
      <c r="J3928" s="77"/>
      <c r="K3928" s="66"/>
      <c r="L3928" s="66"/>
      <c r="M3928" s="79" t="str">
        <f>HYPERLINK("http://www.pristavka.com/catalog/Honkai_Star_Rail/HSR295/")</f>
        <v>http://www.pristavka.com/catalog/Honkai_Star_Rail/HSR295/</v>
      </c>
      <c r="N3928" s="71">
        <v>15799</v>
      </c>
      <c r="O3928" s="66" t="s">
        <v>27</v>
      </c>
      <c r="P3928" s="82" t="s">
        <v>14551</v>
      </c>
      <c r="Q3928" s="84" t="s">
        <v>12818</v>
      </c>
      <c r="R3928" s="84" t="s">
        <v>9605</v>
      </c>
      <c r="S3928" s="84">
        <v>0.125</v>
      </c>
      <c r="T3928" s="82" t="s">
        <v>14552</v>
      </c>
      <c r="U3928" s="84"/>
      <c r="V3928" s="54"/>
    </row>
    <row r="3929" spans="1:22" s="11" customFormat="1" ht="45" customHeight="1" x14ac:dyDescent="0.2">
      <c r="A3929" s="66" t="s">
        <v>12818</v>
      </c>
      <c r="B3929" s="66" t="s">
        <v>1155</v>
      </c>
      <c r="C3929" s="66" t="s">
        <v>9605</v>
      </c>
      <c r="D3929" s="66">
        <v>6976068147442</v>
      </c>
      <c r="E3929" s="68" t="s">
        <v>14553</v>
      </c>
      <c r="F3929" s="66" t="s">
        <v>14554</v>
      </c>
      <c r="G3929" s="71">
        <v>14230</v>
      </c>
      <c r="H3929" s="73"/>
      <c r="I3929" s="75">
        <v>0.2</v>
      </c>
      <c r="J3929" s="77"/>
      <c r="K3929" s="66"/>
      <c r="L3929" s="66"/>
      <c r="M3929" s="79" t="str">
        <f>HYPERLINK("http://www.pristavka.com/catalog/Honkai_Star_Rail/HSR292/")</f>
        <v>http://www.pristavka.com/catalog/Honkai_Star_Rail/HSR292/</v>
      </c>
      <c r="N3929" s="71">
        <v>23799</v>
      </c>
      <c r="O3929" s="66" t="s">
        <v>27</v>
      </c>
      <c r="P3929" s="82" t="s">
        <v>14555</v>
      </c>
      <c r="Q3929" s="84" t="s">
        <v>12818</v>
      </c>
      <c r="R3929" s="84" t="s">
        <v>9605</v>
      </c>
      <c r="S3929" s="84">
        <v>0.17199999999999999</v>
      </c>
      <c r="T3929" s="82" t="s">
        <v>14556</v>
      </c>
      <c r="U3929" s="84"/>
      <c r="V3929" s="54"/>
    </row>
    <row r="3930" spans="1:22" s="11" customFormat="1" ht="45" customHeight="1" x14ac:dyDescent="0.2">
      <c r="A3930" s="66" t="s">
        <v>12818</v>
      </c>
      <c r="B3930" s="66" t="s">
        <v>1155</v>
      </c>
      <c r="C3930" s="66" t="s">
        <v>9605</v>
      </c>
      <c r="D3930" s="66">
        <v>6976068142201</v>
      </c>
      <c r="E3930" s="68" t="s">
        <v>14557</v>
      </c>
      <c r="F3930" s="66" t="s">
        <v>14558</v>
      </c>
      <c r="G3930" s="71">
        <v>11378</v>
      </c>
      <c r="H3930" s="73"/>
      <c r="I3930" s="75">
        <v>0.2</v>
      </c>
      <c r="J3930" s="77"/>
      <c r="K3930" s="66"/>
      <c r="L3930" s="66"/>
      <c r="M3930" s="79" t="str">
        <f>HYPERLINK("http://www.pristavka.com/catalog/Honkai_Star_Rail/HSR293/")</f>
        <v>http://www.pristavka.com/catalog/Honkai_Star_Rail/HSR293/</v>
      </c>
      <c r="N3930" s="71">
        <v>18999</v>
      </c>
      <c r="O3930" s="66" t="s">
        <v>27</v>
      </c>
      <c r="P3930" s="82" t="s">
        <v>14559</v>
      </c>
      <c r="Q3930" s="84" t="s">
        <v>12818</v>
      </c>
      <c r="R3930" s="84" t="s">
        <v>9605</v>
      </c>
      <c r="S3930" s="84">
        <v>7.4999999999999997E-2</v>
      </c>
      <c r="T3930" s="82" t="s">
        <v>14560</v>
      </c>
      <c r="U3930" s="84"/>
      <c r="V3930" s="54"/>
    </row>
    <row r="3931" spans="1:22" s="11" customFormat="1" ht="45" customHeight="1" x14ac:dyDescent="0.2">
      <c r="A3931" s="66" t="s">
        <v>12818</v>
      </c>
      <c r="B3931" s="66" t="s">
        <v>1155</v>
      </c>
      <c r="C3931" s="66" t="s">
        <v>9605</v>
      </c>
      <c r="D3931" s="66">
        <v>6976068142195</v>
      </c>
      <c r="E3931" s="68" t="s">
        <v>14561</v>
      </c>
      <c r="F3931" s="66" t="s">
        <v>14562</v>
      </c>
      <c r="G3931" s="71">
        <v>11378</v>
      </c>
      <c r="H3931" s="73"/>
      <c r="I3931" s="75">
        <v>0.2</v>
      </c>
      <c r="J3931" s="77"/>
      <c r="K3931" s="66"/>
      <c r="L3931" s="66"/>
      <c r="M3931" s="79" t="str">
        <f>HYPERLINK("http://www.pristavka.com/catalog/Honkai_Star_Rail/HSR294/")</f>
        <v>http://www.pristavka.com/catalog/Honkai_Star_Rail/HSR294/</v>
      </c>
      <c r="N3931" s="71">
        <v>18999</v>
      </c>
      <c r="O3931" s="66" t="s">
        <v>27</v>
      </c>
      <c r="P3931" s="82" t="s">
        <v>14563</v>
      </c>
      <c r="Q3931" s="84" t="s">
        <v>12818</v>
      </c>
      <c r="R3931" s="84" t="s">
        <v>9605</v>
      </c>
      <c r="S3931" s="84">
        <v>7.4999999999999997E-2</v>
      </c>
      <c r="T3931" s="82" t="s">
        <v>14560</v>
      </c>
      <c r="U3931" s="84"/>
      <c r="V3931" s="54"/>
    </row>
    <row r="3932" spans="1:22" s="11" customFormat="1" ht="45" customHeight="1" x14ac:dyDescent="0.2">
      <c r="A3932" s="66" t="s">
        <v>12818</v>
      </c>
      <c r="B3932" s="66" t="s">
        <v>1155</v>
      </c>
      <c r="C3932" s="66" t="s">
        <v>9605</v>
      </c>
      <c r="D3932" s="66">
        <v>6976068147428</v>
      </c>
      <c r="E3932" s="68" t="s">
        <v>14564</v>
      </c>
      <c r="F3932" s="66" t="s">
        <v>14565</v>
      </c>
      <c r="G3932" s="71">
        <v>14230</v>
      </c>
      <c r="H3932" s="73"/>
      <c r="I3932" s="75">
        <v>0.2</v>
      </c>
      <c r="J3932" s="77"/>
      <c r="K3932" s="66"/>
      <c r="L3932" s="66"/>
      <c r="M3932" s="79" t="str">
        <f>HYPERLINK("http://www.pristavka.com/catalog/Honkai_Star_Rail/HSR250/")</f>
        <v>http://www.pristavka.com/catalog/Honkai_Star_Rail/HSR250/</v>
      </c>
      <c r="N3932" s="71">
        <v>23799</v>
      </c>
      <c r="O3932" s="66" t="s">
        <v>27</v>
      </c>
      <c r="P3932" s="82" t="s">
        <v>14566</v>
      </c>
      <c r="Q3932" s="84" t="s">
        <v>12818</v>
      </c>
      <c r="R3932" s="84" t="s">
        <v>9605</v>
      </c>
      <c r="S3932" s="84">
        <v>0.155</v>
      </c>
      <c r="T3932" s="82" t="s">
        <v>14567</v>
      </c>
      <c r="U3932" s="84"/>
      <c r="V3932" s="54"/>
    </row>
    <row r="3933" spans="1:22" s="11" customFormat="1" ht="45" customHeight="1" x14ac:dyDescent="0.2">
      <c r="A3933" s="66" t="s">
        <v>12818</v>
      </c>
      <c r="B3933" s="66" t="s">
        <v>1155</v>
      </c>
      <c r="C3933" s="66" t="s">
        <v>9605</v>
      </c>
      <c r="D3933" s="66" t="s">
        <v>26</v>
      </c>
      <c r="E3933" s="68" t="s">
        <v>14568</v>
      </c>
      <c r="F3933" s="66" t="s">
        <v>14569</v>
      </c>
      <c r="G3933" s="71">
        <v>1896</v>
      </c>
      <c r="H3933" s="73"/>
      <c r="I3933" s="75">
        <v>0.2</v>
      </c>
      <c r="J3933" s="77"/>
      <c r="K3933" s="66"/>
      <c r="L3933" s="66"/>
      <c r="M3933" s="79" t="str">
        <f>HYPERLINK("http://www.pristavka.com/catalog/Honkai_Star_Rail/HSR376/")</f>
        <v>http://www.pristavka.com/catalog/Honkai_Star_Rail/HSR376/</v>
      </c>
      <c r="N3933" s="71">
        <v>3199</v>
      </c>
      <c r="O3933" s="66" t="s">
        <v>27</v>
      </c>
      <c r="P3933" s="82" t="s">
        <v>14570</v>
      </c>
      <c r="Q3933" s="84" t="s">
        <v>12818</v>
      </c>
      <c r="R3933" s="84" t="s">
        <v>9605</v>
      </c>
      <c r="S3933" s="84">
        <v>3.5000000000000003E-2</v>
      </c>
      <c r="T3933" s="82" t="s">
        <v>14571</v>
      </c>
      <c r="U3933" s="84"/>
      <c r="V3933" s="54"/>
    </row>
    <row r="3934" spans="1:22" s="11" customFormat="1" ht="45" customHeight="1" x14ac:dyDescent="0.2">
      <c r="A3934" s="66" t="s">
        <v>12818</v>
      </c>
      <c r="B3934" s="66" t="s">
        <v>1155</v>
      </c>
      <c r="C3934" s="66" t="s">
        <v>9605</v>
      </c>
      <c r="D3934" s="66">
        <v>6942421116653</v>
      </c>
      <c r="E3934" s="68" t="s">
        <v>14572</v>
      </c>
      <c r="F3934" s="66" t="s">
        <v>14573</v>
      </c>
      <c r="G3934" s="71">
        <v>14547</v>
      </c>
      <c r="H3934" s="73"/>
      <c r="I3934" s="75">
        <v>0.2</v>
      </c>
      <c r="J3934" s="77"/>
      <c r="K3934" s="66"/>
      <c r="L3934" s="66"/>
      <c r="M3934" s="79" t="str">
        <f>HYPERLINK("http://www.pristavka.com/catalog/Honkai_Star_Rail/HSR247/")</f>
        <v>http://www.pristavka.com/catalog/Honkai_Star_Rail/HSR247/</v>
      </c>
      <c r="N3934" s="71">
        <v>24299</v>
      </c>
      <c r="O3934" s="66" t="s">
        <v>27</v>
      </c>
      <c r="P3934" s="82" t="s">
        <v>14574</v>
      </c>
      <c r="Q3934" s="84" t="s">
        <v>12818</v>
      </c>
      <c r="R3934" s="84" t="s">
        <v>9605</v>
      </c>
      <c r="S3934" s="84">
        <v>0.37</v>
      </c>
      <c r="T3934" s="82" t="s">
        <v>14575</v>
      </c>
      <c r="U3934" s="84"/>
      <c r="V3934" s="54"/>
    </row>
    <row r="3935" spans="1:22" s="11" customFormat="1" ht="45" customHeight="1" x14ac:dyDescent="0.2">
      <c r="A3935" s="66" t="s">
        <v>12818</v>
      </c>
      <c r="B3935" s="66" t="s">
        <v>1155</v>
      </c>
      <c r="C3935" s="66" t="s">
        <v>9605</v>
      </c>
      <c r="D3935" s="66">
        <v>6976068148593</v>
      </c>
      <c r="E3935" s="68" t="s">
        <v>14576</v>
      </c>
      <c r="F3935" s="66" t="s">
        <v>14577</v>
      </c>
      <c r="G3935" s="71">
        <v>5990</v>
      </c>
      <c r="H3935" s="73"/>
      <c r="I3935" s="75">
        <v>0.2</v>
      </c>
      <c r="J3935" s="77"/>
      <c r="K3935" s="66"/>
      <c r="L3935" s="66"/>
      <c r="M3935" s="79" t="str">
        <f>HYPERLINK("http://www.pristavka.com/catalog/Honkai_Star_Rail/HSR190/")</f>
        <v>http://www.pristavka.com/catalog/Honkai_Star_Rail/HSR190/</v>
      </c>
      <c r="N3935" s="71">
        <v>9999</v>
      </c>
      <c r="O3935" s="66" t="s">
        <v>27</v>
      </c>
      <c r="P3935" s="82" t="s">
        <v>14578</v>
      </c>
      <c r="Q3935" s="84" t="s">
        <v>12818</v>
      </c>
      <c r="R3935" s="84" t="s">
        <v>9605</v>
      </c>
      <c r="S3935" s="84">
        <v>0.13700000000000001</v>
      </c>
      <c r="T3935" s="82" t="s">
        <v>10879</v>
      </c>
      <c r="U3935" s="84"/>
      <c r="V3935" s="54"/>
    </row>
    <row r="3936" spans="1:22" s="11" customFormat="1" ht="45" customHeight="1" x14ac:dyDescent="0.2">
      <c r="A3936" s="66" t="s">
        <v>12818</v>
      </c>
      <c r="B3936" s="66" t="s">
        <v>1155</v>
      </c>
      <c r="C3936" s="66" t="s">
        <v>9605</v>
      </c>
      <c r="D3936" s="66">
        <v>6976525009597</v>
      </c>
      <c r="E3936" s="68" t="s">
        <v>14579</v>
      </c>
      <c r="F3936" s="66" t="s">
        <v>14580</v>
      </c>
      <c r="G3936" s="71">
        <v>6307</v>
      </c>
      <c r="H3936" s="73"/>
      <c r="I3936" s="75">
        <v>0.2</v>
      </c>
      <c r="J3936" s="77"/>
      <c r="K3936" s="66"/>
      <c r="L3936" s="66"/>
      <c r="M3936" s="79" t="str">
        <f>HYPERLINK("http://www.pristavka.com/catalog/Honkai_Star_Rail/HSR191/")</f>
        <v>http://www.pristavka.com/catalog/Honkai_Star_Rail/HSR191/</v>
      </c>
      <c r="N3936" s="71">
        <v>10599</v>
      </c>
      <c r="O3936" s="66" t="s">
        <v>27</v>
      </c>
      <c r="P3936" s="82" t="s">
        <v>14581</v>
      </c>
      <c r="Q3936" s="84" t="s">
        <v>12818</v>
      </c>
      <c r="R3936" s="84" t="s">
        <v>9605</v>
      </c>
      <c r="S3936" s="84">
        <v>0.14399999999999999</v>
      </c>
      <c r="T3936" s="82" t="s">
        <v>14582</v>
      </c>
      <c r="U3936" s="84"/>
      <c r="V3936" s="54"/>
    </row>
    <row r="3937" spans="1:22" s="11" customFormat="1" ht="45" customHeight="1" x14ac:dyDescent="0.2">
      <c r="A3937" s="66" t="s">
        <v>12818</v>
      </c>
      <c r="B3937" s="66" t="s">
        <v>1155</v>
      </c>
      <c r="C3937" s="66" t="s">
        <v>9605</v>
      </c>
      <c r="D3937" s="66">
        <v>6942421116325</v>
      </c>
      <c r="E3937" s="68" t="s">
        <v>14583</v>
      </c>
      <c r="F3937" s="66" t="s">
        <v>14584</v>
      </c>
      <c r="G3937" s="71">
        <v>6307</v>
      </c>
      <c r="H3937" s="73"/>
      <c r="I3937" s="75">
        <v>0.2</v>
      </c>
      <c r="J3937" s="77"/>
      <c r="K3937" s="66"/>
      <c r="L3937" s="66"/>
      <c r="M3937" s="79" t="str">
        <f>HYPERLINK("http://www.pristavka.com/catalog/Honkai_Star_Rail/HSR198/")</f>
        <v>http://www.pristavka.com/catalog/Honkai_Star_Rail/HSR198/</v>
      </c>
      <c r="N3937" s="71">
        <v>10599</v>
      </c>
      <c r="O3937" s="66" t="s">
        <v>27</v>
      </c>
      <c r="P3937" s="82" t="s">
        <v>14585</v>
      </c>
      <c r="Q3937" s="84" t="s">
        <v>12818</v>
      </c>
      <c r="R3937" s="84" t="s">
        <v>9605</v>
      </c>
      <c r="S3937" s="84">
        <v>0.13500000000000001</v>
      </c>
      <c r="T3937" s="82" t="s">
        <v>10898</v>
      </c>
      <c r="U3937" s="84"/>
      <c r="V3937" s="54"/>
    </row>
    <row r="3938" spans="1:22" s="11" customFormat="1" ht="45" customHeight="1" x14ac:dyDescent="0.2">
      <c r="A3938" s="66" t="s">
        <v>12818</v>
      </c>
      <c r="B3938" s="66" t="s">
        <v>1155</v>
      </c>
      <c r="C3938" s="66" t="s">
        <v>9605</v>
      </c>
      <c r="D3938" s="66">
        <v>6942421103189</v>
      </c>
      <c r="E3938" s="68" t="s">
        <v>14586</v>
      </c>
      <c r="F3938" s="66" t="s">
        <v>14587</v>
      </c>
      <c r="G3938" s="71">
        <v>3771</v>
      </c>
      <c r="H3938" s="73"/>
      <c r="I3938" s="75">
        <v>0.2</v>
      </c>
      <c r="J3938" s="77"/>
      <c r="K3938" s="66"/>
      <c r="L3938" s="66"/>
      <c r="M3938" s="79" t="str">
        <f>HYPERLINK("http://www.pristavka.com/catalog/Honkai_Star_Rail/HSR187/")</f>
        <v>http://www.pristavka.com/catalog/Honkai_Star_Rail/HSR187/</v>
      </c>
      <c r="N3938" s="71">
        <v>6299</v>
      </c>
      <c r="O3938" s="66" t="s">
        <v>27</v>
      </c>
      <c r="P3938" s="82" t="s">
        <v>14588</v>
      </c>
      <c r="Q3938" s="84" t="s">
        <v>12818</v>
      </c>
      <c r="R3938" s="84" t="s">
        <v>9605</v>
      </c>
      <c r="S3938" s="84">
        <v>8.5000000000000006E-2</v>
      </c>
      <c r="T3938" s="82" t="s">
        <v>10886</v>
      </c>
      <c r="U3938" s="84"/>
      <c r="V3938" s="54"/>
    </row>
    <row r="3939" spans="1:22" s="11" customFormat="1" ht="45" customHeight="1" x14ac:dyDescent="0.2">
      <c r="A3939" s="66" t="s">
        <v>12818</v>
      </c>
      <c r="B3939" s="66" t="s">
        <v>1155</v>
      </c>
      <c r="C3939" s="66" t="s">
        <v>9605</v>
      </c>
      <c r="D3939" s="66">
        <v>6976525001331</v>
      </c>
      <c r="E3939" s="68" t="s">
        <v>14589</v>
      </c>
      <c r="F3939" s="66" t="s">
        <v>14590</v>
      </c>
      <c r="G3939" s="71">
        <v>5990</v>
      </c>
      <c r="H3939" s="73"/>
      <c r="I3939" s="75">
        <v>0.2</v>
      </c>
      <c r="J3939" s="77"/>
      <c r="K3939" s="66"/>
      <c r="L3939" s="66"/>
      <c r="M3939" s="79" t="str">
        <f>HYPERLINK("http://www.pristavka.com/catalog/Honkai_Star_Rail/HSR189/")</f>
        <v>http://www.pristavka.com/catalog/Honkai_Star_Rail/HSR189/</v>
      </c>
      <c r="N3939" s="71">
        <v>9999</v>
      </c>
      <c r="O3939" s="66" t="s">
        <v>27</v>
      </c>
      <c r="P3939" s="82" t="s">
        <v>14591</v>
      </c>
      <c r="Q3939" s="84" t="s">
        <v>12818</v>
      </c>
      <c r="R3939" s="84" t="s">
        <v>9605</v>
      </c>
      <c r="S3939" s="84">
        <v>0.13600000000000001</v>
      </c>
      <c r="T3939" s="82" t="s">
        <v>14582</v>
      </c>
      <c r="U3939" s="84"/>
      <c r="V3939" s="54"/>
    </row>
    <row r="3940" spans="1:22" s="11" customFormat="1" ht="45" customHeight="1" x14ac:dyDescent="0.2">
      <c r="A3940" s="66" t="s">
        <v>12818</v>
      </c>
      <c r="B3940" s="66" t="s">
        <v>1155</v>
      </c>
      <c r="C3940" s="66" t="s">
        <v>9605</v>
      </c>
      <c r="D3940" s="66">
        <v>6942421103196</v>
      </c>
      <c r="E3940" s="68" t="s">
        <v>14592</v>
      </c>
      <c r="F3940" s="66" t="s">
        <v>14593</v>
      </c>
      <c r="G3940" s="71">
        <v>3771</v>
      </c>
      <c r="H3940" s="73"/>
      <c r="I3940" s="75">
        <v>0.2</v>
      </c>
      <c r="J3940" s="77"/>
      <c r="K3940" s="66"/>
      <c r="L3940" s="66"/>
      <c r="M3940" s="79" t="str">
        <f>HYPERLINK("http://www.pristavka.com/catalog/Honkai_Star_Rail/HSR188/")</f>
        <v>http://www.pristavka.com/catalog/Honkai_Star_Rail/HSR188/</v>
      </c>
      <c r="N3940" s="71">
        <v>6299</v>
      </c>
      <c r="O3940" s="66" t="s">
        <v>27</v>
      </c>
      <c r="P3940" s="82" t="s">
        <v>14594</v>
      </c>
      <c r="Q3940" s="84" t="s">
        <v>12818</v>
      </c>
      <c r="R3940" s="84" t="s">
        <v>9605</v>
      </c>
      <c r="S3940" s="84">
        <v>8.4000000000000005E-2</v>
      </c>
      <c r="T3940" s="82" t="s">
        <v>10886</v>
      </c>
      <c r="U3940" s="84"/>
      <c r="V3940" s="54"/>
    </row>
    <row r="3941" spans="1:22" s="11" customFormat="1" ht="45" customHeight="1" x14ac:dyDescent="0.2">
      <c r="A3941" s="66" t="s">
        <v>12818</v>
      </c>
      <c r="B3941" s="66" t="s">
        <v>1155</v>
      </c>
      <c r="C3941" s="66" t="s">
        <v>9605</v>
      </c>
      <c r="D3941" s="66">
        <v>6976068140979</v>
      </c>
      <c r="E3941" s="68" t="s">
        <v>14595</v>
      </c>
      <c r="F3941" s="66" t="s">
        <v>14596</v>
      </c>
      <c r="G3941" s="71">
        <v>5990</v>
      </c>
      <c r="H3941" s="73"/>
      <c r="I3941" s="75">
        <v>0.2</v>
      </c>
      <c r="J3941" s="77"/>
      <c r="K3941" s="66"/>
      <c r="L3941" s="66"/>
      <c r="M3941" s="79" t="str">
        <f>HYPERLINK("http://www.pristavka.com/catalog/Honkai_Star_Rail/HSR192/")</f>
        <v>http://www.pristavka.com/catalog/Honkai_Star_Rail/HSR192/</v>
      </c>
      <c r="N3941" s="71">
        <v>9999</v>
      </c>
      <c r="O3941" s="66" t="s">
        <v>27</v>
      </c>
      <c r="P3941" s="82" t="s">
        <v>14597</v>
      </c>
      <c r="Q3941" s="84" t="s">
        <v>12818</v>
      </c>
      <c r="R3941" s="84" t="s">
        <v>9605</v>
      </c>
      <c r="S3941" s="84">
        <v>0.13600000000000001</v>
      </c>
      <c r="T3941" s="82" t="s">
        <v>14598</v>
      </c>
      <c r="U3941" s="84"/>
      <c r="V3941" s="54"/>
    </row>
    <row r="3942" spans="1:22" s="11" customFormat="1" ht="45" customHeight="1" x14ac:dyDescent="0.2">
      <c r="A3942" s="66" t="s">
        <v>12818</v>
      </c>
      <c r="B3942" s="66" t="s">
        <v>1155</v>
      </c>
      <c r="C3942" s="66" t="s">
        <v>9605</v>
      </c>
      <c r="D3942" s="66">
        <v>6942421109853</v>
      </c>
      <c r="E3942" s="68" t="s">
        <v>14599</v>
      </c>
      <c r="F3942" s="66" t="s">
        <v>14600</v>
      </c>
      <c r="G3942" s="71">
        <v>6307</v>
      </c>
      <c r="H3942" s="73"/>
      <c r="I3942" s="75">
        <v>0.2</v>
      </c>
      <c r="J3942" s="77"/>
      <c r="K3942" s="66"/>
      <c r="L3942" s="66"/>
      <c r="M3942" s="79" t="str">
        <f>HYPERLINK("http://www.pristavka.com/catalog/Honkai_Star_Rail/HSR197/")</f>
        <v>http://www.pristavka.com/catalog/Honkai_Star_Rail/HSR197/</v>
      </c>
      <c r="N3942" s="71">
        <v>10599</v>
      </c>
      <c r="O3942" s="66" t="s">
        <v>27</v>
      </c>
      <c r="P3942" s="82" t="s">
        <v>14601</v>
      </c>
      <c r="Q3942" s="84" t="s">
        <v>12818</v>
      </c>
      <c r="R3942" s="84" t="s">
        <v>9605</v>
      </c>
      <c r="S3942" s="84">
        <v>0.13500000000000001</v>
      </c>
      <c r="T3942" s="82" t="s">
        <v>14582</v>
      </c>
      <c r="U3942" s="84"/>
      <c r="V3942" s="54"/>
    </row>
    <row r="3943" spans="1:22" s="11" customFormat="1" ht="45" customHeight="1" x14ac:dyDescent="0.2">
      <c r="A3943" s="66" t="s">
        <v>12818</v>
      </c>
      <c r="B3943" s="66" t="s">
        <v>1155</v>
      </c>
      <c r="C3943" s="66" t="s">
        <v>9605</v>
      </c>
      <c r="D3943" s="66" t="s">
        <v>26</v>
      </c>
      <c r="E3943" s="68" t="s">
        <v>14602</v>
      </c>
      <c r="F3943" s="66" t="s">
        <v>14603</v>
      </c>
      <c r="G3943" s="71">
        <v>4722</v>
      </c>
      <c r="H3943" s="73"/>
      <c r="I3943" s="75">
        <v>0.2</v>
      </c>
      <c r="J3943" s="77"/>
      <c r="K3943" s="66"/>
      <c r="L3943" s="66"/>
      <c r="M3943" s="79" t="str">
        <f>HYPERLINK("http://www.pristavka.com/catalog/Honkai_Star_Rail/HSR305/")</f>
        <v>http://www.pristavka.com/catalog/Honkai_Star_Rail/HSR305/</v>
      </c>
      <c r="N3943" s="71">
        <v>7899</v>
      </c>
      <c r="O3943" s="66" t="s">
        <v>27</v>
      </c>
      <c r="P3943" s="82" t="s">
        <v>14604</v>
      </c>
      <c r="Q3943" s="84" t="s">
        <v>12818</v>
      </c>
      <c r="R3943" s="84" t="s">
        <v>9605</v>
      </c>
      <c r="S3943" s="84">
        <v>0.13500000000000001</v>
      </c>
      <c r="T3943" s="82" t="s">
        <v>10872</v>
      </c>
      <c r="U3943" s="84"/>
      <c r="V3943" s="54"/>
    </row>
    <row r="3944" spans="1:22" s="11" customFormat="1" ht="45" customHeight="1" x14ac:dyDescent="0.2">
      <c r="A3944" s="66" t="s">
        <v>12818</v>
      </c>
      <c r="B3944" s="66" t="s">
        <v>1155</v>
      </c>
      <c r="C3944" s="66" t="s">
        <v>9605</v>
      </c>
      <c r="D3944" s="66" t="s">
        <v>26</v>
      </c>
      <c r="E3944" s="68" t="s">
        <v>14605</v>
      </c>
      <c r="F3944" s="66" t="s">
        <v>14606</v>
      </c>
      <c r="G3944" s="71">
        <v>4722</v>
      </c>
      <c r="H3944" s="73"/>
      <c r="I3944" s="75">
        <v>0.2</v>
      </c>
      <c r="J3944" s="77"/>
      <c r="K3944" s="66"/>
      <c r="L3944" s="66"/>
      <c r="M3944" s="79" t="str">
        <f>HYPERLINK("http://www.pristavka.com/catalog/Honkai_Star_Rail/HSR304/")</f>
        <v>http://www.pristavka.com/catalog/Honkai_Star_Rail/HSR304/</v>
      </c>
      <c r="N3944" s="71">
        <v>7899</v>
      </c>
      <c r="O3944" s="66" t="s">
        <v>27</v>
      </c>
      <c r="P3944" s="82" t="s">
        <v>14607</v>
      </c>
      <c r="Q3944" s="84" t="s">
        <v>12818</v>
      </c>
      <c r="R3944" s="84" t="s">
        <v>9605</v>
      </c>
      <c r="S3944" s="84">
        <v>0.13500000000000001</v>
      </c>
      <c r="T3944" s="82" t="s">
        <v>10872</v>
      </c>
      <c r="U3944" s="84"/>
      <c r="V3944" s="54"/>
    </row>
    <row r="3945" spans="1:22" s="11" customFormat="1" ht="45" customHeight="1" x14ac:dyDescent="0.2">
      <c r="A3945" s="66" t="s">
        <v>14608</v>
      </c>
      <c r="B3945" s="66" t="s">
        <v>1155</v>
      </c>
      <c r="C3945" s="66" t="s">
        <v>14608</v>
      </c>
      <c r="D3945" s="66">
        <v>4895028516390</v>
      </c>
      <c r="E3945" s="68" t="s">
        <v>14609</v>
      </c>
      <c r="F3945" s="66" t="s">
        <v>14610</v>
      </c>
      <c r="G3945" s="71">
        <v>8209</v>
      </c>
      <c r="H3945" s="73"/>
      <c r="I3945" s="75">
        <v>0.2</v>
      </c>
      <c r="J3945" s="77"/>
      <c r="K3945" s="66"/>
      <c r="L3945" s="66"/>
      <c r="M3945" s="79" t="str">
        <f>HYPERLINK("http://www.pristavka.com/catalog/IQHK/IQ9/")</f>
        <v>http://www.pristavka.com/catalog/IQHK/IQ9/</v>
      </c>
      <c r="N3945" s="71">
        <v>12699</v>
      </c>
      <c r="O3945" s="66" t="s">
        <v>27</v>
      </c>
      <c r="P3945" s="82" t="s">
        <v>14611</v>
      </c>
      <c r="Q3945" s="84" t="s">
        <v>14612</v>
      </c>
      <c r="R3945" s="84" t="s">
        <v>14612</v>
      </c>
      <c r="S3945" s="84">
        <v>0.13</v>
      </c>
      <c r="T3945" s="82" t="s">
        <v>14613</v>
      </c>
      <c r="U3945" s="84"/>
      <c r="V3945" s="54"/>
    </row>
    <row r="3946" spans="1:22" s="11" customFormat="1" ht="45" customHeight="1" x14ac:dyDescent="0.2">
      <c r="A3946" s="66" t="s">
        <v>14608</v>
      </c>
      <c r="B3946" s="66" t="s">
        <v>1155</v>
      </c>
      <c r="C3946" s="66" t="s">
        <v>14608</v>
      </c>
      <c r="D3946" s="66">
        <v>4895028516444</v>
      </c>
      <c r="E3946" s="68" t="s">
        <v>14614</v>
      </c>
      <c r="F3946" s="66" t="s">
        <v>14615</v>
      </c>
      <c r="G3946" s="71">
        <v>8955</v>
      </c>
      <c r="H3946" s="73"/>
      <c r="I3946" s="75">
        <v>0.1</v>
      </c>
      <c r="J3946" s="77"/>
      <c r="K3946" s="66"/>
      <c r="L3946" s="66"/>
      <c r="M3946" s="79" t="str">
        <f>HYPERLINK("http://www.pristavka.com/catalog/LEGO/4895028516444/")</f>
        <v>http://www.pristavka.com/catalog/LEGO/4895028516444/</v>
      </c>
      <c r="N3946" s="71">
        <v>13799</v>
      </c>
      <c r="O3946" s="66" t="s">
        <v>27</v>
      </c>
      <c r="P3946" s="82" t="s">
        <v>14616</v>
      </c>
      <c r="Q3946" s="84" t="s">
        <v>14612</v>
      </c>
      <c r="R3946" s="84" t="s">
        <v>14612</v>
      </c>
      <c r="S3946" s="84">
        <v>0.184</v>
      </c>
      <c r="T3946" s="82" t="s">
        <v>14617</v>
      </c>
      <c r="U3946" s="84"/>
      <c r="V3946" s="54"/>
    </row>
    <row r="3947" spans="1:22" s="11" customFormat="1" ht="45" customHeight="1" x14ac:dyDescent="0.2">
      <c r="A3947" s="66" t="s">
        <v>14618</v>
      </c>
      <c r="B3947" s="66" t="s">
        <v>1155</v>
      </c>
      <c r="C3947" s="66" t="s">
        <v>14618</v>
      </c>
      <c r="D3947" s="66">
        <v>99700</v>
      </c>
      <c r="E3947" s="68" t="s">
        <v>14619</v>
      </c>
      <c r="F3947" s="66" t="s">
        <v>14620</v>
      </c>
      <c r="G3947" s="71">
        <v>34540</v>
      </c>
      <c r="H3947" s="73"/>
      <c r="I3947" s="75">
        <v>0.1</v>
      </c>
      <c r="J3947" s="77"/>
      <c r="K3947" s="66"/>
      <c r="L3947" s="66"/>
      <c r="M3947" s="79" t="str">
        <f>HYPERLINK("http://www.pristavka.com/catalog/r_u_igrushki/ТоуR2/")</f>
        <v>http://www.pristavka.com/catalog/r_u_igrushki/ТоуR2/</v>
      </c>
      <c r="N3947" s="71">
        <v>57599</v>
      </c>
      <c r="O3947" s="66" t="s">
        <v>28</v>
      </c>
      <c r="P3947" s="82" t="s">
        <v>14621</v>
      </c>
      <c r="Q3947" s="84" t="s">
        <v>14622</v>
      </c>
      <c r="R3947" s="84" t="s">
        <v>1212</v>
      </c>
      <c r="S3947" s="84">
        <v>1.456</v>
      </c>
      <c r="T3947" s="82" t="s">
        <v>14623</v>
      </c>
      <c r="U3947" s="84" t="s">
        <v>3584</v>
      </c>
      <c r="V3947" s="54"/>
    </row>
    <row r="3948" spans="1:22" s="11" customFormat="1" ht="45" customHeight="1" x14ac:dyDescent="0.2">
      <c r="A3948" s="66" t="s">
        <v>14618</v>
      </c>
      <c r="B3948" s="66" t="s">
        <v>1155</v>
      </c>
      <c r="C3948" s="66" t="s">
        <v>14618</v>
      </c>
      <c r="D3948" s="66">
        <v>99701</v>
      </c>
      <c r="E3948" s="68" t="s">
        <v>14624</v>
      </c>
      <c r="F3948" s="66" t="s">
        <v>14625</v>
      </c>
      <c r="G3948" s="71">
        <v>27625</v>
      </c>
      <c r="H3948" s="73"/>
      <c r="I3948" s="75">
        <v>0.1</v>
      </c>
      <c r="J3948" s="77"/>
      <c r="K3948" s="66"/>
      <c r="L3948" s="66"/>
      <c r="M3948" s="79" t="str">
        <f>HYPERLINK("http://www.pristavka.com/catalog/r_u_igrushki/ТоуR1/")</f>
        <v>http://www.pristavka.com/catalog/r_u_igrushki/ТоуR1/</v>
      </c>
      <c r="N3948" s="71">
        <v>46099</v>
      </c>
      <c r="O3948" s="66" t="s">
        <v>28</v>
      </c>
      <c r="P3948" s="82" t="s">
        <v>14626</v>
      </c>
      <c r="Q3948" s="84" t="s">
        <v>14622</v>
      </c>
      <c r="R3948" s="84" t="s">
        <v>1212</v>
      </c>
      <c r="S3948" s="84">
        <v>1.2849999999999999</v>
      </c>
      <c r="T3948" s="82" t="s">
        <v>14627</v>
      </c>
      <c r="U3948" s="84" t="s">
        <v>3584</v>
      </c>
      <c r="V3948" s="54"/>
    </row>
    <row r="3949" spans="1:22" s="11" customFormat="1" ht="45" customHeight="1" x14ac:dyDescent="0.2">
      <c r="A3949" s="66" t="s">
        <v>14618</v>
      </c>
      <c r="B3949" s="66" t="s">
        <v>1155</v>
      </c>
      <c r="C3949" s="66" t="s">
        <v>14618</v>
      </c>
      <c r="D3949" s="66">
        <v>31822</v>
      </c>
      <c r="E3949" s="68" t="s">
        <v>14628</v>
      </c>
      <c r="F3949" s="66" t="s">
        <v>14629</v>
      </c>
      <c r="G3949" s="71">
        <v>12758</v>
      </c>
      <c r="H3949" s="73"/>
      <c r="I3949" s="75">
        <v>0.1</v>
      </c>
      <c r="J3949" s="77"/>
      <c r="K3949" s="66"/>
      <c r="L3949" s="66"/>
      <c r="M3949" s="79" t="str">
        <f>HYPERLINK("http://www.pristavka.com/catalog/r_u_igrushki/ТоуR198/")</f>
        <v>http://www.pristavka.com/catalog/r_u_igrushki/ТоуR198/</v>
      </c>
      <c r="N3949" s="71">
        <v>21299</v>
      </c>
      <c r="O3949" s="66" t="s">
        <v>27</v>
      </c>
      <c r="P3949" s="82" t="s">
        <v>14630</v>
      </c>
      <c r="Q3949" s="84" t="s">
        <v>14631</v>
      </c>
      <c r="R3949" s="84" t="s">
        <v>14632</v>
      </c>
      <c r="S3949" s="84">
        <v>0.73099999999999998</v>
      </c>
      <c r="T3949" s="82" t="s">
        <v>14633</v>
      </c>
      <c r="U3949" s="84" t="s">
        <v>3584</v>
      </c>
      <c r="V3949" s="54"/>
    </row>
    <row r="3950" spans="1:22" s="11" customFormat="1" ht="45" customHeight="1" x14ac:dyDescent="0.2">
      <c r="A3950" s="66" t="s">
        <v>14618</v>
      </c>
      <c r="B3950" s="66" t="s">
        <v>1155</v>
      </c>
      <c r="C3950" s="66" t="s">
        <v>14618</v>
      </c>
      <c r="D3950" s="66">
        <v>801310321409</v>
      </c>
      <c r="E3950" s="68" t="s">
        <v>14634</v>
      </c>
      <c r="F3950" s="66" t="s">
        <v>14635</v>
      </c>
      <c r="G3950" s="71">
        <v>34540</v>
      </c>
      <c r="H3950" s="73"/>
      <c r="I3950" s="75">
        <v>0.1</v>
      </c>
      <c r="J3950" s="77"/>
      <c r="K3950" s="66"/>
      <c r="L3950" s="66"/>
      <c r="M3950" s="79" t="str">
        <f>HYPERLINK("http://www.pristavka.com/catalog/r_u_igrushki/ТоуR241/")</f>
        <v>http://www.pristavka.com/catalog/r_u_igrushki/ТоуR241/</v>
      </c>
      <c r="N3950" s="71">
        <v>57599</v>
      </c>
      <c r="O3950" s="66" t="s">
        <v>27</v>
      </c>
      <c r="P3950" s="82" t="s">
        <v>14636</v>
      </c>
      <c r="Q3950" s="84" t="s">
        <v>14622</v>
      </c>
      <c r="R3950" s="84" t="s">
        <v>1212</v>
      </c>
      <c r="S3950" s="84">
        <v>1.458</v>
      </c>
      <c r="T3950" s="82" t="s">
        <v>14637</v>
      </c>
      <c r="U3950" s="84" t="s">
        <v>3584</v>
      </c>
      <c r="V3950" s="54"/>
    </row>
    <row r="3951" spans="1:22" s="11" customFormat="1" ht="45" customHeight="1" x14ac:dyDescent="0.2">
      <c r="A3951" s="66" t="s">
        <v>14618</v>
      </c>
      <c r="B3951" s="66" t="s">
        <v>1155</v>
      </c>
      <c r="C3951" s="66" t="s">
        <v>14618</v>
      </c>
      <c r="D3951" s="66">
        <v>801310321393</v>
      </c>
      <c r="E3951" s="68" t="s">
        <v>14638</v>
      </c>
      <c r="F3951" s="66" t="s">
        <v>14639</v>
      </c>
      <c r="G3951" s="71">
        <v>34540</v>
      </c>
      <c r="H3951" s="73"/>
      <c r="I3951" s="75">
        <v>0.1</v>
      </c>
      <c r="J3951" s="77"/>
      <c r="K3951" s="66"/>
      <c r="L3951" s="66"/>
      <c r="M3951" s="79" t="str">
        <f>HYPERLINK("http://www.pristavka.com/catalog/r_u_igrushki/ТоуR242/")</f>
        <v>http://www.pristavka.com/catalog/r_u_igrushki/ТоуR242/</v>
      </c>
      <c r="N3951" s="71">
        <v>57599</v>
      </c>
      <c r="O3951" s="66" t="s">
        <v>27</v>
      </c>
      <c r="P3951" s="82" t="s">
        <v>14640</v>
      </c>
      <c r="Q3951" s="84" t="s">
        <v>14622</v>
      </c>
      <c r="R3951" s="84" t="s">
        <v>1212</v>
      </c>
      <c r="S3951" s="84">
        <v>2.23</v>
      </c>
      <c r="T3951" s="82" t="s">
        <v>14641</v>
      </c>
      <c r="U3951" s="84" t="s">
        <v>3584</v>
      </c>
      <c r="V3951" s="54"/>
    </row>
    <row r="3952" spans="1:22" s="11" customFormat="1" ht="45" customHeight="1" x14ac:dyDescent="0.2">
      <c r="A3952" s="66" t="s">
        <v>14618</v>
      </c>
      <c r="B3952" s="66" t="s">
        <v>1155</v>
      </c>
      <c r="C3952" s="66" t="s">
        <v>14618</v>
      </c>
      <c r="D3952" s="66">
        <v>34418</v>
      </c>
      <c r="E3952" s="68" t="s">
        <v>14642</v>
      </c>
      <c r="F3952" s="66" t="s">
        <v>14643</v>
      </c>
      <c r="G3952" s="71">
        <v>15178</v>
      </c>
      <c r="H3952" s="73"/>
      <c r="I3952" s="75">
        <v>0.1</v>
      </c>
      <c r="J3952" s="77"/>
      <c r="K3952" s="66"/>
      <c r="L3952" s="66"/>
      <c r="M3952" s="79" t="str">
        <f>HYPERLINK("http://www.pristavka.com/catalog/r_u_igrushki/ТоуR192/")</f>
        <v>http://www.pristavka.com/catalog/r_u_igrushki/ТоуR192/</v>
      </c>
      <c r="N3952" s="71">
        <v>25299</v>
      </c>
      <c r="O3952" s="66" t="s">
        <v>28</v>
      </c>
      <c r="P3952" s="82" t="s">
        <v>14644</v>
      </c>
      <c r="Q3952" s="84" t="s">
        <v>14622</v>
      </c>
      <c r="R3952" s="84" t="s">
        <v>1212</v>
      </c>
      <c r="S3952" s="84">
        <v>0.77200000000000002</v>
      </c>
      <c r="T3952" s="82" t="s">
        <v>14633</v>
      </c>
      <c r="U3952" s="84" t="s">
        <v>3584</v>
      </c>
      <c r="V3952" s="54"/>
    </row>
    <row r="3953" spans="1:22" s="11" customFormat="1" ht="45" customHeight="1" x14ac:dyDescent="0.2">
      <c r="A3953" s="66" t="s">
        <v>14618</v>
      </c>
      <c r="B3953" s="66" t="s">
        <v>1155</v>
      </c>
      <c r="C3953" s="66" t="s">
        <v>14618</v>
      </c>
      <c r="D3953" s="66">
        <v>98552</v>
      </c>
      <c r="E3953" s="68" t="s">
        <v>14645</v>
      </c>
      <c r="F3953" s="66" t="s">
        <v>14646</v>
      </c>
      <c r="G3953" s="71">
        <v>10338</v>
      </c>
      <c r="H3953" s="73"/>
      <c r="I3953" s="75">
        <v>0.1</v>
      </c>
      <c r="J3953" s="77"/>
      <c r="K3953" s="66"/>
      <c r="L3953" s="66"/>
      <c r="M3953" s="79" t="str">
        <f>HYPERLINK("http://www.pristavka.com/catalog/r_u_igrushki/ТоуR190/")</f>
        <v>http://www.pristavka.com/catalog/r_u_igrushki/ТоуR190/</v>
      </c>
      <c r="N3953" s="71">
        <v>17299</v>
      </c>
      <c r="O3953" s="66" t="s">
        <v>28</v>
      </c>
      <c r="P3953" s="82" t="s">
        <v>14647</v>
      </c>
      <c r="Q3953" s="84" t="s">
        <v>14622</v>
      </c>
      <c r="R3953" s="84" t="s">
        <v>1212</v>
      </c>
      <c r="S3953" s="84">
        <v>0.41</v>
      </c>
      <c r="T3953" s="82" t="s">
        <v>14648</v>
      </c>
      <c r="U3953" s="84" t="s">
        <v>3584</v>
      </c>
      <c r="V3953" s="54"/>
    </row>
    <row r="3954" spans="1:22" s="11" customFormat="1" ht="45" customHeight="1" x14ac:dyDescent="0.2">
      <c r="A3954" s="66" t="s">
        <v>14618</v>
      </c>
      <c r="B3954" s="66" t="s">
        <v>1155</v>
      </c>
      <c r="C3954" s="66" t="s">
        <v>14618</v>
      </c>
      <c r="D3954" s="66">
        <v>33521</v>
      </c>
      <c r="E3954" s="68" t="s">
        <v>14649</v>
      </c>
      <c r="F3954" s="66" t="s">
        <v>14650</v>
      </c>
      <c r="G3954" s="71">
        <v>37997</v>
      </c>
      <c r="H3954" s="73"/>
      <c r="I3954" s="75">
        <v>0.1</v>
      </c>
      <c r="J3954" s="77"/>
      <c r="K3954" s="66"/>
      <c r="L3954" s="66"/>
      <c r="M3954" s="79" t="str">
        <f>HYPERLINK("http://www.pristavka.com/catalog/r_u_igrushki/ТоуR152/")</f>
        <v>http://www.pristavka.com/catalog/r_u_igrushki/ТоуR152/</v>
      </c>
      <c r="N3954" s="71">
        <v>63399</v>
      </c>
      <c r="O3954" s="66" t="s">
        <v>27</v>
      </c>
      <c r="P3954" s="82" t="s">
        <v>14651</v>
      </c>
      <c r="Q3954" s="84" t="s">
        <v>3784</v>
      </c>
      <c r="R3954" s="84" t="s">
        <v>3785</v>
      </c>
      <c r="S3954" s="84">
        <v>1.857</v>
      </c>
      <c r="T3954" s="82" t="s">
        <v>14652</v>
      </c>
      <c r="U3954" s="84" t="s">
        <v>3584</v>
      </c>
      <c r="V3954" s="54"/>
    </row>
    <row r="3955" spans="1:22" s="11" customFormat="1" ht="45" customHeight="1" x14ac:dyDescent="0.2">
      <c r="A3955" s="66" t="s">
        <v>14618</v>
      </c>
      <c r="B3955" s="66" t="s">
        <v>1155</v>
      </c>
      <c r="C3955" s="66" t="s">
        <v>14618</v>
      </c>
      <c r="D3955" s="66">
        <v>31127</v>
      </c>
      <c r="E3955" s="68" t="s">
        <v>14653</v>
      </c>
      <c r="F3955" s="66" t="s">
        <v>14654</v>
      </c>
      <c r="G3955" s="71">
        <v>13795</v>
      </c>
      <c r="H3955" s="73"/>
      <c r="I3955" s="75">
        <v>0.1</v>
      </c>
      <c r="J3955" s="77"/>
      <c r="K3955" s="66"/>
      <c r="L3955" s="66"/>
      <c r="M3955" s="79" t="str">
        <f>HYPERLINK("http://www.pristavka.com/catalog/r_u_igrushki/ТоуR7/")</f>
        <v>http://www.pristavka.com/catalog/r_u_igrushki/ТоуR7/</v>
      </c>
      <c r="N3955" s="71">
        <v>22999</v>
      </c>
      <c r="O3955" s="66" t="s">
        <v>27</v>
      </c>
      <c r="P3955" s="82" t="s">
        <v>14655</v>
      </c>
      <c r="Q3955" s="84" t="s">
        <v>1102</v>
      </c>
      <c r="R3955" s="84" t="s">
        <v>1303</v>
      </c>
      <c r="S3955" s="84">
        <v>0.66600000000000004</v>
      </c>
      <c r="T3955" s="82" t="s">
        <v>14656</v>
      </c>
      <c r="U3955" s="84" t="s">
        <v>3584</v>
      </c>
      <c r="V3955" s="54"/>
    </row>
    <row r="3956" spans="1:22" s="11" customFormat="1" ht="45" customHeight="1" x14ac:dyDescent="0.2">
      <c r="A3956" s="66" t="s">
        <v>14618</v>
      </c>
      <c r="B3956" s="66" t="s">
        <v>1155</v>
      </c>
      <c r="C3956" s="66" t="s">
        <v>14618</v>
      </c>
      <c r="D3956" s="66">
        <v>801310346983</v>
      </c>
      <c r="E3956" s="68" t="s">
        <v>14657</v>
      </c>
      <c r="F3956" s="66" t="s">
        <v>14658</v>
      </c>
      <c r="G3956" s="71">
        <v>14487</v>
      </c>
      <c r="H3956" s="73"/>
      <c r="I3956" s="75">
        <v>0.1</v>
      </c>
      <c r="J3956" s="77"/>
      <c r="K3956" s="66"/>
      <c r="L3956" s="66"/>
      <c r="M3956" s="79" t="str">
        <f>HYPERLINK("http://www.pristavka.com/catalog/r_u_igrushki/ТоуR248/")</f>
        <v>http://www.pristavka.com/catalog/r_u_igrushki/ТоуR248/</v>
      </c>
      <c r="N3956" s="71">
        <v>24199</v>
      </c>
      <c r="O3956" s="66" t="s">
        <v>27</v>
      </c>
      <c r="P3956" s="82" t="s">
        <v>14659</v>
      </c>
      <c r="Q3956" s="84" t="s">
        <v>14622</v>
      </c>
      <c r="R3956" s="84" t="s">
        <v>1212</v>
      </c>
      <c r="S3956" s="84">
        <v>0.73</v>
      </c>
      <c r="T3956" s="82" t="s">
        <v>14660</v>
      </c>
      <c r="U3956" s="84" t="s">
        <v>3584</v>
      </c>
      <c r="V3956" s="54"/>
    </row>
    <row r="3957" spans="1:22" s="11" customFormat="1" ht="45" customHeight="1" x14ac:dyDescent="0.2">
      <c r="A3957" s="66" t="s">
        <v>14618</v>
      </c>
      <c r="B3957" s="66" t="s">
        <v>1155</v>
      </c>
      <c r="C3957" s="66" t="s">
        <v>14618</v>
      </c>
      <c r="D3957" s="66">
        <v>35953</v>
      </c>
      <c r="E3957" s="68" t="s">
        <v>14661</v>
      </c>
      <c r="F3957" s="66" t="s">
        <v>14662</v>
      </c>
      <c r="G3957" s="71">
        <v>10338</v>
      </c>
      <c r="H3957" s="73"/>
      <c r="I3957" s="75">
        <v>0.1</v>
      </c>
      <c r="J3957" s="77"/>
      <c r="K3957" s="66"/>
      <c r="L3957" s="66"/>
      <c r="M3957" s="79" t="str">
        <f>HYPERLINK("http://www.pristavka.com/catalog/r_u_igrushki/ТоуR375/")</f>
        <v>http://www.pristavka.com/catalog/r_u_igrushki/ТоуR375/</v>
      </c>
      <c r="N3957" s="71">
        <v>17299</v>
      </c>
      <c r="O3957" s="66" t="s">
        <v>27</v>
      </c>
      <c r="P3957" s="82" t="s">
        <v>14663</v>
      </c>
      <c r="Q3957" s="84" t="s">
        <v>14664</v>
      </c>
      <c r="R3957" s="84" t="s">
        <v>14632</v>
      </c>
      <c r="S3957" s="84">
        <v>0.61499999999999999</v>
      </c>
      <c r="T3957" s="82" t="s">
        <v>14665</v>
      </c>
      <c r="U3957" s="84" t="s">
        <v>3584</v>
      </c>
      <c r="V3957" s="54"/>
    </row>
    <row r="3958" spans="1:22" s="11" customFormat="1" ht="45" customHeight="1" x14ac:dyDescent="0.2">
      <c r="A3958" s="66" t="s">
        <v>14618</v>
      </c>
      <c r="B3958" s="66" t="s">
        <v>1155</v>
      </c>
      <c r="C3958" s="66" t="s">
        <v>14618</v>
      </c>
      <c r="D3958" s="66">
        <v>35956</v>
      </c>
      <c r="E3958" s="68" t="s">
        <v>14666</v>
      </c>
      <c r="F3958" s="66" t="s">
        <v>14667</v>
      </c>
      <c r="G3958" s="71">
        <v>10338</v>
      </c>
      <c r="H3958" s="73"/>
      <c r="I3958" s="75">
        <v>0.1</v>
      </c>
      <c r="J3958" s="77"/>
      <c r="K3958" s="66"/>
      <c r="L3958" s="66"/>
      <c r="M3958" s="79" t="str">
        <f>HYPERLINK("http://www.pristavka.com/catalog/r_u_igrushki/ТоуR372/")</f>
        <v>http://www.pristavka.com/catalog/r_u_igrushki/ТоуR372/</v>
      </c>
      <c r="N3958" s="71">
        <v>17299</v>
      </c>
      <c r="O3958" s="66" t="s">
        <v>27</v>
      </c>
      <c r="P3958" s="82" t="s">
        <v>14668</v>
      </c>
      <c r="Q3958" s="84" t="s">
        <v>14664</v>
      </c>
      <c r="R3958" s="84" t="s">
        <v>14632</v>
      </c>
      <c r="S3958" s="84">
        <v>0.63</v>
      </c>
      <c r="T3958" s="82" t="s">
        <v>14665</v>
      </c>
      <c r="U3958" s="84" t="s">
        <v>3584</v>
      </c>
      <c r="V3958" s="54"/>
    </row>
    <row r="3959" spans="1:22" s="11" customFormat="1" ht="45" customHeight="1" x14ac:dyDescent="0.2">
      <c r="A3959" s="66" t="s">
        <v>14618</v>
      </c>
      <c r="B3959" s="66" t="s">
        <v>1155</v>
      </c>
      <c r="C3959" s="66" t="s">
        <v>14618</v>
      </c>
      <c r="D3959" s="66">
        <v>35957</v>
      </c>
      <c r="E3959" s="68" t="s">
        <v>14669</v>
      </c>
      <c r="F3959" s="66" t="s">
        <v>14670</v>
      </c>
      <c r="G3959" s="71">
        <v>10338</v>
      </c>
      <c r="H3959" s="73"/>
      <c r="I3959" s="75">
        <v>0.1</v>
      </c>
      <c r="J3959" s="77"/>
      <c r="K3959" s="66"/>
      <c r="L3959" s="66"/>
      <c r="M3959" s="79" t="str">
        <f>HYPERLINK("http://www.pristavka.com/catalog/r_u_igrushki/ТоуR373/")</f>
        <v>http://www.pristavka.com/catalog/r_u_igrushki/ТоуR373/</v>
      </c>
      <c r="N3959" s="71">
        <v>17299</v>
      </c>
      <c r="O3959" s="66" t="s">
        <v>27</v>
      </c>
      <c r="P3959" s="82" t="s">
        <v>14671</v>
      </c>
      <c r="Q3959" s="84" t="s">
        <v>14664</v>
      </c>
      <c r="R3959" s="84" t="s">
        <v>14632</v>
      </c>
      <c r="S3959" s="84">
        <v>0.57799999999999996</v>
      </c>
      <c r="T3959" s="82" t="s">
        <v>14672</v>
      </c>
      <c r="U3959" s="84" t="s">
        <v>3584</v>
      </c>
      <c r="V3959" s="54"/>
    </row>
    <row r="3960" spans="1:22" s="11" customFormat="1" ht="45" customHeight="1" x14ac:dyDescent="0.2">
      <c r="A3960" s="66" t="s">
        <v>14618</v>
      </c>
      <c r="B3960" s="66" t="s">
        <v>1155</v>
      </c>
      <c r="C3960" s="66" t="s">
        <v>14618</v>
      </c>
      <c r="D3960" s="66">
        <v>35194</v>
      </c>
      <c r="E3960" s="68" t="s">
        <v>14673</v>
      </c>
      <c r="F3960" s="66" t="s">
        <v>14674</v>
      </c>
      <c r="G3960" s="71">
        <v>10338</v>
      </c>
      <c r="H3960" s="73"/>
      <c r="I3960" s="75">
        <v>0.1</v>
      </c>
      <c r="J3960" s="77"/>
      <c r="K3960" s="66"/>
      <c r="L3960" s="66"/>
      <c r="M3960" s="79" t="str">
        <f>HYPERLINK("http://www.pristavka.com/catalog/r_u_igrushki/ТоуR370/")</f>
        <v>http://www.pristavka.com/catalog/r_u_igrushki/ТоуR370/</v>
      </c>
      <c r="N3960" s="71">
        <v>17299</v>
      </c>
      <c r="O3960" s="66" t="s">
        <v>27</v>
      </c>
      <c r="P3960" s="82" t="s">
        <v>14675</v>
      </c>
      <c r="Q3960" s="84" t="s">
        <v>14664</v>
      </c>
      <c r="R3960" s="84" t="s">
        <v>14632</v>
      </c>
      <c r="S3960" s="84">
        <v>0.70399999999999996</v>
      </c>
      <c r="T3960" s="82" t="s">
        <v>14672</v>
      </c>
      <c r="U3960" s="84" t="s">
        <v>3584</v>
      </c>
      <c r="V3960" s="54"/>
    </row>
    <row r="3961" spans="1:22" s="11" customFormat="1" ht="45" customHeight="1" x14ac:dyDescent="0.2">
      <c r="A3961" s="66" t="s">
        <v>14618</v>
      </c>
      <c r="B3961" s="66" t="s">
        <v>1155</v>
      </c>
      <c r="C3961" s="66" t="s">
        <v>14618</v>
      </c>
      <c r="D3961" s="66">
        <v>35983</v>
      </c>
      <c r="E3961" s="68" t="s">
        <v>14676</v>
      </c>
      <c r="F3961" s="66" t="s">
        <v>14677</v>
      </c>
      <c r="G3961" s="71">
        <v>11029</v>
      </c>
      <c r="H3961" s="73"/>
      <c r="I3961" s="75">
        <v>0.1</v>
      </c>
      <c r="J3961" s="77"/>
      <c r="K3961" s="66"/>
      <c r="L3961" s="66"/>
      <c r="M3961" s="79" t="str">
        <f>HYPERLINK("http://www.pristavka.com/catalog/r_u_igrushki/ТоуR369/")</f>
        <v>http://www.pristavka.com/catalog/r_u_igrushki/ТоуR369/</v>
      </c>
      <c r="N3961" s="71">
        <v>18399</v>
      </c>
      <c r="O3961" s="66" t="s">
        <v>27</v>
      </c>
      <c r="P3961" s="82" t="s">
        <v>14678</v>
      </c>
      <c r="Q3961" s="84" t="s">
        <v>14664</v>
      </c>
      <c r="R3961" s="84" t="s">
        <v>14632</v>
      </c>
      <c r="S3961" s="84">
        <v>0.77</v>
      </c>
      <c r="T3961" s="82" t="s">
        <v>14672</v>
      </c>
      <c r="U3961" s="84" t="s">
        <v>3584</v>
      </c>
      <c r="V3961" s="54"/>
    </row>
    <row r="3962" spans="1:22" s="11" customFormat="1" ht="45" customHeight="1" x14ac:dyDescent="0.2">
      <c r="A3962" s="66" t="s">
        <v>14618</v>
      </c>
      <c r="B3962" s="66" t="s">
        <v>1155</v>
      </c>
      <c r="C3962" s="66" t="s">
        <v>14618</v>
      </c>
      <c r="D3962" s="66">
        <v>36009</v>
      </c>
      <c r="E3962" s="68" t="s">
        <v>14679</v>
      </c>
      <c r="F3962" s="66" t="s">
        <v>14680</v>
      </c>
      <c r="G3962" s="71">
        <v>10338</v>
      </c>
      <c r="H3962" s="73"/>
      <c r="I3962" s="75">
        <v>0.1</v>
      </c>
      <c r="J3962" s="77"/>
      <c r="K3962" s="66"/>
      <c r="L3962" s="66"/>
      <c r="M3962" s="79" t="str">
        <f>HYPERLINK("http://www.pristavka.com/catalog/r_u_igrushki/ТоуR367/")</f>
        <v>http://www.pristavka.com/catalog/r_u_igrushki/ТоуR367/</v>
      </c>
      <c r="N3962" s="71">
        <v>17299</v>
      </c>
      <c r="O3962" s="66" t="s">
        <v>27</v>
      </c>
      <c r="P3962" s="82" t="s">
        <v>14681</v>
      </c>
      <c r="Q3962" s="84" t="s">
        <v>14664</v>
      </c>
      <c r="R3962" s="84" t="s">
        <v>14632</v>
      </c>
      <c r="S3962" s="84">
        <v>0.67600000000000005</v>
      </c>
      <c r="T3962" s="82" t="s">
        <v>14672</v>
      </c>
      <c r="U3962" s="84" t="s">
        <v>3584</v>
      </c>
      <c r="V3962" s="54"/>
    </row>
    <row r="3963" spans="1:22" s="11" customFormat="1" ht="45" customHeight="1" x14ac:dyDescent="0.2">
      <c r="A3963" s="66" t="s">
        <v>14618</v>
      </c>
      <c r="B3963" s="66" t="s">
        <v>1155</v>
      </c>
      <c r="C3963" s="66" t="s">
        <v>14618</v>
      </c>
      <c r="D3963" s="66">
        <v>35066</v>
      </c>
      <c r="E3963" s="68" t="s">
        <v>14682</v>
      </c>
      <c r="F3963" s="66" t="s">
        <v>14683</v>
      </c>
      <c r="G3963" s="71">
        <v>10338</v>
      </c>
      <c r="H3963" s="73"/>
      <c r="I3963" s="75">
        <v>0.1</v>
      </c>
      <c r="J3963" s="77"/>
      <c r="K3963" s="66"/>
      <c r="L3963" s="66"/>
      <c r="M3963" s="79" t="str">
        <f>HYPERLINK("http://www.pristavka.com/catalog/r_u_igrushki/ТоуR371/")</f>
        <v>http://www.pristavka.com/catalog/r_u_igrushki/ТоуR371/</v>
      </c>
      <c r="N3963" s="71">
        <v>17299</v>
      </c>
      <c r="O3963" s="66" t="s">
        <v>27</v>
      </c>
      <c r="P3963" s="82" t="s">
        <v>14684</v>
      </c>
      <c r="Q3963" s="84" t="s">
        <v>14685</v>
      </c>
      <c r="R3963" s="84" t="s">
        <v>14632</v>
      </c>
      <c r="S3963" s="84">
        <v>0.65500000000000003</v>
      </c>
      <c r="T3963" s="82" t="s">
        <v>14672</v>
      </c>
      <c r="U3963" s="84" t="s">
        <v>3584</v>
      </c>
      <c r="V3963" s="54"/>
    </row>
    <row r="3964" spans="1:22" s="11" customFormat="1" ht="45" customHeight="1" x14ac:dyDescent="0.2">
      <c r="A3964" s="66" t="s">
        <v>14618</v>
      </c>
      <c r="B3964" s="66" t="s">
        <v>1155</v>
      </c>
      <c r="C3964" s="66" t="s">
        <v>14618</v>
      </c>
      <c r="D3964" s="66">
        <v>35536</v>
      </c>
      <c r="E3964" s="68" t="s">
        <v>14686</v>
      </c>
      <c r="F3964" s="66" t="s">
        <v>14687</v>
      </c>
      <c r="G3964" s="71">
        <v>11029</v>
      </c>
      <c r="H3964" s="73"/>
      <c r="I3964" s="75">
        <v>0.1</v>
      </c>
      <c r="J3964" s="77"/>
      <c r="K3964" s="66"/>
      <c r="L3964" s="66"/>
      <c r="M3964" s="79" t="str">
        <f>HYPERLINK("http://www.pristavka.com/catalog/r_u_igrushki/ТоуR344/")</f>
        <v>http://www.pristavka.com/catalog/r_u_igrushki/ТоуR344/</v>
      </c>
      <c r="N3964" s="71">
        <v>18399</v>
      </c>
      <c r="O3964" s="66" t="s">
        <v>27</v>
      </c>
      <c r="P3964" s="82" t="s">
        <v>14688</v>
      </c>
      <c r="Q3964" s="84" t="s">
        <v>14664</v>
      </c>
      <c r="R3964" s="84" t="s">
        <v>14632</v>
      </c>
      <c r="S3964" s="84">
        <v>0.70499999999999996</v>
      </c>
      <c r="T3964" s="82" t="s">
        <v>14648</v>
      </c>
      <c r="U3964" s="84" t="s">
        <v>3584</v>
      </c>
      <c r="V3964" s="54"/>
    </row>
    <row r="3965" spans="1:22" s="11" customFormat="1" ht="45" customHeight="1" x14ac:dyDescent="0.2">
      <c r="A3965" s="66" t="s">
        <v>14618</v>
      </c>
      <c r="B3965" s="66" t="s">
        <v>1155</v>
      </c>
      <c r="C3965" s="66" t="s">
        <v>14618</v>
      </c>
      <c r="D3965" s="66">
        <v>36008</v>
      </c>
      <c r="E3965" s="68" t="s">
        <v>14689</v>
      </c>
      <c r="F3965" s="66" t="s">
        <v>14690</v>
      </c>
      <c r="G3965" s="71">
        <v>11029</v>
      </c>
      <c r="H3965" s="73"/>
      <c r="I3965" s="75">
        <v>0.1</v>
      </c>
      <c r="J3965" s="77"/>
      <c r="K3965" s="66"/>
      <c r="L3965" s="66"/>
      <c r="M3965" s="79" t="str">
        <f>HYPERLINK("http://www.pristavka.com/catalog/r_u_igrushki/ТоуR345/")</f>
        <v>http://www.pristavka.com/catalog/r_u_igrushki/ТоуR345/</v>
      </c>
      <c r="N3965" s="71">
        <v>18399</v>
      </c>
      <c r="O3965" s="66" t="s">
        <v>27</v>
      </c>
      <c r="P3965" s="82" t="s">
        <v>14691</v>
      </c>
      <c r="Q3965" s="84" t="s">
        <v>14664</v>
      </c>
      <c r="R3965" s="84" t="s">
        <v>14632</v>
      </c>
      <c r="S3965" s="84">
        <v>0.69499999999999995</v>
      </c>
      <c r="T3965" s="82" t="s">
        <v>14648</v>
      </c>
      <c r="U3965" s="84" t="s">
        <v>3584</v>
      </c>
      <c r="V3965" s="54"/>
    </row>
    <row r="3966" spans="1:22" s="11" customFormat="1" ht="45" customHeight="1" x14ac:dyDescent="0.2">
      <c r="A3966" s="66" t="s">
        <v>14618</v>
      </c>
      <c r="B3966" s="66" t="s">
        <v>1155</v>
      </c>
      <c r="C3966" s="66" t="s">
        <v>14618</v>
      </c>
      <c r="D3966" s="66">
        <v>35900</v>
      </c>
      <c r="E3966" s="68" t="s">
        <v>14692</v>
      </c>
      <c r="F3966" s="66" t="s">
        <v>14693</v>
      </c>
      <c r="G3966" s="71">
        <v>10683</v>
      </c>
      <c r="H3966" s="73"/>
      <c r="I3966" s="75">
        <v>0.1</v>
      </c>
      <c r="J3966" s="77"/>
      <c r="K3966" s="66"/>
      <c r="L3966" s="66"/>
      <c r="M3966" s="79" t="str">
        <f>HYPERLINK("http://www.pristavka.com/catalog/r_u_igrushki/ТоуR368/")</f>
        <v>http://www.pristavka.com/catalog/r_u_igrushki/ТоуR368/</v>
      </c>
      <c r="N3966" s="71">
        <v>17899</v>
      </c>
      <c r="O3966" s="66" t="s">
        <v>27</v>
      </c>
      <c r="P3966" s="82" t="s">
        <v>14694</v>
      </c>
      <c r="Q3966" s="84" t="s">
        <v>14664</v>
      </c>
      <c r="R3966" s="84" t="s">
        <v>14632</v>
      </c>
      <c r="S3966" s="84">
        <v>0.6</v>
      </c>
      <c r="T3966" s="82" t="s">
        <v>14665</v>
      </c>
      <c r="U3966" s="84" t="s">
        <v>3584</v>
      </c>
      <c r="V3966" s="54"/>
    </row>
    <row r="3967" spans="1:22" s="11" customFormat="1" ht="45" customHeight="1" x14ac:dyDescent="0.2">
      <c r="A3967" s="66" t="s">
        <v>14618</v>
      </c>
      <c r="B3967" s="66" t="s">
        <v>1155</v>
      </c>
      <c r="C3967" s="66" t="s">
        <v>14618</v>
      </c>
      <c r="D3967" s="66">
        <v>801310349960</v>
      </c>
      <c r="E3967" s="68" t="s">
        <v>14695</v>
      </c>
      <c r="F3967" s="66" t="s">
        <v>14696</v>
      </c>
      <c r="G3967" s="71">
        <v>12066</v>
      </c>
      <c r="H3967" s="73"/>
      <c r="I3967" s="75">
        <v>0.1</v>
      </c>
      <c r="J3967" s="77"/>
      <c r="K3967" s="66"/>
      <c r="L3967" s="66"/>
      <c r="M3967" s="79" t="str">
        <f>HYPERLINK("http://www.pristavka.com/catalog/r_u_igrushki/ТоуR249/")</f>
        <v>http://www.pristavka.com/catalog/r_u_igrushki/ТоуR249/</v>
      </c>
      <c r="N3967" s="71">
        <v>20199</v>
      </c>
      <c r="O3967" s="66" t="s">
        <v>27</v>
      </c>
      <c r="P3967" s="82" t="s">
        <v>14697</v>
      </c>
      <c r="Q3967" s="84" t="s">
        <v>1211</v>
      </c>
      <c r="R3967" s="84" t="s">
        <v>1212</v>
      </c>
      <c r="S3967" s="84">
        <v>0.63800000000000001</v>
      </c>
      <c r="T3967" s="82" t="s">
        <v>14698</v>
      </c>
      <c r="U3967" s="84" t="s">
        <v>3584</v>
      </c>
      <c r="V3967" s="54"/>
    </row>
    <row r="3968" spans="1:22" s="11" customFormat="1" ht="45" customHeight="1" x14ac:dyDescent="0.2">
      <c r="A3968" s="66" t="s">
        <v>14618</v>
      </c>
      <c r="B3968" s="66" t="s">
        <v>1155</v>
      </c>
      <c r="C3968" s="66" t="s">
        <v>14618</v>
      </c>
      <c r="D3968" s="66">
        <v>801310984970</v>
      </c>
      <c r="E3968" s="68" t="s">
        <v>14699</v>
      </c>
      <c r="F3968" s="66" t="s">
        <v>14700</v>
      </c>
      <c r="G3968" s="71">
        <v>14487</v>
      </c>
      <c r="H3968" s="73"/>
      <c r="I3968" s="75">
        <v>0.1</v>
      </c>
      <c r="J3968" s="77"/>
      <c r="K3968" s="66"/>
      <c r="L3968" s="66"/>
      <c r="M3968" s="79" t="str">
        <f>HYPERLINK("http://www.pristavka.com/catalog/r_u_igrushki/ТоуR251/")</f>
        <v>http://www.pristavka.com/catalog/r_u_igrushki/ТоуR251/</v>
      </c>
      <c r="N3968" s="71">
        <v>24199</v>
      </c>
      <c r="O3968" s="66" t="s">
        <v>27</v>
      </c>
      <c r="P3968" s="82" t="s">
        <v>14701</v>
      </c>
      <c r="Q3968" s="84" t="s">
        <v>3784</v>
      </c>
      <c r="R3968" s="84" t="s">
        <v>3785</v>
      </c>
      <c r="S3968" s="84">
        <v>0.72499999999999998</v>
      </c>
      <c r="T3968" s="82" t="s">
        <v>14702</v>
      </c>
      <c r="U3968" s="84" t="s">
        <v>3584</v>
      </c>
      <c r="V3968" s="54"/>
    </row>
    <row r="3969" spans="1:22" s="11" customFormat="1" ht="45" customHeight="1" x14ac:dyDescent="0.2">
      <c r="A3969" s="66" t="s">
        <v>14618</v>
      </c>
      <c r="B3969" s="66" t="s">
        <v>1155</v>
      </c>
      <c r="C3969" s="66" t="s">
        <v>14618</v>
      </c>
      <c r="D3969" s="66">
        <v>34664</v>
      </c>
      <c r="E3969" s="68" t="s">
        <v>14703</v>
      </c>
      <c r="F3969" s="66" t="s">
        <v>14704</v>
      </c>
      <c r="G3969" s="71">
        <v>4114</v>
      </c>
      <c r="H3969" s="73"/>
      <c r="I3969" s="75">
        <v>0.1</v>
      </c>
      <c r="J3969" s="77"/>
      <c r="K3969" s="66"/>
      <c r="L3969" s="66"/>
      <c r="M3969" s="79" t="str">
        <f>HYPERLINK("http://www.pristavka.com/catalog/r_u_igrushki/ТоуR175/")</f>
        <v>http://www.pristavka.com/catalog/r_u_igrushki/ТоуR175/</v>
      </c>
      <c r="N3969" s="71">
        <v>6899</v>
      </c>
      <c r="O3969" s="66" t="s">
        <v>27</v>
      </c>
      <c r="P3969" s="82" t="s">
        <v>14705</v>
      </c>
      <c r="Q3969" s="84" t="s">
        <v>14706</v>
      </c>
      <c r="R3969" s="84" t="s">
        <v>14632</v>
      </c>
      <c r="S3969" s="84">
        <v>0.16500000000000001</v>
      </c>
      <c r="T3969" s="82" t="s">
        <v>14707</v>
      </c>
      <c r="U3969" s="84" t="s">
        <v>3584</v>
      </c>
      <c r="V3969" s="54"/>
    </row>
    <row r="3970" spans="1:22" s="11" customFormat="1" ht="45" customHeight="1" x14ac:dyDescent="0.2">
      <c r="A3970" s="66" t="s">
        <v>14618</v>
      </c>
      <c r="B3970" s="66" t="s">
        <v>1155</v>
      </c>
      <c r="C3970" s="66" t="s">
        <v>14618</v>
      </c>
      <c r="D3970" s="66">
        <v>801310347232</v>
      </c>
      <c r="E3970" s="68" t="s">
        <v>14708</v>
      </c>
      <c r="F3970" s="66" t="s">
        <v>14709</v>
      </c>
      <c r="G3970" s="71">
        <v>4460</v>
      </c>
      <c r="H3970" s="73"/>
      <c r="I3970" s="75">
        <v>0.1</v>
      </c>
      <c r="J3970" s="77"/>
      <c r="K3970" s="66"/>
      <c r="L3970" s="66"/>
      <c r="M3970" s="79" t="str">
        <f>HYPERLINK("http://www.pristavka.com/catalog/r_u_igrushki/ТоуR244/")</f>
        <v>http://www.pristavka.com/catalog/r_u_igrushki/ТоуR244/</v>
      </c>
      <c r="N3970" s="71">
        <v>7499</v>
      </c>
      <c r="O3970" s="66" t="s">
        <v>27</v>
      </c>
      <c r="P3970" s="82" t="s">
        <v>14710</v>
      </c>
      <c r="Q3970" s="84" t="s">
        <v>1297</v>
      </c>
      <c r="R3970" s="84" t="s">
        <v>1298</v>
      </c>
      <c r="S3970" s="84">
        <v>0.185</v>
      </c>
      <c r="T3970" s="82" t="s">
        <v>14711</v>
      </c>
      <c r="U3970" s="84" t="s">
        <v>3584</v>
      </c>
      <c r="V3970" s="54"/>
    </row>
    <row r="3971" spans="1:22" s="11" customFormat="1" ht="45" customHeight="1" x14ac:dyDescent="0.2">
      <c r="A3971" s="66" t="s">
        <v>14618</v>
      </c>
      <c r="B3971" s="66" t="s">
        <v>1155</v>
      </c>
      <c r="C3971" s="66" t="s">
        <v>14618</v>
      </c>
      <c r="D3971" s="66">
        <v>36201</v>
      </c>
      <c r="E3971" s="68" t="s">
        <v>14712</v>
      </c>
      <c r="F3971" s="66" t="s">
        <v>14713</v>
      </c>
      <c r="G3971" s="71">
        <v>4114</v>
      </c>
      <c r="H3971" s="73"/>
      <c r="I3971" s="75">
        <v>0.1</v>
      </c>
      <c r="J3971" s="77"/>
      <c r="K3971" s="66"/>
      <c r="L3971" s="66"/>
      <c r="M3971" s="79" t="str">
        <f>HYPERLINK("http://www.pristavka.com/catalog/r_u_igrushki/ТоуR357/")</f>
        <v>http://www.pristavka.com/catalog/r_u_igrushki/ТоуR357/</v>
      </c>
      <c r="N3971" s="71">
        <v>6899</v>
      </c>
      <c r="O3971" s="66" t="s">
        <v>27</v>
      </c>
      <c r="P3971" s="82" t="s">
        <v>14714</v>
      </c>
      <c r="Q3971" s="84" t="s">
        <v>14664</v>
      </c>
      <c r="R3971" s="84" t="s">
        <v>14632</v>
      </c>
      <c r="S3971" s="84">
        <v>0.16200000000000001</v>
      </c>
      <c r="T3971" s="82" t="s">
        <v>14707</v>
      </c>
      <c r="U3971" s="84" t="s">
        <v>3584</v>
      </c>
      <c r="V3971" s="54"/>
    </row>
    <row r="3972" spans="1:22" s="11" customFormat="1" ht="45" customHeight="1" x14ac:dyDescent="0.2">
      <c r="A3972" s="66" t="s">
        <v>14618</v>
      </c>
      <c r="B3972" s="66" t="s">
        <v>1155</v>
      </c>
      <c r="C3972" s="66" t="s">
        <v>14618</v>
      </c>
      <c r="D3972" s="66">
        <v>36133</v>
      </c>
      <c r="E3972" s="68" t="s">
        <v>14715</v>
      </c>
      <c r="F3972" s="66" t="s">
        <v>14716</v>
      </c>
      <c r="G3972" s="71">
        <v>4114</v>
      </c>
      <c r="H3972" s="73"/>
      <c r="I3972" s="75">
        <v>0.1</v>
      </c>
      <c r="J3972" s="77"/>
      <c r="K3972" s="66"/>
      <c r="L3972" s="66"/>
      <c r="M3972" s="79" t="str">
        <f>HYPERLINK("http://www.pristavka.com/catalog/r_u_igrushki/ТоуR338/")</f>
        <v>http://www.pristavka.com/catalog/r_u_igrushki/ТоуR338/</v>
      </c>
      <c r="N3972" s="71">
        <v>6899</v>
      </c>
      <c r="O3972" s="66" t="s">
        <v>27</v>
      </c>
      <c r="P3972" s="82" t="s">
        <v>14717</v>
      </c>
      <c r="Q3972" s="84" t="s">
        <v>14664</v>
      </c>
      <c r="R3972" s="84" t="s">
        <v>14632</v>
      </c>
      <c r="S3972" s="84">
        <v>0.192</v>
      </c>
      <c r="T3972" s="82" t="s">
        <v>14707</v>
      </c>
      <c r="U3972" s="84" t="s">
        <v>3584</v>
      </c>
      <c r="V3972" s="54"/>
    </row>
    <row r="3973" spans="1:22" s="11" customFormat="1" ht="45" customHeight="1" x14ac:dyDescent="0.2">
      <c r="A3973" s="66" t="s">
        <v>14618</v>
      </c>
      <c r="B3973" s="66" t="s">
        <v>1155</v>
      </c>
      <c r="C3973" s="66" t="s">
        <v>14618</v>
      </c>
      <c r="D3973" s="66">
        <v>36104</v>
      </c>
      <c r="E3973" s="68" t="s">
        <v>14718</v>
      </c>
      <c r="F3973" s="66" t="s">
        <v>14719</v>
      </c>
      <c r="G3973" s="71">
        <v>4114</v>
      </c>
      <c r="H3973" s="73"/>
      <c r="I3973" s="75">
        <v>0.1</v>
      </c>
      <c r="J3973" s="77"/>
      <c r="K3973" s="66"/>
      <c r="L3973" s="66"/>
      <c r="M3973" s="79" t="str">
        <f>HYPERLINK("http://www.pristavka.com/catalog/r_u_igrushki/ТоуR337/")</f>
        <v>http://www.pristavka.com/catalog/r_u_igrushki/ТоуR337/</v>
      </c>
      <c r="N3973" s="71">
        <v>6899</v>
      </c>
      <c r="O3973" s="66" t="s">
        <v>27</v>
      </c>
      <c r="P3973" s="82" t="s">
        <v>14720</v>
      </c>
      <c r="Q3973" s="84" t="s">
        <v>14664</v>
      </c>
      <c r="R3973" s="84" t="s">
        <v>14632</v>
      </c>
      <c r="S3973" s="84">
        <v>0.16</v>
      </c>
      <c r="T3973" s="82" t="s">
        <v>14721</v>
      </c>
      <c r="U3973" s="84" t="s">
        <v>3584</v>
      </c>
      <c r="V3973" s="54"/>
    </row>
    <row r="3974" spans="1:22" s="11" customFormat="1" ht="45" customHeight="1" x14ac:dyDescent="0.2">
      <c r="A3974" s="66" t="s">
        <v>14618</v>
      </c>
      <c r="B3974" s="66" t="s">
        <v>1155</v>
      </c>
      <c r="C3974" s="66" t="s">
        <v>14618</v>
      </c>
      <c r="D3974" s="66">
        <v>35996</v>
      </c>
      <c r="E3974" s="68" t="s">
        <v>14722</v>
      </c>
      <c r="F3974" s="66" t="s">
        <v>14723</v>
      </c>
      <c r="G3974" s="71">
        <v>4114</v>
      </c>
      <c r="H3974" s="73"/>
      <c r="I3974" s="75">
        <v>0.1</v>
      </c>
      <c r="J3974" s="77"/>
      <c r="K3974" s="66"/>
      <c r="L3974" s="66"/>
      <c r="M3974" s="79" t="str">
        <f>HYPERLINK("http://www.pristavka.com/catalog/r_u_igrushki/ТоуR362/")</f>
        <v>http://www.pristavka.com/catalog/r_u_igrushki/ТоуR362/</v>
      </c>
      <c r="N3974" s="71">
        <v>6899</v>
      </c>
      <c r="O3974" s="66" t="s">
        <v>27</v>
      </c>
      <c r="P3974" s="82" t="s">
        <v>14724</v>
      </c>
      <c r="Q3974" s="84" t="s">
        <v>14664</v>
      </c>
      <c r="R3974" s="84" t="s">
        <v>14632</v>
      </c>
      <c r="S3974" s="84">
        <v>0.17</v>
      </c>
      <c r="T3974" s="82" t="s">
        <v>14721</v>
      </c>
      <c r="U3974" s="84" t="s">
        <v>3584</v>
      </c>
      <c r="V3974" s="54"/>
    </row>
    <row r="3975" spans="1:22" s="11" customFormat="1" ht="45" customHeight="1" x14ac:dyDescent="0.2">
      <c r="A3975" s="66" t="s">
        <v>14618</v>
      </c>
      <c r="B3975" s="66" t="s">
        <v>1155</v>
      </c>
      <c r="C3975" s="66" t="s">
        <v>14618</v>
      </c>
      <c r="D3975" s="66">
        <v>36134</v>
      </c>
      <c r="E3975" s="68" t="s">
        <v>14725</v>
      </c>
      <c r="F3975" s="66" t="s">
        <v>14726</v>
      </c>
      <c r="G3975" s="71">
        <v>4114</v>
      </c>
      <c r="H3975" s="73"/>
      <c r="I3975" s="75">
        <v>0.1</v>
      </c>
      <c r="J3975" s="77"/>
      <c r="K3975" s="66"/>
      <c r="L3975" s="66"/>
      <c r="M3975" s="79" t="str">
        <f>HYPERLINK("http://www.pristavka.com/catalog/r_u_igrushki/ТоуR339/")</f>
        <v>http://www.pristavka.com/catalog/r_u_igrushki/ТоуR339/</v>
      </c>
      <c r="N3975" s="71">
        <v>6899</v>
      </c>
      <c r="O3975" s="66" t="s">
        <v>27</v>
      </c>
      <c r="P3975" s="82" t="s">
        <v>14727</v>
      </c>
      <c r="Q3975" s="84" t="s">
        <v>14664</v>
      </c>
      <c r="R3975" s="84" t="s">
        <v>14632</v>
      </c>
      <c r="S3975" s="84">
        <v>0.182</v>
      </c>
      <c r="T3975" s="82" t="s">
        <v>14707</v>
      </c>
      <c r="U3975" s="84" t="s">
        <v>3584</v>
      </c>
      <c r="V3975" s="54"/>
    </row>
    <row r="3976" spans="1:22" s="11" customFormat="1" ht="45" customHeight="1" x14ac:dyDescent="0.2">
      <c r="A3976" s="66" t="s">
        <v>14618</v>
      </c>
      <c r="B3976" s="66" t="s">
        <v>1155</v>
      </c>
      <c r="C3976" s="66" t="s">
        <v>14618</v>
      </c>
      <c r="D3976" s="66">
        <v>34853</v>
      </c>
      <c r="E3976" s="68" t="s">
        <v>14728</v>
      </c>
      <c r="F3976" s="66" t="s">
        <v>14729</v>
      </c>
      <c r="G3976" s="71">
        <v>4114</v>
      </c>
      <c r="H3976" s="73"/>
      <c r="I3976" s="75">
        <v>0.1</v>
      </c>
      <c r="J3976" s="77"/>
      <c r="K3976" s="66"/>
      <c r="L3976" s="66"/>
      <c r="M3976" s="79" t="str">
        <f>HYPERLINK("http://www.pristavka.com/catalog/r_u_igrushki/ТоуR343/")</f>
        <v>http://www.pristavka.com/catalog/r_u_igrushki/ТоуR343/</v>
      </c>
      <c r="N3976" s="71">
        <v>6899</v>
      </c>
      <c r="O3976" s="66" t="s">
        <v>27</v>
      </c>
      <c r="P3976" s="82" t="s">
        <v>14730</v>
      </c>
      <c r="Q3976" s="84" t="s">
        <v>14664</v>
      </c>
      <c r="R3976" s="84" t="s">
        <v>14632</v>
      </c>
      <c r="S3976" s="84">
        <v>0.182</v>
      </c>
      <c r="T3976" s="82" t="s">
        <v>14707</v>
      </c>
      <c r="U3976" s="84" t="s">
        <v>3584</v>
      </c>
      <c r="V3976" s="54"/>
    </row>
    <row r="3977" spans="1:22" s="11" customFormat="1" ht="45" customHeight="1" x14ac:dyDescent="0.2">
      <c r="A3977" s="66" t="s">
        <v>14618</v>
      </c>
      <c r="B3977" s="66" t="s">
        <v>1155</v>
      </c>
      <c r="C3977" s="66" t="s">
        <v>14618</v>
      </c>
      <c r="D3977" s="66">
        <v>35997</v>
      </c>
      <c r="E3977" s="68" t="s">
        <v>14731</v>
      </c>
      <c r="F3977" s="66" t="s">
        <v>14732</v>
      </c>
      <c r="G3977" s="71">
        <v>4114</v>
      </c>
      <c r="H3977" s="73"/>
      <c r="I3977" s="75">
        <v>0.1</v>
      </c>
      <c r="J3977" s="77"/>
      <c r="K3977" s="66"/>
      <c r="L3977" s="66"/>
      <c r="M3977" s="79" t="str">
        <f>HYPERLINK("http://www.pristavka.com/catalog/r_u_igrushki/ТоуR363/")</f>
        <v>http://www.pristavka.com/catalog/r_u_igrushki/ТоуR363/</v>
      </c>
      <c r="N3977" s="71">
        <v>6899</v>
      </c>
      <c r="O3977" s="66" t="s">
        <v>27</v>
      </c>
      <c r="P3977" s="82" t="s">
        <v>14733</v>
      </c>
      <c r="Q3977" s="84" t="s">
        <v>14664</v>
      </c>
      <c r="R3977" s="84" t="s">
        <v>14632</v>
      </c>
      <c r="S3977" s="84">
        <v>0.17499999999999999</v>
      </c>
      <c r="T3977" s="82" t="s">
        <v>14721</v>
      </c>
      <c r="U3977" s="84" t="s">
        <v>3584</v>
      </c>
      <c r="V3977" s="54"/>
    </row>
    <row r="3978" spans="1:22" s="11" customFormat="1" ht="45" customHeight="1" x14ac:dyDescent="0.2">
      <c r="A3978" s="66" t="s">
        <v>14618</v>
      </c>
      <c r="B3978" s="66" t="s">
        <v>1155</v>
      </c>
      <c r="C3978" s="66" t="s">
        <v>14618</v>
      </c>
      <c r="D3978" s="66">
        <v>35998</v>
      </c>
      <c r="E3978" s="68" t="s">
        <v>14734</v>
      </c>
      <c r="F3978" s="66" t="s">
        <v>14735</v>
      </c>
      <c r="G3978" s="71">
        <v>4114</v>
      </c>
      <c r="H3978" s="73"/>
      <c r="I3978" s="75">
        <v>0.1</v>
      </c>
      <c r="J3978" s="77"/>
      <c r="K3978" s="66"/>
      <c r="L3978" s="66"/>
      <c r="M3978" s="79" t="str">
        <f>HYPERLINK("http://www.pristavka.com/catalog/r_u_igrushki/ТоуR382/")</f>
        <v>http://www.pristavka.com/catalog/r_u_igrushki/ТоуR382/</v>
      </c>
      <c r="N3978" s="71">
        <v>6899</v>
      </c>
      <c r="O3978" s="66" t="s">
        <v>27</v>
      </c>
      <c r="P3978" s="82" t="s">
        <v>14736</v>
      </c>
      <c r="Q3978" s="84" t="s">
        <v>14664</v>
      </c>
      <c r="R3978" s="84" t="s">
        <v>14632</v>
      </c>
      <c r="S3978" s="84">
        <v>0.185</v>
      </c>
      <c r="T3978" s="82" t="s">
        <v>14721</v>
      </c>
      <c r="U3978" s="84" t="s">
        <v>3584</v>
      </c>
      <c r="V3978" s="54"/>
    </row>
    <row r="3979" spans="1:22" s="11" customFormat="1" ht="45" customHeight="1" x14ac:dyDescent="0.2">
      <c r="A3979" s="66" t="s">
        <v>14618</v>
      </c>
      <c r="B3979" s="66" t="s">
        <v>1155</v>
      </c>
      <c r="C3979" s="66" t="s">
        <v>14618</v>
      </c>
      <c r="D3979" s="66">
        <v>36246</v>
      </c>
      <c r="E3979" s="68" t="s">
        <v>14737</v>
      </c>
      <c r="F3979" s="66" t="s">
        <v>14738</v>
      </c>
      <c r="G3979" s="71">
        <v>4114</v>
      </c>
      <c r="H3979" s="73"/>
      <c r="I3979" s="75">
        <v>0.1</v>
      </c>
      <c r="J3979" s="77"/>
      <c r="K3979" s="66"/>
      <c r="L3979" s="66"/>
      <c r="M3979" s="79" t="str">
        <f>HYPERLINK("http://www.pristavka.com/catalog/r_u_igrushki/ТоуR361/")</f>
        <v>http://www.pristavka.com/catalog/r_u_igrushki/ТоуR361/</v>
      </c>
      <c r="N3979" s="71">
        <v>6899</v>
      </c>
      <c r="O3979" s="66" t="s">
        <v>27</v>
      </c>
      <c r="P3979" s="82" t="s">
        <v>14739</v>
      </c>
      <c r="Q3979" s="84" t="s">
        <v>14664</v>
      </c>
      <c r="R3979" s="84" t="s">
        <v>14632</v>
      </c>
      <c r="S3979" s="84">
        <v>0.16800000000000001</v>
      </c>
      <c r="T3979" s="82" t="s">
        <v>14707</v>
      </c>
      <c r="U3979" s="84" t="s">
        <v>3584</v>
      </c>
      <c r="V3979" s="54"/>
    </row>
    <row r="3980" spans="1:22" s="11" customFormat="1" ht="45" customHeight="1" x14ac:dyDescent="0.2">
      <c r="A3980" s="66" t="s">
        <v>14618</v>
      </c>
      <c r="B3980" s="66" t="s">
        <v>1155</v>
      </c>
      <c r="C3980" s="66" t="s">
        <v>14618</v>
      </c>
      <c r="D3980" s="66">
        <v>36135</v>
      </c>
      <c r="E3980" s="68" t="s">
        <v>14740</v>
      </c>
      <c r="F3980" s="66" t="s">
        <v>14741</v>
      </c>
      <c r="G3980" s="71">
        <v>4114</v>
      </c>
      <c r="H3980" s="73"/>
      <c r="I3980" s="75">
        <v>0.1</v>
      </c>
      <c r="J3980" s="77"/>
      <c r="K3980" s="66"/>
      <c r="L3980" s="66"/>
      <c r="M3980" s="79" t="str">
        <f>HYPERLINK("http://www.pristavka.com/catalog/r_u_igrushki/ТоуR340/")</f>
        <v>http://www.pristavka.com/catalog/r_u_igrushki/ТоуR340/</v>
      </c>
      <c r="N3980" s="71">
        <v>6899</v>
      </c>
      <c r="O3980" s="66" t="s">
        <v>27</v>
      </c>
      <c r="P3980" s="82" t="s">
        <v>14742</v>
      </c>
      <c r="Q3980" s="84" t="s">
        <v>14664</v>
      </c>
      <c r="R3980" s="84" t="s">
        <v>14632</v>
      </c>
      <c r="S3980" s="84">
        <v>0.16500000000000001</v>
      </c>
      <c r="T3980" s="82" t="s">
        <v>14721</v>
      </c>
      <c r="U3980" s="84" t="s">
        <v>3584</v>
      </c>
      <c r="V3980" s="54"/>
    </row>
    <row r="3981" spans="1:22" s="11" customFormat="1" ht="45" customHeight="1" x14ac:dyDescent="0.2">
      <c r="A3981" s="66" t="s">
        <v>14618</v>
      </c>
      <c r="B3981" s="66" t="s">
        <v>1155</v>
      </c>
      <c r="C3981" s="66" t="s">
        <v>14618</v>
      </c>
      <c r="D3981" s="66">
        <v>35362</v>
      </c>
      <c r="E3981" s="68" t="s">
        <v>14743</v>
      </c>
      <c r="F3981" s="66" t="s">
        <v>14744</v>
      </c>
      <c r="G3981" s="71">
        <v>4114</v>
      </c>
      <c r="H3981" s="73"/>
      <c r="I3981" s="75">
        <v>0.1</v>
      </c>
      <c r="J3981" s="77"/>
      <c r="K3981" s="66"/>
      <c r="L3981" s="66"/>
      <c r="M3981" s="79" t="str">
        <f>HYPERLINK("http://www.pristavka.com/catalog/r_u_igrushki/ТоуR365/")</f>
        <v>http://www.pristavka.com/catalog/r_u_igrushki/ТоуR365/</v>
      </c>
      <c r="N3981" s="71">
        <v>6899</v>
      </c>
      <c r="O3981" s="66" t="s">
        <v>27</v>
      </c>
      <c r="P3981" s="82" t="s">
        <v>14745</v>
      </c>
      <c r="Q3981" s="84" t="s">
        <v>14664</v>
      </c>
      <c r="R3981" s="84" t="s">
        <v>14632</v>
      </c>
      <c r="S3981" s="84">
        <v>0.17</v>
      </c>
      <c r="T3981" s="82" t="s">
        <v>14746</v>
      </c>
      <c r="U3981" s="84" t="s">
        <v>3584</v>
      </c>
      <c r="V3981" s="54"/>
    </row>
    <row r="3982" spans="1:22" s="11" customFormat="1" ht="45" customHeight="1" x14ac:dyDescent="0.2">
      <c r="A3982" s="66" t="s">
        <v>14618</v>
      </c>
      <c r="B3982" s="66" t="s">
        <v>1155</v>
      </c>
      <c r="C3982" s="66" t="s">
        <v>14618</v>
      </c>
      <c r="D3982" s="66">
        <v>35686</v>
      </c>
      <c r="E3982" s="68" t="s">
        <v>14747</v>
      </c>
      <c r="F3982" s="66" t="s">
        <v>14748</v>
      </c>
      <c r="G3982" s="71">
        <v>4114</v>
      </c>
      <c r="H3982" s="73"/>
      <c r="I3982" s="75">
        <v>0.1</v>
      </c>
      <c r="J3982" s="77"/>
      <c r="K3982" s="66"/>
      <c r="L3982" s="66"/>
      <c r="M3982" s="79" t="str">
        <f>HYPERLINK("http://www.pristavka.com/catalog/r_u_igrushki/ТоуR342/")</f>
        <v>http://www.pristavka.com/catalog/r_u_igrushki/ТоуR342/</v>
      </c>
      <c r="N3982" s="71">
        <v>6899</v>
      </c>
      <c r="O3982" s="66" t="s">
        <v>27</v>
      </c>
      <c r="P3982" s="82" t="s">
        <v>14749</v>
      </c>
      <c r="Q3982" s="84" t="s">
        <v>14664</v>
      </c>
      <c r="R3982" s="84" t="s">
        <v>14632</v>
      </c>
      <c r="S3982" s="84">
        <v>0.186</v>
      </c>
      <c r="T3982" s="82" t="s">
        <v>14707</v>
      </c>
      <c r="U3982" s="84" t="s">
        <v>3584</v>
      </c>
      <c r="V3982" s="54"/>
    </row>
    <row r="3983" spans="1:22" s="11" customFormat="1" ht="45" customHeight="1" x14ac:dyDescent="0.2">
      <c r="A3983" s="66" t="s">
        <v>14618</v>
      </c>
      <c r="B3983" s="66" t="s">
        <v>1155</v>
      </c>
      <c r="C3983" s="66" t="s">
        <v>14618</v>
      </c>
      <c r="D3983" s="66">
        <v>35681</v>
      </c>
      <c r="E3983" s="68" t="s">
        <v>14750</v>
      </c>
      <c r="F3983" s="66" t="s">
        <v>14751</v>
      </c>
      <c r="G3983" s="71">
        <v>4114</v>
      </c>
      <c r="H3983" s="73"/>
      <c r="I3983" s="75">
        <v>0.1</v>
      </c>
      <c r="J3983" s="77"/>
      <c r="K3983" s="66"/>
      <c r="L3983" s="66"/>
      <c r="M3983" s="79" t="str">
        <f>HYPERLINK("http://www.pristavka.com/catalog/r_u_igrushki/ТоуR341/")</f>
        <v>http://www.pristavka.com/catalog/r_u_igrushki/ТоуR341/</v>
      </c>
      <c r="N3983" s="71">
        <v>6899</v>
      </c>
      <c r="O3983" s="66" t="s">
        <v>27</v>
      </c>
      <c r="P3983" s="82" t="s">
        <v>14752</v>
      </c>
      <c r="Q3983" s="84" t="s">
        <v>14664</v>
      </c>
      <c r="R3983" s="84" t="s">
        <v>14632</v>
      </c>
      <c r="S3983" s="84">
        <v>0.16</v>
      </c>
      <c r="T3983" s="82" t="s">
        <v>14721</v>
      </c>
      <c r="U3983" s="84" t="s">
        <v>3584</v>
      </c>
      <c r="V3983" s="54"/>
    </row>
    <row r="3984" spans="1:22" s="11" customFormat="1" ht="45" customHeight="1" x14ac:dyDescent="0.2">
      <c r="A3984" s="66" t="s">
        <v>14618</v>
      </c>
      <c r="B3984" s="66" t="s">
        <v>1155</v>
      </c>
      <c r="C3984" s="66" t="s">
        <v>14618</v>
      </c>
      <c r="D3984" s="66">
        <v>36202</v>
      </c>
      <c r="E3984" s="68" t="s">
        <v>14753</v>
      </c>
      <c r="F3984" s="66" t="s">
        <v>14754</v>
      </c>
      <c r="G3984" s="71">
        <v>4114</v>
      </c>
      <c r="H3984" s="73"/>
      <c r="I3984" s="75">
        <v>0.1</v>
      </c>
      <c r="J3984" s="77"/>
      <c r="K3984" s="66"/>
      <c r="L3984" s="66"/>
      <c r="M3984" s="79" t="str">
        <f>HYPERLINK("http://www.pristavka.com/catalog/r_u_igrushki/ТоуR358/")</f>
        <v>http://www.pristavka.com/catalog/r_u_igrushki/ТоуR358/</v>
      </c>
      <c r="N3984" s="71">
        <v>6899</v>
      </c>
      <c r="O3984" s="66" t="s">
        <v>27</v>
      </c>
      <c r="P3984" s="82" t="s">
        <v>14755</v>
      </c>
      <c r="Q3984" s="84" t="s">
        <v>14664</v>
      </c>
      <c r="R3984" s="84" t="s">
        <v>14632</v>
      </c>
      <c r="S3984" s="84">
        <v>0.17</v>
      </c>
      <c r="T3984" s="82" t="s">
        <v>14721</v>
      </c>
      <c r="U3984" s="84" t="s">
        <v>3584</v>
      </c>
      <c r="V3984" s="54"/>
    </row>
    <row r="3985" spans="1:22" s="11" customFormat="1" ht="45" customHeight="1" x14ac:dyDescent="0.2">
      <c r="A3985" s="66" t="s">
        <v>14618</v>
      </c>
      <c r="B3985" s="66" t="s">
        <v>1155</v>
      </c>
      <c r="C3985" s="66" t="s">
        <v>14618</v>
      </c>
      <c r="D3985" s="66">
        <v>36244</v>
      </c>
      <c r="E3985" s="68" t="s">
        <v>14756</v>
      </c>
      <c r="F3985" s="66" t="s">
        <v>14757</v>
      </c>
      <c r="G3985" s="71">
        <v>4114</v>
      </c>
      <c r="H3985" s="73"/>
      <c r="I3985" s="75">
        <v>0.1</v>
      </c>
      <c r="J3985" s="77"/>
      <c r="K3985" s="66"/>
      <c r="L3985" s="66"/>
      <c r="M3985" s="79" t="str">
        <f>HYPERLINK("http://www.pristavka.com/catalog/r_u_igrushki/ТоуR360/")</f>
        <v>http://www.pristavka.com/catalog/r_u_igrushki/ТоуR360/</v>
      </c>
      <c r="N3985" s="71">
        <v>6899</v>
      </c>
      <c r="O3985" s="66" t="s">
        <v>27</v>
      </c>
      <c r="P3985" s="82" t="s">
        <v>14758</v>
      </c>
      <c r="Q3985" s="84" t="s">
        <v>14664</v>
      </c>
      <c r="R3985" s="84" t="s">
        <v>14632</v>
      </c>
      <c r="S3985" s="84">
        <v>0.17399999999999999</v>
      </c>
      <c r="T3985" s="82" t="s">
        <v>14707</v>
      </c>
      <c r="U3985" s="84" t="s">
        <v>3584</v>
      </c>
      <c r="V3985" s="54"/>
    </row>
    <row r="3986" spans="1:22" s="11" customFormat="1" ht="45" customHeight="1" x14ac:dyDescent="0.2">
      <c r="A3986" s="66" t="s">
        <v>14618</v>
      </c>
      <c r="B3986" s="66" t="s">
        <v>1155</v>
      </c>
      <c r="C3986" s="66" t="s">
        <v>14618</v>
      </c>
      <c r="D3986" s="66">
        <v>36001</v>
      </c>
      <c r="E3986" s="68" t="s">
        <v>14759</v>
      </c>
      <c r="F3986" s="66" t="s">
        <v>14760</v>
      </c>
      <c r="G3986" s="71">
        <v>4114</v>
      </c>
      <c r="H3986" s="73"/>
      <c r="I3986" s="75">
        <v>0.1</v>
      </c>
      <c r="J3986" s="77"/>
      <c r="K3986" s="66"/>
      <c r="L3986" s="66"/>
      <c r="M3986" s="79" t="str">
        <f>HYPERLINK("http://www.pristavka.com/catalog/r_u_igrushki/ТоуR364/")</f>
        <v>http://www.pristavka.com/catalog/r_u_igrushki/ТоуR364/</v>
      </c>
      <c r="N3986" s="71">
        <v>6899</v>
      </c>
      <c r="O3986" s="66" t="s">
        <v>27</v>
      </c>
      <c r="P3986" s="82" t="s">
        <v>14761</v>
      </c>
      <c r="Q3986" s="84" t="s">
        <v>14664</v>
      </c>
      <c r="R3986" s="84" t="s">
        <v>14632</v>
      </c>
      <c r="S3986" s="84">
        <v>0.185</v>
      </c>
      <c r="T3986" s="82" t="s">
        <v>14721</v>
      </c>
      <c r="U3986" s="84" t="s">
        <v>3584</v>
      </c>
      <c r="V3986" s="54"/>
    </row>
    <row r="3987" spans="1:22" s="11" customFormat="1" ht="45" customHeight="1" x14ac:dyDescent="0.2">
      <c r="A3987" s="66" t="s">
        <v>14618</v>
      </c>
      <c r="B3987" s="66" t="s">
        <v>1155</v>
      </c>
      <c r="C3987" s="66" t="s">
        <v>14618</v>
      </c>
      <c r="D3987" s="66">
        <v>36237</v>
      </c>
      <c r="E3987" s="68" t="s">
        <v>14762</v>
      </c>
      <c r="F3987" s="66" t="s">
        <v>14763</v>
      </c>
      <c r="G3987" s="71">
        <v>4114</v>
      </c>
      <c r="H3987" s="73"/>
      <c r="I3987" s="75">
        <v>0.1</v>
      </c>
      <c r="J3987" s="77"/>
      <c r="K3987" s="66"/>
      <c r="L3987" s="66"/>
      <c r="M3987" s="79" t="str">
        <f>HYPERLINK("http://www.pristavka.com/catalog/r_u_igrushki/ТоуR359/")</f>
        <v>http://www.pristavka.com/catalog/r_u_igrushki/ТоуR359/</v>
      </c>
      <c r="N3987" s="71">
        <v>6899</v>
      </c>
      <c r="O3987" s="66" t="s">
        <v>27</v>
      </c>
      <c r="P3987" s="82" t="s">
        <v>14764</v>
      </c>
      <c r="Q3987" s="84" t="s">
        <v>14664</v>
      </c>
      <c r="R3987" s="84" t="s">
        <v>14632</v>
      </c>
      <c r="S3987" s="84">
        <v>0.17</v>
      </c>
      <c r="T3987" s="82" t="s">
        <v>14721</v>
      </c>
      <c r="U3987" s="84" t="s">
        <v>3584</v>
      </c>
      <c r="V3987" s="54"/>
    </row>
    <row r="3988" spans="1:22" s="11" customFormat="1" ht="45" customHeight="1" x14ac:dyDescent="0.2">
      <c r="A3988" s="66" t="s">
        <v>14618</v>
      </c>
      <c r="B3988" s="66" t="s">
        <v>1155</v>
      </c>
      <c r="C3988" s="66" t="s">
        <v>14618</v>
      </c>
      <c r="D3988" s="66">
        <v>34663</v>
      </c>
      <c r="E3988" s="68" t="s">
        <v>14765</v>
      </c>
      <c r="F3988" s="66" t="s">
        <v>14766</v>
      </c>
      <c r="G3988" s="71">
        <v>4114</v>
      </c>
      <c r="H3988" s="73"/>
      <c r="I3988" s="75">
        <v>0.1</v>
      </c>
      <c r="J3988" s="77"/>
      <c r="K3988" s="66"/>
      <c r="L3988" s="66"/>
      <c r="M3988" s="79" t="str">
        <f>HYPERLINK("http://www.pristavka.com/catalog/r_u_igrushki/ТоуR366/")</f>
        <v>http://www.pristavka.com/catalog/r_u_igrushki/ТоуR366/</v>
      </c>
      <c r="N3988" s="71">
        <v>6899</v>
      </c>
      <c r="O3988" s="66" t="s">
        <v>27</v>
      </c>
      <c r="P3988" s="82" t="s">
        <v>14767</v>
      </c>
      <c r="Q3988" s="84" t="s">
        <v>14685</v>
      </c>
      <c r="R3988" s="84" t="s">
        <v>14632</v>
      </c>
      <c r="S3988" s="84">
        <v>0.16800000000000001</v>
      </c>
      <c r="T3988" s="82" t="s">
        <v>14746</v>
      </c>
      <c r="U3988" s="84" t="s">
        <v>3584</v>
      </c>
      <c r="V3988" s="54"/>
    </row>
    <row r="3989" spans="1:22" s="11" customFormat="1" ht="45" customHeight="1" x14ac:dyDescent="0.2">
      <c r="A3989" s="66" t="s">
        <v>14618</v>
      </c>
      <c r="B3989" s="66" t="s">
        <v>1155</v>
      </c>
      <c r="C3989" s="66" t="s">
        <v>14618</v>
      </c>
      <c r="D3989" s="66">
        <v>801310321850</v>
      </c>
      <c r="E3989" s="68" t="s">
        <v>14768</v>
      </c>
      <c r="F3989" s="66" t="s">
        <v>14769</v>
      </c>
      <c r="G3989" s="71">
        <v>4114</v>
      </c>
      <c r="H3989" s="73"/>
      <c r="I3989" s="75">
        <v>0.1</v>
      </c>
      <c r="J3989" s="77"/>
      <c r="K3989" s="66"/>
      <c r="L3989" s="66"/>
      <c r="M3989" s="79" t="str">
        <f>HYPERLINK("http://www.pristavka.com/catalog/r_u_igrushki/ТоуR245/")</f>
        <v>http://www.pristavka.com/catalog/r_u_igrushki/ТоуR245/</v>
      </c>
      <c r="N3989" s="71">
        <v>6899</v>
      </c>
      <c r="O3989" s="66" t="s">
        <v>27</v>
      </c>
      <c r="P3989" s="82" t="s">
        <v>14770</v>
      </c>
      <c r="Q3989" s="84" t="s">
        <v>1211</v>
      </c>
      <c r="R3989" s="84" t="s">
        <v>1212</v>
      </c>
      <c r="S3989" s="84">
        <v>0.16900000000000001</v>
      </c>
      <c r="T3989" s="82" t="s">
        <v>14707</v>
      </c>
      <c r="U3989" s="84" t="s">
        <v>3584</v>
      </c>
      <c r="V3989" s="54"/>
    </row>
    <row r="3990" spans="1:22" s="11" customFormat="1" ht="45" customHeight="1" x14ac:dyDescent="0.2">
      <c r="A3990" s="66" t="s">
        <v>14618</v>
      </c>
      <c r="B3990" s="66" t="s">
        <v>1155</v>
      </c>
      <c r="C3990" s="66" t="s">
        <v>14618</v>
      </c>
      <c r="D3990" s="66">
        <v>33691</v>
      </c>
      <c r="E3990" s="68" t="s">
        <v>14771</v>
      </c>
      <c r="F3990" s="66" t="s">
        <v>14772</v>
      </c>
      <c r="G3990" s="71">
        <v>13795</v>
      </c>
      <c r="H3990" s="73"/>
      <c r="I3990" s="75">
        <v>0.1</v>
      </c>
      <c r="J3990" s="77"/>
      <c r="K3990" s="66"/>
      <c r="L3990" s="66"/>
      <c r="M3990" s="79" t="str">
        <f>HYPERLINK("http://www.pristavka.com/catalog/r_u_igrushki/ТоуR265/")</f>
        <v>http://www.pristavka.com/catalog/r_u_igrushki/ТоуR265/</v>
      </c>
      <c r="N3990" s="71">
        <v>22999</v>
      </c>
      <c r="O3990" s="66" t="s">
        <v>27</v>
      </c>
      <c r="P3990" s="82" t="s">
        <v>14773</v>
      </c>
      <c r="Q3990" s="84" t="s">
        <v>1334</v>
      </c>
      <c r="R3990" s="84" t="s">
        <v>1068</v>
      </c>
      <c r="S3990" s="84">
        <v>0.70799999999999996</v>
      </c>
      <c r="T3990" s="82" t="s">
        <v>14774</v>
      </c>
      <c r="U3990" s="84" t="s">
        <v>3584</v>
      </c>
      <c r="V3990" s="54"/>
    </row>
    <row r="3991" spans="1:22" s="11" customFormat="1" ht="45" customHeight="1" x14ac:dyDescent="0.2">
      <c r="A3991" s="66" t="s">
        <v>14618</v>
      </c>
      <c r="B3991" s="66" t="s">
        <v>1155</v>
      </c>
      <c r="C3991" s="66" t="s">
        <v>14618</v>
      </c>
      <c r="D3991" s="66">
        <v>35349</v>
      </c>
      <c r="E3991" s="68" t="s">
        <v>14775</v>
      </c>
      <c r="F3991" s="66" t="s">
        <v>14776</v>
      </c>
      <c r="G3991" s="71">
        <v>13795</v>
      </c>
      <c r="H3991" s="73"/>
      <c r="I3991" s="75">
        <v>0.1</v>
      </c>
      <c r="J3991" s="77"/>
      <c r="K3991" s="66"/>
      <c r="L3991" s="66"/>
      <c r="M3991" s="79" t="str">
        <f>HYPERLINK("http://www.pristavka.com/catalog/r_u_igrushki/ТоуR263/")</f>
        <v>http://www.pristavka.com/catalog/r_u_igrushki/ТоуR263/</v>
      </c>
      <c r="N3991" s="71">
        <v>22999</v>
      </c>
      <c r="O3991" s="66" t="s">
        <v>28</v>
      </c>
      <c r="P3991" s="82" t="s">
        <v>14777</v>
      </c>
      <c r="Q3991" s="84" t="s">
        <v>1334</v>
      </c>
      <c r="R3991" s="84" t="s">
        <v>1068</v>
      </c>
      <c r="S3991" s="84">
        <v>0.68799999999999994</v>
      </c>
      <c r="T3991" s="82" t="s">
        <v>14774</v>
      </c>
      <c r="U3991" s="84" t="s">
        <v>3584</v>
      </c>
      <c r="V3991" s="54"/>
    </row>
    <row r="3992" spans="1:22" s="11" customFormat="1" ht="45" customHeight="1" x14ac:dyDescent="0.2">
      <c r="A3992" s="66" t="s">
        <v>14618</v>
      </c>
      <c r="B3992" s="66" t="s">
        <v>1155</v>
      </c>
      <c r="C3992" s="66" t="s">
        <v>14618</v>
      </c>
      <c r="D3992" s="66">
        <v>35114</v>
      </c>
      <c r="E3992" s="68" t="s">
        <v>14778</v>
      </c>
      <c r="F3992" s="66" t="s">
        <v>14779</v>
      </c>
      <c r="G3992" s="71">
        <v>13795</v>
      </c>
      <c r="H3992" s="73"/>
      <c r="I3992" s="75">
        <v>0.1</v>
      </c>
      <c r="J3992" s="77"/>
      <c r="K3992" s="66"/>
      <c r="L3992" s="66"/>
      <c r="M3992" s="79" t="str">
        <f>HYPERLINK("http://www.pristavka.com/catalog/r_u_igrushki/ТоуR267/")</f>
        <v>http://www.pristavka.com/catalog/r_u_igrushki/ТоуR267/</v>
      </c>
      <c r="N3992" s="71">
        <v>22999</v>
      </c>
      <c r="O3992" s="66" t="s">
        <v>27</v>
      </c>
      <c r="P3992" s="82" t="s">
        <v>14780</v>
      </c>
      <c r="Q3992" s="84" t="s">
        <v>14781</v>
      </c>
      <c r="R3992" s="84" t="s">
        <v>14782</v>
      </c>
      <c r="S3992" s="84">
        <v>0.746</v>
      </c>
      <c r="T3992" s="82" t="s">
        <v>14783</v>
      </c>
      <c r="U3992" s="84" t="s">
        <v>3584</v>
      </c>
      <c r="V3992" s="54"/>
    </row>
    <row r="3993" spans="1:22" s="11" customFormat="1" ht="45" customHeight="1" x14ac:dyDescent="0.2">
      <c r="A3993" s="66" t="s">
        <v>14618</v>
      </c>
      <c r="B3993" s="66" t="s">
        <v>1155</v>
      </c>
      <c r="C3993" s="66" t="s">
        <v>14618</v>
      </c>
      <c r="D3993" s="66">
        <v>35131</v>
      </c>
      <c r="E3993" s="68" t="s">
        <v>14784</v>
      </c>
      <c r="F3993" s="66" t="s">
        <v>14785</v>
      </c>
      <c r="G3993" s="71">
        <v>13795</v>
      </c>
      <c r="H3993" s="73"/>
      <c r="I3993" s="75">
        <v>0.1</v>
      </c>
      <c r="J3993" s="77"/>
      <c r="K3993" s="66"/>
      <c r="L3993" s="66"/>
      <c r="M3993" s="79" t="str">
        <f>HYPERLINK("http://www.pristavka.com/catalog/r_u_igrushki/ТоуR264/")</f>
        <v>http://www.pristavka.com/catalog/r_u_igrushki/ТоуR264/</v>
      </c>
      <c r="N3993" s="71">
        <v>22999</v>
      </c>
      <c r="O3993" s="66" t="s">
        <v>27</v>
      </c>
      <c r="P3993" s="82" t="s">
        <v>14786</v>
      </c>
      <c r="Q3993" s="84" t="s">
        <v>3326</v>
      </c>
      <c r="R3993" s="84" t="s">
        <v>3327</v>
      </c>
      <c r="S3993" s="84">
        <v>0.56399999999999995</v>
      </c>
      <c r="T3993" s="82" t="s">
        <v>14787</v>
      </c>
      <c r="U3993" s="84" t="s">
        <v>3584</v>
      </c>
      <c r="V3993" s="54"/>
    </row>
    <row r="3994" spans="1:22" s="11" customFormat="1" ht="45" customHeight="1" x14ac:dyDescent="0.2">
      <c r="A3994" s="66" t="s">
        <v>14618</v>
      </c>
      <c r="B3994" s="66" t="s">
        <v>1155</v>
      </c>
      <c r="C3994" s="66" t="s">
        <v>14618</v>
      </c>
      <c r="D3994" s="66">
        <v>99731</v>
      </c>
      <c r="E3994" s="68" t="s">
        <v>14788</v>
      </c>
      <c r="F3994" s="66" t="s">
        <v>14789</v>
      </c>
      <c r="G3994" s="71">
        <v>13795</v>
      </c>
      <c r="H3994" s="73"/>
      <c r="I3994" s="75">
        <v>0.1</v>
      </c>
      <c r="J3994" s="77"/>
      <c r="K3994" s="66"/>
      <c r="L3994" s="66"/>
      <c r="M3994" s="79" t="str">
        <f>HYPERLINK("http://www.pristavka.com/catalog/r_u_igrushki/ТоуR143/")</f>
        <v>http://www.pristavka.com/catalog/r_u_igrushki/ТоуR143/</v>
      </c>
      <c r="N3994" s="71">
        <v>22999</v>
      </c>
      <c r="O3994" s="66" t="s">
        <v>27</v>
      </c>
      <c r="P3994" s="82" t="s">
        <v>14790</v>
      </c>
      <c r="Q3994" s="84" t="s">
        <v>3541</v>
      </c>
      <c r="R3994" s="84" t="s">
        <v>58</v>
      </c>
      <c r="S3994" s="84">
        <v>0.70199999999999996</v>
      </c>
      <c r="T3994" s="82" t="s">
        <v>14791</v>
      </c>
      <c r="U3994" s="84" t="s">
        <v>3584</v>
      </c>
      <c r="V3994" s="54"/>
    </row>
    <row r="3995" spans="1:22" s="11" customFormat="1" ht="45" customHeight="1" x14ac:dyDescent="0.2">
      <c r="A3995" s="66" t="s">
        <v>14618</v>
      </c>
      <c r="B3995" s="66" t="s">
        <v>1155</v>
      </c>
      <c r="C3995" s="66" t="s">
        <v>14618</v>
      </c>
      <c r="D3995" s="66">
        <v>32911</v>
      </c>
      <c r="E3995" s="68" t="s">
        <v>14792</v>
      </c>
      <c r="F3995" s="66" t="s">
        <v>14793</v>
      </c>
      <c r="G3995" s="71">
        <v>13795</v>
      </c>
      <c r="H3995" s="73"/>
      <c r="I3995" s="75">
        <v>0.1</v>
      </c>
      <c r="J3995" s="77"/>
      <c r="K3995" s="66"/>
      <c r="L3995" s="66"/>
      <c r="M3995" s="79" t="str">
        <f>HYPERLINK("http://www.pristavka.com/catalog/r_u_igrushki/ТоуR50/")</f>
        <v>http://www.pristavka.com/catalog/r_u_igrushki/ТоуR50/</v>
      </c>
      <c r="N3995" s="71">
        <v>22999</v>
      </c>
      <c r="O3995" s="66" t="s">
        <v>27</v>
      </c>
      <c r="P3995" s="82" t="s">
        <v>14794</v>
      </c>
      <c r="Q3995" s="84" t="s">
        <v>1211</v>
      </c>
      <c r="R3995" s="84" t="s">
        <v>1212</v>
      </c>
      <c r="S3995" s="84">
        <v>0.66</v>
      </c>
      <c r="T3995" s="82" t="s">
        <v>14791</v>
      </c>
      <c r="U3995" s="84" t="s">
        <v>3584</v>
      </c>
      <c r="V3995" s="54"/>
    </row>
    <row r="3996" spans="1:22" s="11" customFormat="1" ht="45" customHeight="1" x14ac:dyDescent="0.2">
      <c r="A3996" s="66" t="s">
        <v>14618</v>
      </c>
      <c r="B3996" s="66" t="s">
        <v>1155</v>
      </c>
      <c r="C3996" s="66" t="s">
        <v>14618</v>
      </c>
      <c r="D3996" s="66">
        <v>31116</v>
      </c>
      <c r="E3996" s="68" t="s">
        <v>14795</v>
      </c>
      <c r="F3996" s="66" t="s">
        <v>14796</v>
      </c>
      <c r="G3996" s="71">
        <v>4114</v>
      </c>
      <c r="H3996" s="73"/>
      <c r="I3996" s="75">
        <v>0.1</v>
      </c>
      <c r="J3996" s="77"/>
      <c r="K3996" s="66"/>
      <c r="L3996" s="66"/>
      <c r="M3996" s="79" t="str">
        <f>HYPERLINK("http://www.pristavka.com/catalog/r_u_igrushki/ТоуR336/")</f>
        <v>http://www.pristavka.com/catalog/r_u_igrushki/ТоуR336/</v>
      </c>
      <c r="N3996" s="71">
        <v>6899</v>
      </c>
      <c r="O3996" s="66" t="s">
        <v>27</v>
      </c>
      <c r="P3996" s="82" t="s">
        <v>14797</v>
      </c>
      <c r="Q3996" s="84" t="s">
        <v>14664</v>
      </c>
      <c r="R3996" s="84" t="s">
        <v>14632</v>
      </c>
      <c r="S3996" s="84">
        <v>0.17499999999999999</v>
      </c>
      <c r="T3996" s="82" t="s">
        <v>14721</v>
      </c>
      <c r="U3996" s="84" t="s">
        <v>3584</v>
      </c>
      <c r="V3996" s="54"/>
    </row>
    <row r="3997" spans="1:22" s="11" customFormat="1" ht="45" customHeight="1" x14ac:dyDescent="0.2">
      <c r="A3997" s="66" t="s">
        <v>14618</v>
      </c>
      <c r="B3997" s="66" t="s">
        <v>1155</v>
      </c>
      <c r="C3997" s="66" t="s">
        <v>14618</v>
      </c>
      <c r="D3997" s="66">
        <v>34793</v>
      </c>
      <c r="E3997" s="68" t="s">
        <v>14798</v>
      </c>
      <c r="F3997" s="66" t="s">
        <v>14799</v>
      </c>
      <c r="G3997" s="71">
        <v>4114</v>
      </c>
      <c r="H3997" s="73"/>
      <c r="I3997" s="75">
        <v>0.1</v>
      </c>
      <c r="J3997" s="77"/>
      <c r="K3997" s="66"/>
      <c r="L3997" s="66"/>
      <c r="M3997" s="79" t="str">
        <f>HYPERLINK("http://www.pristavka.com/catalog/r_u_igrushki/ТоуR330/")</f>
        <v>http://www.pristavka.com/catalog/r_u_igrushki/ТоуR330/</v>
      </c>
      <c r="N3997" s="71">
        <v>6899</v>
      </c>
      <c r="O3997" s="66" t="s">
        <v>27</v>
      </c>
      <c r="P3997" s="82" t="s">
        <v>14800</v>
      </c>
      <c r="Q3997" s="84" t="s">
        <v>14685</v>
      </c>
      <c r="R3997" s="84" t="s">
        <v>14632</v>
      </c>
      <c r="S3997" s="84">
        <v>0.16500000000000001</v>
      </c>
      <c r="T3997" s="82" t="s">
        <v>14721</v>
      </c>
      <c r="U3997" s="84" t="s">
        <v>3584</v>
      </c>
      <c r="V3997" s="54"/>
    </row>
    <row r="3998" spans="1:22" s="11" customFormat="1" ht="45" customHeight="1" x14ac:dyDescent="0.2">
      <c r="A3998" s="66" t="s">
        <v>14618</v>
      </c>
      <c r="B3998" s="66" t="s">
        <v>1155</v>
      </c>
      <c r="C3998" s="66" t="s">
        <v>14618</v>
      </c>
      <c r="D3998" s="66">
        <v>99748</v>
      </c>
      <c r="E3998" s="68" t="s">
        <v>14801</v>
      </c>
      <c r="F3998" s="66" t="s">
        <v>14802</v>
      </c>
      <c r="G3998" s="71">
        <v>4460</v>
      </c>
      <c r="H3998" s="73"/>
      <c r="I3998" s="75">
        <v>0.1</v>
      </c>
      <c r="J3998" s="77"/>
      <c r="K3998" s="66"/>
      <c r="L3998" s="66"/>
      <c r="M3998" s="79" t="str">
        <f>HYPERLINK("http://www.pristavka.com/catalog/r_u_igrushki/ТоуR135/")</f>
        <v>http://www.pristavka.com/catalog/r_u_igrushki/ТоуR135/</v>
      </c>
      <c r="N3998" s="71">
        <v>7499</v>
      </c>
      <c r="O3998" s="66" t="s">
        <v>27</v>
      </c>
      <c r="P3998" s="82" t="s">
        <v>14803</v>
      </c>
      <c r="Q3998" s="84" t="s">
        <v>3541</v>
      </c>
      <c r="R3998" s="84" t="s">
        <v>58</v>
      </c>
      <c r="S3998" s="84">
        <v>0.182</v>
      </c>
      <c r="T3998" s="82" t="s">
        <v>14707</v>
      </c>
      <c r="U3998" s="84" t="s">
        <v>3584</v>
      </c>
      <c r="V3998" s="54"/>
    </row>
    <row r="3999" spans="1:22" s="11" customFormat="1" ht="45" customHeight="1" x14ac:dyDescent="0.2">
      <c r="A3999" s="66" t="s">
        <v>14618</v>
      </c>
      <c r="B3999" s="66" t="s">
        <v>1155</v>
      </c>
      <c r="C3999" s="66" t="s">
        <v>14618</v>
      </c>
      <c r="D3999" s="66">
        <v>99799</v>
      </c>
      <c r="E3999" s="68" t="s">
        <v>14804</v>
      </c>
      <c r="F3999" s="66" t="s">
        <v>14805</v>
      </c>
      <c r="G3999" s="71">
        <v>4114</v>
      </c>
      <c r="H3999" s="73"/>
      <c r="I3999" s="75">
        <v>0.1</v>
      </c>
      <c r="J3999" s="77"/>
      <c r="K3999" s="66"/>
      <c r="L3999" s="66"/>
      <c r="M3999" s="79" t="str">
        <f>HYPERLINK("http://www.pristavka.com/catalog/r_u_igrushki/ТоуR185/")</f>
        <v>http://www.pristavka.com/catalog/r_u_igrushki/ТоуR185/</v>
      </c>
      <c r="N3999" s="71">
        <v>6899</v>
      </c>
      <c r="O3999" s="66" t="s">
        <v>27</v>
      </c>
      <c r="P3999" s="82" t="s">
        <v>14806</v>
      </c>
      <c r="Q3999" s="84" t="s">
        <v>1840</v>
      </c>
      <c r="R3999" s="84" t="s">
        <v>1840</v>
      </c>
      <c r="S3999" s="84">
        <v>0.17299999999999999</v>
      </c>
      <c r="T3999" s="82" t="s">
        <v>14707</v>
      </c>
      <c r="U3999" s="84" t="s">
        <v>3584</v>
      </c>
      <c r="V3999" s="54"/>
    </row>
    <row r="4000" spans="1:22" s="11" customFormat="1" ht="45" customHeight="1" x14ac:dyDescent="0.2">
      <c r="A4000" s="66" t="s">
        <v>14618</v>
      </c>
      <c r="B4000" s="66" t="s">
        <v>1155</v>
      </c>
      <c r="C4000" s="66" t="s">
        <v>14618</v>
      </c>
      <c r="D4000" s="66">
        <v>35482</v>
      </c>
      <c r="E4000" s="68" t="s">
        <v>14807</v>
      </c>
      <c r="F4000" s="66" t="s">
        <v>14808</v>
      </c>
      <c r="G4000" s="71">
        <v>4114</v>
      </c>
      <c r="H4000" s="73"/>
      <c r="I4000" s="75">
        <v>0.1</v>
      </c>
      <c r="J4000" s="77"/>
      <c r="K4000" s="66"/>
      <c r="L4000" s="66"/>
      <c r="M4000" s="79" t="str">
        <f>HYPERLINK("http://www.pristavka.com/catalog/r_u_igrushki/ТоуR378/")</f>
        <v>http://www.pristavka.com/catalog/r_u_igrushki/ТоуR378/</v>
      </c>
      <c r="N4000" s="71">
        <v>6899</v>
      </c>
      <c r="O4000" s="66" t="s">
        <v>27</v>
      </c>
      <c r="P4000" s="82" t="s">
        <v>14809</v>
      </c>
      <c r="Q4000" s="84" t="s">
        <v>1240</v>
      </c>
      <c r="R4000" s="84" t="s">
        <v>70</v>
      </c>
      <c r="S4000" s="84">
        <v>0.17499999999999999</v>
      </c>
      <c r="T4000" s="82" t="s">
        <v>14721</v>
      </c>
      <c r="U4000" s="84" t="s">
        <v>3584</v>
      </c>
      <c r="V4000" s="54"/>
    </row>
    <row r="4001" spans="1:22" s="11" customFormat="1" ht="45" customHeight="1" x14ac:dyDescent="0.2">
      <c r="A4001" s="66" t="s">
        <v>14618</v>
      </c>
      <c r="B4001" s="66" t="s">
        <v>1155</v>
      </c>
      <c r="C4001" s="66" t="s">
        <v>14618</v>
      </c>
      <c r="D4001" s="66">
        <v>34257</v>
      </c>
      <c r="E4001" s="68" t="s">
        <v>14810</v>
      </c>
      <c r="F4001" s="66" t="s">
        <v>14811</v>
      </c>
      <c r="G4001" s="71">
        <v>4460</v>
      </c>
      <c r="H4001" s="73"/>
      <c r="I4001" s="75">
        <v>0.1</v>
      </c>
      <c r="J4001" s="77"/>
      <c r="K4001" s="66"/>
      <c r="L4001" s="66"/>
      <c r="M4001" s="79" t="str">
        <f>HYPERLINK("http://www.pristavka.com/catalog/r_u_igrushki/ТоуR134/")</f>
        <v>http://www.pristavka.com/catalog/r_u_igrushki/ТоуR134/</v>
      </c>
      <c r="N4001" s="71">
        <v>7499</v>
      </c>
      <c r="O4001" s="66" t="s">
        <v>27</v>
      </c>
      <c r="P4001" s="82" t="s">
        <v>14812</v>
      </c>
      <c r="Q4001" s="84" t="s">
        <v>3784</v>
      </c>
      <c r="R4001" s="84" t="s">
        <v>3785</v>
      </c>
      <c r="S4001" s="84">
        <v>0.19900000000000001</v>
      </c>
      <c r="T4001" s="82" t="s">
        <v>14707</v>
      </c>
      <c r="U4001" s="84" t="s">
        <v>3584</v>
      </c>
      <c r="V4001" s="54"/>
    </row>
    <row r="4002" spans="1:22" s="11" customFormat="1" ht="45" customHeight="1" x14ac:dyDescent="0.2">
      <c r="A4002" s="66" t="s">
        <v>14618</v>
      </c>
      <c r="B4002" s="66" t="s">
        <v>1155</v>
      </c>
      <c r="C4002" s="66" t="s">
        <v>14618</v>
      </c>
      <c r="D4002" s="66">
        <v>30541</v>
      </c>
      <c r="E4002" s="68" t="s">
        <v>14813</v>
      </c>
      <c r="F4002" s="66" t="s">
        <v>14814</v>
      </c>
      <c r="G4002" s="71">
        <v>4114</v>
      </c>
      <c r="H4002" s="73"/>
      <c r="I4002" s="75">
        <v>0.1</v>
      </c>
      <c r="J4002" s="77"/>
      <c r="K4002" s="66"/>
      <c r="L4002" s="66"/>
      <c r="M4002" s="79" t="str">
        <f>HYPERLINK("http://www.pristavka.com/catalog/r_u_igrushki/ТоуR136/")</f>
        <v>http://www.pristavka.com/catalog/r_u_igrushki/ТоуR136/</v>
      </c>
      <c r="N4002" s="71">
        <v>6899</v>
      </c>
      <c r="O4002" s="66" t="s">
        <v>27</v>
      </c>
      <c r="P4002" s="82" t="s">
        <v>14815</v>
      </c>
      <c r="Q4002" s="84" t="s">
        <v>1211</v>
      </c>
      <c r="R4002" s="84" t="s">
        <v>1212</v>
      </c>
      <c r="S4002" s="84">
        <v>0.17199999999999999</v>
      </c>
      <c r="T4002" s="82" t="s">
        <v>14707</v>
      </c>
      <c r="U4002" s="84" t="s">
        <v>3584</v>
      </c>
      <c r="V4002" s="54"/>
    </row>
    <row r="4003" spans="1:22" s="11" customFormat="1" ht="45" customHeight="1" x14ac:dyDescent="0.2">
      <c r="A4003" s="66" t="s">
        <v>14618</v>
      </c>
      <c r="B4003" s="66" t="s">
        <v>1155</v>
      </c>
      <c r="C4003" s="66" t="s">
        <v>14618</v>
      </c>
      <c r="D4003" s="66">
        <v>32290</v>
      </c>
      <c r="E4003" s="68" t="s">
        <v>14816</v>
      </c>
      <c r="F4003" s="66" t="s">
        <v>14817</v>
      </c>
      <c r="G4003" s="71">
        <v>4114</v>
      </c>
      <c r="H4003" s="73"/>
      <c r="I4003" s="75">
        <v>0.1</v>
      </c>
      <c r="J4003" s="77"/>
      <c r="K4003" s="66"/>
      <c r="L4003" s="66"/>
      <c r="M4003" s="79" t="str">
        <f>HYPERLINK("http://www.pristavka.com/catalog/r_u_igrushki/ТоуR137/")</f>
        <v>http://www.pristavka.com/catalog/r_u_igrushki/ТоуR137/</v>
      </c>
      <c r="N4003" s="71">
        <v>6899</v>
      </c>
      <c r="O4003" s="66" t="s">
        <v>27</v>
      </c>
      <c r="P4003" s="82" t="s">
        <v>14818</v>
      </c>
      <c r="Q4003" s="84" t="s">
        <v>1211</v>
      </c>
      <c r="R4003" s="84" t="s">
        <v>1212</v>
      </c>
      <c r="S4003" s="84">
        <v>0.17100000000000001</v>
      </c>
      <c r="T4003" s="82" t="s">
        <v>14707</v>
      </c>
      <c r="U4003" s="84" t="s">
        <v>3584</v>
      </c>
      <c r="V4003" s="54"/>
    </row>
    <row r="4004" spans="1:22" s="11" customFormat="1" ht="45" customHeight="1" x14ac:dyDescent="0.2">
      <c r="A4004" s="66" t="s">
        <v>14618</v>
      </c>
      <c r="B4004" s="66" t="s">
        <v>1155</v>
      </c>
      <c r="C4004" s="66" t="s">
        <v>14618</v>
      </c>
      <c r="D4004" s="66">
        <v>35666</v>
      </c>
      <c r="E4004" s="68" t="s">
        <v>14819</v>
      </c>
      <c r="F4004" s="66" t="s">
        <v>14820</v>
      </c>
      <c r="G4004" s="71">
        <v>4806</v>
      </c>
      <c r="H4004" s="73"/>
      <c r="I4004" s="75">
        <v>0.1</v>
      </c>
      <c r="J4004" s="77"/>
      <c r="K4004" s="66"/>
      <c r="L4004" s="66"/>
      <c r="M4004" s="79" t="str">
        <f>HYPERLINK("http://www.pristavka.com/catalog/r_u_igrushki/ТоуR335/")</f>
        <v>http://www.pristavka.com/catalog/r_u_igrushki/ТоуR335/</v>
      </c>
      <c r="N4004" s="71">
        <v>8099</v>
      </c>
      <c r="O4004" s="66" t="s">
        <v>28</v>
      </c>
      <c r="P4004" s="82" t="s">
        <v>14821</v>
      </c>
      <c r="Q4004" s="84" t="s">
        <v>1297</v>
      </c>
      <c r="R4004" s="84" t="s">
        <v>1298</v>
      </c>
      <c r="S4004" s="84">
        <v>0.184</v>
      </c>
      <c r="T4004" s="82" t="s">
        <v>14707</v>
      </c>
      <c r="U4004" s="84" t="s">
        <v>3584</v>
      </c>
      <c r="V4004" s="54"/>
    </row>
    <row r="4005" spans="1:22" s="11" customFormat="1" ht="45" customHeight="1" x14ac:dyDescent="0.2">
      <c r="A4005" s="66" t="s">
        <v>14618</v>
      </c>
      <c r="B4005" s="66" t="s">
        <v>1155</v>
      </c>
      <c r="C4005" s="66" t="s">
        <v>14618</v>
      </c>
      <c r="D4005" s="66">
        <v>31468</v>
      </c>
      <c r="E4005" s="68" t="s">
        <v>14822</v>
      </c>
      <c r="F4005" s="66" t="s">
        <v>14823</v>
      </c>
      <c r="G4005" s="71">
        <v>13795</v>
      </c>
      <c r="H4005" s="73"/>
      <c r="I4005" s="75">
        <v>0.1</v>
      </c>
      <c r="J4005" s="77"/>
      <c r="K4005" s="66"/>
      <c r="L4005" s="66"/>
      <c r="M4005" s="79" t="str">
        <f>HYPERLINK("http://www.pristavka.com/catalog/r_u_igrushki/ТоуR20/")</f>
        <v>http://www.pristavka.com/catalog/r_u_igrushki/ТоуR20/</v>
      </c>
      <c r="N4005" s="71">
        <v>22999</v>
      </c>
      <c r="O4005" s="66" t="s">
        <v>27</v>
      </c>
      <c r="P4005" s="82" t="s">
        <v>14824</v>
      </c>
      <c r="Q4005" s="84" t="s">
        <v>1211</v>
      </c>
      <c r="R4005" s="84" t="s">
        <v>1212</v>
      </c>
      <c r="S4005" s="84">
        <v>0.64600000000000002</v>
      </c>
      <c r="T4005" s="82" t="s">
        <v>14656</v>
      </c>
      <c r="U4005" s="84" t="s">
        <v>3584</v>
      </c>
      <c r="V4005" s="54"/>
    </row>
    <row r="4006" spans="1:22" s="11" customFormat="1" ht="45" customHeight="1" x14ac:dyDescent="0.2">
      <c r="A4006" s="66" t="s">
        <v>14618</v>
      </c>
      <c r="B4006" s="66" t="s">
        <v>1155</v>
      </c>
      <c r="C4006" s="66" t="s">
        <v>14618</v>
      </c>
      <c r="D4006" s="66">
        <v>32166</v>
      </c>
      <c r="E4006" s="68" t="s">
        <v>14825</v>
      </c>
      <c r="F4006" s="66" t="s">
        <v>14826</v>
      </c>
      <c r="G4006" s="71">
        <v>13795</v>
      </c>
      <c r="H4006" s="73"/>
      <c r="I4006" s="75">
        <v>0.1</v>
      </c>
      <c r="J4006" s="77"/>
      <c r="K4006" s="66"/>
      <c r="L4006" s="66"/>
      <c r="M4006" s="79" t="str">
        <f>HYPERLINK("http://www.pristavka.com/catalog/r_u_igrushki/ТоуR21/")</f>
        <v>http://www.pristavka.com/catalog/r_u_igrushki/ТоуR21/</v>
      </c>
      <c r="N4006" s="71">
        <v>22999</v>
      </c>
      <c r="O4006" s="66" t="s">
        <v>27</v>
      </c>
      <c r="P4006" s="82" t="s">
        <v>14827</v>
      </c>
      <c r="Q4006" s="84" t="s">
        <v>1211</v>
      </c>
      <c r="R4006" s="84" t="s">
        <v>1212</v>
      </c>
      <c r="S4006" s="84">
        <v>0.66500000000000004</v>
      </c>
      <c r="T4006" s="82" t="s">
        <v>14791</v>
      </c>
      <c r="U4006" s="84" t="s">
        <v>3584</v>
      </c>
      <c r="V4006" s="54"/>
    </row>
    <row r="4007" spans="1:22" s="11" customFormat="1" ht="45" customHeight="1" x14ac:dyDescent="0.2">
      <c r="A4007" s="66" t="s">
        <v>14618</v>
      </c>
      <c r="B4007" s="66" t="s">
        <v>1155</v>
      </c>
      <c r="C4007" s="66" t="s">
        <v>14618</v>
      </c>
      <c r="D4007" s="66">
        <v>801310337165</v>
      </c>
      <c r="E4007" s="68" t="s">
        <v>14828</v>
      </c>
      <c r="F4007" s="66" t="s">
        <v>14829</v>
      </c>
      <c r="G4007" s="71">
        <v>31082</v>
      </c>
      <c r="H4007" s="73"/>
      <c r="I4007" s="75">
        <v>0.1</v>
      </c>
      <c r="J4007" s="77"/>
      <c r="K4007" s="66"/>
      <c r="L4007" s="66"/>
      <c r="M4007" s="79" t="str">
        <f>HYPERLINK("http://www.pristavka.com/catalog/r_u_igrushki/ТоуR250/")</f>
        <v>http://www.pristavka.com/catalog/r_u_igrushki/ТоуR250/</v>
      </c>
      <c r="N4007" s="71">
        <v>51899</v>
      </c>
      <c r="O4007" s="66" t="s">
        <v>27</v>
      </c>
      <c r="P4007" s="82" t="s">
        <v>14830</v>
      </c>
      <c r="Q4007" s="84" t="s">
        <v>7784</v>
      </c>
      <c r="R4007" s="84" t="s">
        <v>1212</v>
      </c>
      <c r="S4007" s="84">
        <v>2.16</v>
      </c>
      <c r="T4007" s="82" t="s">
        <v>14831</v>
      </c>
      <c r="U4007" s="84" t="s">
        <v>3584</v>
      </c>
      <c r="V4007" s="54"/>
    </row>
    <row r="4008" spans="1:22" s="11" customFormat="1" ht="45" customHeight="1" x14ac:dyDescent="0.2">
      <c r="A4008" s="66" t="s">
        <v>14618</v>
      </c>
      <c r="B4008" s="66" t="s">
        <v>1155</v>
      </c>
      <c r="C4008" s="66" t="s">
        <v>14618</v>
      </c>
      <c r="D4008" s="66">
        <v>35421</v>
      </c>
      <c r="E4008" s="68" t="s">
        <v>14832</v>
      </c>
      <c r="F4008" s="66" t="s">
        <v>14833</v>
      </c>
      <c r="G4008" s="71">
        <v>11029</v>
      </c>
      <c r="H4008" s="73"/>
      <c r="I4008" s="75">
        <v>0.1</v>
      </c>
      <c r="J4008" s="77"/>
      <c r="K4008" s="66"/>
      <c r="L4008" s="66"/>
      <c r="M4008" s="79" t="str">
        <f>HYPERLINK("http://www.pristavka.com/catalog/r_u_igrushki/ТоуR350/")</f>
        <v>http://www.pristavka.com/catalog/r_u_igrushki/ТоуR350/</v>
      </c>
      <c r="N4008" s="71">
        <v>18399</v>
      </c>
      <c r="O4008" s="66" t="s">
        <v>27</v>
      </c>
      <c r="P4008" s="82" t="s">
        <v>14834</v>
      </c>
      <c r="Q4008" s="84" t="s">
        <v>14622</v>
      </c>
      <c r="R4008" s="84" t="s">
        <v>1212</v>
      </c>
      <c r="S4008" s="84">
        <v>0.61399999999999999</v>
      </c>
      <c r="T4008" s="82" t="s">
        <v>14672</v>
      </c>
      <c r="U4008" s="84" t="s">
        <v>3584</v>
      </c>
      <c r="V4008" s="54"/>
    </row>
    <row r="4009" spans="1:22" s="11" customFormat="1" ht="45" customHeight="1" x14ac:dyDescent="0.2">
      <c r="A4009" s="66" t="s">
        <v>14618</v>
      </c>
      <c r="B4009" s="66" t="s">
        <v>1155</v>
      </c>
      <c r="C4009" s="66" t="s">
        <v>14618</v>
      </c>
      <c r="D4009" s="66">
        <v>30739</v>
      </c>
      <c r="E4009" s="68" t="s">
        <v>14835</v>
      </c>
      <c r="F4009" s="66" t="s">
        <v>14836</v>
      </c>
      <c r="G4009" s="71">
        <v>10338</v>
      </c>
      <c r="H4009" s="73"/>
      <c r="I4009" s="75">
        <v>0.1</v>
      </c>
      <c r="J4009" s="77"/>
      <c r="K4009" s="66"/>
      <c r="L4009" s="66"/>
      <c r="M4009" s="79" t="str">
        <f>HYPERLINK("http://www.pristavka.com/catalog/r_u_igrushki/ТоуR351/")</f>
        <v>http://www.pristavka.com/catalog/r_u_igrushki/ТоуR351/</v>
      </c>
      <c r="N4009" s="71">
        <v>17299</v>
      </c>
      <c r="O4009" s="66" t="s">
        <v>27</v>
      </c>
      <c r="P4009" s="82" t="s">
        <v>14837</v>
      </c>
      <c r="Q4009" s="84" t="s">
        <v>14622</v>
      </c>
      <c r="R4009" s="84" t="s">
        <v>1212</v>
      </c>
      <c r="S4009" s="84">
        <v>0.53500000000000003</v>
      </c>
      <c r="T4009" s="82" t="s">
        <v>14648</v>
      </c>
      <c r="U4009" s="84" t="s">
        <v>3584</v>
      </c>
      <c r="V4009" s="54"/>
    </row>
    <row r="4010" spans="1:22" s="11" customFormat="1" ht="45" customHeight="1" x14ac:dyDescent="0.2">
      <c r="A4010" s="66" t="s">
        <v>14618</v>
      </c>
      <c r="B4010" s="66" t="s">
        <v>1155</v>
      </c>
      <c r="C4010" s="66" t="s">
        <v>14618</v>
      </c>
      <c r="D4010" s="66">
        <v>801310333808</v>
      </c>
      <c r="E4010" s="68" t="s">
        <v>14838</v>
      </c>
      <c r="F4010" s="66" t="s">
        <v>14839</v>
      </c>
      <c r="G4010" s="71">
        <v>11029</v>
      </c>
      <c r="H4010" s="73"/>
      <c r="I4010" s="75">
        <v>0.1</v>
      </c>
      <c r="J4010" s="77"/>
      <c r="K4010" s="66"/>
      <c r="L4010" s="66"/>
      <c r="M4010" s="79" t="str">
        <f>HYPERLINK("http://www.pristavka.com/catalog/r_u_igrushki/ТоуR234/")</f>
        <v>http://www.pristavka.com/catalog/r_u_igrushki/ТоуR234/</v>
      </c>
      <c r="N4010" s="71">
        <v>18399</v>
      </c>
      <c r="O4010" s="66" t="s">
        <v>27</v>
      </c>
      <c r="P4010" s="82" t="s">
        <v>14840</v>
      </c>
      <c r="Q4010" s="84" t="s">
        <v>14622</v>
      </c>
      <c r="R4010" s="84" t="s">
        <v>1212</v>
      </c>
      <c r="S4010" s="84">
        <v>0.58199999999999996</v>
      </c>
      <c r="T4010" s="82" t="s">
        <v>14841</v>
      </c>
      <c r="U4010" s="84" t="s">
        <v>3584</v>
      </c>
      <c r="V4010" s="54"/>
    </row>
    <row r="4011" spans="1:22" s="11" customFormat="1" ht="45" customHeight="1" x14ac:dyDescent="0.2">
      <c r="A4011" s="66" t="s">
        <v>14618</v>
      </c>
      <c r="B4011" s="66" t="s">
        <v>1155</v>
      </c>
      <c r="C4011" s="66" t="s">
        <v>14618</v>
      </c>
      <c r="D4011" s="66">
        <v>801310973752</v>
      </c>
      <c r="E4011" s="68" t="s">
        <v>14842</v>
      </c>
      <c r="F4011" s="66" t="s">
        <v>14843</v>
      </c>
      <c r="G4011" s="71">
        <v>11029</v>
      </c>
      <c r="H4011" s="73"/>
      <c r="I4011" s="75">
        <v>0.1</v>
      </c>
      <c r="J4011" s="77"/>
      <c r="K4011" s="66"/>
      <c r="L4011" s="66"/>
      <c r="M4011" s="79" t="str">
        <f>HYPERLINK("http://www.pristavka.com/catalog/r_u_igrushki/ТоуR238/")</f>
        <v>http://www.pristavka.com/catalog/r_u_igrushki/ТоуR238/</v>
      </c>
      <c r="N4011" s="71">
        <v>18399</v>
      </c>
      <c r="O4011" s="66" t="s">
        <v>27</v>
      </c>
      <c r="P4011" s="82" t="s">
        <v>14844</v>
      </c>
      <c r="Q4011" s="84" t="s">
        <v>14622</v>
      </c>
      <c r="R4011" s="84" t="s">
        <v>1212</v>
      </c>
      <c r="S4011" s="84">
        <v>0.58799999999999997</v>
      </c>
      <c r="T4011" s="82" t="s">
        <v>14665</v>
      </c>
      <c r="U4011" s="84" t="s">
        <v>3584</v>
      </c>
      <c r="V4011" s="54"/>
    </row>
    <row r="4012" spans="1:22" s="11" customFormat="1" ht="45" customHeight="1" x14ac:dyDescent="0.2">
      <c r="A4012" s="66" t="s">
        <v>14618</v>
      </c>
      <c r="B4012" s="66" t="s">
        <v>1155</v>
      </c>
      <c r="C4012" s="66" t="s">
        <v>14618</v>
      </c>
      <c r="D4012" s="66">
        <v>801310995143</v>
      </c>
      <c r="E4012" s="68" t="s">
        <v>14845</v>
      </c>
      <c r="F4012" s="66" t="s">
        <v>14846</v>
      </c>
      <c r="G4012" s="71">
        <v>10338</v>
      </c>
      <c r="H4012" s="73"/>
      <c r="I4012" s="75">
        <v>0.1</v>
      </c>
      <c r="J4012" s="77"/>
      <c r="K4012" s="66"/>
      <c r="L4012" s="66"/>
      <c r="M4012" s="79" t="str">
        <f>HYPERLINK("http://www.pristavka.com/catalog/r_u_igrushki/ТоуR235/")</f>
        <v>http://www.pristavka.com/catalog/r_u_igrushki/ТоуR235/</v>
      </c>
      <c r="N4012" s="71">
        <v>17299</v>
      </c>
      <c r="O4012" s="66" t="s">
        <v>27</v>
      </c>
      <c r="P4012" s="82" t="s">
        <v>14847</v>
      </c>
      <c r="Q4012" s="84" t="s">
        <v>14622</v>
      </c>
      <c r="R4012" s="84" t="s">
        <v>1212</v>
      </c>
      <c r="S4012" s="84">
        <v>0.58499999999999996</v>
      </c>
      <c r="T4012" s="82" t="s">
        <v>14848</v>
      </c>
      <c r="U4012" s="84" t="s">
        <v>3584</v>
      </c>
      <c r="V4012" s="54"/>
    </row>
    <row r="4013" spans="1:22" s="11" customFormat="1" ht="45" customHeight="1" x14ac:dyDescent="0.2">
      <c r="A4013" s="66" t="s">
        <v>14618</v>
      </c>
      <c r="B4013" s="66" t="s">
        <v>1155</v>
      </c>
      <c r="C4013" s="66" t="s">
        <v>14618</v>
      </c>
      <c r="D4013" s="66">
        <v>35485</v>
      </c>
      <c r="E4013" s="68" t="s">
        <v>14849</v>
      </c>
      <c r="F4013" s="66" t="s">
        <v>14850</v>
      </c>
      <c r="G4013" s="71">
        <v>11029</v>
      </c>
      <c r="H4013" s="73"/>
      <c r="I4013" s="75">
        <v>0.1</v>
      </c>
      <c r="J4013" s="77"/>
      <c r="K4013" s="66"/>
      <c r="L4013" s="66"/>
      <c r="M4013" s="79" t="str">
        <f>HYPERLINK("http://www.pristavka.com/catalog/r_u_igrushki/ТоуR355/")</f>
        <v>http://www.pristavka.com/catalog/r_u_igrushki/ТоуR355/</v>
      </c>
      <c r="N4013" s="71">
        <v>18399</v>
      </c>
      <c r="O4013" s="66" t="s">
        <v>27</v>
      </c>
      <c r="P4013" s="82" t="s">
        <v>14851</v>
      </c>
      <c r="Q4013" s="84" t="s">
        <v>14622</v>
      </c>
      <c r="R4013" s="84" t="s">
        <v>1212</v>
      </c>
      <c r="S4013" s="84">
        <v>0.51</v>
      </c>
      <c r="T4013" s="82" t="s">
        <v>14665</v>
      </c>
      <c r="U4013" s="84" t="s">
        <v>3584</v>
      </c>
      <c r="V4013" s="54"/>
    </row>
    <row r="4014" spans="1:22" s="11" customFormat="1" ht="45" customHeight="1" x14ac:dyDescent="0.2">
      <c r="A4014" s="66" t="s">
        <v>14618</v>
      </c>
      <c r="B4014" s="66" t="s">
        <v>1155</v>
      </c>
      <c r="C4014" s="66" t="s">
        <v>14618</v>
      </c>
      <c r="D4014" s="66">
        <v>97603</v>
      </c>
      <c r="E4014" s="68" t="s">
        <v>14852</v>
      </c>
      <c r="F4014" s="66" t="s">
        <v>14853</v>
      </c>
      <c r="G4014" s="71">
        <v>10338</v>
      </c>
      <c r="H4014" s="73"/>
      <c r="I4014" s="75">
        <v>0.1</v>
      </c>
      <c r="J4014" s="77"/>
      <c r="K4014" s="66"/>
      <c r="L4014" s="66"/>
      <c r="M4014" s="79" t="str">
        <f>HYPERLINK("http://www.pristavka.com/catalog/r_u_igrushki/ТоуR126/")</f>
        <v>http://www.pristavka.com/catalog/r_u_igrushki/ТоуR126/</v>
      </c>
      <c r="N4014" s="71">
        <v>17299</v>
      </c>
      <c r="O4014" s="66" t="s">
        <v>27</v>
      </c>
      <c r="P4014" s="82" t="s">
        <v>14854</v>
      </c>
      <c r="Q4014" s="84" t="s">
        <v>14622</v>
      </c>
      <c r="R4014" s="84" t="s">
        <v>1212</v>
      </c>
      <c r="S4014" s="84">
        <v>0.57199999999999995</v>
      </c>
      <c r="T4014" s="82" t="s">
        <v>14665</v>
      </c>
      <c r="U4014" s="84" t="s">
        <v>3584</v>
      </c>
      <c r="V4014" s="54"/>
    </row>
    <row r="4015" spans="1:22" s="11" customFormat="1" ht="45" customHeight="1" x14ac:dyDescent="0.2">
      <c r="A4015" s="66" t="s">
        <v>14618</v>
      </c>
      <c r="B4015" s="66" t="s">
        <v>1155</v>
      </c>
      <c r="C4015" s="66" t="s">
        <v>14618</v>
      </c>
      <c r="D4015" s="66">
        <v>97168</v>
      </c>
      <c r="E4015" s="68" t="s">
        <v>14855</v>
      </c>
      <c r="F4015" s="66" t="s">
        <v>14856</v>
      </c>
      <c r="G4015" s="71">
        <v>11029</v>
      </c>
      <c r="H4015" s="73"/>
      <c r="I4015" s="75">
        <v>0.1</v>
      </c>
      <c r="J4015" s="77"/>
      <c r="K4015" s="66"/>
      <c r="L4015" s="66"/>
      <c r="M4015" s="79" t="str">
        <f>HYPERLINK("http://www.pristavka.com/catalog/r_u_igrushki/ТоуR123/")</f>
        <v>http://www.pristavka.com/catalog/r_u_igrushki/ТоуR123/</v>
      </c>
      <c r="N4015" s="71">
        <v>18399</v>
      </c>
      <c r="O4015" s="66" t="s">
        <v>27</v>
      </c>
      <c r="P4015" s="82" t="s">
        <v>14857</v>
      </c>
      <c r="Q4015" s="84" t="s">
        <v>14622</v>
      </c>
      <c r="R4015" s="84" t="s">
        <v>1212</v>
      </c>
      <c r="S4015" s="84">
        <v>0.6</v>
      </c>
      <c r="T4015" s="82" t="s">
        <v>14648</v>
      </c>
      <c r="U4015" s="84" t="s">
        <v>3584</v>
      </c>
      <c r="V4015" s="54"/>
    </row>
    <row r="4016" spans="1:22" s="11" customFormat="1" ht="45" customHeight="1" x14ac:dyDescent="0.2">
      <c r="A4016" s="66" t="s">
        <v>14618</v>
      </c>
      <c r="B4016" s="66" t="s">
        <v>1155</v>
      </c>
      <c r="C4016" s="66" t="s">
        <v>14618</v>
      </c>
      <c r="D4016" s="66">
        <v>99788</v>
      </c>
      <c r="E4016" s="68" t="s">
        <v>14858</v>
      </c>
      <c r="F4016" s="66" t="s">
        <v>14859</v>
      </c>
      <c r="G4016" s="71">
        <v>11029</v>
      </c>
      <c r="H4016" s="73"/>
      <c r="I4016" s="75">
        <v>0.1</v>
      </c>
      <c r="J4016" s="77"/>
      <c r="K4016" s="66"/>
      <c r="L4016" s="66"/>
      <c r="M4016" s="79" t="str">
        <f>HYPERLINK("http://www.pristavka.com/catalog/r_u_igrushki/ТоуR130/")</f>
        <v>http://www.pristavka.com/catalog/r_u_igrushki/ТоуR130/</v>
      </c>
      <c r="N4016" s="71">
        <v>18399</v>
      </c>
      <c r="O4016" s="66" t="s">
        <v>27</v>
      </c>
      <c r="P4016" s="82" t="s">
        <v>14860</v>
      </c>
      <c r="Q4016" s="84" t="s">
        <v>14622</v>
      </c>
      <c r="R4016" s="84" t="s">
        <v>1212</v>
      </c>
      <c r="S4016" s="84">
        <v>0.60699999999999998</v>
      </c>
      <c r="T4016" s="82" t="s">
        <v>14648</v>
      </c>
      <c r="U4016" s="84" t="s">
        <v>3584</v>
      </c>
      <c r="V4016" s="54"/>
    </row>
    <row r="4017" spans="1:22" s="11" customFormat="1" ht="45" customHeight="1" x14ac:dyDescent="0.2">
      <c r="A4017" s="66" t="s">
        <v>14618</v>
      </c>
      <c r="B4017" s="66" t="s">
        <v>1155</v>
      </c>
      <c r="C4017" s="66" t="s">
        <v>14618</v>
      </c>
      <c r="D4017" s="66">
        <v>32097</v>
      </c>
      <c r="E4017" s="68" t="s">
        <v>14861</v>
      </c>
      <c r="F4017" s="66" t="s">
        <v>14862</v>
      </c>
      <c r="G4017" s="71">
        <v>11029</v>
      </c>
      <c r="H4017" s="73"/>
      <c r="I4017" s="75">
        <v>0.1</v>
      </c>
      <c r="J4017" s="77"/>
      <c r="K4017" s="66"/>
      <c r="L4017" s="66"/>
      <c r="M4017" s="79" t="str">
        <f>HYPERLINK("http://www.pristavka.com/catalog/r_u_igrushki/ТоуR122/")</f>
        <v>http://www.pristavka.com/catalog/r_u_igrushki/ТоуR122/</v>
      </c>
      <c r="N4017" s="71">
        <v>18399</v>
      </c>
      <c r="O4017" s="66" t="s">
        <v>27</v>
      </c>
      <c r="P4017" s="82" t="s">
        <v>14863</v>
      </c>
      <c r="Q4017" s="84" t="s">
        <v>14622</v>
      </c>
      <c r="R4017" s="84" t="s">
        <v>1212</v>
      </c>
      <c r="S4017" s="84">
        <v>0.55500000000000005</v>
      </c>
      <c r="T4017" s="82" t="s">
        <v>14648</v>
      </c>
      <c r="U4017" s="84" t="s">
        <v>3584</v>
      </c>
      <c r="V4017" s="54"/>
    </row>
    <row r="4018" spans="1:22" s="11" customFormat="1" ht="45" customHeight="1" x14ac:dyDescent="0.2">
      <c r="A4018" s="66" t="s">
        <v>14618</v>
      </c>
      <c r="B4018" s="66" t="s">
        <v>1155</v>
      </c>
      <c r="C4018" s="66" t="s">
        <v>14618</v>
      </c>
      <c r="D4018" s="66">
        <v>801310307328</v>
      </c>
      <c r="E4018" s="68" t="s">
        <v>14864</v>
      </c>
      <c r="F4018" s="66" t="s">
        <v>14865</v>
      </c>
      <c r="G4018" s="71">
        <v>11029</v>
      </c>
      <c r="H4018" s="73"/>
      <c r="I4018" s="75">
        <v>0.1</v>
      </c>
      <c r="J4018" s="77"/>
      <c r="K4018" s="66"/>
      <c r="L4018" s="66"/>
      <c r="M4018" s="79" t="str">
        <f>HYPERLINK("http://www.pristavka.com/catalog/r_u_igrushki/ТоуR239/")</f>
        <v>http://www.pristavka.com/catalog/r_u_igrushki/ТоуR239/</v>
      </c>
      <c r="N4018" s="71">
        <v>18399</v>
      </c>
      <c r="O4018" s="66" t="s">
        <v>27</v>
      </c>
      <c r="P4018" s="82" t="s">
        <v>14866</v>
      </c>
      <c r="Q4018" s="84" t="s">
        <v>14622</v>
      </c>
      <c r="R4018" s="84" t="s">
        <v>1212</v>
      </c>
      <c r="S4018" s="84">
        <v>0.622</v>
      </c>
      <c r="T4018" s="82" t="s">
        <v>14841</v>
      </c>
      <c r="U4018" s="84" t="s">
        <v>3584</v>
      </c>
      <c r="V4018" s="54"/>
    </row>
    <row r="4019" spans="1:22" s="11" customFormat="1" ht="45" customHeight="1" x14ac:dyDescent="0.2">
      <c r="A4019" s="66" t="s">
        <v>14618</v>
      </c>
      <c r="B4019" s="66" t="s">
        <v>1155</v>
      </c>
      <c r="C4019" s="66" t="s">
        <v>14618</v>
      </c>
      <c r="D4019" s="66">
        <v>97042</v>
      </c>
      <c r="E4019" s="68" t="s">
        <v>14867</v>
      </c>
      <c r="F4019" s="66" t="s">
        <v>14868</v>
      </c>
      <c r="G4019" s="71">
        <v>4114</v>
      </c>
      <c r="H4019" s="73"/>
      <c r="I4019" s="75">
        <v>0.1</v>
      </c>
      <c r="J4019" s="77"/>
      <c r="K4019" s="66"/>
      <c r="L4019" s="66"/>
      <c r="M4019" s="79" t="str">
        <f>HYPERLINK("http://www.pristavka.com/catalog/r_u_igrushki/ТоуR326/")</f>
        <v>http://www.pristavka.com/catalog/r_u_igrushki/ТоуR326/</v>
      </c>
      <c r="N4019" s="71">
        <v>6899</v>
      </c>
      <c r="O4019" s="66" t="s">
        <v>27</v>
      </c>
      <c r="P4019" s="82" t="s">
        <v>14869</v>
      </c>
      <c r="Q4019" s="84" t="s">
        <v>14622</v>
      </c>
      <c r="R4019" s="84" t="s">
        <v>1212</v>
      </c>
      <c r="S4019" s="84">
        <v>0.17199999999999999</v>
      </c>
      <c r="T4019" s="82" t="s">
        <v>14707</v>
      </c>
      <c r="U4019" s="84" t="s">
        <v>3584</v>
      </c>
      <c r="V4019" s="54"/>
    </row>
    <row r="4020" spans="1:22" s="11" customFormat="1" ht="45" customHeight="1" x14ac:dyDescent="0.2">
      <c r="A4020" s="66" t="s">
        <v>14618</v>
      </c>
      <c r="B4020" s="66" t="s">
        <v>1155</v>
      </c>
      <c r="C4020" s="66" t="s">
        <v>14618</v>
      </c>
      <c r="D4020" s="66">
        <v>97206</v>
      </c>
      <c r="E4020" s="68" t="s">
        <v>14870</v>
      </c>
      <c r="F4020" s="66" t="s">
        <v>14871</v>
      </c>
      <c r="G4020" s="71">
        <v>4114</v>
      </c>
      <c r="H4020" s="73"/>
      <c r="I4020" s="75">
        <v>0.1</v>
      </c>
      <c r="J4020" s="77"/>
      <c r="K4020" s="66"/>
      <c r="L4020" s="66"/>
      <c r="M4020" s="79" t="str">
        <f>HYPERLINK("http://www.pristavka.com/catalog/r_u_igrushki/ТоуR354/")</f>
        <v>http://www.pristavka.com/catalog/r_u_igrushki/ТоуR354/</v>
      </c>
      <c r="N4020" s="71">
        <v>6899</v>
      </c>
      <c r="O4020" s="66" t="s">
        <v>27</v>
      </c>
      <c r="P4020" s="82" t="s">
        <v>14872</v>
      </c>
      <c r="Q4020" s="84" t="s">
        <v>14622</v>
      </c>
      <c r="R4020" s="84" t="s">
        <v>1212</v>
      </c>
      <c r="S4020" s="84">
        <v>0.17399999999999999</v>
      </c>
      <c r="T4020" s="82" t="s">
        <v>14707</v>
      </c>
      <c r="U4020" s="84" t="s">
        <v>3584</v>
      </c>
      <c r="V4020" s="54"/>
    </row>
    <row r="4021" spans="1:22" s="11" customFormat="1" ht="45" customHeight="1" x14ac:dyDescent="0.2">
      <c r="A4021" s="66" t="s">
        <v>14618</v>
      </c>
      <c r="B4021" s="66" t="s">
        <v>1155</v>
      </c>
      <c r="C4021" s="66" t="s">
        <v>14618</v>
      </c>
      <c r="D4021" s="66">
        <v>97188</v>
      </c>
      <c r="E4021" s="68" t="s">
        <v>14873</v>
      </c>
      <c r="F4021" s="66" t="s">
        <v>14874</v>
      </c>
      <c r="G4021" s="71">
        <v>4114</v>
      </c>
      <c r="H4021" s="73"/>
      <c r="I4021" s="75">
        <v>0.1</v>
      </c>
      <c r="J4021" s="77"/>
      <c r="K4021" s="66"/>
      <c r="L4021" s="66"/>
      <c r="M4021" s="79" t="str">
        <f>HYPERLINK("http://www.pristavka.com/catalog/r_u_igrushki/ТоуR327/")</f>
        <v>http://www.pristavka.com/catalog/r_u_igrushki/ТоуR327/</v>
      </c>
      <c r="N4021" s="71">
        <v>6899</v>
      </c>
      <c r="O4021" s="66" t="s">
        <v>27</v>
      </c>
      <c r="P4021" s="82" t="s">
        <v>14875</v>
      </c>
      <c r="Q4021" s="84" t="s">
        <v>14622</v>
      </c>
      <c r="R4021" s="84" t="s">
        <v>1212</v>
      </c>
      <c r="S4021" s="84">
        <v>0.182</v>
      </c>
      <c r="T4021" s="82" t="s">
        <v>14707</v>
      </c>
      <c r="U4021" s="84" t="s">
        <v>3584</v>
      </c>
      <c r="V4021" s="54"/>
    </row>
    <row r="4022" spans="1:22" s="11" customFormat="1" ht="45" customHeight="1" x14ac:dyDescent="0.2">
      <c r="A4022" s="66" t="s">
        <v>14618</v>
      </c>
      <c r="B4022" s="66" t="s">
        <v>1155</v>
      </c>
      <c r="C4022" s="66" t="s">
        <v>14618</v>
      </c>
      <c r="D4022" s="66">
        <v>34419</v>
      </c>
      <c r="E4022" s="68" t="s">
        <v>14876</v>
      </c>
      <c r="F4022" s="66" t="s">
        <v>14877</v>
      </c>
      <c r="G4022" s="71">
        <v>4114</v>
      </c>
      <c r="H4022" s="73"/>
      <c r="I4022" s="75">
        <v>0.1</v>
      </c>
      <c r="J4022" s="77"/>
      <c r="K4022" s="66"/>
      <c r="L4022" s="66"/>
      <c r="M4022" s="79" t="str">
        <f>HYPERLINK("http://www.pristavka.com/catalog/r_u_igrushki/ТоуR353/")</f>
        <v>http://www.pristavka.com/catalog/r_u_igrushki/ТоуR353/</v>
      </c>
      <c r="N4022" s="71">
        <v>6899</v>
      </c>
      <c r="O4022" s="66" t="s">
        <v>27</v>
      </c>
      <c r="P4022" s="82" t="s">
        <v>14878</v>
      </c>
      <c r="Q4022" s="84" t="s">
        <v>14622</v>
      </c>
      <c r="R4022" s="84" t="s">
        <v>1212</v>
      </c>
      <c r="S4022" s="84">
        <v>0.16</v>
      </c>
      <c r="T4022" s="82" t="s">
        <v>14721</v>
      </c>
      <c r="U4022" s="84" t="s">
        <v>3584</v>
      </c>
      <c r="V4022" s="54"/>
    </row>
    <row r="4023" spans="1:22" s="11" customFormat="1" ht="45" customHeight="1" x14ac:dyDescent="0.2">
      <c r="A4023" s="66" t="s">
        <v>14618</v>
      </c>
      <c r="B4023" s="66" t="s">
        <v>1155</v>
      </c>
      <c r="C4023" s="66" t="s">
        <v>14618</v>
      </c>
      <c r="D4023" s="66">
        <v>801310973462</v>
      </c>
      <c r="E4023" s="68" t="s">
        <v>14879</v>
      </c>
      <c r="F4023" s="66" t="s">
        <v>14880</v>
      </c>
      <c r="G4023" s="71">
        <v>4114</v>
      </c>
      <c r="H4023" s="73"/>
      <c r="I4023" s="75">
        <v>0.1</v>
      </c>
      <c r="J4023" s="77"/>
      <c r="K4023" s="66"/>
      <c r="L4023" s="66"/>
      <c r="M4023" s="79" t="str">
        <f>HYPERLINK("http://www.pristavka.com/catalog/r_u_igrushki/ТоуR225/")</f>
        <v>http://www.pristavka.com/catalog/r_u_igrushki/ТоуR225/</v>
      </c>
      <c r="N4023" s="71">
        <v>6899</v>
      </c>
      <c r="O4023" s="66" t="s">
        <v>27</v>
      </c>
      <c r="P4023" s="82" t="s">
        <v>14881</v>
      </c>
      <c r="Q4023" s="84" t="s">
        <v>14622</v>
      </c>
      <c r="R4023" s="84" t="s">
        <v>1212</v>
      </c>
      <c r="S4023" s="84">
        <v>0.18</v>
      </c>
      <c r="T4023" s="82" t="s">
        <v>14882</v>
      </c>
      <c r="U4023" s="84" t="s">
        <v>3584</v>
      </c>
      <c r="V4023" s="54"/>
    </row>
    <row r="4024" spans="1:22" s="11" customFormat="1" ht="45" customHeight="1" x14ac:dyDescent="0.2">
      <c r="A4024" s="66" t="s">
        <v>14618</v>
      </c>
      <c r="B4024" s="66" t="s">
        <v>1155</v>
      </c>
      <c r="C4024" s="66" t="s">
        <v>14618</v>
      </c>
      <c r="D4024" s="66">
        <v>801310995921</v>
      </c>
      <c r="E4024" s="68" t="s">
        <v>14883</v>
      </c>
      <c r="F4024" s="66" t="s">
        <v>14884</v>
      </c>
      <c r="G4024" s="71">
        <v>4114</v>
      </c>
      <c r="H4024" s="73"/>
      <c r="I4024" s="75">
        <v>0.1</v>
      </c>
      <c r="J4024" s="77"/>
      <c r="K4024" s="66"/>
      <c r="L4024" s="66"/>
      <c r="M4024" s="79" t="str">
        <f>HYPERLINK("http://www.pristavka.com/catalog/r_u_igrushki/ТоуR228/")</f>
        <v>http://www.pristavka.com/catalog/r_u_igrushki/ТоуR228/</v>
      </c>
      <c r="N4024" s="71">
        <v>6899</v>
      </c>
      <c r="O4024" s="66" t="s">
        <v>27</v>
      </c>
      <c r="P4024" s="82" t="s">
        <v>14885</v>
      </c>
      <c r="Q4024" s="84" t="s">
        <v>14622</v>
      </c>
      <c r="R4024" s="84" t="s">
        <v>1212</v>
      </c>
      <c r="S4024" s="84">
        <v>0.17899999999999999</v>
      </c>
      <c r="T4024" s="82" t="s">
        <v>14721</v>
      </c>
      <c r="U4024" s="84" t="s">
        <v>3584</v>
      </c>
      <c r="V4024" s="54"/>
    </row>
    <row r="4025" spans="1:22" s="11" customFormat="1" ht="45" customHeight="1" x14ac:dyDescent="0.2">
      <c r="A4025" s="66" t="s">
        <v>14618</v>
      </c>
      <c r="B4025" s="66" t="s">
        <v>1155</v>
      </c>
      <c r="C4025" s="66" t="s">
        <v>14618</v>
      </c>
      <c r="D4025" s="66">
        <v>801310336663</v>
      </c>
      <c r="E4025" s="68" t="s">
        <v>14886</v>
      </c>
      <c r="F4025" s="66" t="s">
        <v>14887</v>
      </c>
      <c r="G4025" s="71">
        <v>4316</v>
      </c>
      <c r="H4025" s="73"/>
      <c r="I4025" s="75">
        <v>0.1</v>
      </c>
      <c r="J4025" s="77"/>
      <c r="K4025" s="66"/>
      <c r="L4025" s="66"/>
      <c r="M4025" s="79" t="str">
        <f>HYPERLINK("http://www.pristavka.com/catalog/r_u_igrushki/ТоуR222/")</f>
        <v>http://www.pristavka.com/catalog/r_u_igrushki/ТоуR222/</v>
      </c>
      <c r="N4025" s="71">
        <v>7199</v>
      </c>
      <c r="O4025" s="66" t="s">
        <v>27</v>
      </c>
      <c r="P4025" s="82" t="s">
        <v>14888</v>
      </c>
      <c r="Q4025" s="84" t="s">
        <v>14622</v>
      </c>
      <c r="R4025" s="84" t="s">
        <v>1212</v>
      </c>
      <c r="S4025" s="84">
        <v>0.24</v>
      </c>
      <c r="T4025" s="82" t="s">
        <v>14721</v>
      </c>
      <c r="U4025" s="84" t="s">
        <v>3584</v>
      </c>
      <c r="V4025" s="54"/>
    </row>
    <row r="4026" spans="1:22" s="11" customFormat="1" ht="45" customHeight="1" x14ac:dyDescent="0.2">
      <c r="A4026" s="66" t="s">
        <v>14618</v>
      </c>
      <c r="B4026" s="66" t="s">
        <v>1155</v>
      </c>
      <c r="C4026" s="66" t="s">
        <v>14618</v>
      </c>
      <c r="D4026" s="66">
        <v>97384</v>
      </c>
      <c r="E4026" s="68" t="s">
        <v>14889</v>
      </c>
      <c r="F4026" s="66" t="s">
        <v>14890</v>
      </c>
      <c r="G4026" s="71">
        <v>4114</v>
      </c>
      <c r="H4026" s="73"/>
      <c r="I4026" s="75">
        <v>0.1</v>
      </c>
      <c r="J4026" s="77"/>
      <c r="K4026" s="66"/>
      <c r="L4026" s="66"/>
      <c r="M4026" s="79" t="str">
        <f>HYPERLINK("http://www.pristavka.com/catalog/r_u_igrushki/ТоуR328/")</f>
        <v>http://www.pristavka.com/catalog/r_u_igrushki/ТоуR328/</v>
      </c>
      <c r="N4026" s="71">
        <v>6899</v>
      </c>
      <c r="O4026" s="66" t="s">
        <v>27</v>
      </c>
      <c r="P4026" s="82" t="s">
        <v>14891</v>
      </c>
      <c r="Q4026" s="84" t="s">
        <v>14622</v>
      </c>
      <c r="R4026" s="84" t="s">
        <v>1212</v>
      </c>
      <c r="S4026" s="84">
        <v>0.19400000000000001</v>
      </c>
      <c r="T4026" s="82" t="s">
        <v>14707</v>
      </c>
      <c r="U4026" s="84" t="s">
        <v>3584</v>
      </c>
      <c r="V4026" s="54"/>
    </row>
    <row r="4027" spans="1:22" s="11" customFormat="1" ht="45" customHeight="1" x14ac:dyDescent="0.2">
      <c r="A4027" s="66" t="s">
        <v>14618</v>
      </c>
      <c r="B4027" s="66" t="s">
        <v>1155</v>
      </c>
      <c r="C4027" s="66" t="s">
        <v>14618</v>
      </c>
      <c r="D4027" s="66">
        <v>801310344491</v>
      </c>
      <c r="E4027" s="68" t="s">
        <v>14892</v>
      </c>
      <c r="F4027" s="66" t="s">
        <v>14893</v>
      </c>
      <c r="G4027" s="71">
        <v>4114</v>
      </c>
      <c r="H4027" s="73"/>
      <c r="I4027" s="75">
        <v>0.1</v>
      </c>
      <c r="J4027" s="77"/>
      <c r="K4027" s="66"/>
      <c r="L4027" s="66"/>
      <c r="M4027" s="79" t="str">
        <f>HYPERLINK("http://www.pristavka.com/catalog/r_u_igrushki/ТоуR221/")</f>
        <v>http://www.pristavka.com/catalog/r_u_igrushki/ТоуR221/</v>
      </c>
      <c r="N4027" s="71">
        <v>6899</v>
      </c>
      <c r="O4027" s="66" t="s">
        <v>28</v>
      </c>
      <c r="P4027" s="82" t="s">
        <v>14894</v>
      </c>
      <c r="Q4027" s="84" t="s">
        <v>14622</v>
      </c>
      <c r="R4027" s="84" t="s">
        <v>1212</v>
      </c>
      <c r="S4027" s="84">
        <v>0.19400000000000001</v>
      </c>
      <c r="T4027" s="82" t="s">
        <v>14707</v>
      </c>
      <c r="U4027" s="84" t="s">
        <v>3584</v>
      </c>
      <c r="V4027" s="54"/>
    </row>
    <row r="4028" spans="1:22" s="11" customFormat="1" ht="45" customHeight="1" x14ac:dyDescent="0.2">
      <c r="A4028" s="66" t="s">
        <v>14618</v>
      </c>
      <c r="B4028" s="66" t="s">
        <v>1155</v>
      </c>
      <c r="C4028" s="66" t="s">
        <v>14618</v>
      </c>
      <c r="D4028" s="66">
        <v>97140</v>
      </c>
      <c r="E4028" s="68" t="s">
        <v>14895</v>
      </c>
      <c r="F4028" s="66" t="s">
        <v>14896</v>
      </c>
      <c r="G4028" s="71">
        <v>4114</v>
      </c>
      <c r="H4028" s="73"/>
      <c r="I4028" s="75">
        <v>0.1</v>
      </c>
      <c r="J4028" s="77"/>
      <c r="K4028" s="66"/>
      <c r="L4028" s="66"/>
      <c r="M4028" s="79" t="str">
        <f>HYPERLINK("http://www.pristavka.com/catalog/r_u_igrushki/ТоуR329/")</f>
        <v>http://www.pristavka.com/catalog/r_u_igrushki/ТоуR329/</v>
      </c>
      <c r="N4028" s="71">
        <v>6899</v>
      </c>
      <c r="O4028" s="66" t="s">
        <v>27</v>
      </c>
      <c r="P4028" s="82" t="s">
        <v>14897</v>
      </c>
      <c r="Q4028" s="84" t="s">
        <v>14622</v>
      </c>
      <c r="R4028" s="84" t="s">
        <v>1212</v>
      </c>
      <c r="S4028" s="84">
        <v>0.18</v>
      </c>
      <c r="T4028" s="82" t="s">
        <v>14721</v>
      </c>
      <c r="U4028" s="84" t="s">
        <v>3584</v>
      </c>
      <c r="V4028" s="54"/>
    </row>
    <row r="4029" spans="1:22" s="11" customFormat="1" ht="45" customHeight="1" x14ac:dyDescent="0.2">
      <c r="A4029" s="66" t="s">
        <v>14618</v>
      </c>
      <c r="B4029" s="66" t="s">
        <v>1155</v>
      </c>
      <c r="C4029" s="66" t="s">
        <v>14618</v>
      </c>
      <c r="D4029" s="66">
        <v>97184</v>
      </c>
      <c r="E4029" s="68" t="s">
        <v>14898</v>
      </c>
      <c r="F4029" s="66" t="s">
        <v>14899</v>
      </c>
      <c r="G4029" s="71">
        <v>4114</v>
      </c>
      <c r="H4029" s="73"/>
      <c r="I4029" s="75">
        <v>0.1</v>
      </c>
      <c r="J4029" s="77"/>
      <c r="K4029" s="66"/>
      <c r="L4029" s="66"/>
      <c r="M4029" s="79" t="str">
        <f>HYPERLINK("http://www.pristavka.com/catalog/r_u_igrushki/ТоуR109/")</f>
        <v>http://www.pristavka.com/catalog/r_u_igrushki/ТоуR109/</v>
      </c>
      <c r="N4029" s="71">
        <v>6899</v>
      </c>
      <c r="O4029" s="66" t="s">
        <v>27</v>
      </c>
      <c r="P4029" s="82" t="s">
        <v>14900</v>
      </c>
      <c r="Q4029" s="84" t="s">
        <v>14622</v>
      </c>
      <c r="R4029" s="84" t="s">
        <v>1212</v>
      </c>
      <c r="S4029" s="84">
        <v>0.17</v>
      </c>
      <c r="T4029" s="82" t="s">
        <v>14707</v>
      </c>
      <c r="U4029" s="84" t="s">
        <v>3584</v>
      </c>
      <c r="V4029" s="54"/>
    </row>
    <row r="4030" spans="1:22" s="11" customFormat="1" ht="45" customHeight="1" x14ac:dyDescent="0.2">
      <c r="A4030" s="66" t="s">
        <v>14618</v>
      </c>
      <c r="B4030" s="66" t="s">
        <v>1155</v>
      </c>
      <c r="C4030" s="66" t="s">
        <v>14618</v>
      </c>
      <c r="D4030" s="66">
        <v>34249</v>
      </c>
      <c r="E4030" s="68" t="s">
        <v>14901</v>
      </c>
      <c r="F4030" s="66" t="s">
        <v>14902</v>
      </c>
      <c r="G4030" s="71">
        <v>7572</v>
      </c>
      <c r="H4030" s="73"/>
      <c r="I4030" s="75">
        <v>0.1</v>
      </c>
      <c r="J4030" s="77"/>
      <c r="K4030" s="66"/>
      <c r="L4030" s="66"/>
      <c r="M4030" s="79" t="str">
        <f>HYPERLINK("http://www.pristavka.com/catalog/r_u_igrushki/ТоуR348/")</f>
        <v>http://www.pristavka.com/catalog/r_u_igrushki/ТоуR348/</v>
      </c>
      <c r="N4030" s="71">
        <v>12699</v>
      </c>
      <c r="O4030" s="66" t="s">
        <v>27</v>
      </c>
      <c r="P4030" s="82" t="s">
        <v>14903</v>
      </c>
      <c r="Q4030" s="84" t="s">
        <v>14622</v>
      </c>
      <c r="R4030" s="84" t="s">
        <v>1212</v>
      </c>
      <c r="S4030" s="84">
        <v>0.34799999999999998</v>
      </c>
      <c r="T4030" s="82" t="s">
        <v>14904</v>
      </c>
      <c r="U4030" s="84" t="s">
        <v>3584</v>
      </c>
      <c r="V4030" s="54"/>
    </row>
    <row r="4031" spans="1:22" s="11" customFormat="1" ht="45" customHeight="1" x14ac:dyDescent="0.2">
      <c r="A4031" s="66" t="s">
        <v>14618</v>
      </c>
      <c r="B4031" s="66" t="s">
        <v>1155</v>
      </c>
      <c r="C4031" s="66" t="s">
        <v>14618</v>
      </c>
      <c r="D4031" s="66">
        <v>98304</v>
      </c>
      <c r="E4031" s="68" t="s">
        <v>14905</v>
      </c>
      <c r="F4031" s="66" t="s">
        <v>14906</v>
      </c>
      <c r="G4031" s="71">
        <v>4114</v>
      </c>
      <c r="H4031" s="73"/>
      <c r="I4031" s="75">
        <v>0.1</v>
      </c>
      <c r="J4031" s="77"/>
      <c r="K4031" s="66"/>
      <c r="L4031" s="66"/>
      <c r="M4031" s="79" t="str">
        <f>HYPERLINK("http://www.pristavka.com/catalog/r_u_igrushki/ТоуR179/")</f>
        <v>http://www.pristavka.com/catalog/r_u_igrushki/ТоуR179/</v>
      </c>
      <c r="N4031" s="71">
        <v>6899</v>
      </c>
      <c r="O4031" s="66" t="s">
        <v>27</v>
      </c>
      <c r="P4031" s="82" t="s">
        <v>14907</v>
      </c>
      <c r="Q4031" s="84" t="s">
        <v>14622</v>
      </c>
      <c r="R4031" s="84" t="s">
        <v>1212</v>
      </c>
      <c r="S4031" s="84">
        <v>0.17599999999999999</v>
      </c>
      <c r="T4031" s="82" t="s">
        <v>14707</v>
      </c>
      <c r="U4031" s="84" t="s">
        <v>3584</v>
      </c>
      <c r="V4031" s="54"/>
    </row>
    <row r="4032" spans="1:22" s="11" customFormat="1" ht="45" customHeight="1" x14ac:dyDescent="0.2">
      <c r="A4032" s="66" t="s">
        <v>14618</v>
      </c>
      <c r="B4032" s="66" t="s">
        <v>1155</v>
      </c>
      <c r="C4032" s="66" t="s">
        <v>14618</v>
      </c>
      <c r="D4032" s="66">
        <v>99519</v>
      </c>
      <c r="E4032" s="68" t="s">
        <v>14908</v>
      </c>
      <c r="F4032" s="66" t="s">
        <v>14909</v>
      </c>
      <c r="G4032" s="71">
        <v>4114</v>
      </c>
      <c r="H4032" s="73"/>
      <c r="I4032" s="75">
        <v>0.1</v>
      </c>
      <c r="J4032" s="77"/>
      <c r="K4032" s="66"/>
      <c r="L4032" s="66"/>
      <c r="M4032" s="79" t="str">
        <f>HYPERLINK("http://www.pristavka.com/catalog/r_u_igrushki/ТоуR113/")</f>
        <v>http://www.pristavka.com/catalog/r_u_igrushki/ТоуR113/</v>
      </c>
      <c r="N4032" s="71">
        <v>6899</v>
      </c>
      <c r="O4032" s="66" t="s">
        <v>27</v>
      </c>
      <c r="P4032" s="82" t="s">
        <v>14910</v>
      </c>
      <c r="Q4032" s="84" t="s">
        <v>14622</v>
      </c>
      <c r="R4032" s="84" t="s">
        <v>1212</v>
      </c>
      <c r="S4032" s="84">
        <v>0.17799999999999999</v>
      </c>
      <c r="T4032" s="82" t="s">
        <v>14707</v>
      </c>
      <c r="U4032" s="84" t="s">
        <v>3584</v>
      </c>
      <c r="V4032" s="54"/>
    </row>
    <row r="4033" spans="1:22" s="11" customFormat="1" ht="45" customHeight="1" x14ac:dyDescent="0.2">
      <c r="A4033" s="66" t="s">
        <v>14618</v>
      </c>
      <c r="B4033" s="66" t="s">
        <v>1155</v>
      </c>
      <c r="C4033" s="66" t="s">
        <v>14618</v>
      </c>
      <c r="D4033" s="66">
        <v>97214</v>
      </c>
      <c r="E4033" s="68" t="s">
        <v>14911</v>
      </c>
      <c r="F4033" s="66" t="s">
        <v>14912</v>
      </c>
      <c r="G4033" s="71">
        <v>4114</v>
      </c>
      <c r="H4033" s="73"/>
      <c r="I4033" s="75">
        <v>0.1</v>
      </c>
      <c r="J4033" s="77"/>
      <c r="K4033" s="66"/>
      <c r="L4033" s="66"/>
      <c r="M4033" s="79" t="str">
        <f>HYPERLINK("http://www.pristavka.com/catalog/r_u_igrushki/ТоуR112/")</f>
        <v>http://www.pristavka.com/catalog/r_u_igrushki/ТоуR112/</v>
      </c>
      <c r="N4033" s="71">
        <v>6899</v>
      </c>
      <c r="O4033" s="66" t="s">
        <v>27</v>
      </c>
      <c r="P4033" s="82" t="s">
        <v>14913</v>
      </c>
      <c r="Q4033" s="84" t="s">
        <v>14622</v>
      </c>
      <c r="R4033" s="84" t="s">
        <v>1212</v>
      </c>
      <c r="S4033" s="84">
        <v>0.17100000000000001</v>
      </c>
      <c r="T4033" s="82" t="s">
        <v>14707</v>
      </c>
      <c r="U4033" s="84" t="s">
        <v>3584</v>
      </c>
      <c r="V4033" s="54"/>
    </row>
    <row r="4034" spans="1:22" s="11" customFormat="1" ht="45" customHeight="1" x14ac:dyDescent="0.2">
      <c r="A4034" s="66" t="s">
        <v>14618</v>
      </c>
      <c r="B4034" s="66" t="s">
        <v>1155</v>
      </c>
      <c r="C4034" s="66" t="s">
        <v>14618</v>
      </c>
      <c r="D4034" s="66">
        <v>98300</v>
      </c>
      <c r="E4034" s="68" t="s">
        <v>14914</v>
      </c>
      <c r="F4034" s="66" t="s">
        <v>14915</v>
      </c>
      <c r="G4034" s="71">
        <v>4114</v>
      </c>
      <c r="H4034" s="73"/>
      <c r="I4034" s="75">
        <v>0.1</v>
      </c>
      <c r="J4034" s="77"/>
      <c r="K4034" s="66"/>
      <c r="L4034" s="66"/>
      <c r="M4034" s="79" t="str">
        <f>HYPERLINK("http://www.pristavka.com/catalog/r_u_igrushki/ТоуR180/")</f>
        <v>http://www.pristavka.com/catalog/r_u_igrushki/ТоуR180/</v>
      </c>
      <c r="N4034" s="71">
        <v>6899</v>
      </c>
      <c r="O4034" s="66" t="s">
        <v>27</v>
      </c>
      <c r="P4034" s="82" t="s">
        <v>14916</v>
      </c>
      <c r="Q4034" s="84" t="s">
        <v>14622</v>
      </c>
      <c r="R4034" s="84" t="s">
        <v>1212</v>
      </c>
      <c r="S4034" s="84">
        <v>0.18099999999999999</v>
      </c>
      <c r="T4034" s="82" t="s">
        <v>14707</v>
      </c>
      <c r="U4034" s="84" t="s">
        <v>3584</v>
      </c>
      <c r="V4034" s="54"/>
    </row>
    <row r="4035" spans="1:22" s="11" customFormat="1" ht="45" customHeight="1" x14ac:dyDescent="0.2">
      <c r="A4035" s="66" t="s">
        <v>14618</v>
      </c>
      <c r="B4035" s="66" t="s">
        <v>1155</v>
      </c>
      <c r="C4035" s="66" t="s">
        <v>14618</v>
      </c>
      <c r="D4035" s="66">
        <v>30763</v>
      </c>
      <c r="E4035" s="68" t="s">
        <v>14917</v>
      </c>
      <c r="F4035" s="66" t="s">
        <v>14918</v>
      </c>
      <c r="G4035" s="71">
        <v>4114</v>
      </c>
      <c r="H4035" s="73"/>
      <c r="I4035" s="75">
        <v>0.1</v>
      </c>
      <c r="J4035" s="77"/>
      <c r="K4035" s="66"/>
      <c r="L4035" s="66"/>
      <c r="M4035" s="79" t="str">
        <f>HYPERLINK("http://www.pristavka.com/catalog/r_u_igrushki/ТоуR107/")</f>
        <v>http://www.pristavka.com/catalog/r_u_igrushki/ТоуR107/</v>
      </c>
      <c r="N4035" s="71">
        <v>6899</v>
      </c>
      <c r="O4035" s="66" t="s">
        <v>27</v>
      </c>
      <c r="P4035" s="82" t="s">
        <v>14919</v>
      </c>
      <c r="Q4035" s="84" t="s">
        <v>14622</v>
      </c>
      <c r="R4035" s="84" t="s">
        <v>1212</v>
      </c>
      <c r="S4035" s="84">
        <v>0.16700000000000001</v>
      </c>
      <c r="T4035" s="82" t="s">
        <v>14707</v>
      </c>
      <c r="U4035" s="84" t="s">
        <v>3584</v>
      </c>
      <c r="V4035" s="54"/>
    </row>
    <row r="4036" spans="1:22" s="11" customFormat="1" ht="45" customHeight="1" x14ac:dyDescent="0.2">
      <c r="A4036" s="66" t="s">
        <v>14618</v>
      </c>
      <c r="B4036" s="66" t="s">
        <v>1155</v>
      </c>
      <c r="C4036" s="66" t="s">
        <v>14618</v>
      </c>
      <c r="D4036" s="66">
        <v>31442</v>
      </c>
      <c r="E4036" s="68" t="s">
        <v>14920</v>
      </c>
      <c r="F4036" s="66" t="s">
        <v>14921</v>
      </c>
      <c r="G4036" s="71">
        <v>4114</v>
      </c>
      <c r="H4036" s="73"/>
      <c r="I4036" s="75">
        <v>0.1</v>
      </c>
      <c r="J4036" s="77"/>
      <c r="K4036" s="66"/>
      <c r="L4036" s="66"/>
      <c r="M4036" s="79" t="str">
        <f>HYPERLINK("http://www.pristavka.com/catalog/r_u_igrushki/ТоуR106/")</f>
        <v>http://www.pristavka.com/catalog/r_u_igrushki/ТоуR106/</v>
      </c>
      <c r="N4036" s="71">
        <v>6899</v>
      </c>
      <c r="O4036" s="66" t="s">
        <v>27</v>
      </c>
      <c r="P4036" s="82" t="s">
        <v>14922</v>
      </c>
      <c r="Q4036" s="84" t="s">
        <v>14622</v>
      </c>
      <c r="R4036" s="84" t="s">
        <v>1212</v>
      </c>
      <c r="S4036" s="84">
        <v>0.16200000000000001</v>
      </c>
      <c r="T4036" s="82" t="s">
        <v>14707</v>
      </c>
      <c r="U4036" s="84" t="s">
        <v>3584</v>
      </c>
      <c r="V4036" s="54"/>
    </row>
    <row r="4037" spans="1:22" s="11" customFormat="1" ht="45" customHeight="1" x14ac:dyDescent="0.2">
      <c r="A4037" s="66" t="s">
        <v>14618</v>
      </c>
      <c r="B4037" s="66" t="s">
        <v>1155</v>
      </c>
      <c r="C4037" s="66" t="s">
        <v>14618</v>
      </c>
      <c r="D4037" s="66">
        <v>98377</v>
      </c>
      <c r="E4037" s="68" t="s">
        <v>14923</v>
      </c>
      <c r="F4037" s="66" t="s">
        <v>14924</v>
      </c>
      <c r="G4037" s="71">
        <v>4114</v>
      </c>
      <c r="H4037" s="73"/>
      <c r="I4037" s="75">
        <v>0.1</v>
      </c>
      <c r="J4037" s="77"/>
      <c r="K4037" s="66"/>
      <c r="L4037" s="66"/>
      <c r="M4037" s="79" t="str">
        <f>HYPERLINK("http://www.pristavka.com/catalog/r_u_igrushki/ТоуR118/")</f>
        <v>http://www.pristavka.com/catalog/r_u_igrushki/ТоуR118/</v>
      </c>
      <c r="N4037" s="71">
        <v>6899</v>
      </c>
      <c r="O4037" s="66" t="s">
        <v>27</v>
      </c>
      <c r="P4037" s="82" t="s">
        <v>14925</v>
      </c>
      <c r="Q4037" s="84" t="s">
        <v>14622</v>
      </c>
      <c r="R4037" s="84" t="s">
        <v>1212</v>
      </c>
      <c r="S4037" s="84">
        <v>0.16200000000000001</v>
      </c>
      <c r="T4037" s="82" t="s">
        <v>14707</v>
      </c>
      <c r="U4037" s="84" t="s">
        <v>3584</v>
      </c>
      <c r="V4037" s="54"/>
    </row>
    <row r="4038" spans="1:22" s="11" customFormat="1" ht="45" customHeight="1" x14ac:dyDescent="0.2">
      <c r="A4038" s="66" t="s">
        <v>14618</v>
      </c>
      <c r="B4038" s="66" t="s">
        <v>1155</v>
      </c>
      <c r="C4038" s="66" t="s">
        <v>14618</v>
      </c>
      <c r="D4038" s="66">
        <v>31029</v>
      </c>
      <c r="E4038" s="68" t="s">
        <v>14926</v>
      </c>
      <c r="F4038" s="66" t="s">
        <v>14927</v>
      </c>
      <c r="G4038" s="71">
        <v>4114</v>
      </c>
      <c r="H4038" s="73"/>
      <c r="I4038" s="75">
        <v>0.1</v>
      </c>
      <c r="J4038" s="77"/>
      <c r="K4038" s="66"/>
      <c r="L4038" s="66"/>
      <c r="M4038" s="79" t="str">
        <f>HYPERLINK("http://www.pristavka.com/catalog/r_u_igrushki/ТоуR182/")</f>
        <v>http://www.pristavka.com/catalog/r_u_igrushki/ТоуR182/</v>
      </c>
      <c r="N4038" s="71">
        <v>6899</v>
      </c>
      <c r="O4038" s="66" t="s">
        <v>27</v>
      </c>
      <c r="P4038" s="82" t="s">
        <v>14928</v>
      </c>
      <c r="Q4038" s="84" t="s">
        <v>14622</v>
      </c>
      <c r="R4038" s="84" t="s">
        <v>1212</v>
      </c>
      <c r="S4038" s="84">
        <v>0.16300000000000001</v>
      </c>
      <c r="T4038" s="82" t="s">
        <v>14707</v>
      </c>
      <c r="U4038" s="84" t="s">
        <v>3584</v>
      </c>
      <c r="V4038" s="54"/>
    </row>
    <row r="4039" spans="1:22" s="11" customFormat="1" ht="45" customHeight="1" x14ac:dyDescent="0.2">
      <c r="A4039" s="66" t="s">
        <v>14618</v>
      </c>
      <c r="B4039" s="66" t="s">
        <v>1155</v>
      </c>
      <c r="C4039" s="66" t="s">
        <v>14618</v>
      </c>
      <c r="D4039" s="66">
        <v>97609</v>
      </c>
      <c r="E4039" s="68" t="s">
        <v>14929</v>
      </c>
      <c r="F4039" s="66" t="s">
        <v>14930</v>
      </c>
      <c r="G4039" s="71">
        <v>4114</v>
      </c>
      <c r="H4039" s="73"/>
      <c r="I4039" s="75">
        <v>0.1</v>
      </c>
      <c r="J4039" s="77"/>
      <c r="K4039" s="66"/>
      <c r="L4039" s="66"/>
      <c r="M4039" s="79" t="str">
        <f>HYPERLINK("http://www.pristavka.com/catalog/r_u_igrushki/ТоуR181/")</f>
        <v>http://www.pristavka.com/catalog/r_u_igrushki/ТоуR181/</v>
      </c>
      <c r="N4039" s="71">
        <v>6899</v>
      </c>
      <c r="O4039" s="66" t="s">
        <v>27</v>
      </c>
      <c r="P4039" s="82" t="s">
        <v>14931</v>
      </c>
      <c r="Q4039" s="84" t="s">
        <v>14622</v>
      </c>
      <c r="R4039" s="84" t="s">
        <v>1212</v>
      </c>
      <c r="S4039" s="84">
        <v>0.17899999999999999</v>
      </c>
      <c r="T4039" s="82" t="s">
        <v>14707</v>
      </c>
      <c r="U4039" s="84" t="s">
        <v>3584</v>
      </c>
      <c r="V4039" s="54"/>
    </row>
    <row r="4040" spans="1:22" s="11" customFormat="1" ht="45" customHeight="1" x14ac:dyDescent="0.2">
      <c r="A4040" s="66" t="s">
        <v>14618</v>
      </c>
      <c r="B4040" s="66" t="s">
        <v>1155</v>
      </c>
      <c r="C4040" s="66" t="s">
        <v>14618</v>
      </c>
      <c r="D4040" s="66">
        <v>99515</v>
      </c>
      <c r="E4040" s="68" t="s">
        <v>14932</v>
      </c>
      <c r="F4040" s="66" t="s">
        <v>14933</v>
      </c>
      <c r="G4040" s="71">
        <v>4114</v>
      </c>
      <c r="H4040" s="73"/>
      <c r="I4040" s="75">
        <v>0.1</v>
      </c>
      <c r="J4040" s="77"/>
      <c r="K4040" s="66"/>
      <c r="L4040" s="66"/>
      <c r="M4040" s="79" t="str">
        <f>HYPERLINK("http://www.pristavka.com/catalog/r_u_igrushki/ТоуR108/")</f>
        <v>http://www.pristavka.com/catalog/r_u_igrushki/ТоуR108/</v>
      </c>
      <c r="N4040" s="71">
        <v>6899</v>
      </c>
      <c r="O4040" s="66" t="s">
        <v>27</v>
      </c>
      <c r="P4040" s="82" t="s">
        <v>14934</v>
      </c>
      <c r="Q4040" s="84" t="s">
        <v>14622</v>
      </c>
      <c r="R4040" s="84" t="s">
        <v>1212</v>
      </c>
      <c r="S4040" s="84">
        <v>0.16700000000000001</v>
      </c>
      <c r="T4040" s="82" t="s">
        <v>14707</v>
      </c>
      <c r="U4040" s="84" t="s">
        <v>3584</v>
      </c>
      <c r="V4040" s="54"/>
    </row>
    <row r="4041" spans="1:22" s="11" customFormat="1" ht="45" customHeight="1" x14ac:dyDescent="0.2">
      <c r="A4041" s="66" t="s">
        <v>14618</v>
      </c>
      <c r="B4041" s="66" t="s">
        <v>1155</v>
      </c>
      <c r="C4041" s="66" t="s">
        <v>14618</v>
      </c>
      <c r="D4041" s="66">
        <v>99542</v>
      </c>
      <c r="E4041" s="68" t="s">
        <v>14935</v>
      </c>
      <c r="F4041" s="66" t="s">
        <v>14936</v>
      </c>
      <c r="G4041" s="71">
        <v>4114</v>
      </c>
      <c r="H4041" s="73"/>
      <c r="I4041" s="75">
        <v>0.1</v>
      </c>
      <c r="J4041" s="77"/>
      <c r="K4041" s="66"/>
      <c r="L4041" s="66"/>
      <c r="M4041" s="79" t="str">
        <f>HYPERLINK("http://www.pristavka.com/catalog/r_u_igrushki/ТоуR116/")</f>
        <v>http://www.pristavka.com/catalog/r_u_igrushki/ТоуR116/</v>
      </c>
      <c r="N4041" s="71">
        <v>6899</v>
      </c>
      <c r="O4041" s="66" t="s">
        <v>27</v>
      </c>
      <c r="P4041" s="82" t="s">
        <v>14937</v>
      </c>
      <c r="Q4041" s="84" t="s">
        <v>14622</v>
      </c>
      <c r="R4041" s="84" t="s">
        <v>1212</v>
      </c>
      <c r="S4041" s="84">
        <v>0.183</v>
      </c>
      <c r="T4041" s="82" t="s">
        <v>14707</v>
      </c>
      <c r="U4041" s="84" t="s">
        <v>3584</v>
      </c>
      <c r="V4041" s="54"/>
    </row>
    <row r="4042" spans="1:22" s="11" customFormat="1" ht="45" customHeight="1" x14ac:dyDescent="0.2">
      <c r="A4042" s="66" t="s">
        <v>14618</v>
      </c>
      <c r="B4042" s="66" t="s">
        <v>1155</v>
      </c>
      <c r="C4042" s="66" t="s">
        <v>14618</v>
      </c>
      <c r="D4042" s="66">
        <v>97345</v>
      </c>
      <c r="E4042" s="68" t="s">
        <v>14938</v>
      </c>
      <c r="F4042" s="66" t="s">
        <v>14939</v>
      </c>
      <c r="G4042" s="71">
        <v>4114</v>
      </c>
      <c r="H4042" s="73"/>
      <c r="I4042" s="75">
        <v>0.1</v>
      </c>
      <c r="J4042" s="77"/>
      <c r="K4042" s="66"/>
      <c r="L4042" s="66"/>
      <c r="M4042" s="79" t="str">
        <f>HYPERLINK("http://www.pristavka.com/catalog/r_u_igrushki/ТоуR115/")</f>
        <v>http://www.pristavka.com/catalog/r_u_igrushki/ТоуR115/</v>
      </c>
      <c r="N4042" s="71">
        <v>6899</v>
      </c>
      <c r="O4042" s="66" t="s">
        <v>27</v>
      </c>
      <c r="P4042" s="82" t="s">
        <v>14940</v>
      </c>
      <c r="Q4042" s="84" t="s">
        <v>14622</v>
      </c>
      <c r="R4042" s="84" t="s">
        <v>1212</v>
      </c>
      <c r="S4042" s="84">
        <v>0.189</v>
      </c>
      <c r="T4042" s="82" t="s">
        <v>14707</v>
      </c>
      <c r="U4042" s="84" t="s">
        <v>3584</v>
      </c>
      <c r="V4042" s="54"/>
    </row>
    <row r="4043" spans="1:22" s="11" customFormat="1" ht="45" customHeight="1" x14ac:dyDescent="0.2">
      <c r="A4043" s="66" t="s">
        <v>14618</v>
      </c>
      <c r="B4043" s="66" t="s">
        <v>1155</v>
      </c>
      <c r="C4043" s="66" t="s">
        <v>14618</v>
      </c>
      <c r="D4043" s="66">
        <v>99789</v>
      </c>
      <c r="E4043" s="68" t="s">
        <v>14941</v>
      </c>
      <c r="F4043" s="66" t="s">
        <v>14942</v>
      </c>
      <c r="G4043" s="71">
        <v>4114</v>
      </c>
      <c r="H4043" s="73"/>
      <c r="I4043" s="75">
        <v>0.1</v>
      </c>
      <c r="J4043" s="77"/>
      <c r="K4043" s="66"/>
      <c r="L4043" s="66"/>
      <c r="M4043" s="79" t="str">
        <f>HYPERLINK("http://www.pristavka.com/catalog/r_u_igrushki/ТоуR183/")</f>
        <v>http://www.pristavka.com/catalog/r_u_igrushki/ТоуR183/</v>
      </c>
      <c r="N4043" s="71">
        <v>6899</v>
      </c>
      <c r="O4043" s="66" t="s">
        <v>28</v>
      </c>
      <c r="P4043" s="82" t="s">
        <v>14943</v>
      </c>
      <c r="Q4043" s="84" t="s">
        <v>14622</v>
      </c>
      <c r="R4043" s="84" t="s">
        <v>1212</v>
      </c>
      <c r="S4043" s="84">
        <v>0.193</v>
      </c>
      <c r="T4043" s="82" t="s">
        <v>14707</v>
      </c>
      <c r="U4043" s="84" t="s">
        <v>3584</v>
      </c>
      <c r="V4043" s="54"/>
    </row>
    <row r="4044" spans="1:22" s="11" customFormat="1" ht="45" customHeight="1" x14ac:dyDescent="0.2">
      <c r="A4044" s="66" t="s">
        <v>14618</v>
      </c>
      <c r="B4044" s="66" t="s">
        <v>1155</v>
      </c>
      <c r="C4044" s="66" t="s">
        <v>14618</v>
      </c>
      <c r="D4044" s="66">
        <v>31852</v>
      </c>
      <c r="E4044" s="68" t="s">
        <v>14944</v>
      </c>
      <c r="F4044" s="66" t="s">
        <v>14945</v>
      </c>
      <c r="G4044" s="71">
        <v>4114</v>
      </c>
      <c r="H4044" s="73"/>
      <c r="I4044" s="75">
        <v>0.1</v>
      </c>
      <c r="J4044" s="77"/>
      <c r="K4044" s="66"/>
      <c r="L4044" s="66"/>
      <c r="M4044" s="79" t="str">
        <f>HYPERLINK("http://www.pristavka.com/catalog/r_u_igrushki/ТоуR178/")</f>
        <v>http://www.pristavka.com/catalog/r_u_igrushki/ТоуR178/</v>
      </c>
      <c r="N4044" s="71">
        <v>6899</v>
      </c>
      <c r="O4044" s="66" t="s">
        <v>27</v>
      </c>
      <c r="P4044" s="82" t="s">
        <v>14946</v>
      </c>
      <c r="Q4044" s="84" t="s">
        <v>14622</v>
      </c>
      <c r="R4044" s="84" t="s">
        <v>1212</v>
      </c>
      <c r="S4044" s="84">
        <v>0.16500000000000001</v>
      </c>
      <c r="T4044" s="82" t="s">
        <v>14707</v>
      </c>
      <c r="U4044" s="84" t="s">
        <v>3584</v>
      </c>
      <c r="V4044" s="54"/>
    </row>
    <row r="4045" spans="1:22" s="11" customFormat="1" ht="45" customHeight="1" x14ac:dyDescent="0.2">
      <c r="A4045" s="66" t="s">
        <v>14618</v>
      </c>
      <c r="B4045" s="66" t="s">
        <v>1155</v>
      </c>
      <c r="C4045" s="66" t="s">
        <v>14618</v>
      </c>
      <c r="D4045" s="66">
        <v>98270</v>
      </c>
      <c r="E4045" s="68" t="s">
        <v>14947</v>
      </c>
      <c r="F4045" s="66" t="s">
        <v>14948</v>
      </c>
      <c r="G4045" s="71">
        <v>4114</v>
      </c>
      <c r="H4045" s="73"/>
      <c r="I4045" s="75">
        <v>0.1</v>
      </c>
      <c r="J4045" s="77"/>
      <c r="K4045" s="66"/>
      <c r="L4045" s="66"/>
      <c r="M4045" s="79" t="str">
        <f>HYPERLINK("http://www.pristavka.com/catalog/r_u_igrushki/ТоуR110/")</f>
        <v>http://www.pristavka.com/catalog/r_u_igrushki/ТоуR110/</v>
      </c>
      <c r="N4045" s="71">
        <v>6899</v>
      </c>
      <c r="O4045" s="66" t="s">
        <v>27</v>
      </c>
      <c r="P4045" s="82" t="s">
        <v>14949</v>
      </c>
      <c r="Q4045" s="84" t="s">
        <v>14622</v>
      </c>
      <c r="R4045" s="84" t="s">
        <v>1212</v>
      </c>
      <c r="S4045" s="84">
        <v>0.193</v>
      </c>
      <c r="T4045" s="82" t="s">
        <v>14707</v>
      </c>
      <c r="U4045" s="84" t="s">
        <v>3584</v>
      </c>
      <c r="V4045" s="54"/>
    </row>
    <row r="4046" spans="1:22" s="11" customFormat="1" ht="45" customHeight="1" x14ac:dyDescent="0.2">
      <c r="A4046" s="66" t="s">
        <v>14618</v>
      </c>
      <c r="B4046" s="66" t="s">
        <v>1155</v>
      </c>
      <c r="C4046" s="66" t="s">
        <v>14618</v>
      </c>
      <c r="D4046" s="66">
        <v>32016</v>
      </c>
      <c r="E4046" s="68" t="s">
        <v>14950</v>
      </c>
      <c r="F4046" s="66" t="s">
        <v>14951</v>
      </c>
      <c r="G4046" s="71">
        <v>4114</v>
      </c>
      <c r="H4046" s="73"/>
      <c r="I4046" s="75">
        <v>0.1</v>
      </c>
      <c r="J4046" s="77"/>
      <c r="K4046" s="66"/>
      <c r="L4046" s="66"/>
      <c r="M4046" s="79" t="str">
        <f>HYPERLINK("http://www.pristavka.com/catalog/r_u_igrushki/ТоуR103/")</f>
        <v>http://www.pristavka.com/catalog/r_u_igrushki/ТоуR103/</v>
      </c>
      <c r="N4046" s="71">
        <v>6899</v>
      </c>
      <c r="O4046" s="66" t="s">
        <v>27</v>
      </c>
      <c r="P4046" s="82" t="s">
        <v>14952</v>
      </c>
      <c r="Q4046" s="84" t="s">
        <v>14622</v>
      </c>
      <c r="R4046" s="84" t="s">
        <v>1212</v>
      </c>
      <c r="S4046" s="84">
        <v>0.16500000000000001</v>
      </c>
      <c r="T4046" s="82" t="s">
        <v>14707</v>
      </c>
      <c r="U4046" s="84" t="s">
        <v>3584</v>
      </c>
      <c r="V4046" s="54"/>
    </row>
    <row r="4047" spans="1:22" s="11" customFormat="1" ht="45" customHeight="1" x14ac:dyDescent="0.2">
      <c r="A4047" s="66" t="s">
        <v>14618</v>
      </c>
      <c r="B4047" s="66" t="s">
        <v>1155</v>
      </c>
      <c r="C4047" s="66" t="s">
        <v>14618</v>
      </c>
      <c r="D4047" s="66">
        <v>98507</v>
      </c>
      <c r="E4047" s="68" t="s">
        <v>14953</v>
      </c>
      <c r="F4047" s="66" t="s">
        <v>14954</v>
      </c>
      <c r="G4047" s="71">
        <v>4114</v>
      </c>
      <c r="H4047" s="73"/>
      <c r="I4047" s="75">
        <v>0.1</v>
      </c>
      <c r="J4047" s="77"/>
      <c r="K4047" s="66"/>
      <c r="L4047" s="66"/>
      <c r="M4047" s="79" t="str">
        <f>HYPERLINK("http://www.pristavka.com/catalog/r_u_igrushki/ТоуR117/")</f>
        <v>http://www.pristavka.com/catalog/r_u_igrushki/ТоуR117/</v>
      </c>
      <c r="N4047" s="71">
        <v>6899</v>
      </c>
      <c r="O4047" s="66" t="s">
        <v>27</v>
      </c>
      <c r="P4047" s="82" t="s">
        <v>14955</v>
      </c>
      <c r="Q4047" s="84" t="s">
        <v>14622</v>
      </c>
      <c r="R4047" s="84" t="s">
        <v>1212</v>
      </c>
      <c r="S4047" s="84">
        <v>0.17</v>
      </c>
      <c r="T4047" s="82" t="s">
        <v>14707</v>
      </c>
      <c r="U4047" s="84" t="s">
        <v>3584</v>
      </c>
      <c r="V4047" s="54"/>
    </row>
    <row r="4048" spans="1:22" s="11" customFormat="1" ht="45" customHeight="1" x14ac:dyDescent="0.2">
      <c r="A4048" s="66" t="s">
        <v>14618</v>
      </c>
      <c r="B4048" s="66" t="s">
        <v>1155</v>
      </c>
      <c r="C4048" s="66" t="s">
        <v>14618</v>
      </c>
      <c r="D4048" s="66">
        <v>32215</v>
      </c>
      <c r="E4048" s="68" t="s">
        <v>14956</v>
      </c>
      <c r="F4048" s="66" t="s">
        <v>14957</v>
      </c>
      <c r="G4048" s="71">
        <v>4114</v>
      </c>
      <c r="H4048" s="73"/>
      <c r="I4048" s="75">
        <v>0.1</v>
      </c>
      <c r="J4048" s="77"/>
      <c r="K4048" s="66"/>
      <c r="L4048" s="66"/>
      <c r="M4048" s="79" t="str">
        <f>HYPERLINK("http://www.pristavka.com/catalog/r_u_igrushki/ТоуR104/")</f>
        <v>http://www.pristavka.com/catalog/r_u_igrushki/ТоуR104/</v>
      </c>
      <c r="N4048" s="71">
        <v>6899</v>
      </c>
      <c r="O4048" s="66" t="s">
        <v>27</v>
      </c>
      <c r="P4048" s="82" t="s">
        <v>14958</v>
      </c>
      <c r="Q4048" s="84" t="s">
        <v>14622</v>
      </c>
      <c r="R4048" s="84" t="s">
        <v>1212</v>
      </c>
      <c r="S4048" s="84">
        <v>0.17199999999999999</v>
      </c>
      <c r="T4048" s="82" t="s">
        <v>14707</v>
      </c>
      <c r="U4048" s="84" t="s">
        <v>3584</v>
      </c>
      <c r="V4048" s="54"/>
    </row>
    <row r="4049" spans="1:22" s="11" customFormat="1" ht="45" customHeight="1" x14ac:dyDescent="0.2">
      <c r="A4049" s="66" t="s">
        <v>14618</v>
      </c>
      <c r="B4049" s="66" t="s">
        <v>1155</v>
      </c>
      <c r="C4049" s="66" t="s">
        <v>14618</v>
      </c>
      <c r="D4049" s="66">
        <v>30736</v>
      </c>
      <c r="E4049" s="68" t="s">
        <v>14959</v>
      </c>
      <c r="F4049" s="66" t="s">
        <v>14960</v>
      </c>
      <c r="G4049" s="71">
        <v>4114</v>
      </c>
      <c r="H4049" s="73"/>
      <c r="I4049" s="75">
        <v>0.1</v>
      </c>
      <c r="J4049" s="77"/>
      <c r="K4049" s="66"/>
      <c r="L4049" s="66"/>
      <c r="M4049" s="79" t="str">
        <f>HYPERLINK("http://www.pristavka.com/catalog/r_u_igrushki/ТоуR105/")</f>
        <v>http://www.pristavka.com/catalog/r_u_igrushki/ТоуR105/</v>
      </c>
      <c r="N4049" s="71">
        <v>6899</v>
      </c>
      <c r="O4049" s="66" t="s">
        <v>28</v>
      </c>
      <c r="P4049" s="82" t="s">
        <v>14961</v>
      </c>
      <c r="Q4049" s="84" t="s">
        <v>14622</v>
      </c>
      <c r="R4049" s="84" t="s">
        <v>1212</v>
      </c>
      <c r="S4049" s="84">
        <v>0.18099999999999999</v>
      </c>
      <c r="T4049" s="82" t="s">
        <v>14707</v>
      </c>
      <c r="U4049" s="84" t="s">
        <v>3584</v>
      </c>
      <c r="V4049" s="54"/>
    </row>
    <row r="4050" spans="1:22" s="11" customFormat="1" ht="45" customHeight="1" x14ac:dyDescent="0.2">
      <c r="A4050" s="66" t="s">
        <v>14618</v>
      </c>
      <c r="B4050" s="66" t="s">
        <v>1155</v>
      </c>
      <c r="C4050" s="66" t="s">
        <v>14618</v>
      </c>
      <c r="D4050" s="66">
        <v>35690</v>
      </c>
      <c r="E4050" s="68" t="s">
        <v>14962</v>
      </c>
      <c r="F4050" s="66" t="s">
        <v>14963</v>
      </c>
      <c r="G4050" s="71">
        <v>7918</v>
      </c>
      <c r="H4050" s="73"/>
      <c r="I4050" s="75">
        <v>0.1</v>
      </c>
      <c r="J4050" s="77"/>
      <c r="K4050" s="66"/>
      <c r="L4050" s="66"/>
      <c r="M4050" s="79" t="str">
        <f>HYPERLINK("http://www.pristavka.com/catalog/r_u_igrushki/ТоуR349/")</f>
        <v>http://www.pristavka.com/catalog/r_u_igrushki/ТоуR349/</v>
      </c>
      <c r="N4050" s="71">
        <v>13199</v>
      </c>
      <c r="O4050" s="66" t="s">
        <v>27</v>
      </c>
      <c r="P4050" s="82" t="s">
        <v>14964</v>
      </c>
      <c r="Q4050" s="84" t="s">
        <v>14622</v>
      </c>
      <c r="R4050" s="84" t="s">
        <v>1212</v>
      </c>
      <c r="S4050" s="84">
        <v>0.32500000000000001</v>
      </c>
      <c r="T4050" s="82" t="s">
        <v>14965</v>
      </c>
      <c r="U4050" s="84" t="s">
        <v>3584</v>
      </c>
      <c r="V4050" s="54"/>
    </row>
    <row r="4051" spans="1:22" s="11" customFormat="1" ht="45" customHeight="1" x14ac:dyDescent="0.2">
      <c r="A4051" s="66" t="s">
        <v>14618</v>
      </c>
      <c r="B4051" s="66" t="s">
        <v>1155</v>
      </c>
      <c r="C4051" s="66" t="s">
        <v>14618</v>
      </c>
      <c r="D4051" s="66">
        <v>32588</v>
      </c>
      <c r="E4051" s="68" t="s">
        <v>14966</v>
      </c>
      <c r="F4051" s="66" t="s">
        <v>14967</v>
      </c>
      <c r="G4051" s="71">
        <v>4114</v>
      </c>
      <c r="H4051" s="73"/>
      <c r="I4051" s="75">
        <v>0.1</v>
      </c>
      <c r="J4051" s="77"/>
      <c r="K4051" s="66"/>
      <c r="L4051" s="66"/>
      <c r="M4051" s="79" t="str">
        <f>HYPERLINK("http://www.pristavka.com/catalog/r_u_igrushki/ТоуR346/")</f>
        <v>http://www.pristavka.com/catalog/r_u_igrushki/ТоуR346/</v>
      </c>
      <c r="N4051" s="71">
        <v>6899</v>
      </c>
      <c r="O4051" s="66" t="s">
        <v>27</v>
      </c>
      <c r="P4051" s="82" t="s">
        <v>14968</v>
      </c>
      <c r="Q4051" s="84" t="s">
        <v>14622</v>
      </c>
      <c r="R4051" s="84" t="s">
        <v>1212</v>
      </c>
      <c r="S4051" s="84">
        <v>0.16200000000000001</v>
      </c>
      <c r="T4051" s="82" t="s">
        <v>14746</v>
      </c>
      <c r="U4051" s="84" t="s">
        <v>3584</v>
      </c>
      <c r="V4051" s="54"/>
    </row>
    <row r="4052" spans="1:22" s="11" customFormat="1" ht="45" customHeight="1" x14ac:dyDescent="0.2">
      <c r="A4052" s="66" t="s">
        <v>14618</v>
      </c>
      <c r="B4052" s="66" t="s">
        <v>1155</v>
      </c>
      <c r="C4052" s="66" t="s">
        <v>14618</v>
      </c>
      <c r="D4052" s="66">
        <v>801310976104</v>
      </c>
      <c r="E4052" s="68" t="s">
        <v>14969</v>
      </c>
      <c r="F4052" s="66" t="s">
        <v>14970</v>
      </c>
      <c r="G4052" s="71">
        <v>4114</v>
      </c>
      <c r="H4052" s="73"/>
      <c r="I4052" s="75">
        <v>0.1</v>
      </c>
      <c r="J4052" s="77"/>
      <c r="K4052" s="66"/>
      <c r="L4052" s="66"/>
      <c r="M4052" s="79" t="str">
        <f>HYPERLINK("http://www.pristavka.com/catalog/r_u_igrushki/ТоуR226/")</f>
        <v>http://www.pristavka.com/catalog/r_u_igrushki/ТоуR226/</v>
      </c>
      <c r="N4052" s="71">
        <v>6899</v>
      </c>
      <c r="O4052" s="66" t="s">
        <v>27</v>
      </c>
      <c r="P4052" s="82" t="s">
        <v>14971</v>
      </c>
      <c r="Q4052" s="84" t="s">
        <v>14622</v>
      </c>
      <c r="R4052" s="84" t="s">
        <v>1212</v>
      </c>
      <c r="S4052" s="84">
        <v>0.182</v>
      </c>
      <c r="T4052" s="82" t="s">
        <v>14707</v>
      </c>
      <c r="U4052" s="84" t="s">
        <v>3584</v>
      </c>
      <c r="V4052" s="54"/>
    </row>
    <row r="4053" spans="1:22" s="11" customFormat="1" ht="45" customHeight="1" x14ac:dyDescent="0.2">
      <c r="A4053" s="66" t="s">
        <v>14618</v>
      </c>
      <c r="B4053" s="66" t="s">
        <v>1155</v>
      </c>
      <c r="C4053" s="66" t="s">
        <v>14618</v>
      </c>
      <c r="D4053" s="66">
        <v>35389</v>
      </c>
      <c r="E4053" s="68" t="s">
        <v>14972</v>
      </c>
      <c r="F4053" s="66" t="s">
        <v>14973</v>
      </c>
      <c r="G4053" s="71">
        <v>7918</v>
      </c>
      <c r="H4053" s="73"/>
      <c r="I4053" s="75">
        <v>0.1</v>
      </c>
      <c r="J4053" s="77"/>
      <c r="K4053" s="66"/>
      <c r="L4053" s="66"/>
      <c r="M4053" s="79" t="str">
        <f>HYPERLINK("http://www.pristavka.com/catalog/r_u_igrushki/ТоуR332/")</f>
        <v>http://www.pristavka.com/catalog/r_u_igrushki/ТоуR332/</v>
      </c>
      <c r="N4053" s="71">
        <v>13199</v>
      </c>
      <c r="O4053" s="66" t="s">
        <v>27</v>
      </c>
      <c r="P4053" s="82" t="s">
        <v>14974</v>
      </c>
      <c r="Q4053" s="84" t="s">
        <v>14622</v>
      </c>
      <c r="R4053" s="84" t="s">
        <v>1212</v>
      </c>
      <c r="S4053" s="84">
        <v>0.35499999999999998</v>
      </c>
      <c r="T4053" s="82" t="s">
        <v>14965</v>
      </c>
      <c r="U4053" s="84" t="s">
        <v>3584</v>
      </c>
      <c r="V4053" s="54"/>
    </row>
    <row r="4054" spans="1:22" s="11" customFormat="1" ht="45" customHeight="1" x14ac:dyDescent="0.2">
      <c r="A4054" s="66" t="s">
        <v>14618</v>
      </c>
      <c r="B4054" s="66" t="s">
        <v>1155</v>
      </c>
      <c r="C4054" s="66" t="s">
        <v>14618</v>
      </c>
      <c r="D4054" s="66">
        <v>35395</v>
      </c>
      <c r="E4054" s="68" t="s">
        <v>14975</v>
      </c>
      <c r="F4054" s="66" t="s">
        <v>14976</v>
      </c>
      <c r="G4054" s="71">
        <v>7918</v>
      </c>
      <c r="H4054" s="73"/>
      <c r="I4054" s="75">
        <v>0.1</v>
      </c>
      <c r="J4054" s="77"/>
      <c r="K4054" s="66"/>
      <c r="L4054" s="66"/>
      <c r="M4054" s="79" t="str">
        <f>HYPERLINK("http://www.pristavka.com/catalog/r_u_igrushki/ТоуR333/")</f>
        <v>http://www.pristavka.com/catalog/r_u_igrushki/ТоуR333/</v>
      </c>
      <c r="N4054" s="71">
        <v>13199</v>
      </c>
      <c r="O4054" s="66" t="s">
        <v>27</v>
      </c>
      <c r="P4054" s="82" t="s">
        <v>14977</v>
      </c>
      <c r="Q4054" s="84" t="s">
        <v>14622</v>
      </c>
      <c r="R4054" s="84" t="s">
        <v>1212</v>
      </c>
      <c r="S4054" s="84">
        <v>0.34200000000000003</v>
      </c>
      <c r="T4054" s="82" t="s">
        <v>14904</v>
      </c>
      <c r="U4054" s="84" t="s">
        <v>3584</v>
      </c>
      <c r="V4054" s="54"/>
    </row>
    <row r="4055" spans="1:22" s="11" customFormat="1" ht="45" customHeight="1" x14ac:dyDescent="0.2">
      <c r="A4055" s="66" t="s">
        <v>14618</v>
      </c>
      <c r="B4055" s="66" t="s">
        <v>1155</v>
      </c>
      <c r="C4055" s="66" t="s">
        <v>14618</v>
      </c>
      <c r="D4055" s="66">
        <v>35696</v>
      </c>
      <c r="E4055" s="68" t="s">
        <v>14978</v>
      </c>
      <c r="F4055" s="66" t="s">
        <v>14979</v>
      </c>
      <c r="G4055" s="71">
        <v>7572</v>
      </c>
      <c r="H4055" s="73"/>
      <c r="I4055" s="75">
        <v>0.1</v>
      </c>
      <c r="J4055" s="77"/>
      <c r="K4055" s="66"/>
      <c r="L4055" s="66"/>
      <c r="M4055" s="79" t="str">
        <f>HYPERLINK("http://www.pristavka.com/catalog/r_u_igrushki/ТоуR334/")</f>
        <v>http://www.pristavka.com/catalog/r_u_igrushki/ТоуR334/</v>
      </c>
      <c r="N4055" s="71">
        <v>12699</v>
      </c>
      <c r="O4055" s="66" t="s">
        <v>27</v>
      </c>
      <c r="P4055" s="82" t="s">
        <v>14980</v>
      </c>
      <c r="Q4055" s="84" t="s">
        <v>14622</v>
      </c>
      <c r="R4055" s="84" t="s">
        <v>1212</v>
      </c>
      <c r="S4055" s="84">
        <v>0.32800000000000001</v>
      </c>
      <c r="T4055" s="82" t="s">
        <v>14904</v>
      </c>
      <c r="U4055" s="84" t="s">
        <v>3584</v>
      </c>
      <c r="V4055" s="54"/>
    </row>
    <row r="4056" spans="1:22" s="11" customFormat="1" ht="45" customHeight="1" x14ac:dyDescent="0.2">
      <c r="A4056" s="66" t="s">
        <v>14618</v>
      </c>
      <c r="B4056" s="66" t="s">
        <v>1155</v>
      </c>
      <c r="C4056" s="66" t="s">
        <v>14618</v>
      </c>
      <c r="D4056" s="66">
        <v>32612</v>
      </c>
      <c r="E4056" s="68" t="s">
        <v>14981</v>
      </c>
      <c r="F4056" s="66" t="s">
        <v>14982</v>
      </c>
      <c r="G4056" s="71">
        <v>4114</v>
      </c>
      <c r="H4056" s="73"/>
      <c r="I4056" s="75">
        <v>0.1</v>
      </c>
      <c r="J4056" s="77"/>
      <c r="K4056" s="66"/>
      <c r="L4056" s="66"/>
      <c r="M4056" s="79" t="str">
        <f>HYPERLINK("http://www.pristavka.com/catalog/r_u_igrushki/ТоуR331/")</f>
        <v>http://www.pristavka.com/catalog/r_u_igrushki/ТоуR331/</v>
      </c>
      <c r="N4056" s="71">
        <v>6899</v>
      </c>
      <c r="O4056" s="66" t="s">
        <v>27</v>
      </c>
      <c r="P4056" s="82" t="s">
        <v>14983</v>
      </c>
      <c r="Q4056" s="84" t="s">
        <v>14622</v>
      </c>
      <c r="R4056" s="84" t="s">
        <v>1212</v>
      </c>
      <c r="S4056" s="84">
        <v>0.21</v>
      </c>
      <c r="T4056" s="82" t="s">
        <v>14721</v>
      </c>
      <c r="U4056" s="84" t="s">
        <v>3584</v>
      </c>
      <c r="V4056" s="54"/>
    </row>
    <row r="4057" spans="1:22" s="11" customFormat="1" ht="45" customHeight="1" x14ac:dyDescent="0.2">
      <c r="A4057" s="66" t="s">
        <v>14618</v>
      </c>
      <c r="B4057" s="66" t="s">
        <v>1155</v>
      </c>
      <c r="C4057" s="66" t="s">
        <v>14618</v>
      </c>
      <c r="D4057" s="66">
        <v>32910</v>
      </c>
      <c r="E4057" s="68" t="s">
        <v>14984</v>
      </c>
      <c r="F4057" s="66" t="s">
        <v>14985</v>
      </c>
      <c r="G4057" s="71">
        <v>7572</v>
      </c>
      <c r="H4057" s="73"/>
      <c r="I4057" s="75">
        <v>0.1</v>
      </c>
      <c r="J4057" s="77"/>
      <c r="K4057" s="66"/>
      <c r="L4057" s="66"/>
      <c r="M4057" s="79" t="str">
        <f>HYPERLINK("http://www.pristavka.com/catalog/r_u_igrushki/ТоуR347/")</f>
        <v>http://www.pristavka.com/catalog/r_u_igrushki/ТоуR347/</v>
      </c>
      <c r="N4057" s="71">
        <v>12699</v>
      </c>
      <c r="O4057" s="66" t="s">
        <v>27</v>
      </c>
      <c r="P4057" s="82" t="s">
        <v>14986</v>
      </c>
      <c r="Q4057" s="84" t="s">
        <v>14622</v>
      </c>
      <c r="R4057" s="84" t="s">
        <v>1212</v>
      </c>
      <c r="S4057" s="84">
        <v>0.33500000000000002</v>
      </c>
      <c r="T4057" s="82" t="s">
        <v>14987</v>
      </c>
      <c r="U4057" s="84" t="s">
        <v>3584</v>
      </c>
      <c r="V4057" s="54"/>
    </row>
    <row r="4058" spans="1:22" s="11" customFormat="1" ht="45" customHeight="1" x14ac:dyDescent="0.2">
      <c r="A4058" s="66" t="s">
        <v>14618</v>
      </c>
      <c r="B4058" s="66" t="s">
        <v>1155</v>
      </c>
      <c r="C4058" s="66" t="s">
        <v>14618</v>
      </c>
      <c r="D4058" s="66">
        <v>34448</v>
      </c>
      <c r="E4058" s="68" t="s">
        <v>14988</v>
      </c>
      <c r="F4058" s="66" t="s">
        <v>14989</v>
      </c>
      <c r="G4058" s="71">
        <v>4114</v>
      </c>
      <c r="H4058" s="73"/>
      <c r="I4058" s="75">
        <v>0.1</v>
      </c>
      <c r="J4058" s="77"/>
      <c r="K4058" s="66"/>
      <c r="L4058" s="66"/>
      <c r="M4058" s="79" t="str">
        <f>HYPERLINK("http://www.pristavka.com/catalog/r_u_igrushki/ТоуR376/")</f>
        <v>http://www.pristavka.com/catalog/r_u_igrushki/ТоуR376/</v>
      </c>
      <c r="N4058" s="71">
        <v>6899</v>
      </c>
      <c r="O4058" s="66" t="s">
        <v>27</v>
      </c>
      <c r="P4058" s="82" t="s">
        <v>14990</v>
      </c>
      <c r="Q4058" s="84" t="s">
        <v>14622</v>
      </c>
      <c r="R4058" s="84" t="s">
        <v>1212</v>
      </c>
      <c r="S4058" s="84">
        <v>0.16500000000000001</v>
      </c>
      <c r="T4058" s="82" t="s">
        <v>14721</v>
      </c>
      <c r="U4058" s="84" t="s">
        <v>3584</v>
      </c>
      <c r="V4058" s="54"/>
    </row>
    <row r="4059" spans="1:22" s="11" customFormat="1" ht="45" customHeight="1" x14ac:dyDescent="0.2">
      <c r="A4059" s="66" t="s">
        <v>14618</v>
      </c>
      <c r="B4059" s="66" t="s">
        <v>1155</v>
      </c>
      <c r="C4059" s="66" t="s">
        <v>14618</v>
      </c>
      <c r="D4059" s="66">
        <v>97037</v>
      </c>
      <c r="E4059" s="68" t="s">
        <v>14991</v>
      </c>
      <c r="F4059" s="66" t="s">
        <v>14992</v>
      </c>
      <c r="G4059" s="71">
        <v>4114</v>
      </c>
      <c r="H4059" s="73"/>
      <c r="I4059" s="75">
        <v>0.1</v>
      </c>
      <c r="J4059" s="77"/>
      <c r="K4059" s="66"/>
      <c r="L4059" s="66"/>
      <c r="M4059" s="79" t="str">
        <f>HYPERLINK("http://www.pristavka.com/catalog/r_u_igrushki/ТоуR114/")</f>
        <v>http://www.pristavka.com/catalog/r_u_igrushki/ТоуR114/</v>
      </c>
      <c r="N4059" s="71">
        <v>6899</v>
      </c>
      <c r="O4059" s="66" t="s">
        <v>27</v>
      </c>
      <c r="P4059" s="82" t="s">
        <v>14993</v>
      </c>
      <c r="Q4059" s="84" t="s">
        <v>14622</v>
      </c>
      <c r="R4059" s="84" t="s">
        <v>1212</v>
      </c>
      <c r="S4059" s="84">
        <v>0.16500000000000001</v>
      </c>
      <c r="T4059" s="82" t="s">
        <v>14707</v>
      </c>
      <c r="U4059" s="84" t="s">
        <v>3584</v>
      </c>
      <c r="V4059" s="54"/>
    </row>
    <row r="4060" spans="1:22" s="11" customFormat="1" ht="45" customHeight="1" x14ac:dyDescent="0.2">
      <c r="A4060" s="66" t="s">
        <v>14618</v>
      </c>
      <c r="B4060" s="66" t="s">
        <v>1155</v>
      </c>
      <c r="C4060" s="66" t="s">
        <v>14618</v>
      </c>
      <c r="D4060" s="66">
        <v>97173</v>
      </c>
      <c r="E4060" s="68" t="s">
        <v>14994</v>
      </c>
      <c r="F4060" s="66" t="s">
        <v>14995</v>
      </c>
      <c r="G4060" s="71">
        <v>11029</v>
      </c>
      <c r="H4060" s="73"/>
      <c r="I4060" s="75">
        <v>0.1</v>
      </c>
      <c r="J4060" s="77"/>
      <c r="K4060" s="66"/>
      <c r="L4060" s="66"/>
      <c r="M4060" s="79" t="str">
        <f>HYPERLINK("http://www.pristavka.com/catalog/r_u_igrushki/ТоуR125/")</f>
        <v>http://www.pristavka.com/catalog/r_u_igrushki/ТоуR125/</v>
      </c>
      <c r="N4060" s="71">
        <v>18399</v>
      </c>
      <c r="O4060" s="66" t="s">
        <v>27</v>
      </c>
      <c r="P4060" s="82" t="s">
        <v>14996</v>
      </c>
      <c r="Q4060" s="84" t="s">
        <v>14622</v>
      </c>
      <c r="R4060" s="84" t="s">
        <v>1212</v>
      </c>
      <c r="S4060" s="84">
        <v>0.627</v>
      </c>
      <c r="T4060" s="82" t="s">
        <v>14648</v>
      </c>
      <c r="U4060" s="84" t="s">
        <v>3584</v>
      </c>
      <c r="V4060" s="54"/>
    </row>
    <row r="4061" spans="1:22" s="11" customFormat="1" ht="45" customHeight="1" x14ac:dyDescent="0.2">
      <c r="A4061" s="66" t="s">
        <v>14618</v>
      </c>
      <c r="B4061" s="66" t="s">
        <v>1155</v>
      </c>
      <c r="C4061" s="66" t="s">
        <v>14618</v>
      </c>
      <c r="D4061" s="66">
        <v>97158</v>
      </c>
      <c r="E4061" s="68" t="s">
        <v>14997</v>
      </c>
      <c r="F4061" s="66" t="s">
        <v>14998</v>
      </c>
      <c r="G4061" s="71">
        <v>11029</v>
      </c>
      <c r="H4061" s="73"/>
      <c r="I4061" s="75">
        <v>0.1</v>
      </c>
      <c r="J4061" s="77"/>
      <c r="K4061" s="66"/>
      <c r="L4061" s="66"/>
      <c r="M4061" s="79" t="str">
        <f>HYPERLINK("http://www.pristavka.com/catalog/r_u_igrushki/ТоуR124/")</f>
        <v>http://www.pristavka.com/catalog/r_u_igrushki/ТоуR124/</v>
      </c>
      <c r="N4061" s="71">
        <v>18399</v>
      </c>
      <c r="O4061" s="66" t="s">
        <v>27</v>
      </c>
      <c r="P4061" s="82" t="s">
        <v>14999</v>
      </c>
      <c r="Q4061" s="84" t="s">
        <v>14622</v>
      </c>
      <c r="R4061" s="84" t="s">
        <v>1212</v>
      </c>
      <c r="S4061" s="84">
        <v>0.626</v>
      </c>
      <c r="T4061" s="82" t="s">
        <v>14648</v>
      </c>
      <c r="U4061" s="84" t="s">
        <v>3584</v>
      </c>
      <c r="V4061" s="54"/>
    </row>
    <row r="4062" spans="1:22" s="11" customFormat="1" ht="45" customHeight="1" x14ac:dyDescent="0.2">
      <c r="A4062" s="66" t="s">
        <v>14618</v>
      </c>
      <c r="B4062" s="66" t="s">
        <v>1155</v>
      </c>
      <c r="C4062" s="66" t="s">
        <v>14618</v>
      </c>
      <c r="D4062" s="66">
        <v>98338</v>
      </c>
      <c r="E4062" s="68" t="s">
        <v>15000</v>
      </c>
      <c r="F4062" s="66" t="s">
        <v>15001</v>
      </c>
      <c r="G4062" s="71">
        <v>11029</v>
      </c>
      <c r="H4062" s="73"/>
      <c r="I4062" s="75">
        <v>0.1</v>
      </c>
      <c r="J4062" s="77"/>
      <c r="K4062" s="66"/>
      <c r="L4062" s="66"/>
      <c r="M4062" s="79" t="str">
        <f>HYPERLINK("http://www.pristavka.com/catalog/r_u_igrushki/ТоуR127/")</f>
        <v>http://www.pristavka.com/catalog/r_u_igrushki/ТоуR127/</v>
      </c>
      <c r="N4062" s="71">
        <v>18399</v>
      </c>
      <c r="O4062" s="66" t="s">
        <v>27</v>
      </c>
      <c r="P4062" s="82" t="s">
        <v>15002</v>
      </c>
      <c r="Q4062" s="84" t="s">
        <v>14622</v>
      </c>
      <c r="R4062" s="84" t="s">
        <v>1212</v>
      </c>
      <c r="S4062" s="84">
        <v>0.58099999999999996</v>
      </c>
      <c r="T4062" s="82" t="s">
        <v>14648</v>
      </c>
      <c r="U4062" s="84" t="s">
        <v>3584</v>
      </c>
      <c r="V4062" s="54"/>
    </row>
    <row r="4063" spans="1:22" s="11" customFormat="1" ht="45" customHeight="1" x14ac:dyDescent="0.2">
      <c r="A4063" s="66" t="s">
        <v>14618</v>
      </c>
      <c r="B4063" s="66" t="s">
        <v>1155</v>
      </c>
      <c r="C4063" s="66" t="s">
        <v>14618</v>
      </c>
      <c r="D4063" s="66">
        <v>30747</v>
      </c>
      <c r="E4063" s="68" t="s">
        <v>15003</v>
      </c>
      <c r="F4063" s="66" t="s">
        <v>15004</v>
      </c>
      <c r="G4063" s="71">
        <v>10683</v>
      </c>
      <c r="H4063" s="73"/>
      <c r="I4063" s="75">
        <v>0.1</v>
      </c>
      <c r="J4063" s="77"/>
      <c r="K4063" s="66"/>
      <c r="L4063" s="66"/>
      <c r="M4063" s="79" t="str">
        <f>HYPERLINK("http://www.pristavka.com/catalog/r_u_igrushki/ТоуR129/")</f>
        <v>http://www.pristavka.com/catalog/r_u_igrushki/ТоуR129/</v>
      </c>
      <c r="N4063" s="71">
        <v>17899</v>
      </c>
      <c r="O4063" s="66" t="s">
        <v>27</v>
      </c>
      <c r="P4063" s="82" t="s">
        <v>15005</v>
      </c>
      <c r="Q4063" s="84" t="s">
        <v>14622</v>
      </c>
      <c r="R4063" s="84" t="s">
        <v>1212</v>
      </c>
      <c r="S4063" s="84">
        <v>0.56299999999999994</v>
      </c>
      <c r="T4063" s="82" t="s">
        <v>14648</v>
      </c>
      <c r="U4063" s="84" t="s">
        <v>3584</v>
      </c>
      <c r="V4063" s="54"/>
    </row>
    <row r="4064" spans="1:22" s="11" customFormat="1" ht="45" customHeight="1" x14ac:dyDescent="0.2">
      <c r="A4064" s="66" t="s">
        <v>14618</v>
      </c>
      <c r="B4064" s="66" t="s">
        <v>1155</v>
      </c>
      <c r="C4064" s="66" t="s">
        <v>14618</v>
      </c>
      <c r="D4064" s="66">
        <v>4006333089770</v>
      </c>
      <c r="E4064" s="68" t="s">
        <v>15006</v>
      </c>
      <c r="F4064" s="66" t="s">
        <v>15007</v>
      </c>
      <c r="G4064" s="71">
        <v>1239</v>
      </c>
      <c r="H4064" s="73"/>
      <c r="I4064" s="75">
        <v>0.1</v>
      </c>
      <c r="J4064" s="77"/>
      <c r="K4064" s="66"/>
      <c r="L4064" s="66"/>
      <c r="M4064" s="79" t="str">
        <f>HYPERLINK("http://www.pristavka.com/catalog/r_u_igrushki/ТоуR219/")</f>
        <v>http://www.pristavka.com/catalog/r_u_igrushki/ТоуR219/</v>
      </c>
      <c r="N4064" s="71">
        <v>2099</v>
      </c>
      <c r="O4064" s="66" t="s">
        <v>27</v>
      </c>
      <c r="P4064" s="82" t="s">
        <v>15008</v>
      </c>
      <c r="Q4064" s="84" t="s">
        <v>14622</v>
      </c>
      <c r="R4064" s="84" t="s">
        <v>1212</v>
      </c>
      <c r="S4064" s="84">
        <v>0.02</v>
      </c>
      <c r="T4064" s="82" t="s">
        <v>10538</v>
      </c>
      <c r="U4064" s="84" t="s">
        <v>3584</v>
      </c>
      <c r="V4064" s="54"/>
    </row>
    <row r="4065" spans="1:22" s="11" customFormat="1" ht="45" customHeight="1" x14ac:dyDescent="0.2">
      <c r="A4065" s="66" t="s">
        <v>14618</v>
      </c>
      <c r="B4065" s="66" t="s">
        <v>1155</v>
      </c>
      <c r="C4065" s="66" t="s">
        <v>14618</v>
      </c>
      <c r="D4065" s="66">
        <v>801310311226</v>
      </c>
      <c r="E4065" s="68" t="s">
        <v>15009</v>
      </c>
      <c r="F4065" s="66" t="s">
        <v>15010</v>
      </c>
      <c r="G4065" s="71">
        <v>32465</v>
      </c>
      <c r="H4065" s="73"/>
      <c r="I4065" s="75">
        <v>0.1</v>
      </c>
      <c r="J4065" s="77"/>
      <c r="K4065" s="66"/>
      <c r="L4065" s="66"/>
      <c r="M4065" s="79" t="str">
        <f>HYPERLINK("http://www.pristavka.com/catalog/r_u_igrushki/ТоуR255/")</f>
        <v>http://www.pristavka.com/catalog/r_u_igrushki/ТоуR255/</v>
      </c>
      <c r="N4065" s="71">
        <v>54199</v>
      </c>
      <c r="O4065" s="66" t="s">
        <v>27</v>
      </c>
      <c r="P4065" s="82" t="s">
        <v>15011</v>
      </c>
      <c r="Q4065" s="84" t="s">
        <v>15012</v>
      </c>
      <c r="R4065" s="84" t="s">
        <v>14632</v>
      </c>
      <c r="S4065" s="84">
        <v>1.5249999999999999</v>
      </c>
      <c r="T4065" s="82" t="s">
        <v>15013</v>
      </c>
      <c r="U4065" s="84" t="s">
        <v>3584</v>
      </c>
      <c r="V4065" s="54"/>
    </row>
    <row r="4066" spans="1:22" s="11" customFormat="1" ht="45" customHeight="1" x14ac:dyDescent="0.2">
      <c r="A4066" s="66" t="s">
        <v>14618</v>
      </c>
      <c r="B4066" s="66" t="s">
        <v>1155</v>
      </c>
      <c r="C4066" s="66" t="s">
        <v>14618</v>
      </c>
      <c r="D4066" s="66">
        <v>34529</v>
      </c>
      <c r="E4066" s="68" t="s">
        <v>15014</v>
      </c>
      <c r="F4066" s="66" t="s">
        <v>15015</v>
      </c>
      <c r="G4066" s="71">
        <v>13795</v>
      </c>
      <c r="H4066" s="73"/>
      <c r="I4066" s="75">
        <v>0.1</v>
      </c>
      <c r="J4066" s="77"/>
      <c r="K4066" s="66"/>
      <c r="L4066" s="66"/>
      <c r="M4066" s="79" t="str">
        <f>HYPERLINK("http://www.pristavka.com/catalog/r_u_igrushki/ТоуR139/")</f>
        <v>http://www.pristavka.com/catalog/r_u_igrushki/ТоуR139/</v>
      </c>
      <c r="N4066" s="71">
        <v>22999</v>
      </c>
      <c r="O4066" s="66" t="s">
        <v>27</v>
      </c>
      <c r="P4066" s="82" t="s">
        <v>15016</v>
      </c>
      <c r="Q4066" s="84" t="s">
        <v>1297</v>
      </c>
      <c r="R4066" s="84" t="s">
        <v>1298</v>
      </c>
      <c r="S4066" s="84">
        <v>0.82</v>
      </c>
      <c r="T4066" s="82" t="s">
        <v>15017</v>
      </c>
      <c r="U4066" s="84" t="s">
        <v>3584</v>
      </c>
      <c r="V4066" s="54"/>
    </row>
    <row r="4067" spans="1:22" s="11" customFormat="1" ht="45" customHeight="1" x14ac:dyDescent="0.2">
      <c r="A4067" s="66" t="s">
        <v>14618</v>
      </c>
      <c r="B4067" s="66" t="s">
        <v>1155</v>
      </c>
      <c r="C4067" s="66" t="s">
        <v>14618</v>
      </c>
      <c r="D4067" s="66">
        <v>31704</v>
      </c>
      <c r="E4067" s="68" t="s">
        <v>15018</v>
      </c>
      <c r="F4067" s="66" t="s">
        <v>15019</v>
      </c>
      <c r="G4067" s="71">
        <v>5843</v>
      </c>
      <c r="H4067" s="73"/>
      <c r="I4067" s="75">
        <v>0.1</v>
      </c>
      <c r="J4067" s="77"/>
      <c r="K4067" s="66"/>
      <c r="L4067" s="66"/>
      <c r="M4067" s="79" t="str">
        <f>HYPERLINK("http://www.pristavka.com/catalog/r_u_igrushki/ТоуR48/")</f>
        <v>http://www.pristavka.com/catalog/r_u_igrushki/ТоуR48/</v>
      </c>
      <c r="N4067" s="71">
        <v>9799</v>
      </c>
      <c r="O4067" s="66" t="s">
        <v>27</v>
      </c>
      <c r="P4067" s="82" t="s">
        <v>15020</v>
      </c>
      <c r="Q4067" s="84" t="s">
        <v>3566</v>
      </c>
      <c r="R4067" s="84" t="s">
        <v>1303</v>
      </c>
      <c r="S4067" s="84">
        <v>0.20200000000000001</v>
      </c>
      <c r="T4067" s="82" t="s">
        <v>15021</v>
      </c>
      <c r="U4067" s="84" t="s">
        <v>3584</v>
      </c>
      <c r="V4067" s="54"/>
    </row>
    <row r="4068" spans="1:22" s="11" customFormat="1" ht="45" customHeight="1" x14ac:dyDescent="0.2">
      <c r="A4068" s="66" t="s">
        <v>14618</v>
      </c>
      <c r="B4068" s="66" t="s">
        <v>1155</v>
      </c>
      <c r="C4068" s="66" t="s">
        <v>14618</v>
      </c>
      <c r="D4068" s="66">
        <v>31981</v>
      </c>
      <c r="E4068" s="68" t="s">
        <v>15022</v>
      </c>
      <c r="F4068" s="66" t="s">
        <v>15023</v>
      </c>
      <c r="G4068" s="71">
        <v>7572</v>
      </c>
      <c r="H4068" s="73"/>
      <c r="I4068" s="75">
        <v>0.1</v>
      </c>
      <c r="J4068" s="77"/>
      <c r="K4068" s="66"/>
      <c r="L4068" s="66"/>
      <c r="M4068" s="79" t="str">
        <f>HYPERLINK("http://www.pristavka.com/catalog/r_u_igrushki/ТоуR11/")</f>
        <v>http://www.pristavka.com/catalog/r_u_igrushki/ТоуR11/</v>
      </c>
      <c r="N4068" s="71">
        <v>12699</v>
      </c>
      <c r="O4068" s="66" t="s">
        <v>27</v>
      </c>
      <c r="P4068" s="82" t="s">
        <v>15024</v>
      </c>
      <c r="Q4068" s="84" t="s">
        <v>14622</v>
      </c>
      <c r="R4068" s="84" t="s">
        <v>1212</v>
      </c>
      <c r="S4068" s="84">
        <v>0.34200000000000003</v>
      </c>
      <c r="T4068" s="82" t="s">
        <v>15025</v>
      </c>
      <c r="U4068" s="84" t="s">
        <v>3584</v>
      </c>
      <c r="V4068" s="54"/>
    </row>
    <row r="4069" spans="1:22" s="11" customFormat="1" ht="45" customHeight="1" x14ac:dyDescent="0.2">
      <c r="A4069" s="66" t="s">
        <v>14618</v>
      </c>
      <c r="B4069" s="66" t="s">
        <v>1155</v>
      </c>
      <c r="C4069" s="66" t="s">
        <v>14618</v>
      </c>
      <c r="D4069" s="66">
        <v>32731</v>
      </c>
      <c r="E4069" s="68" t="s">
        <v>15026</v>
      </c>
      <c r="F4069" s="66" t="s">
        <v>15027</v>
      </c>
      <c r="G4069" s="71">
        <v>14487</v>
      </c>
      <c r="H4069" s="73"/>
      <c r="I4069" s="75">
        <v>0.1</v>
      </c>
      <c r="J4069" s="77"/>
      <c r="K4069" s="66"/>
      <c r="L4069" s="66"/>
      <c r="M4069" s="79" t="str">
        <f>HYPERLINK("http://www.pristavka.com/catalog/r_u_igrushki/ТоуR53/ТоуR64/")</f>
        <v>http://www.pristavka.com/catalog/r_u_igrushki/ТоуR53/ТоуR64/</v>
      </c>
      <c r="N4069" s="71">
        <v>24199</v>
      </c>
      <c r="O4069" s="66" t="s">
        <v>27</v>
      </c>
      <c r="P4069" s="82" t="s">
        <v>15028</v>
      </c>
      <c r="Q4069" s="84" t="s">
        <v>3566</v>
      </c>
      <c r="R4069" s="84" t="s">
        <v>1303</v>
      </c>
      <c r="S4069" s="84">
        <v>0.69899999999999995</v>
      </c>
      <c r="T4069" s="82" t="s">
        <v>15029</v>
      </c>
      <c r="U4069" s="84" t="s">
        <v>3584</v>
      </c>
      <c r="V4069" s="54"/>
    </row>
    <row r="4070" spans="1:22" s="11" customFormat="1" ht="45" customHeight="1" x14ac:dyDescent="0.2">
      <c r="A4070" s="66" t="s">
        <v>14618</v>
      </c>
      <c r="B4070" s="66" t="s">
        <v>1155</v>
      </c>
      <c r="C4070" s="66" t="s">
        <v>14618</v>
      </c>
      <c r="D4070" s="66">
        <v>31642</v>
      </c>
      <c r="E4070" s="68" t="s">
        <v>15030</v>
      </c>
      <c r="F4070" s="66" t="s">
        <v>15031</v>
      </c>
      <c r="G4070" s="71">
        <v>33675</v>
      </c>
      <c r="H4070" s="73"/>
      <c r="I4070" s="75">
        <v>0.1</v>
      </c>
      <c r="J4070" s="77"/>
      <c r="K4070" s="66"/>
      <c r="L4070" s="66"/>
      <c r="M4070" s="79" t="str">
        <f>HYPERLINK("http://www.pristavka.com/catalog/r_u_igrushki/ТоуR49/")</f>
        <v>http://www.pristavka.com/catalog/r_u_igrushki/ТоуR49/</v>
      </c>
      <c r="N4070" s="71">
        <v>51899</v>
      </c>
      <c r="O4070" s="66" t="s">
        <v>28</v>
      </c>
      <c r="P4070" s="82" t="s">
        <v>15032</v>
      </c>
      <c r="Q4070" s="84" t="s">
        <v>15033</v>
      </c>
      <c r="R4070" s="84" t="s">
        <v>15034</v>
      </c>
      <c r="S4070" s="84">
        <v>2.1749999999999998</v>
      </c>
      <c r="T4070" s="82" t="s">
        <v>15035</v>
      </c>
      <c r="U4070" s="84" t="s">
        <v>3584</v>
      </c>
      <c r="V4070" s="54"/>
    </row>
    <row r="4071" spans="1:22" s="11" customFormat="1" ht="45" customHeight="1" x14ac:dyDescent="0.2">
      <c r="A4071" s="66" t="s">
        <v>14618</v>
      </c>
      <c r="B4071" s="66" t="s">
        <v>1155</v>
      </c>
      <c r="C4071" s="66" t="s">
        <v>14618</v>
      </c>
      <c r="D4071" s="66">
        <v>32481</v>
      </c>
      <c r="E4071" s="68" t="s">
        <v>15036</v>
      </c>
      <c r="F4071" s="66" t="s">
        <v>15037</v>
      </c>
      <c r="G4071" s="71">
        <v>3452</v>
      </c>
      <c r="H4071" s="73"/>
      <c r="I4071" s="75">
        <v>0.1</v>
      </c>
      <c r="J4071" s="77"/>
      <c r="K4071" s="66"/>
      <c r="L4071" s="66"/>
      <c r="M4071" s="79" t="str">
        <f>HYPERLINK("http://www.pristavka.com/catalog/r_u_igrushki/ТоуR54/")</f>
        <v>http://www.pristavka.com/catalog/r_u_igrushki/ТоуR54/</v>
      </c>
      <c r="N4071" s="71">
        <v>5799</v>
      </c>
      <c r="O4071" s="66" t="s">
        <v>27</v>
      </c>
      <c r="P4071" s="82" t="s">
        <v>15038</v>
      </c>
      <c r="Q4071" s="84" t="s">
        <v>14622</v>
      </c>
      <c r="R4071" s="84" t="s">
        <v>1212</v>
      </c>
      <c r="S4071" s="84">
        <v>6.7000000000000004E-2</v>
      </c>
      <c r="T4071" s="82" t="s">
        <v>15039</v>
      </c>
      <c r="U4071" s="84" t="s">
        <v>3584</v>
      </c>
      <c r="V4071" s="54"/>
    </row>
    <row r="4072" spans="1:22" s="11" customFormat="1" ht="45" customHeight="1" x14ac:dyDescent="0.2">
      <c r="A4072" s="66" t="s">
        <v>14618</v>
      </c>
      <c r="B4072" s="66" t="s">
        <v>1155</v>
      </c>
      <c r="C4072" s="66" t="s">
        <v>14618</v>
      </c>
      <c r="D4072" s="66">
        <v>32482</v>
      </c>
      <c r="E4072" s="68" t="s">
        <v>15040</v>
      </c>
      <c r="F4072" s="66" t="s">
        <v>15041</v>
      </c>
      <c r="G4072" s="71">
        <v>3452</v>
      </c>
      <c r="H4072" s="73"/>
      <c r="I4072" s="75">
        <v>0.1</v>
      </c>
      <c r="J4072" s="77"/>
      <c r="K4072" s="66"/>
      <c r="L4072" s="66"/>
      <c r="M4072" s="79" t="str">
        <f>HYPERLINK("http://www.pristavka.com/catalog/r_u_igrushki/ТоуR55/")</f>
        <v>http://www.pristavka.com/catalog/r_u_igrushki/ТоуR55/</v>
      </c>
      <c r="N4072" s="71">
        <v>5799</v>
      </c>
      <c r="O4072" s="66" t="s">
        <v>27</v>
      </c>
      <c r="P4072" s="82" t="s">
        <v>15042</v>
      </c>
      <c r="Q4072" s="84" t="s">
        <v>14622</v>
      </c>
      <c r="R4072" s="84" t="s">
        <v>1212</v>
      </c>
      <c r="S4072" s="84">
        <v>7.0000000000000007E-2</v>
      </c>
      <c r="T4072" s="82" t="s">
        <v>15039</v>
      </c>
      <c r="U4072" s="84" t="s">
        <v>3584</v>
      </c>
      <c r="V4072" s="54"/>
    </row>
    <row r="4073" spans="1:22" s="11" customFormat="1" ht="45" customHeight="1" x14ac:dyDescent="0.2">
      <c r="A4073" s="66" t="s">
        <v>14618</v>
      </c>
      <c r="B4073" s="66" t="s">
        <v>1155</v>
      </c>
      <c r="C4073" s="66" t="s">
        <v>14618</v>
      </c>
      <c r="D4073" s="66">
        <v>801310342541</v>
      </c>
      <c r="E4073" s="68" t="s">
        <v>15043</v>
      </c>
      <c r="F4073" s="66" t="s">
        <v>15044</v>
      </c>
      <c r="G4073" s="71">
        <v>7918</v>
      </c>
      <c r="H4073" s="73"/>
      <c r="I4073" s="75">
        <v>0.1</v>
      </c>
      <c r="J4073" s="77"/>
      <c r="K4073" s="66"/>
      <c r="L4073" s="66"/>
      <c r="M4073" s="79" t="str">
        <f>HYPERLINK("http://www.pristavka.com/catalog/r_u_igrushki/ТоуR232/")</f>
        <v>http://www.pristavka.com/catalog/r_u_igrushki/ТоуR232/</v>
      </c>
      <c r="N4073" s="71">
        <v>13199</v>
      </c>
      <c r="O4073" s="66" t="s">
        <v>27</v>
      </c>
      <c r="P4073" s="82" t="s">
        <v>15045</v>
      </c>
      <c r="Q4073" s="84" t="s">
        <v>14622</v>
      </c>
      <c r="R4073" s="84" t="s">
        <v>1212</v>
      </c>
      <c r="S4073" s="84">
        <v>0.34399999999999997</v>
      </c>
      <c r="T4073" s="82" t="s">
        <v>15046</v>
      </c>
      <c r="U4073" s="84" t="s">
        <v>3584</v>
      </c>
      <c r="V4073" s="54"/>
    </row>
    <row r="4074" spans="1:22" s="11" customFormat="1" ht="45" customHeight="1" x14ac:dyDescent="0.2">
      <c r="A4074" s="66" t="s">
        <v>14618</v>
      </c>
      <c r="B4074" s="66" t="s">
        <v>1155</v>
      </c>
      <c r="C4074" s="66" t="s">
        <v>14618</v>
      </c>
      <c r="D4074" s="66">
        <v>801310319802</v>
      </c>
      <c r="E4074" s="68" t="s">
        <v>15047</v>
      </c>
      <c r="F4074" s="66" t="s">
        <v>15048</v>
      </c>
      <c r="G4074" s="71">
        <v>7572</v>
      </c>
      <c r="H4074" s="73"/>
      <c r="I4074" s="75">
        <v>0.1</v>
      </c>
      <c r="J4074" s="77"/>
      <c r="K4074" s="66"/>
      <c r="L4074" s="66"/>
      <c r="M4074" s="79" t="str">
        <f>HYPERLINK("http://www.pristavka.com/catalog/r_u_igrushki/ТоуR230/")</f>
        <v>http://www.pristavka.com/catalog/r_u_igrushki/ТоуR230/</v>
      </c>
      <c r="N4074" s="71">
        <v>12699</v>
      </c>
      <c r="O4074" s="66" t="s">
        <v>27</v>
      </c>
      <c r="P4074" s="82" t="s">
        <v>15049</v>
      </c>
      <c r="Q4074" s="84" t="s">
        <v>14622</v>
      </c>
      <c r="R4074" s="84" t="s">
        <v>1212</v>
      </c>
      <c r="S4074" s="84">
        <v>0.31</v>
      </c>
      <c r="T4074" s="82" t="s">
        <v>14987</v>
      </c>
      <c r="U4074" s="84" t="s">
        <v>3584</v>
      </c>
      <c r="V4074" s="54"/>
    </row>
    <row r="4075" spans="1:22" s="11" customFormat="1" ht="45" customHeight="1" x14ac:dyDescent="0.2">
      <c r="A4075" s="66" t="s">
        <v>14618</v>
      </c>
      <c r="B4075" s="66" t="s">
        <v>1155</v>
      </c>
      <c r="C4075" s="66" t="s">
        <v>14618</v>
      </c>
      <c r="D4075" s="66">
        <v>801310342565</v>
      </c>
      <c r="E4075" s="68" t="s">
        <v>15050</v>
      </c>
      <c r="F4075" s="66" t="s">
        <v>15051</v>
      </c>
      <c r="G4075" s="71">
        <v>7918</v>
      </c>
      <c r="H4075" s="73"/>
      <c r="I4075" s="75">
        <v>0.1</v>
      </c>
      <c r="J4075" s="77"/>
      <c r="K4075" s="66"/>
      <c r="L4075" s="66"/>
      <c r="M4075" s="79" t="str">
        <f>HYPERLINK("http://www.pristavka.com/catalog/r_u_igrushki/ТоуR231/")</f>
        <v>http://www.pristavka.com/catalog/r_u_igrushki/ТоуR231/</v>
      </c>
      <c r="N4075" s="71">
        <v>13199</v>
      </c>
      <c r="O4075" s="66" t="s">
        <v>27</v>
      </c>
      <c r="P4075" s="82" t="s">
        <v>15052</v>
      </c>
      <c r="Q4075" s="84" t="s">
        <v>14622</v>
      </c>
      <c r="R4075" s="84" t="s">
        <v>1212</v>
      </c>
      <c r="S4075" s="84">
        <v>0.33200000000000002</v>
      </c>
      <c r="T4075" s="82" t="s">
        <v>15053</v>
      </c>
      <c r="U4075" s="84" t="s">
        <v>3584</v>
      </c>
      <c r="V4075" s="54"/>
    </row>
    <row r="4076" spans="1:22" s="11" customFormat="1" ht="45" customHeight="1" x14ac:dyDescent="0.2">
      <c r="A4076" s="66" t="s">
        <v>14618</v>
      </c>
      <c r="B4076" s="66" t="s">
        <v>1155</v>
      </c>
      <c r="C4076" s="66" t="s">
        <v>14618</v>
      </c>
      <c r="D4076" s="66">
        <v>31790</v>
      </c>
      <c r="E4076" s="68" t="s">
        <v>15054</v>
      </c>
      <c r="F4076" s="66" t="s">
        <v>15055</v>
      </c>
      <c r="G4076" s="71">
        <v>3452</v>
      </c>
      <c r="H4076" s="73"/>
      <c r="I4076" s="75">
        <v>0.1</v>
      </c>
      <c r="J4076" s="77"/>
      <c r="K4076" s="66"/>
      <c r="L4076" s="66"/>
      <c r="M4076" s="79" t="str">
        <f>HYPERLINK("http://www.pristavka.com/catalog/r_u_igrushki/ТоуR99/")</f>
        <v>http://www.pristavka.com/catalog/r_u_igrushki/ТоуR99/</v>
      </c>
      <c r="N4076" s="71">
        <v>5799</v>
      </c>
      <c r="O4076" s="66" t="s">
        <v>27</v>
      </c>
      <c r="P4076" s="82" t="s">
        <v>15056</v>
      </c>
      <c r="Q4076" s="84" t="s">
        <v>1297</v>
      </c>
      <c r="R4076" s="84" t="s">
        <v>1298</v>
      </c>
      <c r="S4076" s="84">
        <v>7.0000000000000007E-2</v>
      </c>
      <c r="T4076" s="82" t="s">
        <v>15039</v>
      </c>
      <c r="U4076" s="84" t="s">
        <v>3584</v>
      </c>
      <c r="V4076" s="54"/>
    </row>
    <row r="4077" spans="1:22" s="11" customFormat="1" ht="45" customHeight="1" x14ac:dyDescent="0.2">
      <c r="A4077" s="66" t="s">
        <v>14618</v>
      </c>
      <c r="B4077" s="66" t="s">
        <v>1155</v>
      </c>
      <c r="C4077" s="66" t="s">
        <v>14618</v>
      </c>
      <c r="D4077" s="66">
        <v>35847</v>
      </c>
      <c r="E4077" s="68" t="s">
        <v>15057</v>
      </c>
      <c r="F4077" s="66" t="s">
        <v>15058</v>
      </c>
      <c r="G4077" s="71">
        <v>11029</v>
      </c>
      <c r="H4077" s="73"/>
      <c r="I4077" s="75">
        <v>0.1</v>
      </c>
      <c r="J4077" s="77"/>
      <c r="K4077" s="66"/>
      <c r="L4077" s="66"/>
      <c r="M4077" s="79" t="str">
        <f>HYPERLINK("http://www.pristavka.com/catalog/r_u_igrushki/ТоуR356/")</f>
        <v>http://www.pristavka.com/catalog/r_u_igrushki/ТоуR356/</v>
      </c>
      <c r="N4077" s="71">
        <v>18399</v>
      </c>
      <c r="O4077" s="66" t="s">
        <v>27</v>
      </c>
      <c r="P4077" s="82" t="s">
        <v>15059</v>
      </c>
      <c r="Q4077" s="84" t="s">
        <v>15060</v>
      </c>
      <c r="R4077" s="84" t="s">
        <v>3481</v>
      </c>
      <c r="S4077" s="84">
        <v>0.62</v>
      </c>
      <c r="T4077" s="82" t="s">
        <v>15061</v>
      </c>
      <c r="U4077" s="84" t="s">
        <v>3584</v>
      </c>
      <c r="V4077" s="54"/>
    </row>
    <row r="4078" spans="1:22" s="11" customFormat="1" ht="45" customHeight="1" x14ac:dyDescent="0.2">
      <c r="A4078" s="66" t="s">
        <v>14618</v>
      </c>
      <c r="B4078" s="66" t="s">
        <v>1155</v>
      </c>
      <c r="C4078" s="66" t="s">
        <v>14618</v>
      </c>
      <c r="D4078" s="66">
        <v>801310319918</v>
      </c>
      <c r="E4078" s="68" t="s">
        <v>15062</v>
      </c>
      <c r="F4078" s="66" t="s">
        <v>15063</v>
      </c>
      <c r="G4078" s="71">
        <v>22439</v>
      </c>
      <c r="H4078" s="73"/>
      <c r="I4078" s="75">
        <v>0.1</v>
      </c>
      <c r="J4078" s="77"/>
      <c r="K4078" s="66"/>
      <c r="L4078" s="66"/>
      <c r="M4078" s="79" t="str">
        <f>HYPERLINK("http://www.pristavka.com/catalog/r_u_igrushki/ТоуR252/")</f>
        <v>http://www.pristavka.com/catalog/r_u_igrushki/ТоуR252/</v>
      </c>
      <c r="N4078" s="71">
        <v>37399</v>
      </c>
      <c r="O4078" s="66" t="s">
        <v>27</v>
      </c>
      <c r="P4078" s="82" t="s">
        <v>15064</v>
      </c>
      <c r="Q4078" s="84" t="s">
        <v>1102</v>
      </c>
      <c r="R4078" s="84" t="s">
        <v>1303</v>
      </c>
      <c r="S4078" s="84">
        <v>1.51</v>
      </c>
      <c r="T4078" s="82" t="s">
        <v>15065</v>
      </c>
      <c r="U4078" s="84" t="s">
        <v>3584</v>
      </c>
      <c r="V4078" s="54"/>
    </row>
    <row r="4079" spans="1:22" s="11" customFormat="1" ht="45" customHeight="1" x14ac:dyDescent="0.2">
      <c r="A4079" s="66" t="s">
        <v>14618</v>
      </c>
      <c r="B4079" s="66" t="s">
        <v>1155</v>
      </c>
      <c r="C4079" s="66" t="s">
        <v>14618</v>
      </c>
      <c r="D4079" s="66">
        <v>36692</v>
      </c>
      <c r="E4079" s="68" t="s">
        <v>15066</v>
      </c>
      <c r="F4079" s="66" t="s">
        <v>15067</v>
      </c>
      <c r="G4079" s="71">
        <v>7918</v>
      </c>
      <c r="H4079" s="73"/>
      <c r="I4079" s="75">
        <v>0.1</v>
      </c>
      <c r="J4079" s="77"/>
      <c r="K4079" s="66"/>
      <c r="L4079" s="66"/>
      <c r="M4079" s="79" t="str">
        <f>HYPERLINK("http://www.pristavka.com/catalog/r_u_igrushki/ТоуR374/")</f>
        <v>http://www.pristavka.com/catalog/r_u_igrushki/ТоуR374/</v>
      </c>
      <c r="N4079" s="71">
        <v>13199</v>
      </c>
      <c r="O4079" s="66" t="s">
        <v>27</v>
      </c>
      <c r="P4079" s="82" t="s">
        <v>15068</v>
      </c>
      <c r="Q4079" s="84" t="s">
        <v>15060</v>
      </c>
      <c r="R4079" s="84" t="s">
        <v>3481</v>
      </c>
      <c r="S4079" s="84">
        <v>0.44</v>
      </c>
      <c r="T4079" s="82" t="s">
        <v>15069</v>
      </c>
      <c r="U4079" s="84" t="s">
        <v>3584</v>
      </c>
      <c r="V4079" s="54"/>
    </row>
    <row r="4080" spans="1:22" s="11" customFormat="1" ht="45" customHeight="1" x14ac:dyDescent="0.2">
      <c r="A4080" s="66" t="s">
        <v>14618</v>
      </c>
      <c r="B4080" s="66" t="s">
        <v>1155</v>
      </c>
      <c r="C4080" s="66" t="s">
        <v>14618</v>
      </c>
      <c r="D4080" s="66">
        <v>34460</v>
      </c>
      <c r="E4080" s="68" t="s">
        <v>15070</v>
      </c>
      <c r="F4080" s="66" t="s">
        <v>15071</v>
      </c>
      <c r="G4080" s="71">
        <v>12758</v>
      </c>
      <c r="H4080" s="73"/>
      <c r="I4080" s="75">
        <v>0.1</v>
      </c>
      <c r="J4080" s="77"/>
      <c r="K4080" s="66"/>
      <c r="L4080" s="66"/>
      <c r="M4080" s="79" t="str">
        <f>HYPERLINK("http://www.pristavka.com/catalog/r_u_igrushki/ТоуR170/")</f>
        <v>http://www.pristavka.com/catalog/r_u_igrushki/ТоуR170/</v>
      </c>
      <c r="N4080" s="71">
        <v>21299</v>
      </c>
      <c r="O4080" s="66" t="s">
        <v>27</v>
      </c>
      <c r="P4080" s="82" t="s">
        <v>15072</v>
      </c>
      <c r="Q4080" s="84" t="s">
        <v>1297</v>
      </c>
      <c r="R4080" s="84" t="s">
        <v>1298</v>
      </c>
      <c r="S4080" s="84">
        <v>0.58899999999999997</v>
      </c>
      <c r="T4080" s="82" t="s">
        <v>15073</v>
      </c>
      <c r="U4080" s="84" t="s">
        <v>3584</v>
      </c>
      <c r="V4080" s="54"/>
    </row>
    <row r="4081" spans="1:22" s="11" customFormat="1" ht="45" customHeight="1" x14ac:dyDescent="0.2">
      <c r="A4081" s="66" t="s">
        <v>14618</v>
      </c>
      <c r="B4081" s="66" t="s">
        <v>1155</v>
      </c>
      <c r="C4081" s="66" t="s">
        <v>14618</v>
      </c>
      <c r="D4081" s="66">
        <v>2000901230825</v>
      </c>
      <c r="E4081" s="68" t="s">
        <v>15074</v>
      </c>
      <c r="F4081" s="66" t="s">
        <v>15075</v>
      </c>
      <c r="G4081" s="71">
        <v>2933</v>
      </c>
      <c r="H4081" s="73"/>
      <c r="I4081" s="75">
        <v>0.1</v>
      </c>
      <c r="J4081" s="77"/>
      <c r="K4081" s="66"/>
      <c r="L4081" s="66"/>
      <c r="M4081" s="79" t="str">
        <f>HYPERLINK("http://www.pristavka.com/catalog/r_u_igrushki/ТоуR324/")</f>
        <v>http://www.pristavka.com/catalog/r_u_igrushki/ТоуR324/</v>
      </c>
      <c r="N4081" s="71">
        <v>4899</v>
      </c>
      <c r="O4081" s="66" t="s">
        <v>28</v>
      </c>
      <c r="P4081" s="82" t="s">
        <v>15076</v>
      </c>
      <c r="Q4081" s="84" t="s">
        <v>3566</v>
      </c>
      <c r="R4081" s="84" t="s">
        <v>3566</v>
      </c>
      <c r="S4081" s="84">
        <v>0.05</v>
      </c>
      <c r="T4081" s="82" t="s">
        <v>15077</v>
      </c>
      <c r="U4081" s="84" t="s">
        <v>3584</v>
      </c>
      <c r="V4081" s="54"/>
    </row>
    <row r="4082" spans="1:22" s="11" customFormat="1" ht="45" customHeight="1" x14ac:dyDescent="0.2">
      <c r="A4082" s="66" t="s">
        <v>14618</v>
      </c>
      <c r="B4082" s="66" t="s">
        <v>1155</v>
      </c>
      <c r="C4082" s="66" t="s">
        <v>14618</v>
      </c>
      <c r="D4082" s="66">
        <v>2000901230702</v>
      </c>
      <c r="E4082" s="68" t="s">
        <v>15078</v>
      </c>
      <c r="F4082" s="66" t="s">
        <v>15079</v>
      </c>
      <c r="G4082" s="71">
        <v>2933</v>
      </c>
      <c r="H4082" s="73"/>
      <c r="I4082" s="75">
        <v>0.1</v>
      </c>
      <c r="J4082" s="77"/>
      <c r="K4082" s="66"/>
      <c r="L4082" s="66"/>
      <c r="M4082" s="79" t="str">
        <f>HYPERLINK("http://www.pristavka.com/catalog/r_u_igrushki/ТоуR312/")</f>
        <v>http://www.pristavka.com/catalog/r_u_igrushki/ТоуR312/</v>
      </c>
      <c r="N4082" s="71">
        <v>4899</v>
      </c>
      <c r="O4082" s="66" t="s">
        <v>27</v>
      </c>
      <c r="P4082" s="82" t="s">
        <v>15080</v>
      </c>
      <c r="Q4082" s="84" t="s">
        <v>1436</v>
      </c>
      <c r="R4082" s="84" t="s">
        <v>1068</v>
      </c>
      <c r="S4082" s="84">
        <v>6.6000000000000003E-2</v>
      </c>
      <c r="T4082" s="82" t="s">
        <v>15077</v>
      </c>
      <c r="U4082" s="84" t="s">
        <v>3584</v>
      </c>
      <c r="V4082" s="54"/>
    </row>
    <row r="4083" spans="1:22" s="11" customFormat="1" ht="45" customHeight="1" x14ac:dyDescent="0.2">
      <c r="A4083" s="66" t="s">
        <v>14618</v>
      </c>
      <c r="B4083" s="66" t="s">
        <v>1155</v>
      </c>
      <c r="C4083" s="66" t="s">
        <v>14618</v>
      </c>
      <c r="D4083" s="66">
        <v>2000901230689</v>
      </c>
      <c r="E4083" s="68" t="s">
        <v>15081</v>
      </c>
      <c r="F4083" s="66" t="s">
        <v>15082</v>
      </c>
      <c r="G4083" s="71">
        <v>2933</v>
      </c>
      <c r="H4083" s="73"/>
      <c r="I4083" s="75">
        <v>0.1</v>
      </c>
      <c r="J4083" s="77"/>
      <c r="K4083" s="66"/>
      <c r="L4083" s="66"/>
      <c r="M4083" s="79" t="str">
        <f>HYPERLINK("http://www.pristavka.com/catalog/r_u_igrushki/ТоуR310/")</f>
        <v>http://www.pristavka.com/catalog/r_u_igrushki/ТоуR310/</v>
      </c>
      <c r="N4083" s="71">
        <v>4899</v>
      </c>
      <c r="O4083" s="66" t="s">
        <v>27</v>
      </c>
      <c r="P4083" s="82" t="s">
        <v>15083</v>
      </c>
      <c r="Q4083" s="84" t="s">
        <v>1436</v>
      </c>
      <c r="R4083" s="84" t="s">
        <v>1068</v>
      </c>
      <c r="S4083" s="84">
        <v>6.8000000000000005E-2</v>
      </c>
      <c r="T4083" s="82" t="s">
        <v>15077</v>
      </c>
      <c r="U4083" s="84" t="s">
        <v>3584</v>
      </c>
      <c r="V4083" s="54"/>
    </row>
    <row r="4084" spans="1:22" s="11" customFormat="1" ht="45" customHeight="1" x14ac:dyDescent="0.2">
      <c r="A4084" s="66" t="s">
        <v>14618</v>
      </c>
      <c r="B4084" s="66" t="s">
        <v>1155</v>
      </c>
      <c r="C4084" s="66" t="s">
        <v>14618</v>
      </c>
      <c r="D4084" s="66">
        <v>2000901229584</v>
      </c>
      <c r="E4084" s="68" t="s">
        <v>15084</v>
      </c>
      <c r="F4084" s="66" t="s">
        <v>15085</v>
      </c>
      <c r="G4084" s="71">
        <v>2587</v>
      </c>
      <c r="H4084" s="73"/>
      <c r="I4084" s="75">
        <v>0.1</v>
      </c>
      <c r="J4084" s="77"/>
      <c r="K4084" s="66"/>
      <c r="L4084" s="66"/>
      <c r="M4084" s="79" t="str">
        <f>HYPERLINK("http://www.pristavka.com/catalog/r_u_igrushki/ТоуR298/")</f>
        <v>http://www.pristavka.com/catalog/r_u_igrushki/ТоуR298/</v>
      </c>
      <c r="N4084" s="71">
        <v>4399</v>
      </c>
      <c r="O4084" s="66" t="s">
        <v>27</v>
      </c>
      <c r="P4084" s="82" t="s">
        <v>15086</v>
      </c>
      <c r="Q4084" s="84" t="s">
        <v>7711</v>
      </c>
      <c r="R4084" s="84" t="s">
        <v>1303</v>
      </c>
      <c r="S4084" s="84">
        <v>0.10199999999999999</v>
      </c>
      <c r="T4084" s="82" t="s">
        <v>15077</v>
      </c>
      <c r="U4084" s="84" t="s">
        <v>3584</v>
      </c>
      <c r="V4084" s="54"/>
    </row>
    <row r="4085" spans="1:22" s="11" customFormat="1" ht="45" customHeight="1" x14ac:dyDescent="0.2">
      <c r="A4085" s="66" t="s">
        <v>14618</v>
      </c>
      <c r="B4085" s="66" t="s">
        <v>1155</v>
      </c>
      <c r="C4085" s="66" t="s">
        <v>14618</v>
      </c>
      <c r="D4085" s="66">
        <v>2000901229591</v>
      </c>
      <c r="E4085" s="68" t="s">
        <v>15087</v>
      </c>
      <c r="F4085" s="66" t="s">
        <v>15088</v>
      </c>
      <c r="G4085" s="71">
        <v>2587</v>
      </c>
      <c r="H4085" s="73"/>
      <c r="I4085" s="75">
        <v>0.1</v>
      </c>
      <c r="J4085" s="77"/>
      <c r="K4085" s="66"/>
      <c r="L4085" s="66"/>
      <c r="M4085" s="79" t="str">
        <f>HYPERLINK("http://www.pristavka.com/catalog/r_u_igrushki/ТоуR299")</f>
        <v>http://www.pristavka.com/catalog/r_u_igrushki/ТоуR299</v>
      </c>
      <c r="N4085" s="71">
        <v>4399</v>
      </c>
      <c r="O4085" s="66" t="s">
        <v>27</v>
      </c>
      <c r="P4085" s="82" t="s">
        <v>15089</v>
      </c>
      <c r="Q4085" s="84" t="s">
        <v>7711</v>
      </c>
      <c r="R4085" s="84" t="s">
        <v>1303</v>
      </c>
      <c r="S4085" s="84">
        <v>0.09</v>
      </c>
      <c r="T4085" s="82" t="s">
        <v>15077</v>
      </c>
      <c r="U4085" s="84" t="s">
        <v>3584</v>
      </c>
      <c r="V4085" s="54"/>
    </row>
    <row r="4086" spans="1:22" s="11" customFormat="1" ht="45" customHeight="1" x14ac:dyDescent="0.2">
      <c r="A4086" s="66" t="s">
        <v>14618</v>
      </c>
      <c r="B4086" s="66" t="s">
        <v>1155</v>
      </c>
      <c r="C4086" s="66" t="s">
        <v>14618</v>
      </c>
      <c r="D4086" s="66">
        <v>2000901229560</v>
      </c>
      <c r="E4086" s="68" t="s">
        <v>15090</v>
      </c>
      <c r="F4086" s="66" t="s">
        <v>15091</v>
      </c>
      <c r="G4086" s="71">
        <v>2587</v>
      </c>
      <c r="H4086" s="73"/>
      <c r="I4086" s="75">
        <v>0.1</v>
      </c>
      <c r="J4086" s="77"/>
      <c r="K4086" s="66"/>
      <c r="L4086" s="66"/>
      <c r="M4086" s="79" t="str">
        <f>HYPERLINK("http://www.pristavka.com/catalog/r_u_igrushki/ТоуR296/")</f>
        <v>http://www.pristavka.com/catalog/r_u_igrushki/ТоуR296/</v>
      </c>
      <c r="N4086" s="71">
        <v>4399</v>
      </c>
      <c r="O4086" s="66" t="s">
        <v>27</v>
      </c>
      <c r="P4086" s="82" t="s">
        <v>15092</v>
      </c>
      <c r="Q4086" s="84" t="s">
        <v>7711</v>
      </c>
      <c r="R4086" s="84" t="s">
        <v>1303</v>
      </c>
      <c r="S4086" s="84">
        <v>7.3999999999999996E-2</v>
      </c>
      <c r="T4086" s="82" t="s">
        <v>15077</v>
      </c>
      <c r="U4086" s="84" t="s">
        <v>3584</v>
      </c>
      <c r="V4086" s="54"/>
    </row>
    <row r="4087" spans="1:22" s="11" customFormat="1" ht="45" customHeight="1" x14ac:dyDescent="0.2">
      <c r="A4087" s="66" t="s">
        <v>14618</v>
      </c>
      <c r="B4087" s="66" t="s">
        <v>1155</v>
      </c>
      <c r="C4087" s="66" t="s">
        <v>14618</v>
      </c>
      <c r="D4087" s="66">
        <v>2000901229577</v>
      </c>
      <c r="E4087" s="68" t="s">
        <v>15093</v>
      </c>
      <c r="F4087" s="66" t="s">
        <v>15094</v>
      </c>
      <c r="G4087" s="71">
        <v>2587</v>
      </c>
      <c r="H4087" s="73"/>
      <c r="I4087" s="75">
        <v>0.1</v>
      </c>
      <c r="J4087" s="77"/>
      <c r="K4087" s="66"/>
      <c r="L4087" s="66"/>
      <c r="M4087" s="79" t="str">
        <f>HYPERLINK("http://www.pristavka.com/catalog/r_u_igrushki/ТоуR297/")</f>
        <v>http://www.pristavka.com/catalog/r_u_igrushki/ТоуR297/</v>
      </c>
      <c r="N4087" s="71">
        <v>4399</v>
      </c>
      <c r="O4087" s="66" t="s">
        <v>27</v>
      </c>
      <c r="P4087" s="82" t="s">
        <v>15095</v>
      </c>
      <c r="Q4087" s="84" t="s">
        <v>7711</v>
      </c>
      <c r="R4087" s="84" t="s">
        <v>1303</v>
      </c>
      <c r="S4087" s="84">
        <v>0.08</v>
      </c>
      <c r="T4087" s="82" t="s">
        <v>15077</v>
      </c>
      <c r="U4087" s="84" t="s">
        <v>3584</v>
      </c>
      <c r="V4087" s="54"/>
    </row>
    <row r="4088" spans="1:22" s="11" customFormat="1" ht="45" customHeight="1" x14ac:dyDescent="0.2">
      <c r="A4088" s="66" t="s">
        <v>14618</v>
      </c>
      <c r="B4088" s="66" t="s">
        <v>1155</v>
      </c>
      <c r="C4088" s="66" t="s">
        <v>14618</v>
      </c>
      <c r="D4088" s="66">
        <v>2000901229607</v>
      </c>
      <c r="E4088" s="68" t="s">
        <v>15096</v>
      </c>
      <c r="F4088" s="66" t="s">
        <v>15097</v>
      </c>
      <c r="G4088" s="71">
        <v>3452</v>
      </c>
      <c r="H4088" s="73"/>
      <c r="I4088" s="75">
        <v>0.1</v>
      </c>
      <c r="J4088" s="77"/>
      <c r="K4088" s="66"/>
      <c r="L4088" s="66"/>
      <c r="M4088" s="79" t="str">
        <f>HYPERLINK("http://www.pristavka.com/catalog/r_u_igrushki/ТоуR300/")</f>
        <v>http://www.pristavka.com/catalog/r_u_igrushki/ТоуR300/</v>
      </c>
      <c r="N4088" s="71">
        <v>5799</v>
      </c>
      <c r="O4088" s="66" t="s">
        <v>28</v>
      </c>
      <c r="P4088" s="82" t="s">
        <v>15098</v>
      </c>
      <c r="Q4088" s="84" t="s">
        <v>3566</v>
      </c>
      <c r="R4088" s="84" t="s">
        <v>3566</v>
      </c>
      <c r="S4088" s="84">
        <v>7.8E-2</v>
      </c>
      <c r="T4088" s="82" t="s">
        <v>15077</v>
      </c>
      <c r="U4088" s="84" t="s">
        <v>3584</v>
      </c>
      <c r="V4088" s="54"/>
    </row>
    <row r="4089" spans="1:22" s="11" customFormat="1" ht="45" customHeight="1" x14ac:dyDescent="0.2">
      <c r="A4089" s="66" t="s">
        <v>14618</v>
      </c>
      <c r="B4089" s="66" t="s">
        <v>1155</v>
      </c>
      <c r="C4089" s="66" t="s">
        <v>14618</v>
      </c>
      <c r="D4089" s="66">
        <v>2000901229478</v>
      </c>
      <c r="E4089" s="68" t="s">
        <v>15099</v>
      </c>
      <c r="F4089" s="66" t="s">
        <v>15100</v>
      </c>
      <c r="G4089" s="71">
        <v>2414</v>
      </c>
      <c r="H4089" s="73"/>
      <c r="I4089" s="75">
        <v>0.1</v>
      </c>
      <c r="J4089" s="77"/>
      <c r="K4089" s="66"/>
      <c r="L4089" s="66"/>
      <c r="M4089" s="79" t="str">
        <f>HYPERLINK("http://www.pristavka.com/catalog/r_u_igrushki/ТоуR287/")</f>
        <v>http://www.pristavka.com/catalog/r_u_igrushki/ТоуR287/</v>
      </c>
      <c r="N4089" s="71">
        <v>4099</v>
      </c>
      <c r="O4089" s="66" t="s">
        <v>28</v>
      </c>
      <c r="P4089" s="82" t="s">
        <v>15101</v>
      </c>
      <c r="Q4089" s="84" t="s">
        <v>4587</v>
      </c>
      <c r="R4089" s="84" t="s">
        <v>1303</v>
      </c>
      <c r="S4089" s="84">
        <v>8.7999999999999995E-2</v>
      </c>
      <c r="T4089" s="82" t="s">
        <v>15077</v>
      </c>
      <c r="U4089" s="84" t="s">
        <v>3584</v>
      </c>
      <c r="V4089" s="54"/>
    </row>
    <row r="4090" spans="1:22" s="11" customFormat="1" ht="45" customHeight="1" x14ac:dyDescent="0.2">
      <c r="A4090" s="66" t="s">
        <v>14618</v>
      </c>
      <c r="B4090" s="66" t="s">
        <v>1155</v>
      </c>
      <c r="C4090" s="66" t="s">
        <v>14618</v>
      </c>
      <c r="D4090" s="66" t="s">
        <v>15102</v>
      </c>
      <c r="E4090" s="68" t="s">
        <v>15103</v>
      </c>
      <c r="F4090" s="66" t="s">
        <v>15104</v>
      </c>
      <c r="G4090" s="71">
        <v>2760</v>
      </c>
      <c r="H4090" s="73"/>
      <c r="I4090" s="75">
        <v>0.1</v>
      </c>
      <c r="J4090" s="77"/>
      <c r="K4090" s="66"/>
      <c r="L4090" s="66"/>
      <c r="M4090" s="79" t="str">
        <f>HYPERLINK("http://www.pristavka.com/catalog/r_u_igrushki/ТоуR386/")</f>
        <v>http://www.pristavka.com/catalog/r_u_igrushki/ТоуR386/</v>
      </c>
      <c r="N4090" s="71">
        <v>4699</v>
      </c>
      <c r="O4090" s="66" t="s">
        <v>28</v>
      </c>
      <c r="P4090" s="82" t="s">
        <v>15105</v>
      </c>
      <c r="Q4090" s="84" t="s">
        <v>15060</v>
      </c>
      <c r="R4090" s="84" t="s">
        <v>3481</v>
      </c>
      <c r="S4090" s="84">
        <v>0.13</v>
      </c>
      <c r="T4090" s="82" t="s">
        <v>15106</v>
      </c>
      <c r="U4090" s="84" t="s">
        <v>3584</v>
      </c>
      <c r="V4090" s="54"/>
    </row>
    <row r="4091" spans="1:22" s="11" customFormat="1" ht="45" customHeight="1" x14ac:dyDescent="0.2">
      <c r="A4091" s="66" t="s">
        <v>14618</v>
      </c>
      <c r="B4091" s="66" t="s">
        <v>1155</v>
      </c>
      <c r="C4091" s="66" t="s">
        <v>14618</v>
      </c>
      <c r="D4091" s="66" t="s">
        <v>15102</v>
      </c>
      <c r="E4091" s="68" t="s">
        <v>15107</v>
      </c>
      <c r="F4091" s="66" t="s">
        <v>15108</v>
      </c>
      <c r="G4091" s="71">
        <v>2760</v>
      </c>
      <c r="H4091" s="73"/>
      <c r="I4091" s="75">
        <v>0.1</v>
      </c>
      <c r="J4091" s="77"/>
      <c r="K4091" s="66"/>
      <c r="L4091" s="66"/>
      <c r="M4091" s="79" t="str">
        <f>HYPERLINK("http://www.pristavka.com/catalog/r_u_igrushki/ТоуR385/")</f>
        <v>http://www.pristavka.com/catalog/r_u_igrushki/ТоуR385/</v>
      </c>
      <c r="N4091" s="71">
        <v>4699</v>
      </c>
      <c r="O4091" s="66" t="s">
        <v>27</v>
      </c>
      <c r="P4091" s="82" t="s">
        <v>15109</v>
      </c>
      <c r="Q4091" s="84" t="s">
        <v>15060</v>
      </c>
      <c r="R4091" s="84" t="s">
        <v>3481</v>
      </c>
      <c r="S4091" s="84">
        <v>0.13</v>
      </c>
      <c r="T4091" s="82" t="s">
        <v>15106</v>
      </c>
      <c r="U4091" s="84" t="s">
        <v>3584</v>
      </c>
      <c r="V4091" s="54"/>
    </row>
    <row r="4092" spans="1:22" s="11" customFormat="1" ht="45" customHeight="1" x14ac:dyDescent="0.2">
      <c r="A4092" s="66" t="s">
        <v>14618</v>
      </c>
      <c r="B4092" s="66" t="s">
        <v>1155</v>
      </c>
      <c r="C4092" s="66" t="s">
        <v>14618</v>
      </c>
      <c r="D4092" s="66" t="s">
        <v>15102</v>
      </c>
      <c r="E4092" s="68" t="s">
        <v>15110</v>
      </c>
      <c r="F4092" s="66" t="s">
        <v>15111</v>
      </c>
      <c r="G4092" s="71">
        <v>2760</v>
      </c>
      <c r="H4092" s="73"/>
      <c r="I4092" s="75">
        <v>0.1</v>
      </c>
      <c r="J4092" s="77"/>
      <c r="K4092" s="66"/>
      <c r="L4092" s="66"/>
      <c r="M4092" s="79" t="str">
        <f>HYPERLINK("http://www.pristavka.com/catalog/r_u_igrushki/ТоуR387/")</f>
        <v>http://www.pristavka.com/catalog/r_u_igrushki/ТоуR387/</v>
      </c>
      <c r="N4092" s="71">
        <v>4699</v>
      </c>
      <c r="O4092" s="66" t="s">
        <v>27</v>
      </c>
      <c r="P4092" s="82" t="s">
        <v>15112</v>
      </c>
      <c r="Q4092" s="84" t="s">
        <v>15060</v>
      </c>
      <c r="R4092" s="84" t="s">
        <v>3481</v>
      </c>
      <c r="S4092" s="84">
        <v>0.13</v>
      </c>
      <c r="T4092" s="82" t="s">
        <v>15106</v>
      </c>
      <c r="U4092" s="84" t="s">
        <v>3584</v>
      </c>
      <c r="V4092" s="54"/>
    </row>
    <row r="4093" spans="1:22" s="11" customFormat="1" ht="45" customHeight="1" x14ac:dyDescent="0.2">
      <c r="A4093" s="66" t="s">
        <v>14618</v>
      </c>
      <c r="B4093" s="66" t="s">
        <v>1155</v>
      </c>
      <c r="C4093" s="66" t="s">
        <v>14618</v>
      </c>
      <c r="D4093" s="66" t="s">
        <v>15102</v>
      </c>
      <c r="E4093" s="68" t="s">
        <v>15113</v>
      </c>
      <c r="F4093" s="66" t="s">
        <v>15114</v>
      </c>
      <c r="G4093" s="71">
        <v>2760</v>
      </c>
      <c r="H4093" s="73"/>
      <c r="I4093" s="75">
        <v>0.1</v>
      </c>
      <c r="J4093" s="77"/>
      <c r="K4093" s="66"/>
      <c r="L4093" s="66"/>
      <c r="M4093" s="79" t="str">
        <f>HYPERLINK("http://www.pristavka.com/catalog/r_u_igrushki/ТоуR384/")</f>
        <v>http://www.pristavka.com/catalog/r_u_igrushki/ТоуR384/</v>
      </c>
      <c r="N4093" s="71">
        <v>4699</v>
      </c>
      <c r="O4093" s="66" t="s">
        <v>27</v>
      </c>
      <c r="P4093" s="82" t="s">
        <v>15115</v>
      </c>
      <c r="Q4093" s="84" t="s">
        <v>15060</v>
      </c>
      <c r="R4093" s="84" t="s">
        <v>3481</v>
      </c>
      <c r="S4093" s="84">
        <v>0.13</v>
      </c>
      <c r="T4093" s="82" t="s">
        <v>15106</v>
      </c>
      <c r="U4093" s="84" t="s">
        <v>3584</v>
      </c>
      <c r="V4093" s="54"/>
    </row>
    <row r="4094" spans="1:22" s="11" customFormat="1" ht="45" customHeight="1" x14ac:dyDescent="0.2">
      <c r="A4094" s="66" t="s">
        <v>14618</v>
      </c>
      <c r="B4094" s="66" t="s">
        <v>1155</v>
      </c>
      <c r="C4094" s="66" t="s">
        <v>14618</v>
      </c>
      <c r="D4094" s="66">
        <v>84483</v>
      </c>
      <c r="E4094" s="68" t="s">
        <v>15116</v>
      </c>
      <c r="F4094" s="66" t="s">
        <v>15117</v>
      </c>
      <c r="G4094" s="71">
        <v>1031</v>
      </c>
      <c r="H4094" s="73"/>
      <c r="I4094" s="75">
        <v>0.1</v>
      </c>
      <c r="J4094" s="77"/>
      <c r="K4094" s="66"/>
      <c r="L4094" s="66"/>
      <c r="M4094" s="79" t="str">
        <f>HYPERLINK("http://www.pristavka.com/catalog/r_u_igrushki/ТоуR168/")</f>
        <v>http://www.pristavka.com/catalog/r_u_igrushki/ТоуR168/</v>
      </c>
      <c r="N4094" s="71">
        <v>1799</v>
      </c>
      <c r="O4094" s="66" t="s">
        <v>27</v>
      </c>
      <c r="P4094" s="82" t="s">
        <v>15118</v>
      </c>
      <c r="Q4094" s="84" t="s">
        <v>15119</v>
      </c>
      <c r="R4094" s="84" t="s">
        <v>1298</v>
      </c>
      <c r="S4094" s="84">
        <v>4.1000000000000002E-2</v>
      </c>
      <c r="T4094" s="82" t="s">
        <v>15120</v>
      </c>
      <c r="U4094" s="84" t="s">
        <v>3584</v>
      </c>
      <c r="V4094" s="54"/>
    </row>
    <row r="4095" spans="1:22" s="11" customFormat="1" ht="45" customHeight="1" x14ac:dyDescent="0.2">
      <c r="A4095" s="66" t="s">
        <v>14618</v>
      </c>
      <c r="B4095" s="66" t="s">
        <v>1155</v>
      </c>
      <c r="C4095" s="66" t="s">
        <v>14618</v>
      </c>
      <c r="D4095" s="66">
        <v>31849</v>
      </c>
      <c r="E4095" s="68" t="s">
        <v>15121</v>
      </c>
      <c r="F4095" s="66" t="s">
        <v>15122</v>
      </c>
      <c r="G4095" s="71">
        <v>6880</v>
      </c>
      <c r="H4095" s="73"/>
      <c r="I4095" s="75">
        <v>0.1</v>
      </c>
      <c r="J4095" s="77"/>
      <c r="K4095" s="66"/>
      <c r="L4095" s="66"/>
      <c r="M4095" s="79" t="str">
        <f>HYPERLINK("http://www.pristavka.com/catalog/r_u_igrushki/ТоуR69/")</f>
        <v>http://www.pristavka.com/catalog/r_u_igrushki/ТоуR69/</v>
      </c>
      <c r="N4095" s="71">
        <v>11499</v>
      </c>
      <c r="O4095" s="66" t="s">
        <v>27</v>
      </c>
      <c r="P4095" s="82" t="s">
        <v>15123</v>
      </c>
      <c r="Q4095" s="84" t="s">
        <v>1297</v>
      </c>
      <c r="R4095" s="84" t="s">
        <v>1298</v>
      </c>
      <c r="S4095" s="84">
        <v>0.32700000000000001</v>
      </c>
      <c r="T4095" s="82" t="s">
        <v>15124</v>
      </c>
      <c r="U4095" s="84" t="s">
        <v>3584</v>
      </c>
      <c r="V4095" s="54"/>
    </row>
    <row r="4096" spans="1:22" s="11" customFormat="1" ht="45" customHeight="1" x14ac:dyDescent="0.2">
      <c r="A4096" s="66" t="s">
        <v>14618</v>
      </c>
      <c r="B4096" s="66" t="s">
        <v>1155</v>
      </c>
      <c r="C4096" s="66" t="s">
        <v>14618</v>
      </c>
      <c r="D4096" s="66">
        <v>31850</v>
      </c>
      <c r="E4096" s="68" t="s">
        <v>15125</v>
      </c>
      <c r="F4096" s="66" t="s">
        <v>15126</v>
      </c>
      <c r="G4096" s="71">
        <v>6880</v>
      </c>
      <c r="H4096" s="73"/>
      <c r="I4096" s="75">
        <v>0.1</v>
      </c>
      <c r="J4096" s="77"/>
      <c r="K4096" s="66"/>
      <c r="L4096" s="66"/>
      <c r="M4096" s="79" t="str">
        <f>HYPERLINK("http://www.pristavka.com/catalog/r_u_igrushki/ТоуR70/")</f>
        <v>http://www.pristavka.com/catalog/r_u_igrushki/ТоуR70/</v>
      </c>
      <c r="N4096" s="71">
        <v>11499</v>
      </c>
      <c r="O4096" s="66" t="s">
        <v>27</v>
      </c>
      <c r="P4096" s="82" t="s">
        <v>15127</v>
      </c>
      <c r="Q4096" s="84" t="s">
        <v>1297</v>
      </c>
      <c r="R4096" s="84" t="s">
        <v>1298</v>
      </c>
      <c r="S4096" s="84">
        <v>0.34200000000000003</v>
      </c>
      <c r="T4096" s="82" t="s">
        <v>15128</v>
      </c>
      <c r="U4096" s="84" t="s">
        <v>3584</v>
      </c>
      <c r="V4096" s="54"/>
    </row>
    <row r="4097" spans="1:22" s="11" customFormat="1" ht="45" customHeight="1" x14ac:dyDescent="0.2">
      <c r="A4097" s="66" t="s">
        <v>14618</v>
      </c>
      <c r="B4097" s="66" t="s">
        <v>1155</v>
      </c>
      <c r="C4097" s="66" t="s">
        <v>14618</v>
      </c>
      <c r="D4097" s="66">
        <v>31848</v>
      </c>
      <c r="E4097" s="68" t="s">
        <v>15129</v>
      </c>
      <c r="F4097" s="66" t="s">
        <v>15130</v>
      </c>
      <c r="G4097" s="71">
        <v>6880</v>
      </c>
      <c r="H4097" s="73"/>
      <c r="I4097" s="75">
        <v>0.1</v>
      </c>
      <c r="J4097" s="77"/>
      <c r="K4097" s="66"/>
      <c r="L4097" s="66"/>
      <c r="M4097" s="79" t="str">
        <f>HYPERLINK("http://www.pristavka.com/catalog/r_u_igrushki/ТоуR68/")</f>
        <v>http://www.pristavka.com/catalog/r_u_igrushki/ТоуR68/</v>
      </c>
      <c r="N4097" s="71">
        <v>11499</v>
      </c>
      <c r="O4097" s="66" t="s">
        <v>27</v>
      </c>
      <c r="P4097" s="82" t="s">
        <v>15131</v>
      </c>
      <c r="Q4097" s="84" t="s">
        <v>1297</v>
      </c>
      <c r="R4097" s="84" t="s">
        <v>1298</v>
      </c>
      <c r="S4097" s="84">
        <v>0.33400000000000002</v>
      </c>
      <c r="T4097" s="82" t="s">
        <v>15128</v>
      </c>
      <c r="U4097" s="84" t="s">
        <v>3584</v>
      </c>
      <c r="V4097" s="54"/>
    </row>
    <row r="4098" spans="1:22" s="11" customFormat="1" ht="45" customHeight="1" x14ac:dyDescent="0.2">
      <c r="A4098" s="66" t="s">
        <v>14618</v>
      </c>
      <c r="B4098" s="66" t="s">
        <v>1155</v>
      </c>
      <c r="C4098" s="66" t="s">
        <v>14618</v>
      </c>
      <c r="D4098" s="66">
        <v>31794</v>
      </c>
      <c r="E4098" s="68" t="s">
        <v>15132</v>
      </c>
      <c r="F4098" s="66" t="s">
        <v>15133</v>
      </c>
      <c r="G4098" s="71">
        <v>6880</v>
      </c>
      <c r="H4098" s="73"/>
      <c r="I4098" s="75">
        <v>0.1</v>
      </c>
      <c r="J4098" s="77"/>
      <c r="K4098" s="66"/>
      <c r="L4098" s="66"/>
      <c r="M4098" s="79" t="str">
        <f>HYPERLINK("http://www.pristavka.com/catalog/r_u_igrushki/ТоуR67/")</f>
        <v>http://www.pristavka.com/catalog/r_u_igrushki/ТоуR67/</v>
      </c>
      <c r="N4098" s="71">
        <v>11499</v>
      </c>
      <c r="O4098" s="66" t="s">
        <v>27</v>
      </c>
      <c r="P4098" s="82" t="s">
        <v>15134</v>
      </c>
      <c r="Q4098" s="84" t="s">
        <v>1297</v>
      </c>
      <c r="R4098" s="84" t="s">
        <v>1298</v>
      </c>
      <c r="S4098" s="84">
        <v>0.33300000000000002</v>
      </c>
      <c r="T4098" s="82" t="s">
        <v>15124</v>
      </c>
      <c r="U4098" s="84" t="s">
        <v>3584</v>
      </c>
      <c r="V4098" s="54"/>
    </row>
    <row r="4099" spans="1:22" s="11" customFormat="1" ht="45" customHeight="1" x14ac:dyDescent="0.2">
      <c r="A4099" s="66" t="s">
        <v>15135</v>
      </c>
      <c r="B4099" s="66" t="s">
        <v>1707</v>
      </c>
      <c r="C4099" s="66" t="s">
        <v>15135</v>
      </c>
      <c r="D4099" s="66" t="s">
        <v>15136</v>
      </c>
      <c r="E4099" s="68" t="s">
        <v>15137</v>
      </c>
      <c r="F4099" s="66" t="s">
        <v>15136</v>
      </c>
      <c r="G4099" s="71">
        <v>19233</v>
      </c>
      <c r="H4099" s="73"/>
      <c r="I4099" s="75">
        <v>0.2</v>
      </c>
      <c r="J4099" s="77" t="s">
        <v>18272</v>
      </c>
      <c r="K4099" s="66"/>
      <c r="L4099" s="66"/>
      <c r="M4099" s="79" t="str">
        <f>HYPERLINK("http://www.pristavka.com/catalog/JOYTOY/JT7912/")</f>
        <v>http://www.pristavka.com/catalog/JOYTOY/JT7912/</v>
      </c>
      <c r="N4099" s="71">
        <v>25645</v>
      </c>
      <c r="O4099" s="66" t="s">
        <v>28</v>
      </c>
      <c r="P4099" s="82" t="s">
        <v>15138</v>
      </c>
      <c r="Q4099" s="84" t="s">
        <v>15139</v>
      </c>
      <c r="R4099" s="84"/>
      <c r="S4099" s="84">
        <v>0.17899999999999999</v>
      </c>
      <c r="T4099" s="82" t="s">
        <v>15140</v>
      </c>
      <c r="U4099" s="84" t="s">
        <v>2255</v>
      </c>
      <c r="V4099" s="54"/>
    </row>
    <row r="4100" spans="1:22" s="11" customFormat="1" ht="45" customHeight="1" x14ac:dyDescent="0.2">
      <c r="A4100" s="66" t="s">
        <v>15135</v>
      </c>
      <c r="B4100" s="66" t="s">
        <v>1707</v>
      </c>
      <c r="C4100" s="66" t="s">
        <v>15135</v>
      </c>
      <c r="D4100" s="66" t="s">
        <v>15141</v>
      </c>
      <c r="E4100" s="68" t="s">
        <v>15142</v>
      </c>
      <c r="F4100" s="66" t="s">
        <v>15141</v>
      </c>
      <c r="G4100" s="71">
        <v>26714</v>
      </c>
      <c r="H4100" s="73"/>
      <c r="I4100" s="75">
        <v>0.2</v>
      </c>
      <c r="J4100" s="77" t="s">
        <v>18273</v>
      </c>
      <c r="K4100" s="66"/>
      <c r="L4100" s="66"/>
      <c r="M4100" s="79" t="str">
        <f>HYPERLINK("http://www.pristavka.com/catalog/JOYTOY/JT5130/")</f>
        <v>http://www.pristavka.com/catalog/JOYTOY/JT5130/</v>
      </c>
      <c r="N4100" s="71">
        <v>35620</v>
      </c>
      <c r="O4100" s="66" t="s">
        <v>27</v>
      </c>
      <c r="P4100" s="82" t="s">
        <v>15143</v>
      </c>
      <c r="Q4100" s="84" t="s">
        <v>15139</v>
      </c>
      <c r="R4100" s="84"/>
      <c r="S4100" s="84">
        <v>0.19800000000000001</v>
      </c>
      <c r="T4100" s="82" t="s">
        <v>15144</v>
      </c>
      <c r="U4100" s="84" t="s">
        <v>2255</v>
      </c>
      <c r="V4100" s="54"/>
    </row>
    <row r="4101" spans="1:22" s="11" customFormat="1" ht="45" customHeight="1" x14ac:dyDescent="0.2">
      <c r="A4101" s="66" t="s">
        <v>15135</v>
      </c>
      <c r="B4101" s="66" t="s">
        <v>1707</v>
      </c>
      <c r="C4101" s="66" t="s">
        <v>15135</v>
      </c>
      <c r="D4101" s="66" t="s">
        <v>15145</v>
      </c>
      <c r="E4101" s="68" t="s">
        <v>15146</v>
      </c>
      <c r="F4101" s="66" t="s">
        <v>15145</v>
      </c>
      <c r="G4101" s="71">
        <v>20302</v>
      </c>
      <c r="H4101" s="73"/>
      <c r="I4101" s="75">
        <v>0.2</v>
      </c>
      <c r="J4101" s="77" t="s">
        <v>18274</v>
      </c>
      <c r="K4101" s="66"/>
      <c r="L4101" s="66"/>
      <c r="M4101" s="79" t="str">
        <f>HYPERLINK("http://www.pristavka.com/catalog/JOYTOY/JT5161/")</f>
        <v>http://www.pristavka.com/catalog/JOYTOY/JT5161/</v>
      </c>
      <c r="N4101" s="71">
        <v>27070</v>
      </c>
      <c r="O4101" s="66" t="s">
        <v>27</v>
      </c>
      <c r="P4101" s="82" t="s">
        <v>15147</v>
      </c>
      <c r="Q4101" s="84" t="s">
        <v>15139</v>
      </c>
      <c r="R4101" s="84"/>
      <c r="S4101" s="84">
        <v>0.159</v>
      </c>
      <c r="T4101" s="82" t="s">
        <v>15148</v>
      </c>
      <c r="U4101" s="84" t="s">
        <v>2255</v>
      </c>
      <c r="V4101" s="54"/>
    </row>
    <row r="4102" spans="1:22" s="11" customFormat="1" ht="45" customHeight="1" x14ac:dyDescent="0.2">
      <c r="A4102" s="66" t="s">
        <v>15135</v>
      </c>
      <c r="B4102" s="66" t="s">
        <v>1707</v>
      </c>
      <c r="C4102" s="66" t="s">
        <v>15135</v>
      </c>
      <c r="D4102" s="66" t="s">
        <v>15149</v>
      </c>
      <c r="E4102" s="68" t="s">
        <v>15150</v>
      </c>
      <c r="F4102" s="66" t="s">
        <v>15149</v>
      </c>
      <c r="G4102" s="71">
        <v>20302</v>
      </c>
      <c r="H4102" s="73"/>
      <c r="I4102" s="75">
        <v>0.2</v>
      </c>
      <c r="J4102" s="77" t="s">
        <v>18275</v>
      </c>
      <c r="K4102" s="66"/>
      <c r="L4102" s="66"/>
      <c r="M4102" s="79" t="str">
        <f>HYPERLINK("http://www.pristavka.com/catalog/JOYTOY/JT5154/")</f>
        <v>http://www.pristavka.com/catalog/JOYTOY/JT5154/</v>
      </c>
      <c r="N4102" s="71">
        <v>27070</v>
      </c>
      <c r="O4102" s="66" t="s">
        <v>27</v>
      </c>
      <c r="P4102" s="82" t="s">
        <v>15151</v>
      </c>
      <c r="Q4102" s="84" t="s">
        <v>15139</v>
      </c>
      <c r="R4102" s="84"/>
      <c r="S4102" s="84">
        <v>0.159</v>
      </c>
      <c r="T4102" s="82" t="s">
        <v>15148</v>
      </c>
      <c r="U4102" s="84" t="s">
        <v>2255</v>
      </c>
      <c r="V4102" s="54"/>
    </row>
    <row r="4103" spans="1:22" s="11" customFormat="1" ht="45" customHeight="1" x14ac:dyDescent="0.2">
      <c r="A4103" s="66" t="s">
        <v>15135</v>
      </c>
      <c r="B4103" s="66" t="s">
        <v>1707</v>
      </c>
      <c r="C4103" s="66" t="s">
        <v>15135</v>
      </c>
      <c r="D4103" s="66" t="s">
        <v>15152</v>
      </c>
      <c r="E4103" s="68" t="s">
        <v>15153</v>
      </c>
      <c r="F4103" s="66" t="s">
        <v>15152</v>
      </c>
      <c r="G4103" s="71">
        <v>26714</v>
      </c>
      <c r="H4103" s="73"/>
      <c r="I4103" s="75">
        <v>0.2</v>
      </c>
      <c r="J4103" s="77" t="s">
        <v>18276</v>
      </c>
      <c r="K4103" s="66"/>
      <c r="L4103" s="66"/>
      <c r="M4103" s="79" t="str">
        <f>HYPERLINK("http://www.pristavka.com/catalog/JOYTOY/JT5123/")</f>
        <v>http://www.pristavka.com/catalog/JOYTOY/JT5123/</v>
      </c>
      <c r="N4103" s="71">
        <v>35620</v>
      </c>
      <c r="O4103" s="66" t="s">
        <v>28</v>
      </c>
      <c r="P4103" s="82" t="s">
        <v>15154</v>
      </c>
      <c r="Q4103" s="84" t="s">
        <v>15139</v>
      </c>
      <c r="R4103" s="84"/>
      <c r="S4103" s="84">
        <v>0.18</v>
      </c>
      <c r="T4103" s="82" t="s">
        <v>15144</v>
      </c>
      <c r="U4103" s="84" t="s">
        <v>2255</v>
      </c>
      <c r="V4103" s="54"/>
    </row>
    <row r="4104" spans="1:22" s="11" customFormat="1" ht="45" customHeight="1" x14ac:dyDescent="0.2">
      <c r="A4104" s="66" t="s">
        <v>15135</v>
      </c>
      <c r="B4104" s="66" t="s">
        <v>1707</v>
      </c>
      <c r="C4104" s="66" t="s">
        <v>15135</v>
      </c>
      <c r="D4104" s="66" t="s">
        <v>15155</v>
      </c>
      <c r="E4104" s="68" t="s">
        <v>15156</v>
      </c>
      <c r="F4104" s="66" t="s">
        <v>15155</v>
      </c>
      <c r="G4104" s="71">
        <v>20302</v>
      </c>
      <c r="H4104" s="73"/>
      <c r="I4104" s="75">
        <v>0.2</v>
      </c>
      <c r="J4104" s="77" t="s">
        <v>18275</v>
      </c>
      <c r="K4104" s="66"/>
      <c r="L4104" s="66"/>
      <c r="M4104" s="79" t="str">
        <f>HYPERLINK("http://www.pristavka.com/catalog/JOYTOY/JT5147/")</f>
        <v>http://www.pristavka.com/catalog/JOYTOY/JT5147/</v>
      </c>
      <c r="N4104" s="71">
        <v>27070</v>
      </c>
      <c r="O4104" s="66" t="s">
        <v>27</v>
      </c>
      <c r="P4104" s="82" t="s">
        <v>15157</v>
      </c>
      <c r="Q4104" s="84" t="s">
        <v>15139</v>
      </c>
      <c r="R4104" s="84"/>
      <c r="S4104" s="84">
        <v>0.159</v>
      </c>
      <c r="T4104" s="82" t="s">
        <v>15148</v>
      </c>
      <c r="U4104" s="84" t="s">
        <v>2255</v>
      </c>
      <c r="V4104" s="54"/>
    </row>
    <row r="4105" spans="1:22" s="11" customFormat="1" ht="45" customHeight="1" x14ac:dyDescent="0.2">
      <c r="A4105" s="66" t="s">
        <v>15135</v>
      </c>
      <c r="B4105" s="66" t="s">
        <v>1707</v>
      </c>
      <c r="C4105" s="66" t="s">
        <v>15135</v>
      </c>
      <c r="D4105" s="66" t="s">
        <v>15158</v>
      </c>
      <c r="E4105" s="68" t="s">
        <v>15159</v>
      </c>
      <c r="F4105" s="66" t="s">
        <v>15158</v>
      </c>
      <c r="G4105" s="71">
        <v>0</v>
      </c>
      <c r="H4105" s="73"/>
      <c r="I4105" s="75">
        <v>0.2</v>
      </c>
      <c r="J4105" s="77"/>
      <c r="K4105" s="66"/>
      <c r="L4105" s="66"/>
      <c r="M4105" s="79" t="str">
        <f>HYPERLINK("http://www.pristavka.com/catalog/JOYTOY/JT9183/")</f>
        <v>http://www.pristavka.com/catalog/JOYTOY/JT9183/</v>
      </c>
      <c r="N4105" s="71"/>
      <c r="O4105" s="66" t="s">
        <v>28</v>
      </c>
      <c r="P4105" s="82" t="s">
        <v>15160</v>
      </c>
      <c r="Q4105" s="84" t="s">
        <v>15139</v>
      </c>
      <c r="R4105" s="84"/>
      <c r="S4105" s="84">
        <v>0.38300000000000001</v>
      </c>
      <c r="T4105" s="82" t="s">
        <v>15161</v>
      </c>
      <c r="U4105" s="84" t="s">
        <v>2255</v>
      </c>
      <c r="V4105" s="54"/>
    </row>
    <row r="4106" spans="1:22" s="11" customFormat="1" ht="45" customHeight="1" x14ac:dyDescent="0.2">
      <c r="A4106" s="66" t="s">
        <v>15162</v>
      </c>
      <c r="B4106" s="66" t="s">
        <v>1155</v>
      </c>
      <c r="C4106" s="66" t="s">
        <v>15162</v>
      </c>
      <c r="D4106" s="66">
        <v>6975410630366</v>
      </c>
      <c r="E4106" s="68" t="s">
        <v>15163</v>
      </c>
      <c r="F4106" s="66" t="s">
        <v>15164</v>
      </c>
      <c r="G4106" s="71">
        <v>1125</v>
      </c>
      <c r="H4106" s="73"/>
      <c r="I4106" s="75">
        <v>0.2</v>
      </c>
      <c r="J4106" s="77"/>
      <c r="K4106" s="66"/>
      <c r="L4106" s="66"/>
      <c r="M4106" s="79" t="str">
        <f>HYPERLINK("http://www.pristavka.com/catalog/BOWA/BOWA9/")</f>
        <v>http://www.pristavka.com/catalog/BOWA/BOWA9/</v>
      </c>
      <c r="N4106" s="71">
        <v>1899</v>
      </c>
      <c r="O4106" s="66" t="s">
        <v>27</v>
      </c>
      <c r="P4106" s="82" t="s">
        <v>15165</v>
      </c>
      <c r="Q4106" s="84" t="s">
        <v>4158</v>
      </c>
      <c r="R4106" s="84" t="s">
        <v>1068</v>
      </c>
      <c r="S4106" s="84">
        <v>0.01</v>
      </c>
      <c r="T4106" s="82" t="s">
        <v>15166</v>
      </c>
      <c r="U4106" s="84"/>
      <c r="V4106" s="54"/>
    </row>
    <row r="4107" spans="1:22" s="11" customFormat="1" ht="45" customHeight="1" x14ac:dyDescent="0.2">
      <c r="A4107" s="66" t="s">
        <v>15162</v>
      </c>
      <c r="B4107" s="66" t="s">
        <v>1155</v>
      </c>
      <c r="C4107" s="66" t="s">
        <v>15162</v>
      </c>
      <c r="D4107" s="66">
        <v>6975410630472</v>
      </c>
      <c r="E4107" s="68" t="s">
        <v>15167</v>
      </c>
      <c r="F4107" s="66" t="s">
        <v>15168</v>
      </c>
      <c r="G4107" s="71">
        <v>803</v>
      </c>
      <c r="H4107" s="73"/>
      <c r="I4107" s="75">
        <v>0.2</v>
      </c>
      <c r="J4107" s="77"/>
      <c r="K4107" s="66"/>
      <c r="L4107" s="66"/>
      <c r="M4107" s="79" t="str">
        <f>HYPERLINK("http://www.pristavka.com/catalog/BOWA/BOWA10/")</f>
        <v>http://www.pristavka.com/catalog/BOWA/BOWA10/</v>
      </c>
      <c r="N4107" s="71">
        <v>1399</v>
      </c>
      <c r="O4107" s="66" t="s">
        <v>27</v>
      </c>
      <c r="P4107" s="82" t="s">
        <v>15169</v>
      </c>
      <c r="Q4107" s="84" t="s">
        <v>15170</v>
      </c>
      <c r="R4107" s="84" t="s">
        <v>1068</v>
      </c>
      <c r="S4107" s="84">
        <v>1.2E-2</v>
      </c>
      <c r="T4107" s="82" t="s">
        <v>15166</v>
      </c>
      <c r="U4107" s="84"/>
      <c r="V4107" s="54"/>
    </row>
    <row r="4108" spans="1:22" s="11" customFormat="1" ht="45" customHeight="1" x14ac:dyDescent="0.2">
      <c r="A4108" s="66" t="s">
        <v>15162</v>
      </c>
      <c r="B4108" s="66" t="s">
        <v>1155</v>
      </c>
      <c r="C4108" s="66" t="s">
        <v>15162</v>
      </c>
      <c r="D4108" s="66">
        <v>6975410631882</v>
      </c>
      <c r="E4108" s="68" t="s">
        <v>15171</v>
      </c>
      <c r="F4108" s="66" t="s">
        <v>15172</v>
      </c>
      <c r="G4108" s="71">
        <v>803</v>
      </c>
      <c r="H4108" s="73"/>
      <c r="I4108" s="75">
        <v>0.2</v>
      </c>
      <c r="J4108" s="77"/>
      <c r="K4108" s="66"/>
      <c r="L4108" s="66"/>
      <c r="M4108" s="79" t="str">
        <f>HYPERLINK("http://www.pristavka.com/catalog/BOWA/BOWA6/")</f>
        <v>http://www.pristavka.com/catalog/BOWA/BOWA6/</v>
      </c>
      <c r="N4108" s="71">
        <v>1399</v>
      </c>
      <c r="O4108" s="66" t="s">
        <v>27</v>
      </c>
      <c r="P4108" s="82" t="s">
        <v>15173</v>
      </c>
      <c r="Q4108" s="84" t="s">
        <v>2817</v>
      </c>
      <c r="R4108" s="84" t="s">
        <v>2818</v>
      </c>
      <c r="S4108" s="84">
        <v>1.2E-2</v>
      </c>
      <c r="T4108" s="82" t="s">
        <v>15166</v>
      </c>
      <c r="U4108" s="84"/>
      <c r="V4108" s="54"/>
    </row>
    <row r="4109" spans="1:22" s="11" customFormat="1" ht="45" customHeight="1" x14ac:dyDescent="0.2">
      <c r="A4109" s="66" t="s">
        <v>15162</v>
      </c>
      <c r="B4109" s="66" t="s">
        <v>1155</v>
      </c>
      <c r="C4109" s="66" t="s">
        <v>15162</v>
      </c>
      <c r="D4109" s="66">
        <v>6975410631011</v>
      </c>
      <c r="E4109" s="68" t="s">
        <v>15174</v>
      </c>
      <c r="F4109" s="66" t="s">
        <v>15175</v>
      </c>
      <c r="G4109" s="71">
        <v>803</v>
      </c>
      <c r="H4109" s="73"/>
      <c r="I4109" s="75">
        <v>0.2</v>
      </c>
      <c r="J4109" s="77"/>
      <c r="K4109" s="66"/>
      <c r="L4109" s="66"/>
      <c r="M4109" s="79" t="str">
        <f>HYPERLINK("http://www.pristavka.com/catalog/BOWA/BOWA7/")</f>
        <v>http://www.pristavka.com/catalog/BOWA/BOWA7/</v>
      </c>
      <c r="N4109" s="71">
        <v>1399</v>
      </c>
      <c r="O4109" s="66" t="s">
        <v>27</v>
      </c>
      <c r="P4109" s="82" t="s">
        <v>15176</v>
      </c>
      <c r="Q4109" s="84" t="s">
        <v>2817</v>
      </c>
      <c r="R4109" s="84" t="s">
        <v>2818</v>
      </c>
      <c r="S4109" s="84">
        <v>0.01</v>
      </c>
      <c r="T4109" s="82" t="s">
        <v>15166</v>
      </c>
      <c r="U4109" s="84"/>
      <c r="V4109" s="54"/>
    </row>
    <row r="4110" spans="1:22" s="11" customFormat="1" ht="45" customHeight="1" x14ac:dyDescent="0.2">
      <c r="A4110" s="66" t="s">
        <v>15162</v>
      </c>
      <c r="B4110" s="66" t="s">
        <v>1155</v>
      </c>
      <c r="C4110" s="66" t="s">
        <v>15162</v>
      </c>
      <c r="D4110" s="66">
        <v>6975410631257</v>
      </c>
      <c r="E4110" s="68" t="s">
        <v>15177</v>
      </c>
      <c r="F4110" s="66" t="s">
        <v>15178</v>
      </c>
      <c r="G4110" s="71">
        <v>1284</v>
      </c>
      <c r="H4110" s="73"/>
      <c r="I4110" s="75">
        <v>0.2</v>
      </c>
      <c r="J4110" s="77"/>
      <c r="K4110" s="66"/>
      <c r="L4110" s="66"/>
      <c r="M4110" s="79" t="str">
        <f>HYPERLINK("http://www.pristavka.com/catalog/BOWA/BOWA8/")</f>
        <v>http://www.pristavka.com/catalog/BOWA/BOWA8/</v>
      </c>
      <c r="N4110" s="71">
        <v>2199</v>
      </c>
      <c r="O4110" s="66" t="s">
        <v>27</v>
      </c>
      <c r="P4110" s="82" t="s">
        <v>15179</v>
      </c>
      <c r="Q4110" s="84" t="s">
        <v>2817</v>
      </c>
      <c r="R4110" s="84" t="s">
        <v>2818</v>
      </c>
      <c r="S4110" s="84">
        <v>1.6E-2</v>
      </c>
      <c r="T4110" s="82" t="s">
        <v>15166</v>
      </c>
      <c r="U4110" s="84"/>
      <c r="V4110" s="54"/>
    </row>
    <row r="4111" spans="1:22" s="11" customFormat="1" ht="45" customHeight="1" x14ac:dyDescent="0.2">
      <c r="A4111" s="66" t="s">
        <v>15180</v>
      </c>
      <c r="B4111" s="66" t="s">
        <v>1155</v>
      </c>
      <c r="C4111" s="66" t="s">
        <v>15180</v>
      </c>
      <c r="D4111" s="66">
        <v>4934054035397</v>
      </c>
      <c r="E4111" s="68" t="s">
        <v>15181</v>
      </c>
      <c r="F4111" s="66" t="s">
        <v>15182</v>
      </c>
      <c r="G4111" s="71">
        <v>106928</v>
      </c>
      <c r="H4111" s="73"/>
      <c r="I4111" s="75">
        <v>0.2</v>
      </c>
      <c r="J4111" s="77"/>
      <c r="K4111" s="66"/>
      <c r="L4111" s="66"/>
      <c r="M4111" s="79" t="str">
        <f>HYPERLINK("http://www.pristavka.com/catalog/KT2/Kotobukiya/KT44/")</f>
        <v>http://www.pristavka.com/catalog/KT2/Kotobukiya/KT44/</v>
      </c>
      <c r="N4111" s="71">
        <v>142599</v>
      </c>
      <c r="O4111" s="66" t="s">
        <v>27</v>
      </c>
      <c r="P4111" s="82" t="s">
        <v>15183</v>
      </c>
      <c r="Q4111" s="84" t="s">
        <v>1963</v>
      </c>
      <c r="R4111" s="84" t="s">
        <v>1068</v>
      </c>
      <c r="S4111" s="84">
        <v>0.84599999999999997</v>
      </c>
      <c r="T4111" s="82" t="s">
        <v>15184</v>
      </c>
      <c r="U4111" s="84"/>
      <c r="V4111" s="54"/>
    </row>
    <row r="4112" spans="1:22" s="11" customFormat="1" ht="45" customHeight="1" x14ac:dyDescent="0.2">
      <c r="A4112" s="66" t="s">
        <v>15180</v>
      </c>
      <c r="B4112" s="66" t="s">
        <v>1155</v>
      </c>
      <c r="C4112" s="66" t="s">
        <v>15180</v>
      </c>
      <c r="D4112" s="66">
        <v>4934054036110</v>
      </c>
      <c r="E4112" s="68" t="s">
        <v>15185</v>
      </c>
      <c r="F4112" s="66" t="s">
        <v>15186</v>
      </c>
      <c r="G4112" s="71">
        <v>106928</v>
      </c>
      <c r="H4112" s="73"/>
      <c r="I4112" s="75">
        <v>0.2</v>
      </c>
      <c r="J4112" s="77"/>
      <c r="K4112" s="66"/>
      <c r="L4112" s="66"/>
      <c r="M4112" s="79" t="str">
        <f>HYPERLINK("http://www.pristavka.com/catalog/KT2/Kotobukiya/KT43/")</f>
        <v>http://www.pristavka.com/catalog/KT2/Kotobukiya/KT43/</v>
      </c>
      <c r="N4112" s="71">
        <v>142599</v>
      </c>
      <c r="O4112" s="66" t="s">
        <v>27</v>
      </c>
      <c r="P4112" s="82" t="s">
        <v>15187</v>
      </c>
      <c r="Q4112" s="84" t="s">
        <v>1963</v>
      </c>
      <c r="R4112" s="84" t="s">
        <v>1068</v>
      </c>
      <c r="S4112" s="84">
        <v>0.93</v>
      </c>
      <c r="T4112" s="82" t="s">
        <v>15188</v>
      </c>
      <c r="U4112" s="84"/>
      <c r="V4112" s="54"/>
    </row>
    <row r="4113" spans="1:22" s="11" customFormat="1" ht="45" customHeight="1" x14ac:dyDescent="0.2">
      <c r="A4113" s="66" t="s">
        <v>15180</v>
      </c>
      <c r="B4113" s="66" t="s">
        <v>1707</v>
      </c>
      <c r="C4113" s="66" t="s">
        <v>15180</v>
      </c>
      <c r="D4113" s="66">
        <v>4934054034833</v>
      </c>
      <c r="E4113" s="68" t="s">
        <v>15189</v>
      </c>
      <c r="F4113" s="66" t="s">
        <v>15190</v>
      </c>
      <c r="G4113" s="71">
        <v>104947</v>
      </c>
      <c r="H4113" s="73"/>
      <c r="I4113" s="75">
        <v>0.2</v>
      </c>
      <c r="J4113" s="77"/>
      <c r="K4113" s="66"/>
      <c r="L4113" s="66"/>
      <c r="M4113" s="79" t="str">
        <f>HYPERLINK("http://www.pristavka.com/catalog/KT2/Kotobukiya/KT4/")</f>
        <v>http://www.pristavka.com/catalog/KT2/Kotobukiya/KT4/</v>
      </c>
      <c r="N4113" s="71">
        <v>139999</v>
      </c>
      <c r="O4113" s="66" t="s">
        <v>28</v>
      </c>
      <c r="P4113" s="82" t="s">
        <v>15191</v>
      </c>
      <c r="Q4113" s="84" t="s">
        <v>1522</v>
      </c>
      <c r="R4113" s="84" t="s">
        <v>1068</v>
      </c>
      <c r="S4113" s="84">
        <v>1.115</v>
      </c>
      <c r="T4113" s="82" t="s">
        <v>15192</v>
      </c>
      <c r="U4113" s="84"/>
      <c r="V4113" s="54"/>
    </row>
    <row r="4114" spans="1:22" s="45" customFormat="1" ht="45" customHeight="1" x14ac:dyDescent="0.2">
      <c r="A4114" s="67" t="s">
        <v>15193</v>
      </c>
      <c r="B4114" s="67" t="s">
        <v>1707</v>
      </c>
      <c r="C4114" s="67" t="s">
        <v>15193</v>
      </c>
      <c r="D4114" s="67">
        <v>35051550693</v>
      </c>
      <c r="E4114" s="69" t="s">
        <v>15194</v>
      </c>
      <c r="F4114" s="67" t="s">
        <v>15195</v>
      </c>
      <c r="G4114" s="72">
        <v>0</v>
      </c>
      <c r="H4114" s="74"/>
      <c r="I4114" s="76">
        <v>0.1</v>
      </c>
      <c r="J4114" s="77"/>
      <c r="K4114" s="67" t="s">
        <v>61</v>
      </c>
      <c r="L4114" s="67"/>
      <c r="M4114" s="79" t="str">
        <f>HYPERLINK("http://www.pristavka.com/catalog/lol/L.O.L.32/")</f>
        <v>http://www.pristavka.com/catalog/lol/L.O.L.32/</v>
      </c>
      <c r="N4114" s="72"/>
      <c r="O4114" s="67" t="s">
        <v>27</v>
      </c>
      <c r="P4114" s="83" t="s">
        <v>15196</v>
      </c>
      <c r="Q4114" s="85"/>
      <c r="R4114" s="85"/>
      <c r="S4114" s="85">
        <v>5.6000000000000001E-2</v>
      </c>
      <c r="T4114" s="83" t="s">
        <v>15197</v>
      </c>
      <c r="U4114" s="85"/>
      <c r="V4114" s="55"/>
    </row>
    <row r="4115" spans="1:22" s="11" customFormat="1" ht="45" customHeight="1" x14ac:dyDescent="0.2">
      <c r="A4115" s="66" t="s">
        <v>15198</v>
      </c>
      <c r="B4115" s="66" t="s">
        <v>1707</v>
      </c>
      <c r="C4115" s="66" t="s">
        <v>15198</v>
      </c>
      <c r="D4115" s="66">
        <v>787926179194</v>
      </c>
      <c r="E4115" s="68" t="s">
        <v>15199</v>
      </c>
      <c r="F4115" s="66" t="s">
        <v>15200</v>
      </c>
      <c r="G4115" s="71">
        <v>41455</v>
      </c>
      <c r="H4115" s="73"/>
      <c r="I4115" s="75">
        <v>0.1</v>
      </c>
      <c r="J4115" s="77"/>
      <c r="K4115" s="66"/>
      <c r="L4115" s="66"/>
      <c r="M4115" s="79" t="str">
        <f>HYPERLINK("http://www.pristavka.com/catalog/McFarlane Toys/MFT115/")</f>
        <v>http://www.pristavka.com/catalog/McFarlane Toys/MFT115/</v>
      </c>
      <c r="N4115" s="71">
        <v>69099</v>
      </c>
      <c r="O4115" s="66" t="s">
        <v>27</v>
      </c>
      <c r="P4115" s="82" t="s">
        <v>15201</v>
      </c>
      <c r="Q4115" s="84" t="s">
        <v>3604</v>
      </c>
      <c r="R4115" s="84" t="s">
        <v>3566</v>
      </c>
      <c r="S4115" s="84">
        <v>5.8</v>
      </c>
      <c r="T4115" s="82" t="s">
        <v>15202</v>
      </c>
      <c r="U4115" s="84" t="s">
        <v>3584</v>
      </c>
      <c r="V4115" s="54"/>
    </row>
    <row r="4116" spans="1:22" s="11" customFormat="1" ht="45" customHeight="1" x14ac:dyDescent="0.2">
      <c r="A4116" s="66" t="s">
        <v>15198</v>
      </c>
      <c r="B4116" s="66" t="s">
        <v>1707</v>
      </c>
      <c r="C4116" s="66" t="s">
        <v>15198</v>
      </c>
      <c r="D4116" s="66">
        <v>787926172966</v>
      </c>
      <c r="E4116" s="68" t="s">
        <v>15203</v>
      </c>
      <c r="F4116" s="66" t="s">
        <v>15204</v>
      </c>
      <c r="G4116" s="71">
        <v>30391</v>
      </c>
      <c r="H4116" s="73"/>
      <c r="I4116" s="75">
        <v>0.1</v>
      </c>
      <c r="J4116" s="77"/>
      <c r="K4116" s="66"/>
      <c r="L4116" s="66"/>
      <c r="M4116" s="79" t="str">
        <f>HYPERLINK("http://www.pristavka.com/catalog/McFarlane Toys/MFT99/")</f>
        <v>http://www.pristavka.com/catalog/McFarlane Toys/MFT99/</v>
      </c>
      <c r="N4116" s="71">
        <v>50699</v>
      </c>
      <c r="O4116" s="66" t="s">
        <v>27</v>
      </c>
      <c r="P4116" s="82" t="s">
        <v>15205</v>
      </c>
      <c r="Q4116" s="84" t="s">
        <v>3604</v>
      </c>
      <c r="R4116" s="84" t="s">
        <v>3566</v>
      </c>
      <c r="S4116" s="84">
        <v>2.3149999999999999</v>
      </c>
      <c r="T4116" s="82" t="s">
        <v>15206</v>
      </c>
      <c r="U4116" s="84" t="s">
        <v>3584</v>
      </c>
      <c r="V4116" s="54"/>
    </row>
    <row r="4117" spans="1:22" s="11" customFormat="1" ht="45" customHeight="1" x14ac:dyDescent="0.2">
      <c r="A4117" s="66" t="s">
        <v>15198</v>
      </c>
      <c r="B4117" s="66" t="s">
        <v>1707</v>
      </c>
      <c r="C4117" s="66" t="s">
        <v>15198</v>
      </c>
      <c r="D4117" s="66">
        <v>787926176261</v>
      </c>
      <c r="E4117" s="68" t="s">
        <v>15207</v>
      </c>
      <c r="F4117" s="66" t="s">
        <v>15208</v>
      </c>
      <c r="G4117" s="71">
        <v>34540</v>
      </c>
      <c r="H4117" s="73"/>
      <c r="I4117" s="75">
        <v>0.1</v>
      </c>
      <c r="J4117" s="77"/>
      <c r="K4117" s="66"/>
      <c r="L4117" s="66"/>
      <c r="M4117" s="79" t="str">
        <f>HYPERLINK("http://www.pristavka.com/catalog/McFarlane Toys/MFT104/")</f>
        <v>http://www.pristavka.com/catalog/McFarlane Toys/MFT104/</v>
      </c>
      <c r="N4117" s="71">
        <v>57599</v>
      </c>
      <c r="O4117" s="66" t="s">
        <v>27</v>
      </c>
      <c r="P4117" s="82" t="s">
        <v>15209</v>
      </c>
      <c r="Q4117" s="84" t="s">
        <v>3604</v>
      </c>
      <c r="R4117" s="84" t="s">
        <v>3566</v>
      </c>
      <c r="S4117" s="84">
        <v>2.5750000000000002</v>
      </c>
      <c r="T4117" s="82" t="s">
        <v>15210</v>
      </c>
      <c r="U4117" s="84" t="s">
        <v>3584</v>
      </c>
      <c r="V4117" s="54"/>
    </row>
    <row r="4118" spans="1:22" s="11" customFormat="1" ht="45" customHeight="1" x14ac:dyDescent="0.2">
      <c r="A4118" s="66" t="s">
        <v>15198</v>
      </c>
      <c r="B4118" s="66" t="s">
        <v>1707</v>
      </c>
      <c r="C4118" s="66" t="s">
        <v>15198</v>
      </c>
      <c r="D4118" s="66">
        <v>787926140972</v>
      </c>
      <c r="E4118" s="68" t="s">
        <v>15211</v>
      </c>
      <c r="F4118" s="66" t="s">
        <v>15212</v>
      </c>
      <c r="G4118" s="71">
        <v>40417</v>
      </c>
      <c r="H4118" s="73"/>
      <c r="I4118" s="75">
        <v>0.1</v>
      </c>
      <c r="J4118" s="77"/>
      <c r="K4118" s="66"/>
      <c r="L4118" s="66"/>
      <c r="M4118" s="79" t="str">
        <f>HYPERLINK("http://www.pristavka.com/catalog/McFarlane Toys/MFT144/")</f>
        <v>http://www.pristavka.com/catalog/McFarlane Toys/MFT144/</v>
      </c>
      <c r="N4118" s="71">
        <v>62199</v>
      </c>
      <c r="O4118" s="66" t="s">
        <v>27</v>
      </c>
      <c r="P4118" s="82" t="s">
        <v>15213</v>
      </c>
      <c r="Q4118" s="84" t="s">
        <v>15214</v>
      </c>
      <c r="R4118" s="84" t="s">
        <v>1391</v>
      </c>
      <c r="S4118" s="84">
        <v>1.238</v>
      </c>
      <c r="T4118" s="82" t="s">
        <v>15215</v>
      </c>
      <c r="U4118" s="84" t="s">
        <v>3584</v>
      </c>
      <c r="V4118" s="54"/>
    </row>
    <row r="4119" spans="1:22" s="11" customFormat="1" ht="45" customHeight="1" x14ac:dyDescent="0.2">
      <c r="A4119" s="66" t="s">
        <v>15198</v>
      </c>
      <c r="B4119" s="66" t="s">
        <v>1707</v>
      </c>
      <c r="C4119" s="66" t="s">
        <v>15198</v>
      </c>
      <c r="D4119" s="66">
        <v>787926179163</v>
      </c>
      <c r="E4119" s="68" t="s">
        <v>15216</v>
      </c>
      <c r="F4119" s="66" t="s">
        <v>15217</v>
      </c>
      <c r="G4119" s="71">
        <v>6880</v>
      </c>
      <c r="H4119" s="73"/>
      <c r="I4119" s="75">
        <v>0.1</v>
      </c>
      <c r="J4119" s="77"/>
      <c r="K4119" s="66"/>
      <c r="L4119" s="66"/>
      <c r="M4119" s="79" t="str">
        <f>HYPERLINK("http://www.pristavka.com/catalog/McFarlane Toys/MFT168/")</f>
        <v>http://www.pristavka.com/catalog/McFarlane Toys/MFT168/</v>
      </c>
      <c r="N4119" s="71">
        <v>11499</v>
      </c>
      <c r="O4119" s="66" t="s">
        <v>27</v>
      </c>
      <c r="P4119" s="82" t="s">
        <v>15218</v>
      </c>
      <c r="Q4119" s="84" t="s">
        <v>3604</v>
      </c>
      <c r="R4119" s="84" t="s">
        <v>3566</v>
      </c>
      <c r="S4119" s="84">
        <v>0.375</v>
      </c>
      <c r="T4119" s="82" t="s">
        <v>15219</v>
      </c>
      <c r="U4119" s="84" t="s">
        <v>3584</v>
      </c>
      <c r="V4119" s="54"/>
    </row>
    <row r="4120" spans="1:22" s="11" customFormat="1" ht="45" customHeight="1" x14ac:dyDescent="0.2">
      <c r="A4120" s="66" t="s">
        <v>15198</v>
      </c>
      <c r="B4120" s="66" t="s">
        <v>1707</v>
      </c>
      <c r="C4120" s="66" t="s">
        <v>15198</v>
      </c>
      <c r="D4120" s="66">
        <v>787926179088</v>
      </c>
      <c r="E4120" s="68" t="s">
        <v>15220</v>
      </c>
      <c r="F4120" s="66" t="s">
        <v>15221</v>
      </c>
      <c r="G4120" s="71">
        <v>6880</v>
      </c>
      <c r="H4120" s="73"/>
      <c r="I4120" s="75">
        <v>0.1</v>
      </c>
      <c r="J4120" s="77"/>
      <c r="K4120" s="66"/>
      <c r="L4120" s="66"/>
      <c r="M4120" s="79" t="str">
        <f>HYPERLINK("http://www.pristavka.com/catalog/McFarlane Toys/MFT136/")</f>
        <v>http://www.pristavka.com/catalog/McFarlane Toys/MFT136/</v>
      </c>
      <c r="N4120" s="71">
        <v>11499</v>
      </c>
      <c r="O4120" s="66" t="s">
        <v>27</v>
      </c>
      <c r="P4120" s="82" t="s">
        <v>15222</v>
      </c>
      <c r="Q4120" s="84" t="s">
        <v>3566</v>
      </c>
      <c r="R4120" s="84" t="s">
        <v>1303</v>
      </c>
      <c r="S4120" s="84">
        <v>0.38500000000000001</v>
      </c>
      <c r="T4120" s="82" t="s">
        <v>15219</v>
      </c>
      <c r="U4120" s="84" t="s">
        <v>3584</v>
      </c>
      <c r="V4120" s="54"/>
    </row>
    <row r="4121" spans="1:22" s="11" customFormat="1" ht="45" customHeight="1" x14ac:dyDescent="0.2">
      <c r="A4121" s="66" t="s">
        <v>15198</v>
      </c>
      <c r="B4121" s="66" t="s">
        <v>1707</v>
      </c>
      <c r="C4121" s="66" t="s">
        <v>15198</v>
      </c>
      <c r="D4121" s="66">
        <v>787926179187</v>
      </c>
      <c r="E4121" s="68" t="s">
        <v>15223</v>
      </c>
      <c r="F4121" s="66" t="s">
        <v>15224</v>
      </c>
      <c r="G4121" s="71">
        <v>6880</v>
      </c>
      <c r="H4121" s="73"/>
      <c r="I4121" s="75">
        <v>0.1</v>
      </c>
      <c r="J4121" s="77"/>
      <c r="K4121" s="66"/>
      <c r="L4121" s="66"/>
      <c r="M4121" s="79" t="str">
        <f>HYPERLINK("http://www.pristavka.com/catalog/McFarlane Toys/MFT170/")</f>
        <v>http://www.pristavka.com/catalog/McFarlane Toys/MFT170/</v>
      </c>
      <c r="N4121" s="71">
        <v>11499</v>
      </c>
      <c r="O4121" s="66" t="s">
        <v>27</v>
      </c>
      <c r="P4121" s="82" t="s">
        <v>15225</v>
      </c>
      <c r="Q4121" s="84" t="s">
        <v>3604</v>
      </c>
      <c r="R4121" s="84" t="s">
        <v>3566</v>
      </c>
      <c r="S4121" s="84">
        <v>0.375</v>
      </c>
      <c r="T4121" s="82" t="s">
        <v>15219</v>
      </c>
      <c r="U4121" s="84" t="s">
        <v>3584</v>
      </c>
      <c r="V4121" s="54"/>
    </row>
    <row r="4122" spans="1:22" s="11" customFormat="1" ht="45" customHeight="1" x14ac:dyDescent="0.2">
      <c r="A4122" s="66" t="s">
        <v>15198</v>
      </c>
      <c r="B4122" s="66" t="s">
        <v>1707</v>
      </c>
      <c r="C4122" s="66" t="s">
        <v>15198</v>
      </c>
      <c r="D4122" s="66">
        <v>787926179170</v>
      </c>
      <c r="E4122" s="68" t="s">
        <v>15226</v>
      </c>
      <c r="F4122" s="66" t="s">
        <v>15227</v>
      </c>
      <c r="G4122" s="71">
        <v>6880</v>
      </c>
      <c r="H4122" s="73"/>
      <c r="I4122" s="75">
        <v>0.1</v>
      </c>
      <c r="J4122" s="77"/>
      <c r="K4122" s="66"/>
      <c r="L4122" s="66"/>
      <c r="M4122" s="79" t="str">
        <f>HYPERLINK("http://www.pristavka.com/catalog/McFarlane Toys/MFT169/")</f>
        <v>http://www.pristavka.com/catalog/McFarlane Toys/MFT169/</v>
      </c>
      <c r="N4122" s="71">
        <v>11499</v>
      </c>
      <c r="O4122" s="66" t="s">
        <v>27</v>
      </c>
      <c r="P4122" s="82" t="s">
        <v>15228</v>
      </c>
      <c r="Q4122" s="84" t="s">
        <v>3604</v>
      </c>
      <c r="R4122" s="84" t="s">
        <v>3566</v>
      </c>
      <c r="S4122" s="84">
        <v>0.375</v>
      </c>
      <c r="T4122" s="82" t="s">
        <v>15219</v>
      </c>
      <c r="U4122" s="84" t="s">
        <v>3584</v>
      </c>
      <c r="V4122" s="54"/>
    </row>
    <row r="4123" spans="1:22" s="11" customFormat="1" ht="45" customHeight="1" x14ac:dyDescent="0.2">
      <c r="A4123" s="66" t="s">
        <v>15198</v>
      </c>
      <c r="B4123" s="66" t="s">
        <v>1707</v>
      </c>
      <c r="C4123" s="66" t="s">
        <v>15198</v>
      </c>
      <c r="D4123" s="66">
        <v>787926179095</v>
      </c>
      <c r="E4123" s="68" t="s">
        <v>15229</v>
      </c>
      <c r="F4123" s="66" t="s">
        <v>15230</v>
      </c>
      <c r="G4123" s="71">
        <v>6880</v>
      </c>
      <c r="H4123" s="73"/>
      <c r="I4123" s="75">
        <v>0.1</v>
      </c>
      <c r="J4123" s="77"/>
      <c r="K4123" s="66"/>
      <c r="L4123" s="66"/>
      <c r="M4123" s="79" t="str">
        <f>HYPERLINK("http://www.pristavka.com/catalog/McFarlane Toys/MFT137/")</f>
        <v>http://www.pristavka.com/catalog/McFarlane Toys/MFT137/</v>
      </c>
      <c r="N4123" s="71">
        <v>11499</v>
      </c>
      <c r="O4123" s="66" t="s">
        <v>27</v>
      </c>
      <c r="P4123" s="82" t="s">
        <v>15231</v>
      </c>
      <c r="Q4123" s="84" t="s">
        <v>3566</v>
      </c>
      <c r="R4123" s="84" t="s">
        <v>1303</v>
      </c>
      <c r="S4123" s="84">
        <v>0.38500000000000001</v>
      </c>
      <c r="T4123" s="82" t="s">
        <v>15219</v>
      </c>
      <c r="U4123" s="84" t="s">
        <v>3584</v>
      </c>
      <c r="V4123" s="54"/>
    </row>
    <row r="4124" spans="1:22" s="11" customFormat="1" ht="45" customHeight="1" x14ac:dyDescent="0.2">
      <c r="A4124" s="66" t="s">
        <v>15198</v>
      </c>
      <c r="B4124" s="66" t="s">
        <v>1707</v>
      </c>
      <c r="C4124" s="66" t="s">
        <v>15198</v>
      </c>
      <c r="D4124" s="66">
        <v>787926179071</v>
      </c>
      <c r="E4124" s="68" t="s">
        <v>15232</v>
      </c>
      <c r="F4124" s="66" t="s">
        <v>15233</v>
      </c>
      <c r="G4124" s="71">
        <v>6880</v>
      </c>
      <c r="H4124" s="73"/>
      <c r="I4124" s="75">
        <v>0.1</v>
      </c>
      <c r="J4124" s="77"/>
      <c r="K4124" s="66"/>
      <c r="L4124" s="66"/>
      <c r="M4124" s="79" t="str">
        <f>HYPERLINK("http://www.pristavka.com/catalog/McFarlane Toys/MFT135/")</f>
        <v>http://www.pristavka.com/catalog/McFarlane Toys/MFT135/</v>
      </c>
      <c r="N4124" s="71">
        <v>11499</v>
      </c>
      <c r="O4124" s="66" t="s">
        <v>27</v>
      </c>
      <c r="P4124" s="82" t="s">
        <v>15234</v>
      </c>
      <c r="Q4124" s="84" t="s">
        <v>3566</v>
      </c>
      <c r="R4124" s="84" t="s">
        <v>1303</v>
      </c>
      <c r="S4124" s="84">
        <v>0.38500000000000001</v>
      </c>
      <c r="T4124" s="82" t="s">
        <v>15219</v>
      </c>
      <c r="U4124" s="84" t="s">
        <v>3584</v>
      </c>
      <c r="V4124" s="54"/>
    </row>
    <row r="4125" spans="1:22" s="11" customFormat="1" ht="45" customHeight="1" x14ac:dyDescent="0.2">
      <c r="A4125" s="66" t="s">
        <v>15198</v>
      </c>
      <c r="B4125" s="66" t="s">
        <v>1707</v>
      </c>
      <c r="C4125" s="66" t="s">
        <v>15198</v>
      </c>
      <c r="D4125" s="66">
        <v>787926173666</v>
      </c>
      <c r="E4125" s="68" t="s">
        <v>15235</v>
      </c>
      <c r="F4125" s="66" t="s">
        <v>15236</v>
      </c>
      <c r="G4125" s="71">
        <v>68532</v>
      </c>
      <c r="H4125" s="73"/>
      <c r="I4125" s="75">
        <v>0.1</v>
      </c>
      <c r="J4125" s="77"/>
      <c r="K4125" s="66"/>
      <c r="L4125" s="66"/>
      <c r="M4125" s="79" t="str">
        <f>HYPERLINK("http://www.pristavka.com/catalog/McFarlane Toys/MFT181/")</f>
        <v>http://www.pristavka.com/catalog/McFarlane Toys/MFT181/</v>
      </c>
      <c r="N4125" s="71">
        <v>97999</v>
      </c>
      <c r="O4125" s="66" t="s">
        <v>27</v>
      </c>
      <c r="P4125" s="82" t="s">
        <v>15237</v>
      </c>
      <c r="Q4125" s="84" t="s">
        <v>3604</v>
      </c>
      <c r="R4125" s="84" t="s">
        <v>3566</v>
      </c>
      <c r="S4125" s="84">
        <v>6.83</v>
      </c>
      <c r="T4125" s="82" t="s">
        <v>15238</v>
      </c>
      <c r="U4125" s="84" t="s">
        <v>3584</v>
      </c>
      <c r="V4125" s="54"/>
    </row>
    <row r="4126" spans="1:22" s="11" customFormat="1" ht="45" customHeight="1" x14ac:dyDescent="0.2">
      <c r="A4126" s="66" t="s">
        <v>15198</v>
      </c>
      <c r="B4126" s="66" t="s">
        <v>1707</v>
      </c>
      <c r="C4126" s="66" t="s">
        <v>15198</v>
      </c>
      <c r="D4126" s="66">
        <v>787926902266</v>
      </c>
      <c r="E4126" s="68" t="s">
        <v>15239</v>
      </c>
      <c r="F4126" s="66" t="s">
        <v>15240</v>
      </c>
      <c r="G4126" s="71">
        <v>13449</v>
      </c>
      <c r="H4126" s="73"/>
      <c r="I4126" s="75">
        <v>0.1</v>
      </c>
      <c r="J4126" s="77"/>
      <c r="K4126" s="66"/>
      <c r="L4126" s="66"/>
      <c r="M4126" s="79" t="str">
        <f>HYPERLINK("http://www.pristavka.com/catalog/McFarlane Toys/MFT147/")</f>
        <v>http://www.pristavka.com/catalog/McFarlane Toys/MFT147/</v>
      </c>
      <c r="N4126" s="71">
        <v>22499</v>
      </c>
      <c r="O4126" s="66" t="s">
        <v>27</v>
      </c>
      <c r="P4126" s="82" t="s">
        <v>15241</v>
      </c>
      <c r="Q4126" s="84" t="s">
        <v>15242</v>
      </c>
      <c r="R4126" s="84" t="s">
        <v>15243</v>
      </c>
      <c r="S4126" s="84">
        <v>0.33</v>
      </c>
      <c r="T4126" s="82" t="s">
        <v>15244</v>
      </c>
      <c r="U4126" s="84" t="s">
        <v>3584</v>
      </c>
      <c r="V4126" s="54"/>
    </row>
    <row r="4127" spans="1:22" s="11" customFormat="1" ht="45" customHeight="1" x14ac:dyDescent="0.2">
      <c r="A4127" s="66" t="s">
        <v>15198</v>
      </c>
      <c r="B4127" s="66" t="s">
        <v>1707</v>
      </c>
      <c r="C4127" s="66" t="s">
        <v>15198</v>
      </c>
      <c r="D4127" s="66">
        <v>787926902273</v>
      </c>
      <c r="E4127" s="68" t="s">
        <v>15245</v>
      </c>
      <c r="F4127" s="66" t="s">
        <v>15246</v>
      </c>
      <c r="G4127" s="71">
        <v>13449</v>
      </c>
      <c r="H4127" s="73"/>
      <c r="I4127" s="75">
        <v>0.1</v>
      </c>
      <c r="J4127" s="77"/>
      <c r="K4127" s="66"/>
      <c r="L4127" s="66"/>
      <c r="M4127" s="79" t="str">
        <f>HYPERLINK("http://www.pristavka.com/catalog/McFarlane Toys/MFT148/")</f>
        <v>http://www.pristavka.com/catalog/McFarlane Toys/MFT148/</v>
      </c>
      <c r="N4127" s="71">
        <v>22499</v>
      </c>
      <c r="O4127" s="66" t="s">
        <v>27</v>
      </c>
      <c r="P4127" s="82" t="s">
        <v>15247</v>
      </c>
      <c r="Q4127" s="84" t="s">
        <v>15242</v>
      </c>
      <c r="R4127" s="84" t="s">
        <v>15243</v>
      </c>
      <c r="S4127" s="84">
        <v>0.33</v>
      </c>
      <c r="T4127" s="82" t="s">
        <v>15244</v>
      </c>
      <c r="U4127" s="84" t="s">
        <v>3584</v>
      </c>
      <c r="V4127" s="54"/>
    </row>
    <row r="4128" spans="1:22" s="11" customFormat="1" ht="45" customHeight="1" x14ac:dyDescent="0.2">
      <c r="A4128" s="66" t="s">
        <v>15198</v>
      </c>
      <c r="B4128" s="66" t="s">
        <v>1707</v>
      </c>
      <c r="C4128" s="66" t="s">
        <v>15198</v>
      </c>
      <c r="D4128" s="66">
        <v>787926173185</v>
      </c>
      <c r="E4128" s="68" t="s">
        <v>15248</v>
      </c>
      <c r="F4128" s="66" t="s">
        <v>15249</v>
      </c>
      <c r="G4128" s="71">
        <v>10338</v>
      </c>
      <c r="H4128" s="73"/>
      <c r="I4128" s="75">
        <v>0.1</v>
      </c>
      <c r="J4128" s="77"/>
      <c r="K4128" s="66"/>
      <c r="L4128" s="66"/>
      <c r="M4128" s="79" t="str">
        <f>HYPERLINK("http://www.pristavka.com/catalog/McFarlane Toys/MFT105/")</f>
        <v>http://www.pristavka.com/catalog/McFarlane Toys/MFT105/</v>
      </c>
      <c r="N4128" s="71">
        <v>17299</v>
      </c>
      <c r="O4128" s="66" t="s">
        <v>27</v>
      </c>
      <c r="P4128" s="82" t="s">
        <v>15250</v>
      </c>
      <c r="Q4128" s="84" t="s">
        <v>3604</v>
      </c>
      <c r="R4128" s="84" t="s">
        <v>3566</v>
      </c>
      <c r="S4128" s="84">
        <v>0.22</v>
      </c>
      <c r="T4128" s="82" t="s">
        <v>15251</v>
      </c>
      <c r="U4128" s="84" t="s">
        <v>3584</v>
      </c>
      <c r="V4128" s="54"/>
    </row>
    <row r="4129" spans="1:22" s="11" customFormat="1" ht="45" customHeight="1" x14ac:dyDescent="0.2">
      <c r="A4129" s="66" t="s">
        <v>15198</v>
      </c>
      <c r="B4129" s="66" t="s">
        <v>1707</v>
      </c>
      <c r="C4129" s="66" t="s">
        <v>15198</v>
      </c>
      <c r="D4129" s="66">
        <v>787926156683</v>
      </c>
      <c r="E4129" s="68" t="s">
        <v>15252</v>
      </c>
      <c r="F4129" s="66" t="s">
        <v>15253</v>
      </c>
      <c r="G4129" s="71">
        <v>10338</v>
      </c>
      <c r="H4129" s="73"/>
      <c r="I4129" s="75">
        <v>0.1</v>
      </c>
      <c r="J4129" s="77"/>
      <c r="K4129" s="66"/>
      <c r="L4129" s="66"/>
      <c r="M4129" s="79" t="str">
        <f>HYPERLINK("http://www.pristavka.com/catalog/McFarlane Toys/MFT101/")</f>
        <v>http://www.pristavka.com/catalog/McFarlane Toys/MFT101/</v>
      </c>
      <c r="N4129" s="71">
        <v>17299</v>
      </c>
      <c r="O4129" s="66" t="s">
        <v>27</v>
      </c>
      <c r="P4129" s="82" t="s">
        <v>15254</v>
      </c>
      <c r="Q4129" s="84" t="s">
        <v>3604</v>
      </c>
      <c r="R4129" s="84" t="s">
        <v>3566</v>
      </c>
      <c r="S4129" s="84">
        <v>0.41</v>
      </c>
      <c r="T4129" s="82" t="s">
        <v>15255</v>
      </c>
      <c r="U4129" s="84" t="s">
        <v>3584</v>
      </c>
      <c r="V4129" s="54"/>
    </row>
    <row r="4130" spans="1:22" s="11" customFormat="1" ht="45" customHeight="1" x14ac:dyDescent="0.2">
      <c r="A4130" s="66" t="s">
        <v>15198</v>
      </c>
      <c r="B4130" s="66" t="s">
        <v>1707</v>
      </c>
      <c r="C4130" s="66" t="s">
        <v>15198</v>
      </c>
      <c r="D4130" s="66">
        <v>787926172973</v>
      </c>
      <c r="E4130" s="68" t="s">
        <v>15256</v>
      </c>
      <c r="F4130" s="66" t="s">
        <v>15257</v>
      </c>
      <c r="G4130" s="71">
        <v>6880</v>
      </c>
      <c r="H4130" s="73"/>
      <c r="I4130" s="75">
        <v>0.1</v>
      </c>
      <c r="J4130" s="77"/>
      <c r="K4130" s="66"/>
      <c r="L4130" s="66"/>
      <c r="M4130" s="79" t="str">
        <f>HYPERLINK("http://www.pristavka.com/catalog/McFarlane Toys/MFT164/")</f>
        <v>http://www.pristavka.com/catalog/McFarlane Toys/MFT164/</v>
      </c>
      <c r="N4130" s="71">
        <v>11499</v>
      </c>
      <c r="O4130" s="66" t="s">
        <v>27</v>
      </c>
      <c r="P4130" s="82" t="s">
        <v>15258</v>
      </c>
      <c r="Q4130" s="84" t="s">
        <v>3566</v>
      </c>
      <c r="R4130" s="84" t="s">
        <v>3566</v>
      </c>
      <c r="S4130" s="84">
        <v>1.165</v>
      </c>
      <c r="T4130" s="82" t="s">
        <v>5835</v>
      </c>
      <c r="U4130" s="84" t="s">
        <v>3584</v>
      </c>
      <c r="V4130" s="54"/>
    </row>
    <row r="4131" spans="1:22" s="11" customFormat="1" ht="45" customHeight="1" x14ac:dyDescent="0.2">
      <c r="A4131" s="66" t="s">
        <v>15198</v>
      </c>
      <c r="B4131" s="66" t="s">
        <v>1707</v>
      </c>
      <c r="C4131" s="66" t="s">
        <v>15198</v>
      </c>
      <c r="D4131" s="66">
        <v>787926172997</v>
      </c>
      <c r="E4131" s="68" t="s">
        <v>15259</v>
      </c>
      <c r="F4131" s="66" t="s">
        <v>15260</v>
      </c>
      <c r="G4131" s="71">
        <v>6880</v>
      </c>
      <c r="H4131" s="73"/>
      <c r="I4131" s="75">
        <v>0.1</v>
      </c>
      <c r="J4131" s="77"/>
      <c r="K4131" s="66"/>
      <c r="L4131" s="66"/>
      <c r="M4131" s="79" t="str">
        <f>HYPERLINK("http://www.pristavka.com/catalog/McFarlane Toys/MFT165/")</f>
        <v>http://www.pristavka.com/catalog/McFarlane Toys/MFT165/</v>
      </c>
      <c r="N4131" s="71">
        <v>11499</v>
      </c>
      <c r="O4131" s="66" t="s">
        <v>27</v>
      </c>
      <c r="P4131" s="82" t="s">
        <v>15261</v>
      </c>
      <c r="Q4131" s="84" t="s">
        <v>3566</v>
      </c>
      <c r="R4131" s="84" t="s">
        <v>3566</v>
      </c>
      <c r="S4131" s="84">
        <v>1.165</v>
      </c>
      <c r="T4131" s="82" t="s">
        <v>5835</v>
      </c>
      <c r="U4131" s="84" t="s">
        <v>3584</v>
      </c>
      <c r="V4131" s="54"/>
    </row>
    <row r="4132" spans="1:22" s="11" customFormat="1" ht="45" customHeight="1" x14ac:dyDescent="0.2">
      <c r="A4132" s="66" t="s">
        <v>15198</v>
      </c>
      <c r="B4132" s="66" t="s">
        <v>1707</v>
      </c>
      <c r="C4132" s="66" t="s">
        <v>15198</v>
      </c>
      <c r="D4132" s="66">
        <v>787926172980</v>
      </c>
      <c r="E4132" s="68" t="s">
        <v>15262</v>
      </c>
      <c r="F4132" s="66" t="s">
        <v>15263</v>
      </c>
      <c r="G4132" s="71">
        <v>6880</v>
      </c>
      <c r="H4132" s="73"/>
      <c r="I4132" s="75">
        <v>0.1</v>
      </c>
      <c r="J4132" s="77"/>
      <c r="K4132" s="66"/>
      <c r="L4132" s="66"/>
      <c r="M4132" s="79" t="str">
        <f>HYPERLINK("http://www.pristavka.com/catalog/McFarlane Toys/MFT166/")</f>
        <v>http://www.pristavka.com/catalog/McFarlane Toys/MFT166/</v>
      </c>
      <c r="N4132" s="71">
        <v>11499</v>
      </c>
      <c r="O4132" s="66" t="s">
        <v>27</v>
      </c>
      <c r="P4132" s="82" t="s">
        <v>15264</v>
      </c>
      <c r="Q4132" s="84" t="s">
        <v>3566</v>
      </c>
      <c r="R4132" s="84" t="s">
        <v>3566</v>
      </c>
      <c r="S4132" s="84">
        <v>1.165</v>
      </c>
      <c r="T4132" s="82" t="s">
        <v>5835</v>
      </c>
      <c r="U4132" s="84" t="s">
        <v>3584</v>
      </c>
      <c r="V4132" s="54"/>
    </row>
    <row r="4133" spans="1:22" s="11" customFormat="1" ht="45" customHeight="1" x14ac:dyDescent="0.2">
      <c r="A4133" s="66" t="s">
        <v>15198</v>
      </c>
      <c r="B4133" s="66" t="s">
        <v>1707</v>
      </c>
      <c r="C4133" s="66" t="s">
        <v>15198</v>
      </c>
      <c r="D4133" s="66">
        <v>787926155464</v>
      </c>
      <c r="E4133" s="68" t="s">
        <v>15265</v>
      </c>
      <c r="F4133" s="66" t="s">
        <v>15266</v>
      </c>
      <c r="G4133" s="71">
        <v>29543</v>
      </c>
      <c r="H4133" s="73"/>
      <c r="I4133" s="75">
        <v>0.2</v>
      </c>
      <c r="J4133" s="77"/>
      <c r="K4133" s="66"/>
      <c r="L4133" s="66"/>
      <c r="M4133" s="79" t="str">
        <f>HYPERLINK("http://www.pristavka.com/catalog/McFarlane Toys/MFT69/")</f>
        <v>http://www.pristavka.com/catalog/McFarlane Toys/MFT69/</v>
      </c>
      <c r="N4133" s="71">
        <v>42299</v>
      </c>
      <c r="O4133" s="66" t="s">
        <v>28</v>
      </c>
      <c r="P4133" s="82" t="s">
        <v>15267</v>
      </c>
      <c r="Q4133" s="84" t="s">
        <v>7473</v>
      </c>
      <c r="R4133" s="84" t="s">
        <v>3566</v>
      </c>
      <c r="S4133" s="84">
        <v>0.90400000000000003</v>
      </c>
      <c r="T4133" s="82" t="s">
        <v>15268</v>
      </c>
      <c r="U4133" s="84" t="s">
        <v>3584</v>
      </c>
      <c r="V4133" s="54"/>
    </row>
    <row r="4134" spans="1:22" s="11" customFormat="1" ht="45" customHeight="1" x14ac:dyDescent="0.2">
      <c r="A4134" s="66" t="s">
        <v>15198</v>
      </c>
      <c r="B4134" s="66" t="s">
        <v>1707</v>
      </c>
      <c r="C4134" s="66" t="s">
        <v>15198</v>
      </c>
      <c r="D4134" s="66">
        <v>787926155419</v>
      </c>
      <c r="E4134" s="68" t="s">
        <v>15269</v>
      </c>
      <c r="F4134" s="66" t="s">
        <v>15270</v>
      </c>
      <c r="G4134" s="71">
        <v>14753</v>
      </c>
      <c r="H4134" s="73"/>
      <c r="I4134" s="75">
        <v>0.2</v>
      </c>
      <c r="J4134" s="77"/>
      <c r="K4134" s="66"/>
      <c r="L4134" s="66"/>
      <c r="M4134" s="79" t="str">
        <f>HYPERLINK("http://www.pristavka.com/catalog/McFarlane Toys/MFT68/")</f>
        <v>http://www.pristavka.com/catalog/McFarlane Toys/MFT68/</v>
      </c>
      <c r="N4134" s="71">
        <v>21099</v>
      </c>
      <c r="O4134" s="66" t="s">
        <v>28</v>
      </c>
      <c r="P4134" s="82" t="s">
        <v>15271</v>
      </c>
      <c r="Q4134" s="84" t="s">
        <v>7473</v>
      </c>
      <c r="R4134" s="84" t="s">
        <v>3566</v>
      </c>
      <c r="S4134" s="84">
        <v>0.29099999999999998</v>
      </c>
      <c r="T4134" s="82" t="s">
        <v>15272</v>
      </c>
      <c r="U4134" s="84" t="s">
        <v>3584</v>
      </c>
      <c r="V4134" s="54"/>
    </row>
    <row r="4135" spans="1:22" s="11" customFormat="1" ht="45" customHeight="1" x14ac:dyDescent="0.2">
      <c r="A4135" s="66" t="s">
        <v>15198</v>
      </c>
      <c r="B4135" s="66" t="s">
        <v>1707</v>
      </c>
      <c r="C4135" s="66" t="s">
        <v>15198</v>
      </c>
      <c r="D4135" s="66">
        <v>787926172928</v>
      </c>
      <c r="E4135" s="68" t="s">
        <v>15273</v>
      </c>
      <c r="F4135" s="66" t="s">
        <v>15274</v>
      </c>
      <c r="G4135" s="71">
        <v>10338</v>
      </c>
      <c r="H4135" s="73"/>
      <c r="I4135" s="75">
        <v>0.1</v>
      </c>
      <c r="J4135" s="77"/>
      <c r="K4135" s="66"/>
      <c r="L4135" s="66"/>
      <c r="M4135" s="79" t="str">
        <f>HYPERLINK("http://www.pristavka.com/catalog/McFarlane Toys/MFT96/")</f>
        <v>http://www.pristavka.com/catalog/McFarlane Toys/MFT96/</v>
      </c>
      <c r="N4135" s="71">
        <v>17299</v>
      </c>
      <c r="O4135" s="66" t="s">
        <v>27</v>
      </c>
      <c r="P4135" s="82" t="s">
        <v>15275</v>
      </c>
      <c r="Q4135" s="84" t="s">
        <v>3604</v>
      </c>
      <c r="R4135" s="84" t="s">
        <v>3566</v>
      </c>
      <c r="S4135" s="84">
        <v>0.28499999999999998</v>
      </c>
      <c r="T4135" s="82" t="s">
        <v>15251</v>
      </c>
      <c r="U4135" s="84" t="s">
        <v>3584</v>
      </c>
      <c r="V4135" s="54"/>
    </row>
    <row r="4136" spans="1:22" s="11" customFormat="1" ht="45" customHeight="1" x14ac:dyDescent="0.2">
      <c r="A4136" s="66" t="s">
        <v>15198</v>
      </c>
      <c r="B4136" s="66" t="s">
        <v>1707</v>
      </c>
      <c r="C4136" s="66" t="s">
        <v>15198</v>
      </c>
      <c r="D4136" s="66">
        <v>787926174984</v>
      </c>
      <c r="E4136" s="68" t="s">
        <v>15276</v>
      </c>
      <c r="F4136" s="66" t="s">
        <v>15277</v>
      </c>
      <c r="G4136" s="71">
        <v>30045</v>
      </c>
      <c r="H4136" s="73"/>
      <c r="I4136" s="75">
        <v>0.1</v>
      </c>
      <c r="J4136" s="77"/>
      <c r="K4136" s="66"/>
      <c r="L4136" s="66"/>
      <c r="M4136" s="79" t="str">
        <f>HYPERLINK("http://www.pristavka.com/catalog/McFarlane Toys/MFT106/")</f>
        <v>http://www.pristavka.com/catalog/McFarlane Toys/MFT106/</v>
      </c>
      <c r="N4136" s="71">
        <v>50099</v>
      </c>
      <c r="O4136" s="66" t="s">
        <v>27</v>
      </c>
      <c r="P4136" s="82" t="s">
        <v>15278</v>
      </c>
      <c r="Q4136" s="84" t="s">
        <v>3604</v>
      </c>
      <c r="R4136" s="84" t="s">
        <v>3566</v>
      </c>
      <c r="S4136" s="84">
        <v>0.94</v>
      </c>
      <c r="T4136" s="82" t="s">
        <v>15279</v>
      </c>
      <c r="U4136" s="84" t="s">
        <v>3584</v>
      </c>
      <c r="V4136" s="54"/>
    </row>
    <row r="4137" spans="1:22" s="11" customFormat="1" ht="45" customHeight="1" x14ac:dyDescent="0.2">
      <c r="A4137" s="66" t="s">
        <v>15198</v>
      </c>
      <c r="B4137" s="66" t="s">
        <v>1707</v>
      </c>
      <c r="C4137" s="66" t="s">
        <v>15198</v>
      </c>
      <c r="D4137" s="66">
        <v>787926155266</v>
      </c>
      <c r="E4137" s="68" t="s">
        <v>15280</v>
      </c>
      <c r="F4137" s="66" t="s">
        <v>15281</v>
      </c>
      <c r="G4137" s="71">
        <v>21779</v>
      </c>
      <c r="H4137" s="73"/>
      <c r="I4137" s="75">
        <v>0.2</v>
      </c>
      <c r="J4137" s="77"/>
      <c r="K4137" s="66"/>
      <c r="L4137" s="66"/>
      <c r="M4137" s="79" t="str">
        <f>HYPERLINK("http://www.pristavka.com/catalog/McFarlane Toys/MFT56/")</f>
        <v>http://www.pristavka.com/catalog/McFarlane Toys/MFT56/</v>
      </c>
      <c r="N4137" s="71">
        <v>31199</v>
      </c>
      <c r="O4137" s="66" t="s">
        <v>27</v>
      </c>
      <c r="P4137" s="82" t="s">
        <v>15282</v>
      </c>
      <c r="Q4137" s="84" t="s">
        <v>8094</v>
      </c>
      <c r="R4137" s="84" t="s">
        <v>3566</v>
      </c>
      <c r="S4137" s="84">
        <v>0.28000000000000003</v>
      </c>
      <c r="T4137" s="82" t="s">
        <v>15283</v>
      </c>
      <c r="U4137" s="84" t="s">
        <v>3584</v>
      </c>
      <c r="V4137" s="54"/>
    </row>
    <row r="4138" spans="1:22" s="11" customFormat="1" ht="45" customHeight="1" x14ac:dyDescent="0.2">
      <c r="A4138" s="66" t="s">
        <v>15198</v>
      </c>
      <c r="B4138" s="66" t="s">
        <v>1707</v>
      </c>
      <c r="C4138" s="66" t="s">
        <v>15198</v>
      </c>
      <c r="D4138" s="66">
        <v>787926172690</v>
      </c>
      <c r="E4138" s="68" t="s">
        <v>15284</v>
      </c>
      <c r="F4138" s="66" t="s">
        <v>15285</v>
      </c>
      <c r="G4138" s="71">
        <v>12758</v>
      </c>
      <c r="H4138" s="73"/>
      <c r="I4138" s="75">
        <v>0.1</v>
      </c>
      <c r="J4138" s="77"/>
      <c r="K4138" s="66"/>
      <c r="L4138" s="66"/>
      <c r="M4138" s="79" t="str">
        <f>HYPERLINK("http://www.pristavka.com/catalog/McFarlane Toys/MFT98/")</f>
        <v>http://www.pristavka.com/catalog/McFarlane Toys/MFT98/</v>
      </c>
      <c r="N4138" s="71">
        <v>21299</v>
      </c>
      <c r="O4138" s="66" t="s">
        <v>27</v>
      </c>
      <c r="P4138" s="82" t="s">
        <v>15286</v>
      </c>
      <c r="Q4138" s="84" t="s">
        <v>3566</v>
      </c>
      <c r="R4138" s="84" t="s">
        <v>3566</v>
      </c>
      <c r="S4138" s="84">
        <v>0.31</v>
      </c>
      <c r="T4138" s="82" t="s">
        <v>15287</v>
      </c>
      <c r="U4138" s="84" t="s">
        <v>3584</v>
      </c>
      <c r="V4138" s="54"/>
    </row>
    <row r="4139" spans="1:22" s="11" customFormat="1" ht="45" customHeight="1" x14ac:dyDescent="0.2">
      <c r="A4139" s="66" t="s">
        <v>15198</v>
      </c>
      <c r="B4139" s="66" t="s">
        <v>1707</v>
      </c>
      <c r="C4139" s="66" t="s">
        <v>15198</v>
      </c>
      <c r="D4139" s="66">
        <v>787926171389</v>
      </c>
      <c r="E4139" s="68" t="s">
        <v>15288</v>
      </c>
      <c r="F4139" s="66" t="s">
        <v>15289</v>
      </c>
      <c r="G4139" s="71">
        <v>20710</v>
      </c>
      <c r="H4139" s="73"/>
      <c r="I4139" s="75">
        <v>0.1</v>
      </c>
      <c r="J4139" s="77"/>
      <c r="K4139" s="66"/>
      <c r="L4139" s="66"/>
      <c r="M4139" s="79" t="str">
        <f>HYPERLINK("http://www.pristavka.com/catalog/McFarlane Toys/MFT102/")</f>
        <v>http://www.pristavka.com/catalog/McFarlane Toys/MFT102/</v>
      </c>
      <c r="N4139" s="71">
        <v>34599</v>
      </c>
      <c r="O4139" s="66" t="s">
        <v>27</v>
      </c>
      <c r="P4139" s="82" t="s">
        <v>15290</v>
      </c>
      <c r="Q4139" s="84" t="s">
        <v>3566</v>
      </c>
      <c r="R4139" s="84" t="s">
        <v>3566</v>
      </c>
      <c r="S4139" s="84">
        <v>0.71599999999999997</v>
      </c>
      <c r="T4139" s="82" t="s">
        <v>15291</v>
      </c>
      <c r="U4139" s="84" t="s">
        <v>3584</v>
      </c>
      <c r="V4139" s="54"/>
    </row>
    <row r="4140" spans="1:22" s="11" customFormat="1" ht="45" customHeight="1" x14ac:dyDescent="0.2">
      <c r="A4140" s="66" t="s">
        <v>15198</v>
      </c>
      <c r="B4140" s="66" t="s">
        <v>1707</v>
      </c>
      <c r="C4140" s="66" t="s">
        <v>15198</v>
      </c>
      <c r="D4140" s="66">
        <v>787926138627</v>
      </c>
      <c r="E4140" s="68" t="s">
        <v>15292</v>
      </c>
      <c r="F4140" s="66" t="s">
        <v>15293</v>
      </c>
      <c r="G4140" s="71">
        <v>25205</v>
      </c>
      <c r="H4140" s="73"/>
      <c r="I4140" s="75">
        <v>0.1</v>
      </c>
      <c r="J4140" s="77"/>
      <c r="K4140" s="66"/>
      <c r="L4140" s="66"/>
      <c r="M4140" s="79" t="str">
        <f>HYPERLINK("http://www.pristavka.com/catalog/McFarlane Toys/MFT172/")</f>
        <v>http://www.pristavka.com/catalog/McFarlane Toys/MFT172/</v>
      </c>
      <c r="N4140" s="71">
        <v>42099</v>
      </c>
      <c r="O4140" s="66" t="s">
        <v>27</v>
      </c>
      <c r="P4140" s="82" t="s">
        <v>15294</v>
      </c>
      <c r="Q4140" s="84" t="s">
        <v>3604</v>
      </c>
      <c r="R4140" s="84" t="s">
        <v>3566</v>
      </c>
      <c r="S4140" s="84">
        <v>1.575</v>
      </c>
      <c r="T4140" s="82" t="s">
        <v>15295</v>
      </c>
      <c r="U4140" s="84" t="s">
        <v>3584</v>
      </c>
      <c r="V4140" s="54"/>
    </row>
    <row r="4141" spans="1:22" s="11" customFormat="1" ht="45" customHeight="1" x14ac:dyDescent="0.2">
      <c r="A4141" s="66" t="s">
        <v>15198</v>
      </c>
      <c r="B4141" s="66" t="s">
        <v>1707</v>
      </c>
      <c r="C4141" s="66" t="s">
        <v>15198</v>
      </c>
      <c r="D4141" s="66">
        <v>787926172935</v>
      </c>
      <c r="E4141" s="68" t="s">
        <v>15296</v>
      </c>
      <c r="F4141" s="66" t="s">
        <v>15297</v>
      </c>
      <c r="G4141" s="71">
        <v>13449</v>
      </c>
      <c r="H4141" s="73"/>
      <c r="I4141" s="75">
        <v>0.1</v>
      </c>
      <c r="J4141" s="77"/>
      <c r="K4141" s="66"/>
      <c r="L4141" s="66"/>
      <c r="M4141" s="79" t="str">
        <f>HYPERLINK("http://www.pristavka.com/catalog/McFarlane Toys/MFT97/")</f>
        <v>http://www.pristavka.com/catalog/McFarlane Toys/MFT97/</v>
      </c>
      <c r="N4141" s="71">
        <v>22499</v>
      </c>
      <c r="O4141" s="66" t="s">
        <v>27</v>
      </c>
      <c r="P4141" s="82" t="s">
        <v>15298</v>
      </c>
      <c r="Q4141" s="84" t="s">
        <v>3844</v>
      </c>
      <c r="R4141" s="84" t="s">
        <v>3566</v>
      </c>
      <c r="S4141" s="84">
        <v>0.32500000000000001</v>
      </c>
      <c r="T4141" s="82" t="s">
        <v>15287</v>
      </c>
      <c r="U4141" s="84" t="s">
        <v>3584</v>
      </c>
      <c r="V4141" s="54"/>
    </row>
    <row r="4142" spans="1:22" s="11" customFormat="1" ht="45" customHeight="1" x14ac:dyDescent="0.2">
      <c r="A4142" s="66" t="s">
        <v>15198</v>
      </c>
      <c r="B4142" s="66" t="s">
        <v>1707</v>
      </c>
      <c r="C4142" s="66" t="s">
        <v>15198</v>
      </c>
      <c r="D4142" s="66">
        <v>787926137392</v>
      </c>
      <c r="E4142" s="68" t="s">
        <v>15299</v>
      </c>
      <c r="F4142" s="66" t="s">
        <v>15300</v>
      </c>
      <c r="G4142" s="71">
        <v>18451</v>
      </c>
      <c r="H4142" s="73"/>
      <c r="I4142" s="75">
        <v>0.2</v>
      </c>
      <c r="J4142" s="77"/>
      <c r="K4142" s="66"/>
      <c r="L4142" s="66"/>
      <c r="M4142" s="79" t="str">
        <f>HYPERLINK("http://www.pristavka.com/catalog/McFarlane Toys/MFT65/")</f>
        <v>http://www.pristavka.com/catalog/McFarlane Toys/MFT65/</v>
      </c>
      <c r="N4142" s="71">
        <v>26399</v>
      </c>
      <c r="O4142" s="66" t="s">
        <v>28</v>
      </c>
      <c r="P4142" s="82" t="s">
        <v>15301</v>
      </c>
      <c r="Q4142" s="84" t="s">
        <v>1522</v>
      </c>
      <c r="R4142" s="84" t="s">
        <v>1068</v>
      </c>
      <c r="S4142" s="84">
        <v>0.193</v>
      </c>
      <c r="T4142" s="82" t="s">
        <v>15302</v>
      </c>
      <c r="U4142" s="84" t="s">
        <v>3584</v>
      </c>
      <c r="V4142" s="54"/>
    </row>
    <row r="4143" spans="1:22" s="11" customFormat="1" ht="45" customHeight="1" x14ac:dyDescent="0.2">
      <c r="A4143" s="66" t="s">
        <v>15198</v>
      </c>
      <c r="B4143" s="66" t="s">
        <v>1707</v>
      </c>
      <c r="C4143" s="66" t="s">
        <v>15198</v>
      </c>
      <c r="D4143" s="66">
        <v>787926137361</v>
      </c>
      <c r="E4143" s="68" t="s">
        <v>15303</v>
      </c>
      <c r="F4143" s="66" t="s">
        <v>15304</v>
      </c>
      <c r="G4143" s="71">
        <v>18451</v>
      </c>
      <c r="H4143" s="73"/>
      <c r="I4143" s="75">
        <v>0.2</v>
      </c>
      <c r="J4143" s="77"/>
      <c r="K4143" s="66"/>
      <c r="L4143" s="66"/>
      <c r="M4143" s="79" t="str">
        <f>HYPERLINK("http://www.pristavka.com/catalog/McFarlane Toys/MFT66/")</f>
        <v>http://www.pristavka.com/catalog/McFarlane Toys/MFT66/</v>
      </c>
      <c r="N4143" s="71">
        <v>26399</v>
      </c>
      <c r="O4143" s="66" t="s">
        <v>27</v>
      </c>
      <c r="P4143" s="82" t="s">
        <v>15305</v>
      </c>
      <c r="Q4143" s="84" t="s">
        <v>1522</v>
      </c>
      <c r="R4143" s="84" t="s">
        <v>1068</v>
      </c>
      <c r="S4143" s="84">
        <v>0.19</v>
      </c>
      <c r="T4143" s="82" t="s">
        <v>15302</v>
      </c>
      <c r="U4143" s="84" t="s">
        <v>3584</v>
      </c>
      <c r="V4143" s="54"/>
    </row>
    <row r="4144" spans="1:22" s="11" customFormat="1" ht="45" customHeight="1" x14ac:dyDescent="0.2">
      <c r="A4144" s="66" t="s">
        <v>15198</v>
      </c>
      <c r="B4144" s="66" t="s">
        <v>1707</v>
      </c>
      <c r="C4144" s="66" t="s">
        <v>15198</v>
      </c>
      <c r="D4144" s="66">
        <v>787926167238</v>
      </c>
      <c r="E4144" s="68" t="s">
        <v>15306</v>
      </c>
      <c r="F4144" s="66" t="s">
        <v>15307</v>
      </c>
      <c r="G4144" s="71">
        <v>22148</v>
      </c>
      <c r="H4144" s="73"/>
      <c r="I4144" s="75">
        <v>0.2</v>
      </c>
      <c r="J4144" s="77"/>
      <c r="K4144" s="66"/>
      <c r="L4144" s="66"/>
      <c r="M4144" s="79" t="str">
        <f>HYPERLINK("http://www.pristavka.com/catalog/McFarlane Toys/MFT77/")</f>
        <v>http://www.pristavka.com/catalog/McFarlane Toys/MFT77/</v>
      </c>
      <c r="N4144" s="71">
        <v>31699</v>
      </c>
      <c r="O4144" s="66" t="s">
        <v>28</v>
      </c>
      <c r="P4144" s="82" t="s">
        <v>15308</v>
      </c>
      <c r="Q4144" s="84" t="s">
        <v>1262</v>
      </c>
      <c r="R4144" s="84" t="s">
        <v>1263</v>
      </c>
      <c r="S4144" s="84">
        <v>0.34699999999999998</v>
      </c>
      <c r="T4144" s="82" t="s">
        <v>15309</v>
      </c>
      <c r="U4144" s="84" t="s">
        <v>3584</v>
      </c>
      <c r="V4144" s="54"/>
    </row>
    <row r="4145" spans="1:22" s="11" customFormat="1" ht="45" customHeight="1" x14ac:dyDescent="0.2">
      <c r="A4145" s="66" t="s">
        <v>15198</v>
      </c>
      <c r="B4145" s="66" t="s">
        <v>1707</v>
      </c>
      <c r="C4145" s="66" t="s">
        <v>15198</v>
      </c>
      <c r="D4145" s="66">
        <v>787926106633</v>
      </c>
      <c r="E4145" s="68" t="s">
        <v>15310</v>
      </c>
      <c r="F4145" s="66" t="s">
        <v>15311</v>
      </c>
      <c r="G4145" s="71">
        <v>18290</v>
      </c>
      <c r="H4145" s="73"/>
      <c r="I4145" s="75">
        <v>0.1</v>
      </c>
      <c r="J4145" s="77"/>
      <c r="K4145" s="66"/>
      <c r="L4145" s="66"/>
      <c r="M4145" s="79" t="str">
        <f>HYPERLINK("http://www.pristavka.com/catalog/McFarlane Toys/MFT107/")</f>
        <v>http://www.pristavka.com/catalog/McFarlane Toys/MFT107/</v>
      </c>
      <c r="N4145" s="71">
        <v>30499</v>
      </c>
      <c r="O4145" s="66" t="s">
        <v>27</v>
      </c>
      <c r="P4145" s="82" t="s">
        <v>15312</v>
      </c>
      <c r="Q4145" s="84" t="s">
        <v>1611</v>
      </c>
      <c r="R4145" s="84" t="s">
        <v>1612</v>
      </c>
      <c r="S4145" s="84">
        <v>0.34</v>
      </c>
      <c r="T4145" s="82" t="s">
        <v>15313</v>
      </c>
      <c r="U4145" s="84" t="s">
        <v>3584</v>
      </c>
      <c r="V4145" s="54"/>
    </row>
    <row r="4146" spans="1:22" s="11" customFormat="1" ht="45" customHeight="1" x14ac:dyDescent="0.2">
      <c r="A4146" s="66" t="s">
        <v>15198</v>
      </c>
      <c r="B4146" s="66" t="s">
        <v>1707</v>
      </c>
      <c r="C4146" s="66" t="s">
        <v>15198</v>
      </c>
      <c r="D4146" s="66">
        <v>787926147711</v>
      </c>
      <c r="E4146" s="68" t="s">
        <v>15314</v>
      </c>
      <c r="F4146" s="66" t="s">
        <v>15315</v>
      </c>
      <c r="G4146" s="71">
        <v>20710</v>
      </c>
      <c r="H4146" s="73"/>
      <c r="I4146" s="75">
        <v>0.1</v>
      </c>
      <c r="J4146" s="77"/>
      <c r="K4146" s="66"/>
      <c r="L4146" s="66"/>
      <c r="M4146" s="79" t="str">
        <f>HYPERLINK("http://www.pristavka.com/catalog/McFarlane Toys/MFT128/")</f>
        <v>http://www.pristavka.com/catalog/McFarlane Toys/MFT128/</v>
      </c>
      <c r="N4146" s="71">
        <v>34599</v>
      </c>
      <c r="O4146" s="66" t="s">
        <v>27</v>
      </c>
      <c r="P4146" s="82" t="s">
        <v>15316</v>
      </c>
      <c r="Q4146" s="84" t="s">
        <v>3527</v>
      </c>
      <c r="R4146" s="84" t="s">
        <v>3512</v>
      </c>
      <c r="S4146" s="84">
        <v>0.90500000000000003</v>
      </c>
      <c r="T4146" s="82" t="s">
        <v>15317</v>
      </c>
      <c r="U4146" s="84" t="s">
        <v>3584</v>
      </c>
      <c r="V4146" s="54"/>
    </row>
    <row r="4147" spans="1:22" s="11" customFormat="1" ht="45" customHeight="1" x14ac:dyDescent="0.2">
      <c r="A4147" s="66" t="s">
        <v>15198</v>
      </c>
      <c r="B4147" s="66" t="s">
        <v>1707</v>
      </c>
      <c r="C4147" s="66" t="s">
        <v>15198</v>
      </c>
      <c r="D4147" s="66">
        <v>787926147636</v>
      </c>
      <c r="E4147" s="68" t="s">
        <v>15318</v>
      </c>
      <c r="F4147" s="66" t="s">
        <v>15319</v>
      </c>
      <c r="G4147" s="71">
        <v>13449</v>
      </c>
      <c r="H4147" s="73"/>
      <c r="I4147" s="75">
        <v>0.1</v>
      </c>
      <c r="J4147" s="77"/>
      <c r="K4147" s="66"/>
      <c r="L4147" s="66"/>
      <c r="M4147" s="79" t="str">
        <f>HYPERLINK("http://www.pristavka.com/catalog/McFarlane Toys/MFT182/")</f>
        <v>http://www.pristavka.com/catalog/McFarlane Toys/MFT182/</v>
      </c>
      <c r="N4147" s="71">
        <v>22499</v>
      </c>
      <c r="O4147" s="66" t="s">
        <v>27</v>
      </c>
      <c r="P4147" s="82" t="s">
        <v>15320</v>
      </c>
      <c r="Q4147" s="84" t="s">
        <v>3527</v>
      </c>
      <c r="R4147" s="84" t="s">
        <v>3512</v>
      </c>
      <c r="S4147" s="84">
        <v>0.30499999999999999</v>
      </c>
      <c r="T4147" s="82" t="s">
        <v>15321</v>
      </c>
      <c r="U4147" s="84" t="s">
        <v>3584</v>
      </c>
      <c r="V4147" s="54"/>
    </row>
    <row r="4148" spans="1:22" s="11" customFormat="1" ht="45" customHeight="1" x14ac:dyDescent="0.2">
      <c r="A4148" s="66" t="s">
        <v>15198</v>
      </c>
      <c r="B4148" s="66" t="s">
        <v>1707</v>
      </c>
      <c r="C4148" s="66" t="s">
        <v>15198</v>
      </c>
      <c r="D4148" s="66">
        <v>787926147773</v>
      </c>
      <c r="E4148" s="68" t="s">
        <v>15322</v>
      </c>
      <c r="F4148" s="66" t="s">
        <v>15323</v>
      </c>
      <c r="G4148" s="71">
        <v>13449</v>
      </c>
      <c r="H4148" s="73"/>
      <c r="I4148" s="75">
        <v>0.1</v>
      </c>
      <c r="J4148" s="77"/>
      <c r="K4148" s="66"/>
      <c r="L4148" s="66"/>
      <c r="M4148" s="79" t="str">
        <f>HYPERLINK("http://www.pristavka.com/catalog/McFarlane Toys/MFT139/")</f>
        <v>http://www.pristavka.com/catalog/McFarlane Toys/MFT139/</v>
      </c>
      <c r="N4148" s="71">
        <v>22499</v>
      </c>
      <c r="O4148" s="66" t="s">
        <v>27</v>
      </c>
      <c r="P4148" s="82" t="s">
        <v>15324</v>
      </c>
      <c r="Q4148" s="84" t="s">
        <v>3517</v>
      </c>
      <c r="R4148" s="84" t="s">
        <v>3512</v>
      </c>
      <c r="S4148" s="84">
        <v>0.30499999999999999</v>
      </c>
      <c r="T4148" s="82" t="s">
        <v>15321</v>
      </c>
      <c r="U4148" s="84" t="s">
        <v>3584</v>
      </c>
      <c r="V4148" s="54"/>
    </row>
    <row r="4149" spans="1:22" s="11" customFormat="1" ht="45" customHeight="1" x14ac:dyDescent="0.2">
      <c r="A4149" s="66" t="s">
        <v>15198</v>
      </c>
      <c r="B4149" s="66" t="s">
        <v>1707</v>
      </c>
      <c r="C4149" s="66" t="s">
        <v>15198</v>
      </c>
      <c r="D4149" s="66">
        <v>787926147797</v>
      </c>
      <c r="E4149" s="68" t="s">
        <v>15325</v>
      </c>
      <c r="F4149" s="66" t="s">
        <v>15326</v>
      </c>
      <c r="G4149" s="71">
        <v>13449</v>
      </c>
      <c r="H4149" s="73"/>
      <c r="I4149" s="75">
        <v>0.1</v>
      </c>
      <c r="J4149" s="77"/>
      <c r="K4149" s="66"/>
      <c r="L4149" s="66"/>
      <c r="M4149" s="79" t="str">
        <f>HYPERLINK("http://www.pristavka.com/catalog/McFarlane Toys/MFT141/")</f>
        <v>http://www.pristavka.com/catalog/McFarlane Toys/MFT141/</v>
      </c>
      <c r="N4149" s="71">
        <v>22499</v>
      </c>
      <c r="O4149" s="66" t="s">
        <v>27</v>
      </c>
      <c r="P4149" s="82" t="s">
        <v>15327</v>
      </c>
      <c r="Q4149" s="84" t="s">
        <v>3522</v>
      </c>
      <c r="R4149" s="84" t="s">
        <v>3512</v>
      </c>
      <c r="S4149" s="84">
        <v>0.30499999999999999</v>
      </c>
      <c r="T4149" s="82" t="s">
        <v>15321</v>
      </c>
      <c r="U4149" s="84" t="s">
        <v>3584</v>
      </c>
      <c r="V4149" s="54"/>
    </row>
    <row r="4150" spans="1:22" s="11" customFormat="1" ht="45" customHeight="1" x14ac:dyDescent="0.2">
      <c r="A4150" s="66" t="s">
        <v>15198</v>
      </c>
      <c r="B4150" s="66" t="s">
        <v>1707</v>
      </c>
      <c r="C4150" s="66" t="s">
        <v>15198</v>
      </c>
      <c r="D4150" s="66">
        <v>787926147612</v>
      </c>
      <c r="E4150" s="68" t="s">
        <v>15328</v>
      </c>
      <c r="F4150" s="66" t="s">
        <v>15329</v>
      </c>
      <c r="G4150" s="71">
        <v>13449</v>
      </c>
      <c r="H4150" s="73"/>
      <c r="I4150" s="75">
        <v>0.1</v>
      </c>
      <c r="J4150" s="77"/>
      <c r="K4150" s="66"/>
      <c r="L4150" s="66"/>
      <c r="M4150" s="79" t="str">
        <f>HYPERLINK("http://www.pristavka.com/catalog/McFarlane Toys/MFT143/")</f>
        <v>http://www.pristavka.com/catalog/McFarlane Toys/MFT143/</v>
      </c>
      <c r="N4150" s="71">
        <v>22499</v>
      </c>
      <c r="O4150" s="66" t="s">
        <v>27</v>
      </c>
      <c r="P4150" s="82" t="s">
        <v>15330</v>
      </c>
      <c r="Q4150" s="84" t="s">
        <v>3527</v>
      </c>
      <c r="R4150" s="84" t="s">
        <v>3512</v>
      </c>
      <c r="S4150" s="84">
        <v>0.30499999999999999</v>
      </c>
      <c r="T4150" s="82" t="s">
        <v>15321</v>
      </c>
      <c r="U4150" s="84" t="s">
        <v>3584</v>
      </c>
      <c r="V4150" s="54"/>
    </row>
    <row r="4151" spans="1:22" s="11" customFormat="1" ht="45" customHeight="1" x14ac:dyDescent="0.2">
      <c r="A4151" s="66" t="s">
        <v>15198</v>
      </c>
      <c r="B4151" s="66" t="s">
        <v>1707</v>
      </c>
      <c r="C4151" s="66" t="s">
        <v>15198</v>
      </c>
      <c r="D4151" s="66">
        <v>787926135329</v>
      </c>
      <c r="E4151" s="68" t="s">
        <v>15331</v>
      </c>
      <c r="F4151" s="66" t="s">
        <v>15332</v>
      </c>
      <c r="G4151" s="71">
        <v>11029</v>
      </c>
      <c r="H4151" s="73"/>
      <c r="I4151" s="75">
        <v>0.1</v>
      </c>
      <c r="J4151" s="77"/>
      <c r="K4151" s="66"/>
      <c r="L4151" s="66"/>
      <c r="M4151" s="79" t="str">
        <f>HYPERLINK("http://www.pristavka.com/catalog/McFarlane Toys/MFT121/")</f>
        <v>http://www.pristavka.com/catalog/McFarlane Toys/MFT121/</v>
      </c>
      <c r="N4151" s="71">
        <v>18399</v>
      </c>
      <c r="O4151" s="66" t="s">
        <v>27</v>
      </c>
      <c r="P4151" s="82" t="s">
        <v>15333</v>
      </c>
      <c r="Q4151" s="84" t="s">
        <v>2972</v>
      </c>
      <c r="R4151" s="84" t="s">
        <v>1068</v>
      </c>
      <c r="S4151" s="84">
        <v>0.26500000000000001</v>
      </c>
      <c r="T4151" s="82" t="s">
        <v>15334</v>
      </c>
      <c r="U4151" s="84" t="s">
        <v>3584</v>
      </c>
      <c r="V4151" s="54"/>
    </row>
    <row r="4152" spans="1:22" s="11" customFormat="1" ht="45" customHeight="1" x14ac:dyDescent="0.2">
      <c r="A4152" s="66" t="s">
        <v>15198</v>
      </c>
      <c r="B4152" s="66" t="s">
        <v>1707</v>
      </c>
      <c r="C4152" s="66" t="s">
        <v>15198</v>
      </c>
      <c r="D4152" s="66">
        <v>787926159943</v>
      </c>
      <c r="E4152" s="68" t="s">
        <v>15335</v>
      </c>
      <c r="F4152" s="66" t="s">
        <v>15336</v>
      </c>
      <c r="G4152" s="71">
        <v>15524</v>
      </c>
      <c r="H4152" s="73"/>
      <c r="I4152" s="75">
        <v>0.1</v>
      </c>
      <c r="J4152" s="77"/>
      <c r="K4152" s="66"/>
      <c r="L4152" s="66"/>
      <c r="M4152" s="79" t="str">
        <f>HYPERLINK("http://www.pristavka.com/catalog/McFarlane Toys/MFT122/")</f>
        <v>http://www.pristavka.com/catalog/McFarlane Toys/MFT122/</v>
      </c>
      <c r="N4152" s="71">
        <v>25899</v>
      </c>
      <c r="O4152" s="66" t="s">
        <v>27</v>
      </c>
      <c r="P4152" s="82" t="s">
        <v>15337</v>
      </c>
      <c r="Q4152" s="84" t="s">
        <v>3604</v>
      </c>
      <c r="R4152" s="84" t="s">
        <v>3566</v>
      </c>
      <c r="S4152" s="84">
        <v>0.89</v>
      </c>
      <c r="T4152" s="82" t="s">
        <v>15338</v>
      </c>
      <c r="U4152" s="84" t="s">
        <v>3584</v>
      </c>
      <c r="V4152" s="54"/>
    </row>
    <row r="4153" spans="1:22" s="11" customFormat="1" ht="45" customHeight="1" x14ac:dyDescent="0.2">
      <c r="A4153" s="66" t="s">
        <v>15198</v>
      </c>
      <c r="B4153" s="66" t="s">
        <v>1707</v>
      </c>
      <c r="C4153" s="66" t="s">
        <v>15198</v>
      </c>
      <c r="D4153" s="66">
        <v>787926172461</v>
      </c>
      <c r="E4153" s="68" t="s">
        <v>15339</v>
      </c>
      <c r="F4153" s="66" t="s">
        <v>15340</v>
      </c>
      <c r="G4153" s="71">
        <v>9992</v>
      </c>
      <c r="H4153" s="73"/>
      <c r="I4153" s="75">
        <v>0.1</v>
      </c>
      <c r="J4153" s="77"/>
      <c r="K4153" s="66"/>
      <c r="L4153" s="66"/>
      <c r="M4153" s="79" t="str">
        <f>HYPERLINK("http://www.pristavka.com/catalog/McFarlane Toys/MFT114/")</f>
        <v>http://www.pristavka.com/catalog/McFarlane Toys/MFT114/</v>
      </c>
      <c r="N4153" s="71">
        <v>16699</v>
      </c>
      <c r="O4153" s="66" t="s">
        <v>27</v>
      </c>
      <c r="P4153" s="82" t="s">
        <v>15341</v>
      </c>
      <c r="Q4153" s="84" t="s">
        <v>3604</v>
      </c>
      <c r="R4153" s="84" t="s">
        <v>3566</v>
      </c>
      <c r="S4153" s="84">
        <v>0.40500000000000003</v>
      </c>
      <c r="T4153" s="82" t="s">
        <v>15342</v>
      </c>
      <c r="U4153" s="84" t="s">
        <v>3584</v>
      </c>
      <c r="V4153" s="54"/>
    </row>
    <row r="4154" spans="1:22" s="11" customFormat="1" ht="45" customHeight="1" x14ac:dyDescent="0.2">
      <c r="A4154" s="66" t="s">
        <v>15198</v>
      </c>
      <c r="B4154" s="66" t="s">
        <v>1707</v>
      </c>
      <c r="C4154" s="66" t="s">
        <v>15198</v>
      </c>
      <c r="D4154" s="66">
        <v>787926172133</v>
      </c>
      <c r="E4154" s="68" t="s">
        <v>15343</v>
      </c>
      <c r="F4154" s="66" t="s">
        <v>15344</v>
      </c>
      <c r="G4154" s="71">
        <v>7572</v>
      </c>
      <c r="H4154" s="73"/>
      <c r="I4154" s="75">
        <v>0.1</v>
      </c>
      <c r="J4154" s="77"/>
      <c r="K4154" s="66"/>
      <c r="L4154" s="66"/>
      <c r="M4154" s="79" t="str">
        <f>HYPERLINK("http://www.pristavka.com/catalog/McFarlane Toys/MFT119/")</f>
        <v>http://www.pristavka.com/catalog/McFarlane Toys/MFT119/</v>
      </c>
      <c r="N4154" s="71">
        <v>12699</v>
      </c>
      <c r="O4154" s="66" t="s">
        <v>27</v>
      </c>
      <c r="P4154" s="82" t="s">
        <v>15345</v>
      </c>
      <c r="Q4154" s="84" t="s">
        <v>3604</v>
      </c>
      <c r="R4154" s="84" t="s">
        <v>3566</v>
      </c>
      <c r="S4154" s="84">
        <v>0.28499999999999998</v>
      </c>
      <c r="T4154" s="82" t="s">
        <v>15283</v>
      </c>
      <c r="U4154" s="84" t="s">
        <v>3584</v>
      </c>
      <c r="V4154" s="54"/>
    </row>
    <row r="4155" spans="1:22" s="11" customFormat="1" ht="45" customHeight="1" x14ac:dyDescent="0.2">
      <c r="A4155" s="66" t="s">
        <v>15198</v>
      </c>
      <c r="B4155" s="66" t="s">
        <v>1707</v>
      </c>
      <c r="C4155" s="66" t="s">
        <v>15198</v>
      </c>
      <c r="D4155" s="66">
        <v>787926147629</v>
      </c>
      <c r="E4155" s="68" t="s">
        <v>15346</v>
      </c>
      <c r="F4155" s="66" t="s">
        <v>15347</v>
      </c>
      <c r="G4155" s="71">
        <v>12758</v>
      </c>
      <c r="H4155" s="73"/>
      <c r="I4155" s="75">
        <v>0.1</v>
      </c>
      <c r="J4155" s="77"/>
      <c r="K4155" s="66"/>
      <c r="L4155" s="66"/>
      <c r="M4155" s="79" t="str">
        <f>HYPERLINK("http://www.pristavka.com/catalog/McFarlane Toys/MFT131/")</f>
        <v>http://www.pristavka.com/catalog/McFarlane Toys/MFT131/</v>
      </c>
      <c r="N4155" s="71">
        <v>21299</v>
      </c>
      <c r="O4155" s="66" t="s">
        <v>27</v>
      </c>
      <c r="P4155" s="82" t="s">
        <v>15348</v>
      </c>
      <c r="Q4155" s="84" t="s">
        <v>3527</v>
      </c>
      <c r="R4155" s="84" t="s">
        <v>3512</v>
      </c>
      <c r="S4155" s="84">
        <v>0.36499999999999999</v>
      </c>
      <c r="T4155" s="82" t="s">
        <v>15349</v>
      </c>
      <c r="U4155" s="84" t="s">
        <v>3584</v>
      </c>
      <c r="V4155" s="54"/>
    </row>
    <row r="4156" spans="1:22" s="11" customFormat="1" ht="45" customHeight="1" x14ac:dyDescent="0.2">
      <c r="A4156" s="66" t="s">
        <v>15198</v>
      </c>
      <c r="B4156" s="66" t="s">
        <v>1707</v>
      </c>
      <c r="C4156" s="66" t="s">
        <v>15198</v>
      </c>
      <c r="D4156" s="66">
        <v>787926142082</v>
      </c>
      <c r="E4156" s="68" t="s">
        <v>15350</v>
      </c>
      <c r="F4156" s="66" t="s">
        <v>15351</v>
      </c>
      <c r="G4156" s="71">
        <v>9301</v>
      </c>
      <c r="H4156" s="73"/>
      <c r="I4156" s="75">
        <v>0.1</v>
      </c>
      <c r="J4156" s="77"/>
      <c r="K4156" s="66"/>
      <c r="L4156" s="66"/>
      <c r="M4156" s="79" t="str">
        <f>HYPERLINK("http://www.pristavka.com/catalog/McFarlane Toys/MFT117/")</f>
        <v>http://www.pristavka.com/catalog/McFarlane Toys/MFT117/</v>
      </c>
      <c r="N4156" s="71">
        <v>15599</v>
      </c>
      <c r="O4156" s="66" t="s">
        <v>27</v>
      </c>
      <c r="P4156" s="82" t="s">
        <v>15352</v>
      </c>
      <c r="Q4156" s="84" t="s">
        <v>1594</v>
      </c>
      <c r="R4156" s="84" t="s">
        <v>1075</v>
      </c>
      <c r="S4156" s="84">
        <v>0.16500000000000001</v>
      </c>
      <c r="T4156" s="82" t="s">
        <v>15353</v>
      </c>
      <c r="U4156" s="84" t="s">
        <v>3584</v>
      </c>
      <c r="V4156" s="54"/>
    </row>
    <row r="4157" spans="1:22" s="11" customFormat="1" ht="45" customHeight="1" x14ac:dyDescent="0.2">
      <c r="A4157" s="66" t="s">
        <v>15198</v>
      </c>
      <c r="B4157" s="66" t="s">
        <v>1707</v>
      </c>
      <c r="C4157" s="66" t="s">
        <v>15198</v>
      </c>
      <c r="D4157" s="66">
        <v>787926142068</v>
      </c>
      <c r="E4157" s="68" t="s">
        <v>15354</v>
      </c>
      <c r="F4157" s="66" t="s">
        <v>15355</v>
      </c>
      <c r="G4157" s="71">
        <v>9301</v>
      </c>
      <c r="H4157" s="73"/>
      <c r="I4157" s="75">
        <v>0.1</v>
      </c>
      <c r="J4157" s="77"/>
      <c r="K4157" s="66"/>
      <c r="L4157" s="66"/>
      <c r="M4157" s="79" t="str">
        <f>HYPERLINK("http://www.pristavka.com/catalog/McFarlane Toys/MFT116/")</f>
        <v>http://www.pristavka.com/catalog/McFarlane Toys/MFT116/</v>
      </c>
      <c r="N4157" s="71">
        <v>15599</v>
      </c>
      <c r="O4157" s="66" t="s">
        <v>27</v>
      </c>
      <c r="P4157" s="82" t="s">
        <v>15356</v>
      </c>
      <c r="Q4157" s="84" t="s">
        <v>1594</v>
      </c>
      <c r="R4157" s="84" t="s">
        <v>1075</v>
      </c>
      <c r="S4157" s="84">
        <v>0.14499999999999999</v>
      </c>
      <c r="T4157" s="82" t="s">
        <v>15357</v>
      </c>
      <c r="U4157" s="84" t="s">
        <v>3584</v>
      </c>
      <c r="V4157" s="54"/>
    </row>
    <row r="4158" spans="1:22" s="11" customFormat="1" ht="45" customHeight="1" x14ac:dyDescent="0.2">
      <c r="A4158" s="66" t="s">
        <v>15198</v>
      </c>
      <c r="B4158" s="66" t="s">
        <v>1707</v>
      </c>
      <c r="C4158" s="66" t="s">
        <v>15198</v>
      </c>
      <c r="D4158" s="66">
        <v>787926166767</v>
      </c>
      <c r="E4158" s="68" t="s">
        <v>15358</v>
      </c>
      <c r="F4158" s="66" t="s">
        <v>15359</v>
      </c>
      <c r="G4158" s="71">
        <v>13795</v>
      </c>
      <c r="H4158" s="73"/>
      <c r="I4158" s="75">
        <v>0.1</v>
      </c>
      <c r="J4158" s="77"/>
      <c r="K4158" s="66"/>
      <c r="L4158" s="66"/>
      <c r="M4158" s="79" t="str">
        <f>HYPERLINK("http://www.pristavka.com/catalog/McFarlane Toys/MFT126/")</f>
        <v>http://www.pristavka.com/catalog/McFarlane Toys/MFT126/</v>
      </c>
      <c r="N4158" s="71">
        <v>22999</v>
      </c>
      <c r="O4158" s="66" t="s">
        <v>27</v>
      </c>
      <c r="P4158" s="82" t="s">
        <v>15360</v>
      </c>
      <c r="Q4158" s="84" t="s">
        <v>7071</v>
      </c>
      <c r="R4158" s="84" t="s">
        <v>1840</v>
      </c>
      <c r="S4158" s="84">
        <v>0.435</v>
      </c>
      <c r="T4158" s="82" t="s">
        <v>15309</v>
      </c>
      <c r="U4158" s="84" t="s">
        <v>3584</v>
      </c>
      <c r="V4158" s="54"/>
    </row>
    <row r="4159" spans="1:22" s="11" customFormat="1" ht="45" customHeight="1" x14ac:dyDescent="0.2">
      <c r="A4159" s="66" t="s">
        <v>15198</v>
      </c>
      <c r="B4159" s="66" t="s">
        <v>1707</v>
      </c>
      <c r="C4159" s="66" t="s">
        <v>15198</v>
      </c>
      <c r="D4159" s="66">
        <v>787926166774</v>
      </c>
      <c r="E4159" s="68" t="s">
        <v>15361</v>
      </c>
      <c r="F4159" s="66" t="s">
        <v>15362</v>
      </c>
      <c r="G4159" s="71">
        <v>13795</v>
      </c>
      <c r="H4159" s="73"/>
      <c r="I4159" s="75">
        <v>0.1</v>
      </c>
      <c r="J4159" s="77"/>
      <c r="K4159" s="66"/>
      <c r="L4159" s="66"/>
      <c r="M4159" s="79" t="str">
        <f>HYPERLINK("http://www.pristavka.com/catalog/McFarlane Toys/MFT127/")</f>
        <v>http://www.pristavka.com/catalog/McFarlane Toys/MFT127/</v>
      </c>
      <c r="N4159" s="71">
        <v>22999</v>
      </c>
      <c r="O4159" s="66" t="s">
        <v>27</v>
      </c>
      <c r="P4159" s="82" t="s">
        <v>15363</v>
      </c>
      <c r="Q4159" s="84" t="s">
        <v>7071</v>
      </c>
      <c r="R4159" s="84" t="s">
        <v>1840</v>
      </c>
      <c r="S4159" s="84">
        <v>0.53</v>
      </c>
      <c r="T4159" s="82" t="s">
        <v>15309</v>
      </c>
      <c r="U4159" s="84" t="s">
        <v>3584</v>
      </c>
      <c r="V4159" s="54"/>
    </row>
    <row r="4160" spans="1:22" s="11" customFormat="1" ht="45" customHeight="1" x14ac:dyDescent="0.2">
      <c r="A4160" s="66" t="s">
        <v>15198</v>
      </c>
      <c r="B4160" s="66" t="s">
        <v>1707</v>
      </c>
      <c r="C4160" s="66" t="s">
        <v>15198</v>
      </c>
      <c r="D4160" s="66">
        <v>787926140736</v>
      </c>
      <c r="E4160" s="68" t="s">
        <v>15364</v>
      </c>
      <c r="F4160" s="66" t="s">
        <v>15365</v>
      </c>
      <c r="G4160" s="71">
        <v>11721</v>
      </c>
      <c r="H4160" s="73"/>
      <c r="I4160" s="75">
        <v>0.1</v>
      </c>
      <c r="J4160" s="77"/>
      <c r="K4160" s="66"/>
      <c r="L4160" s="66"/>
      <c r="M4160" s="79" t="str">
        <f>HYPERLINK("http://www.pristavka.com/catalog/McFarlane Toys/MFT183/")</f>
        <v>http://www.pristavka.com/catalog/McFarlane Toys/MFT183/</v>
      </c>
      <c r="N4160" s="71">
        <v>19599</v>
      </c>
      <c r="O4160" s="66" t="s">
        <v>27</v>
      </c>
      <c r="P4160" s="82" t="s">
        <v>15366</v>
      </c>
      <c r="Q4160" s="84" t="s">
        <v>6049</v>
      </c>
      <c r="R4160" s="84" t="s">
        <v>1303</v>
      </c>
      <c r="S4160" s="84">
        <v>0.34899999999999998</v>
      </c>
      <c r="T4160" s="82" t="s">
        <v>15367</v>
      </c>
      <c r="U4160" s="84" t="s">
        <v>3584</v>
      </c>
      <c r="V4160" s="54"/>
    </row>
    <row r="4161" spans="1:22" s="11" customFormat="1" ht="45" customHeight="1" x14ac:dyDescent="0.2">
      <c r="A4161" s="66" t="s">
        <v>15198</v>
      </c>
      <c r="B4161" s="66" t="s">
        <v>1707</v>
      </c>
      <c r="C4161" s="66" t="s">
        <v>15198</v>
      </c>
      <c r="D4161" s="66">
        <v>787926140712</v>
      </c>
      <c r="E4161" s="68" t="s">
        <v>15368</v>
      </c>
      <c r="F4161" s="66" t="s">
        <v>15369</v>
      </c>
      <c r="G4161" s="71">
        <v>11029</v>
      </c>
      <c r="H4161" s="73"/>
      <c r="I4161" s="75">
        <v>0.1</v>
      </c>
      <c r="J4161" s="77"/>
      <c r="K4161" s="66"/>
      <c r="L4161" s="66"/>
      <c r="M4161" s="79" t="str">
        <f>HYPERLINK("http://www.pristavka.com/catalog/McFarlane Toys/MFT174/")</f>
        <v>http://www.pristavka.com/catalog/McFarlane Toys/MFT174/</v>
      </c>
      <c r="N4161" s="71">
        <v>18399</v>
      </c>
      <c r="O4161" s="66" t="s">
        <v>27</v>
      </c>
      <c r="P4161" s="82" t="s">
        <v>15370</v>
      </c>
      <c r="Q4161" s="84" t="s">
        <v>6049</v>
      </c>
      <c r="R4161" s="84" t="s">
        <v>1303</v>
      </c>
      <c r="S4161" s="84">
        <v>0.34499999999999997</v>
      </c>
      <c r="T4161" s="82" t="s">
        <v>15367</v>
      </c>
      <c r="U4161" s="84" t="s">
        <v>3584</v>
      </c>
      <c r="V4161" s="54"/>
    </row>
    <row r="4162" spans="1:22" s="11" customFormat="1" ht="45" customHeight="1" x14ac:dyDescent="0.2">
      <c r="A4162" s="66" t="s">
        <v>15198</v>
      </c>
      <c r="B4162" s="66" t="s">
        <v>1707</v>
      </c>
      <c r="C4162" s="66" t="s">
        <v>15198</v>
      </c>
      <c r="D4162" s="66">
        <v>787926140729</v>
      </c>
      <c r="E4162" s="68" t="s">
        <v>15371</v>
      </c>
      <c r="F4162" s="66" t="s">
        <v>15372</v>
      </c>
      <c r="G4162" s="71">
        <v>11029</v>
      </c>
      <c r="H4162" s="73"/>
      <c r="I4162" s="75">
        <v>0.1</v>
      </c>
      <c r="J4162" s="77"/>
      <c r="K4162" s="66"/>
      <c r="L4162" s="66"/>
      <c r="M4162" s="79" t="str">
        <f>HYPERLINK("http://www.pristavka.com/catalog/McFarlane Toys/MFT175/")</f>
        <v>http://www.pristavka.com/catalog/McFarlane Toys/MFT175/</v>
      </c>
      <c r="N4162" s="71">
        <v>18399</v>
      </c>
      <c r="O4162" s="66" t="s">
        <v>27</v>
      </c>
      <c r="P4162" s="82" t="s">
        <v>15373</v>
      </c>
      <c r="Q4162" s="84" t="s">
        <v>6049</v>
      </c>
      <c r="R4162" s="84" t="s">
        <v>1303</v>
      </c>
      <c r="S4162" s="84">
        <v>0.34499999999999997</v>
      </c>
      <c r="T4162" s="82" t="s">
        <v>15367</v>
      </c>
      <c r="U4162" s="84" t="s">
        <v>3584</v>
      </c>
      <c r="V4162" s="54"/>
    </row>
    <row r="4163" spans="1:22" s="11" customFormat="1" ht="45" customHeight="1" x14ac:dyDescent="0.2">
      <c r="A4163" s="66" t="s">
        <v>15198</v>
      </c>
      <c r="B4163" s="66" t="s">
        <v>1707</v>
      </c>
      <c r="C4163" s="66" t="s">
        <v>15198</v>
      </c>
      <c r="D4163" s="66">
        <v>787926140088</v>
      </c>
      <c r="E4163" s="68" t="s">
        <v>15374</v>
      </c>
      <c r="F4163" s="66" t="s">
        <v>15375</v>
      </c>
      <c r="G4163" s="71">
        <v>23188</v>
      </c>
      <c r="H4163" s="73"/>
      <c r="I4163" s="75">
        <v>0.1</v>
      </c>
      <c r="J4163" s="77"/>
      <c r="K4163" s="66"/>
      <c r="L4163" s="66"/>
      <c r="M4163" s="79" t="str">
        <f>HYPERLINK("http://www.pristavka.com/catalog/McFarlane Toys/MFT132/")</f>
        <v>http://www.pristavka.com/catalog/McFarlane Toys/MFT132/</v>
      </c>
      <c r="N4163" s="71">
        <v>35699</v>
      </c>
      <c r="O4163" s="66" t="s">
        <v>27</v>
      </c>
      <c r="P4163" s="82" t="s">
        <v>15376</v>
      </c>
      <c r="Q4163" s="84" t="s">
        <v>3554</v>
      </c>
      <c r="R4163" s="84" t="s">
        <v>1303</v>
      </c>
      <c r="S4163" s="84">
        <v>0.36</v>
      </c>
      <c r="T4163" s="82" t="s">
        <v>15377</v>
      </c>
      <c r="U4163" s="84" t="s">
        <v>3584</v>
      </c>
      <c r="V4163" s="54"/>
    </row>
    <row r="4164" spans="1:22" s="11" customFormat="1" ht="45" customHeight="1" x14ac:dyDescent="0.2">
      <c r="A4164" s="66" t="s">
        <v>15198</v>
      </c>
      <c r="B4164" s="66" t="s">
        <v>1707</v>
      </c>
      <c r="C4164" s="66" t="s">
        <v>15198</v>
      </c>
      <c r="D4164" s="66">
        <v>787926104318</v>
      </c>
      <c r="E4164" s="68" t="s">
        <v>15378</v>
      </c>
      <c r="F4164" s="66" t="s">
        <v>15379</v>
      </c>
      <c r="G4164" s="71">
        <v>13104</v>
      </c>
      <c r="H4164" s="73"/>
      <c r="I4164" s="75">
        <v>0.1</v>
      </c>
      <c r="J4164" s="77"/>
      <c r="K4164" s="66"/>
      <c r="L4164" s="66"/>
      <c r="M4164" s="79" t="str">
        <f>HYPERLINK("http://www.pristavka.com/catalog/McFarlane Toys/MFT176/")</f>
        <v>http://www.pristavka.com/catalog/McFarlane Toys/MFT176/</v>
      </c>
      <c r="N4164" s="71">
        <v>21899</v>
      </c>
      <c r="O4164" s="66" t="s">
        <v>27</v>
      </c>
      <c r="P4164" s="82" t="s">
        <v>15380</v>
      </c>
      <c r="Q4164" s="84" t="s">
        <v>15381</v>
      </c>
      <c r="R4164" s="84" t="s">
        <v>6765</v>
      </c>
      <c r="S4164" s="84">
        <v>0.32400000000000001</v>
      </c>
      <c r="T4164" s="82" t="s">
        <v>15382</v>
      </c>
      <c r="U4164" s="84" t="s">
        <v>3584</v>
      </c>
      <c r="V4164" s="54"/>
    </row>
    <row r="4165" spans="1:22" s="11" customFormat="1" ht="45" customHeight="1" x14ac:dyDescent="0.2">
      <c r="A4165" s="66" t="s">
        <v>15198</v>
      </c>
      <c r="B4165" s="66" t="s">
        <v>1707</v>
      </c>
      <c r="C4165" s="66" t="s">
        <v>15198</v>
      </c>
      <c r="D4165" s="66">
        <v>787926109016</v>
      </c>
      <c r="E4165" s="68" t="s">
        <v>15383</v>
      </c>
      <c r="F4165" s="66" t="s">
        <v>15384</v>
      </c>
      <c r="G4165" s="71">
        <v>12758</v>
      </c>
      <c r="H4165" s="73"/>
      <c r="I4165" s="75">
        <v>0.1</v>
      </c>
      <c r="J4165" s="77"/>
      <c r="K4165" s="66"/>
      <c r="L4165" s="66"/>
      <c r="M4165" s="79" t="str">
        <f>HYPERLINK("http://www.pristavka.com/catalog/McFarlane Toys/MFT153/")</f>
        <v>http://www.pristavka.com/catalog/McFarlane Toys/MFT153/</v>
      </c>
      <c r="N4165" s="71">
        <v>21299</v>
      </c>
      <c r="O4165" s="66" t="s">
        <v>27</v>
      </c>
      <c r="P4165" s="82" t="s">
        <v>15385</v>
      </c>
      <c r="Q4165" s="84" t="s">
        <v>15139</v>
      </c>
      <c r="R4165" s="84" t="s">
        <v>1632</v>
      </c>
      <c r="S4165" s="84">
        <v>0.33</v>
      </c>
      <c r="T4165" s="82" t="s">
        <v>15287</v>
      </c>
      <c r="U4165" s="84" t="s">
        <v>3584</v>
      </c>
      <c r="V4165" s="54"/>
    </row>
    <row r="4166" spans="1:22" s="11" customFormat="1" ht="45" customHeight="1" x14ac:dyDescent="0.2">
      <c r="A4166" s="66" t="s">
        <v>15198</v>
      </c>
      <c r="B4166" s="66" t="s">
        <v>1707</v>
      </c>
      <c r="C4166" s="66" t="s">
        <v>15198</v>
      </c>
      <c r="D4166" s="66">
        <v>787926109030</v>
      </c>
      <c r="E4166" s="68" t="s">
        <v>15386</v>
      </c>
      <c r="F4166" s="66" t="s">
        <v>15387</v>
      </c>
      <c r="G4166" s="71">
        <v>12758</v>
      </c>
      <c r="H4166" s="73"/>
      <c r="I4166" s="75">
        <v>0.1</v>
      </c>
      <c r="J4166" s="77"/>
      <c r="K4166" s="66"/>
      <c r="L4166" s="66"/>
      <c r="M4166" s="79" t="str">
        <f>HYPERLINK("http://www.pristavka.com/catalog/McFarlane Toys/MFT154/")</f>
        <v>http://www.pristavka.com/catalog/McFarlane Toys/MFT154/</v>
      </c>
      <c r="N4166" s="71">
        <v>21299</v>
      </c>
      <c r="O4166" s="66" t="s">
        <v>27</v>
      </c>
      <c r="P4166" s="82" t="s">
        <v>15388</v>
      </c>
      <c r="Q4166" s="84" t="s">
        <v>15139</v>
      </c>
      <c r="R4166" s="84" t="s">
        <v>1632</v>
      </c>
      <c r="S4166" s="84">
        <v>0.55000000000000004</v>
      </c>
      <c r="T4166" s="82" t="s">
        <v>15287</v>
      </c>
      <c r="U4166" s="84" t="s">
        <v>3584</v>
      </c>
      <c r="V4166" s="54"/>
    </row>
    <row r="4167" spans="1:22" s="11" customFormat="1" ht="45" customHeight="1" x14ac:dyDescent="0.2">
      <c r="A4167" s="66" t="s">
        <v>15198</v>
      </c>
      <c r="B4167" s="66" t="s">
        <v>1707</v>
      </c>
      <c r="C4167" s="66" t="s">
        <v>15198</v>
      </c>
      <c r="D4167" s="66">
        <v>787926109634</v>
      </c>
      <c r="E4167" s="68" t="s">
        <v>15389</v>
      </c>
      <c r="F4167" s="66" t="s">
        <v>15390</v>
      </c>
      <c r="G4167" s="71">
        <v>13104</v>
      </c>
      <c r="H4167" s="73"/>
      <c r="I4167" s="75">
        <v>0.1</v>
      </c>
      <c r="J4167" s="77"/>
      <c r="K4167" s="66"/>
      <c r="L4167" s="66"/>
      <c r="M4167" s="79" t="str">
        <f>HYPERLINK("http://www.pristavka.com/catalog/McFarlane Toys/MFT103/")</f>
        <v>http://www.pristavka.com/catalog/McFarlane Toys/MFT103/</v>
      </c>
      <c r="N4167" s="71">
        <v>21899</v>
      </c>
      <c r="O4167" s="66" t="s">
        <v>27</v>
      </c>
      <c r="P4167" s="82" t="s">
        <v>15391</v>
      </c>
      <c r="Q4167" s="84" t="s">
        <v>15139</v>
      </c>
      <c r="R4167" s="84" t="s">
        <v>1632</v>
      </c>
      <c r="S4167" s="84">
        <v>0.57999999999999996</v>
      </c>
      <c r="T4167" s="82" t="s">
        <v>15392</v>
      </c>
      <c r="U4167" s="84" t="s">
        <v>3584</v>
      </c>
      <c r="V4167" s="54"/>
    </row>
    <row r="4168" spans="1:22" s="11" customFormat="1" ht="45" customHeight="1" x14ac:dyDescent="0.2">
      <c r="A4168" s="66" t="s">
        <v>15198</v>
      </c>
      <c r="B4168" s="66" t="s">
        <v>1707</v>
      </c>
      <c r="C4168" s="66" t="s">
        <v>15198</v>
      </c>
      <c r="D4168" s="66">
        <v>787926109320</v>
      </c>
      <c r="E4168" s="68" t="s">
        <v>15393</v>
      </c>
      <c r="F4168" s="66" t="s">
        <v>15394</v>
      </c>
      <c r="G4168" s="71">
        <v>22145</v>
      </c>
      <c r="H4168" s="73"/>
      <c r="I4168" s="75">
        <v>0.1</v>
      </c>
      <c r="J4168" s="77"/>
      <c r="K4168" s="66"/>
      <c r="L4168" s="66"/>
      <c r="M4168" s="79" t="str">
        <f>HYPERLINK("http://www.pristavka.com/catalog/McFarlane Toys/MFT90/")</f>
        <v>http://www.pristavka.com/catalog/McFarlane Toys/MFT90/</v>
      </c>
      <c r="N4168" s="71">
        <v>31699</v>
      </c>
      <c r="O4168" s="66" t="s">
        <v>27</v>
      </c>
      <c r="P4168" s="82" t="s">
        <v>15395</v>
      </c>
      <c r="Q4168" s="84" t="s">
        <v>15139</v>
      </c>
      <c r="R4168" s="84" t="s">
        <v>1632</v>
      </c>
      <c r="S4168" s="84">
        <v>0.6</v>
      </c>
      <c r="T4168" s="82" t="s">
        <v>15396</v>
      </c>
      <c r="U4168" s="84" t="s">
        <v>3584</v>
      </c>
      <c r="V4168" s="54"/>
    </row>
    <row r="4169" spans="1:22" s="11" customFormat="1" ht="45" customHeight="1" x14ac:dyDescent="0.2">
      <c r="A4169" s="66" t="s">
        <v>15198</v>
      </c>
      <c r="B4169" s="66" t="s">
        <v>1707</v>
      </c>
      <c r="C4169" s="66" t="s">
        <v>15198</v>
      </c>
      <c r="D4169" s="66">
        <v>787926109344</v>
      </c>
      <c r="E4169" s="68" t="s">
        <v>15397</v>
      </c>
      <c r="F4169" s="66" t="s">
        <v>15398</v>
      </c>
      <c r="G4169" s="71">
        <v>25372</v>
      </c>
      <c r="H4169" s="73"/>
      <c r="I4169" s="75">
        <v>0.1</v>
      </c>
      <c r="J4169" s="77"/>
      <c r="K4169" s="66"/>
      <c r="L4169" s="66"/>
      <c r="M4169" s="79" t="str">
        <f>HYPERLINK("http://www.pristavka.com/catalog/McFarlane Toys/MFT86/")</f>
        <v>http://www.pristavka.com/catalog/McFarlane Toys/MFT86/</v>
      </c>
      <c r="N4169" s="71">
        <v>36299</v>
      </c>
      <c r="O4169" s="66" t="s">
        <v>27</v>
      </c>
      <c r="P4169" s="82" t="s">
        <v>15399</v>
      </c>
      <c r="Q4169" s="84" t="s">
        <v>15139</v>
      </c>
      <c r="R4169" s="84" t="s">
        <v>1632</v>
      </c>
      <c r="S4169" s="84">
        <v>0.6</v>
      </c>
      <c r="T4169" s="82" t="s">
        <v>15396</v>
      </c>
      <c r="U4169" s="84" t="s">
        <v>3584</v>
      </c>
      <c r="V4169" s="54"/>
    </row>
    <row r="4170" spans="1:22" s="11" customFormat="1" ht="45" customHeight="1" x14ac:dyDescent="0.2">
      <c r="A4170" s="66" t="s">
        <v>15198</v>
      </c>
      <c r="B4170" s="66" t="s">
        <v>1707</v>
      </c>
      <c r="C4170" s="66" t="s">
        <v>15198</v>
      </c>
      <c r="D4170" s="66">
        <v>787926166729</v>
      </c>
      <c r="E4170" s="68" t="s">
        <v>15400</v>
      </c>
      <c r="F4170" s="66" t="s">
        <v>15401</v>
      </c>
      <c r="G4170" s="71">
        <v>22148</v>
      </c>
      <c r="H4170" s="73"/>
      <c r="I4170" s="75">
        <v>0.2</v>
      </c>
      <c r="J4170" s="77"/>
      <c r="K4170" s="66"/>
      <c r="L4170" s="66"/>
      <c r="M4170" s="79" t="str">
        <f>HYPERLINK("http://www.pristavka.com/catalog/McFarlane Toys/MFT82/")</f>
        <v>http://www.pristavka.com/catalog/McFarlane Toys/MFT82/</v>
      </c>
      <c r="N4170" s="71">
        <v>31699</v>
      </c>
      <c r="O4170" s="66" t="s">
        <v>27</v>
      </c>
      <c r="P4170" s="82" t="s">
        <v>15402</v>
      </c>
      <c r="Q4170" s="84" t="s">
        <v>7071</v>
      </c>
      <c r="R4170" s="84" t="s">
        <v>1840</v>
      </c>
      <c r="S4170" s="84">
        <v>0.38</v>
      </c>
      <c r="T4170" s="82" t="s">
        <v>15309</v>
      </c>
      <c r="U4170" s="84" t="s">
        <v>3584</v>
      </c>
      <c r="V4170" s="54"/>
    </row>
    <row r="4171" spans="1:22" s="11" customFormat="1" ht="45" customHeight="1" x14ac:dyDescent="0.2">
      <c r="A4171" s="66" t="s">
        <v>15198</v>
      </c>
      <c r="B4171" s="66" t="s">
        <v>1707</v>
      </c>
      <c r="C4171" s="66" t="s">
        <v>15198</v>
      </c>
      <c r="D4171" s="66">
        <v>787926166743</v>
      </c>
      <c r="E4171" s="68" t="s">
        <v>15403</v>
      </c>
      <c r="F4171" s="66" t="s">
        <v>15404</v>
      </c>
      <c r="G4171" s="71">
        <v>22148</v>
      </c>
      <c r="H4171" s="73"/>
      <c r="I4171" s="75">
        <v>0.2</v>
      </c>
      <c r="J4171" s="77"/>
      <c r="K4171" s="66"/>
      <c r="L4171" s="66"/>
      <c r="M4171" s="79" t="str">
        <f>HYPERLINK("http://www.pristavka.com/catalog/McFarlane Toys/MFT78/")</f>
        <v>http://www.pristavka.com/catalog/McFarlane Toys/MFT78/</v>
      </c>
      <c r="N4171" s="71">
        <v>31699</v>
      </c>
      <c r="O4171" s="66" t="s">
        <v>28</v>
      </c>
      <c r="P4171" s="82" t="s">
        <v>15405</v>
      </c>
      <c r="Q4171" s="84" t="s">
        <v>7071</v>
      </c>
      <c r="R4171" s="84" t="s">
        <v>1840</v>
      </c>
      <c r="S4171" s="84">
        <v>0.39600000000000002</v>
      </c>
      <c r="T4171" s="82" t="s">
        <v>15309</v>
      </c>
      <c r="U4171" s="84" t="s">
        <v>3584</v>
      </c>
      <c r="V4171" s="54"/>
    </row>
    <row r="4172" spans="1:22" s="11" customFormat="1" ht="45" customHeight="1" x14ac:dyDescent="0.2">
      <c r="A4172" s="66" t="s">
        <v>15198</v>
      </c>
      <c r="B4172" s="66" t="s">
        <v>1707</v>
      </c>
      <c r="C4172" s="66" t="s">
        <v>15198</v>
      </c>
      <c r="D4172" s="66">
        <v>787926135312</v>
      </c>
      <c r="E4172" s="68" t="s">
        <v>15406</v>
      </c>
      <c r="F4172" s="66" t="s">
        <v>15407</v>
      </c>
      <c r="G4172" s="71">
        <v>11029</v>
      </c>
      <c r="H4172" s="73"/>
      <c r="I4172" s="75">
        <v>0.1</v>
      </c>
      <c r="J4172" s="77"/>
      <c r="K4172" s="66"/>
      <c r="L4172" s="66"/>
      <c r="M4172" s="79" t="str">
        <f>HYPERLINK("http://www.pristavka.com/catalog/McFarlane Toys/MFT120/")</f>
        <v>http://www.pristavka.com/catalog/McFarlane Toys/MFT120/</v>
      </c>
      <c r="N4172" s="71">
        <v>18399</v>
      </c>
      <c r="O4172" s="66" t="s">
        <v>27</v>
      </c>
      <c r="P4172" s="82" t="s">
        <v>15408</v>
      </c>
      <c r="Q4172" s="84" t="s">
        <v>2972</v>
      </c>
      <c r="R4172" s="84" t="s">
        <v>1068</v>
      </c>
      <c r="S4172" s="84">
        <v>0.19</v>
      </c>
      <c r="T4172" s="82" t="s">
        <v>15334</v>
      </c>
      <c r="U4172" s="84" t="s">
        <v>3584</v>
      </c>
      <c r="V4172" s="54"/>
    </row>
    <row r="4173" spans="1:22" s="11" customFormat="1" ht="45" customHeight="1" x14ac:dyDescent="0.2">
      <c r="A4173" s="66" t="s">
        <v>15198</v>
      </c>
      <c r="B4173" s="66" t="s">
        <v>1707</v>
      </c>
      <c r="C4173" s="66" t="s">
        <v>15198</v>
      </c>
      <c r="D4173" s="66">
        <v>787926135336</v>
      </c>
      <c r="E4173" s="68" t="s">
        <v>15409</v>
      </c>
      <c r="F4173" s="66" t="s">
        <v>15410</v>
      </c>
      <c r="G4173" s="71">
        <v>11029</v>
      </c>
      <c r="H4173" s="73"/>
      <c r="I4173" s="75">
        <v>0.1</v>
      </c>
      <c r="J4173" s="77"/>
      <c r="K4173" s="66"/>
      <c r="L4173" s="66"/>
      <c r="M4173" s="79" t="str">
        <f>HYPERLINK("http://www.pristavka.com/catalog/McFarlane Toys/MFT157/")</f>
        <v>http://www.pristavka.com/catalog/McFarlane Toys/MFT157/</v>
      </c>
      <c r="N4173" s="71">
        <v>18399</v>
      </c>
      <c r="O4173" s="66" t="s">
        <v>27</v>
      </c>
      <c r="P4173" s="82" t="s">
        <v>15411</v>
      </c>
      <c r="Q4173" s="84" t="s">
        <v>2972</v>
      </c>
      <c r="R4173" s="84" t="s">
        <v>1068</v>
      </c>
      <c r="S4173" s="84">
        <v>0.19</v>
      </c>
      <c r="T4173" s="82" t="s">
        <v>15334</v>
      </c>
      <c r="U4173" s="84" t="s">
        <v>3584</v>
      </c>
      <c r="V4173" s="54"/>
    </row>
    <row r="4174" spans="1:22" s="11" customFormat="1" ht="45" customHeight="1" x14ac:dyDescent="0.2">
      <c r="A4174" s="66" t="s">
        <v>15198</v>
      </c>
      <c r="B4174" s="66" t="s">
        <v>1707</v>
      </c>
      <c r="C4174" s="66" t="s">
        <v>15198</v>
      </c>
      <c r="D4174" s="66">
        <v>787926135343</v>
      </c>
      <c r="E4174" s="68" t="s">
        <v>15412</v>
      </c>
      <c r="F4174" s="66" t="s">
        <v>15413</v>
      </c>
      <c r="G4174" s="71">
        <v>11029</v>
      </c>
      <c r="H4174" s="73"/>
      <c r="I4174" s="75">
        <v>0.1</v>
      </c>
      <c r="J4174" s="77"/>
      <c r="K4174" s="66"/>
      <c r="L4174" s="66"/>
      <c r="M4174" s="79" t="str">
        <f>HYPERLINK("http://www.pristavka.com/catalog/McFarlane Toys/MFT158/")</f>
        <v>http://www.pristavka.com/catalog/McFarlane Toys/MFT158/</v>
      </c>
      <c r="N4174" s="71">
        <v>18399</v>
      </c>
      <c r="O4174" s="66" t="s">
        <v>27</v>
      </c>
      <c r="P4174" s="82" t="s">
        <v>15414</v>
      </c>
      <c r="Q4174" s="84" t="s">
        <v>2972</v>
      </c>
      <c r="R4174" s="84" t="s">
        <v>1068</v>
      </c>
      <c r="S4174" s="84">
        <v>0.19</v>
      </c>
      <c r="T4174" s="82" t="s">
        <v>15334</v>
      </c>
      <c r="U4174" s="84" t="s">
        <v>3584</v>
      </c>
      <c r="V4174" s="54"/>
    </row>
    <row r="4175" spans="1:22" s="11" customFormat="1" ht="45" customHeight="1" x14ac:dyDescent="0.2">
      <c r="A4175" s="66" t="s">
        <v>15198</v>
      </c>
      <c r="B4175" s="66" t="s">
        <v>1707</v>
      </c>
      <c r="C4175" s="66" t="s">
        <v>15198</v>
      </c>
      <c r="D4175" s="66">
        <v>787926155969</v>
      </c>
      <c r="E4175" s="68" t="s">
        <v>15415</v>
      </c>
      <c r="F4175" s="66" t="s">
        <v>15416</v>
      </c>
      <c r="G4175" s="71">
        <v>26588</v>
      </c>
      <c r="H4175" s="73"/>
      <c r="I4175" s="75">
        <v>0.1</v>
      </c>
      <c r="J4175" s="77"/>
      <c r="K4175" s="66"/>
      <c r="L4175" s="66"/>
      <c r="M4175" s="79" t="str">
        <f>HYPERLINK("http://www.pristavka.com/catalog/McFarlane Toys/MFT113/")</f>
        <v>http://www.pristavka.com/catalog/McFarlane Toys/MFT113/</v>
      </c>
      <c r="N4175" s="71">
        <v>44399</v>
      </c>
      <c r="O4175" s="66" t="s">
        <v>27</v>
      </c>
      <c r="P4175" s="82" t="s">
        <v>15417</v>
      </c>
      <c r="Q4175" s="84" t="s">
        <v>3604</v>
      </c>
      <c r="R4175" s="84" t="s">
        <v>3566</v>
      </c>
      <c r="S4175" s="84">
        <v>2.12</v>
      </c>
      <c r="T4175" s="82" t="s">
        <v>15418</v>
      </c>
      <c r="U4175" s="84" t="s">
        <v>3584</v>
      </c>
      <c r="V4175" s="54"/>
    </row>
    <row r="4176" spans="1:22" s="11" customFormat="1" ht="45" customHeight="1" x14ac:dyDescent="0.2">
      <c r="A4176" s="66" t="s">
        <v>15198</v>
      </c>
      <c r="B4176" s="66" t="s">
        <v>1707</v>
      </c>
      <c r="C4176" s="66" t="s">
        <v>15198</v>
      </c>
      <c r="D4176" s="66">
        <v>787926137521</v>
      </c>
      <c r="E4176" s="68" t="s">
        <v>15419</v>
      </c>
      <c r="F4176" s="66" t="s">
        <v>15420</v>
      </c>
      <c r="G4176" s="71">
        <v>11029</v>
      </c>
      <c r="H4176" s="73"/>
      <c r="I4176" s="75">
        <v>0.1</v>
      </c>
      <c r="J4176" s="77"/>
      <c r="K4176" s="66"/>
      <c r="L4176" s="66"/>
      <c r="M4176" s="79" t="str">
        <f>HYPERLINK("http://www.pristavka.com/catalog/McFarlane Toys/MFT149/")</f>
        <v>http://www.pristavka.com/catalog/McFarlane Toys/MFT149/</v>
      </c>
      <c r="N4176" s="71">
        <v>18399</v>
      </c>
      <c r="O4176" s="66" t="s">
        <v>27</v>
      </c>
      <c r="P4176" s="82" t="s">
        <v>15421</v>
      </c>
      <c r="Q4176" s="84" t="s">
        <v>1522</v>
      </c>
      <c r="R4176" s="84" t="s">
        <v>1068</v>
      </c>
      <c r="S4176" s="84">
        <v>0.315</v>
      </c>
      <c r="T4176" s="82" t="s">
        <v>15422</v>
      </c>
      <c r="U4176" s="84" t="s">
        <v>3584</v>
      </c>
      <c r="V4176" s="54"/>
    </row>
    <row r="4177" spans="1:22" s="11" customFormat="1" ht="45" customHeight="1" x14ac:dyDescent="0.2">
      <c r="A4177" s="66" t="s">
        <v>15198</v>
      </c>
      <c r="B4177" s="66" t="s">
        <v>1707</v>
      </c>
      <c r="C4177" s="66" t="s">
        <v>15198</v>
      </c>
      <c r="D4177" s="66">
        <v>787926145687</v>
      </c>
      <c r="E4177" s="68" t="s">
        <v>15423</v>
      </c>
      <c r="F4177" s="66" t="s">
        <v>15424</v>
      </c>
      <c r="G4177" s="71">
        <v>20364</v>
      </c>
      <c r="H4177" s="73"/>
      <c r="I4177" s="75">
        <v>0.1</v>
      </c>
      <c r="J4177" s="77"/>
      <c r="K4177" s="66"/>
      <c r="L4177" s="66"/>
      <c r="M4177" s="79" t="str">
        <f>HYPERLINK("http://www.pristavka.com/catalog/McFarlane Toys/MFT145/")</f>
        <v>http://www.pristavka.com/catalog/McFarlane Toys/MFT145/</v>
      </c>
      <c r="N4177" s="71">
        <v>33999</v>
      </c>
      <c r="O4177" s="66" t="s">
        <v>27</v>
      </c>
      <c r="P4177" s="82" t="s">
        <v>15425</v>
      </c>
      <c r="Q4177" s="84" t="s">
        <v>8008</v>
      </c>
      <c r="R4177" s="84" t="s">
        <v>8009</v>
      </c>
      <c r="S4177" s="84">
        <v>1.07</v>
      </c>
      <c r="T4177" s="82" t="s">
        <v>15426</v>
      </c>
      <c r="U4177" s="84" t="s">
        <v>3584</v>
      </c>
      <c r="V4177" s="54"/>
    </row>
    <row r="4178" spans="1:22" s="11" customFormat="1" ht="45" customHeight="1" x14ac:dyDescent="0.2">
      <c r="A4178" s="66" t="s">
        <v>15198</v>
      </c>
      <c r="B4178" s="66" t="s">
        <v>1707</v>
      </c>
      <c r="C4178" s="66" t="s">
        <v>15198</v>
      </c>
      <c r="D4178" s="66">
        <v>787926138818</v>
      </c>
      <c r="E4178" s="68" t="s">
        <v>15427</v>
      </c>
      <c r="F4178" s="66" t="s">
        <v>15428</v>
      </c>
      <c r="G4178" s="71">
        <v>22439</v>
      </c>
      <c r="H4178" s="73"/>
      <c r="I4178" s="75">
        <v>0.1</v>
      </c>
      <c r="J4178" s="77"/>
      <c r="K4178" s="66"/>
      <c r="L4178" s="66"/>
      <c r="M4178" s="79" t="str">
        <f>HYPERLINK("http://www.pristavka.com/catalog/McFarlane Toys/MFT146/")</f>
        <v>http://www.pristavka.com/catalog/McFarlane Toys/MFT146/</v>
      </c>
      <c r="N4178" s="71">
        <v>37399</v>
      </c>
      <c r="O4178" s="66" t="s">
        <v>27</v>
      </c>
      <c r="P4178" s="82" t="s">
        <v>15429</v>
      </c>
      <c r="Q4178" s="84" t="s">
        <v>8008</v>
      </c>
      <c r="R4178" s="84" t="s">
        <v>8009</v>
      </c>
      <c r="S4178" s="84">
        <v>0.746</v>
      </c>
      <c r="T4178" s="82" t="s">
        <v>15430</v>
      </c>
      <c r="U4178" s="84" t="s">
        <v>3584</v>
      </c>
      <c r="V4178" s="54"/>
    </row>
    <row r="4179" spans="1:22" s="11" customFormat="1" ht="45" customHeight="1" x14ac:dyDescent="0.2">
      <c r="A4179" s="66" t="s">
        <v>15198</v>
      </c>
      <c r="B4179" s="66" t="s">
        <v>1707</v>
      </c>
      <c r="C4179" s="66" t="s">
        <v>15198</v>
      </c>
      <c r="D4179" s="66">
        <v>787926172171</v>
      </c>
      <c r="E4179" s="68" t="s">
        <v>15431</v>
      </c>
      <c r="F4179" s="66" t="s">
        <v>15432</v>
      </c>
      <c r="G4179" s="71">
        <v>10338</v>
      </c>
      <c r="H4179" s="73"/>
      <c r="I4179" s="75">
        <v>0.1</v>
      </c>
      <c r="J4179" s="77"/>
      <c r="K4179" s="66"/>
      <c r="L4179" s="66"/>
      <c r="M4179" s="79" t="str">
        <f>HYPERLINK("http://www.pristavka.com/catalog/McFarlane Toys/MFT124/")</f>
        <v>http://www.pristavka.com/catalog/McFarlane Toys/MFT124/</v>
      </c>
      <c r="N4179" s="71">
        <v>17299</v>
      </c>
      <c r="O4179" s="66" t="s">
        <v>27</v>
      </c>
      <c r="P4179" s="82" t="s">
        <v>15433</v>
      </c>
      <c r="Q4179" s="84" t="s">
        <v>3604</v>
      </c>
      <c r="R4179" s="84" t="s">
        <v>3566</v>
      </c>
      <c r="S4179" s="84">
        <v>0.38</v>
      </c>
      <c r="T4179" s="82" t="s">
        <v>15434</v>
      </c>
      <c r="U4179" s="84" t="s">
        <v>3584</v>
      </c>
      <c r="V4179" s="54"/>
    </row>
    <row r="4180" spans="1:22" s="11" customFormat="1" ht="45" customHeight="1" x14ac:dyDescent="0.2">
      <c r="A4180" s="66" t="s">
        <v>15198</v>
      </c>
      <c r="B4180" s="66" t="s">
        <v>1707</v>
      </c>
      <c r="C4180" s="66" t="s">
        <v>15198</v>
      </c>
      <c r="D4180" s="66">
        <v>787926167078</v>
      </c>
      <c r="E4180" s="68" t="s">
        <v>15435</v>
      </c>
      <c r="F4180" s="66" t="s">
        <v>15436</v>
      </c>
      <c r="G4180" s="71">
        <v>20710</v>
      </c>
      <c r="H4180" s="73"/>
      <c r="I4180" s="75">
        <v>0.1</v>
      </c>
      <c r="J4180" s="77"/>
      <c r="K4180" s="66"/>
      <c r="L4180" s="66"/>
      <c r="M4180" s="79" t="str">
        <f>HYPERLINK("http://www.pristavka.com/catalog/McFarlane Toys/MFT123/")</f>
        <v>http://www.pristavka.com/catalog/McFarlane Toys/MFT123/</v>
      </c>
      <c r="N4180" s="71">
        <v>34599</v>
      </c>
      <c r="O4180" s="66" t="s">
        <v>27</v>
      </c>
      <c r="P4180" s="82" t="s">
        <v>15437</v>
      </c>
      <c r="Q4180" s="84" t="s">
        <v>7071</v>
      </c>
      <c r="R4180" s="84" t="s">
        <v>1840</v>
      </c>
      <c r="S4180" s="84">
        <v>0.76</v>
      </c>
      <c r="T4180" s="82" t="s">
        <v>15438</v>
      </c>
      <c r="U4180" s="84" t="s">
        <v>3584</v>
      </c>
      <c r="V4180" s="54"/>
    </row>
    <row r="4181" spans="1:22" s="11" customFormat="1" ht="45" customHeight="1" x14ac:dyDescent="0.2">
      <c r="A4181" s="66" t="s">
        <v>15198</v>
      </c>
      <c r="B4181" s="66" t="s">
        <v>1707</v>
      </c>
      <c r="C4181" s="66" t="s">
        <v>15198</v>
      </c>
      <c r="D4181" s="66">
        <v>787926161724</v>
      </c>
      <c r="E4181" s="68" t="s">
        <v>15439</v>
      </c>
      <c r="F4181" s="66" t="s">
        <v>15440</v>
      </c>
      <c r="G4181" s="71">
        <v>13274</v>
      </c>
      <c r="H4181" s="73"/>
      <c r="I4181" s="75">
        <v>0.2</v>
      </c>
      <c r="J4181" s="77"/>
      <c r="K4181" s="66"/>
      <c r="L4181" s="66"/>
      <c r="M4181" s="79" t="str">
        <f>HYPERLINK("http://www.pristavka.com/catalog/McFarlane Toys/MFT59/")</f>
        <v>http://www.pristavka.com/catalog/McFarlane Toys/MFT59/</v>
      </c>
      <c r="N4181" s="71">
        <v>18999</v>
      </c>
      <c r="O4181" s="66" t="s">
        <v>27</v>
      </c>
      <c r="P4181" s="82" t="s">
        <v>15441</v>
      </c>
      <c r="Q4181" s="84" t="s">
        <v>3471</v>
      </c>
      <c r="R4181" s="84" t="s">
        <v>3327</v>
      </c>
      <c r="S4181" s="84">
        <v>0.182</v>
      </c>
      <c r="T4181" s="82" t="s">
        <v>15442</v>
      </c>
      <c r="U4181" s="84" t="s">
        <v>3584</v>
      </c>
      <c r="V4181" s="54"/>
    </row>
    <row r="4182" spans="1:22" s="11" customFormat="1" ht="45" customHeight="1" x14ac:dyDescent="0.2">
      <c r="A4182" s="66" t="s">
        <v>15198</v>
      </c>
      <c r="B4182" s="66" t="s">
        <v>1707</v>
      </c>
      <c r="C4182" s="66" t="s">
        <v>15198</v>
      </c>
      <c r="D4182" s="66">
        <v>787926150193</v>
      </c>
      <c r="E4182" s="68" t="s">
        <v>15443</v>
      </c>
      <c r="F4182" s="66" t="s">
        <v>15444</v>
      </c>
      <c r="G4182" s="71">
        <v>35231</v>
      </c>
      <c r="H4182" s="73"/>
      <c r="I4182" s="75">
        <v>0.1</v>
      </c>
      <c r="J4182" s="77"/>
      <c r="K4182" s="66"/>
      <c r="L4182" s="66"/>
      <c r="M4182" s="79" t="str">
        <f>HYPERLINK("http://www.pristavka.com/catalog/McFarlane Toys/MFT112/")</f>
        <v>http://www.pristavka.com/catalog/McFarlane Toys/MFT112/</v>
      </c>
      <c r="N4182" s="71">
        <v>58799</v>
      </c>
      <c r="O4182" s="66" t="s">
        <v>27</v>
      </c>
      <c r="P4182" s="82" t="s">
        <v>15445</v>
      </c>
      <c r="Q4182" s="84" t="s">
        <v>3604</v>
      </c>
      <c r="R4182" s="84" t="s">
        <v>3566</v>
      </c>
      <c r="S4182" s="84">
        <v>2.2650000000000001</v>
      </c>
      <c r="T4182" s="82" t="s">
        <v>15446</v>
      </c>
      <c r="U4182" s="84" t="s">
        <v>3584</v>
      </c>
      <c r="V4182" s="54"/>
    </row>
    <row r="4183" spans="1:22" s="11" customFormat="1" ht="45" customHeight="1" x14ac:dyDescent="0.2">
      <c r="A4183" s="66" t="s">
        <v>15447</v>
      </c>
      <c r="B4183" s="66" t="s">
        <v>1155</v>
      </c>
      <c r="C4183" s="66" t="s">
        <v>15447</v>
      </c>
      <c r="D4183" s="66">
        <v>77764289224</v>
      </c>
      <c r="E4183" s="68" t="s">
        <v>15448</v>
      </c>
      <c r="F4183" s="66" t="s">
        <v>15449</v>
      </c>
      <c r="G4183" s="71">
        <v>13702</v>
      </c>
      <c r="H4183" s="73"/>
      <c r="I4183" s="75">
        <v>0.2</v>
      </c>
      <c r="J4183" s="77"/>
      <c r="K4183" s="66"/>
      <c r="L4183" s="66"/>
      <c r="M4183" s="79" t="str">
        <f>HYPERLINK("http://www.pristavka.com/catalog/Monogram/MNG18/")</f>
        <v>http://www.pristavka.com/catalog/Monogram/MNG18/</v>
      </c>
      <c r="N4183" s="71">
        <v>21099</v>
      </c>
      <c r="O4183" s="66" t="s">
        <v>28</v>
      </c>
      <c r="P4183" s="82" t="s">
        <v>15450</v>
      </c>
      <c r="Q4183" s="84" t="s">
        <v>1321</v>
      </c>
      <c r="R4183" s="84" t="s">
        <v>1322</v>
      </c>
      <c r="S4183" s="84">
        <v>0.35099999999999998</v>
      </c>
      <c r="T4183" s="82" t="s">
        <v>15451</v>
      </c>
      <c r="U4183" s="84"/>
      <c r="V4183" s="54"/>
    </row>
    <row r="4184" spans="1:22" s="11" customFormat="1" ht="45" customHeight="1" x14ac:dyDescent="0.2">
      <c r="A4184" s="66" t="s">
        <v>15447</v>
      </c>
      <c r="B4184" s="66" t="s">
        <v>1155</v>
      </c>
      <c r="C4184" s="66" t="s">
        <v>15447</v>
      </c>
      <c r="D4184" s="66">
        <v>77764472619</v>
      </c>
      <c r="E4184" s="68" t="s">
        <v>15452</v>
      </c>
      <c r="F4184" s="66" t="s">
        <v>15453</v>
      </c>
      <c r="G4184" s="71">
        <v>9946</v>
      </c>
      <c r="H4184" s="73"/>
      <c r="I4184" s="75">
        <v>0.2</v>
      </c>
      <c r="J4184" s="77"/>
      <c r="K4184" s="66"/>
      <c r="L4184" s="66"/>
      <c r="M4184" s="79" t="str">
        <f>HYPERLINK("http://www.pristavka.com/catalog/Monogram/MNG25/")</f>
        <v>http://www.pristavka.com/catalog/Monogram/MNG25/</v>
      </c>
      <c r="N4184" s="71">
        <v>14299</v>
      </c>
      <c r="O4184" s="66" t="s">
        <v>27</v>
      </c>
      <c r="P4184" s="82" t="s">
        <v>15454</v>
      </c>
      <c r="Q4184" s="84" t="s">
        <v>1223</v>
      </c>
      <c r="R4184" s="84"/>
      <c r="S4184" s="84">
        <v>0.29899999999999999</v>
      </c>
      <c r="T4184" s="82" t="s">
        <v>15455</v>
      </c>
      <c r="U4184" s="84"/>
      <c r="V4184" s="54"/>
    </row>
    <row r="4185" spans="1:22" s="11" customFormat="1" ht="45" customHeight="1" x14ac:dyDescent="0.2">
      <c r="A4185" s="66" t="s">
        <v>15456</v>
      </c>
      <c r="B4185" s="66" t="s">
        <v>1707</v>
      </c>
      <c r="C4185" s="66" t="s">
        <v>15456</v>
      </c>
      <c r="D4185" s="66">
        <v>634482540640</v>
      </c>
      <c r="E4185" s="68" t="s">
        <v>15457</v>
      </c>
      <c r="F4185" s="66" t="s">
        <v>15458</v>
      </c>
      <c r="G4185" s="71">
        <v>45073</v>
      </c>
      <c r="H4185" s="73"/>
      <c r="I4185" s="75">
        <v>0.2</v>
      </c>
      <c r="J4185" s="77"/>
      <c r="K4185" s="66"/>
      <c r="L4185" s="66"/>
      <c r="M4185" s="79" t="str">
        <f>HYPERLINK("http://www.pristavka.com/catalog/neca/NC175/")</f>
        <v>http://www.pristavka.com/catalog/neca/NC175/</v>
      </c>
      <c r="N4185" s="71">
        <v>64399</v>
      </c>
      <c r="O4185" s="66" t="s">
        <v>27</v>
      </c>
      <c r="P4185" s="82" t="s">
        <v>15459</v>
      </c>
      <c r="Q4185" s="84" t="s">
        <v>1297</v>
      </c>
      <c r="R4185" s="84" t="s">
        <v>1303</v>
      </c>
      <c r="S4185" s="84">
        <v>0.745</v>
      </c>
      <c r="T4185" s="82" t="s">
        <v>15460</v>
      </c>
      <c r="U4185" s="84"/>
      <c r="V4185" s="54"/>
    </row>
    <row r="4186" spans="1:22" s="11" customFormat="1" ht="45" customHeight="1" x14ac:dyDescent="0.2">
      <c r="A4186" s="66" t="s">
        <v>15456</v>
      </c>
      <c r="B4186" s="66" t="s">
        <v>26</v>
      </c>
      <c r="C4186" s="66" t="s">
        <v>15456</v>
      </c>
      <c r="D4186" s="66">
        <v>634482616666</v>
      </c>
      <c r="E4186" s="68" t="s">
        <v>15461</v>
      </c>
      <c r="F4186" s="66" t="s">
        <v>15462</v>
      </c>
      <c r="G4186" s="71">
        <v>79196</v>
      </c>
      <c r="H4186" s="73"/>
      <c r="I4186" s="75">
        <v>0.2</v>
      </c>
      <c r="J4186" s="77"/>
      <c r="K4186" s="66"/>
      <c r="L4186" s="66"/>
      <c r="M4186" s="79" t="str">
        <f>HYPERLINK("http://www.pristavka.com/catalog/neca/NC178/")</f>
        <v>http://www.pristavka.com/catalog/neca/NC178/</v>
      </c>
      <c r="N4186" s="71">
        <v>105599</v>
      </c>
      <c r="O4186" s="66" t="s">
        <v>28</v>
      </c>
      <c r="P4186" s="82" t="s">
        <v>15463</v>
      </c>
      <c r="Q4186" s="84" t="s">
        <v>3566</v>
      </c>
      <c r="R4186" s="84" t="s">
        <v>1303</v>
      </c>
      <c r="S4186" s="84">
        <v>1.167</v>
      </c>
      <c r="T4186" s="82" t="s">
        <v>15464</v>
      </c>
      <c r="U4186" s="84"/>
      <c r="V4186" s="54"/>
    </row>
    <row r="4187" spans="1:22" s="11" customFormat="1" ht="45" customHeight="1" x14ac:dyDescent="0.2">
      <c r="A4187" s="66" t="s">
        <v>15456</v>
      </c>
      <c r="B4187" s="66" t="s">
        <v>1707</v>
      </c>
      <c r="C4187" s="66" t="s">
        <v>15456</v>
      </c>
      <c r="D4187" s="66">
        <v>634482608630</v>
      </c>
      <c r="E4187" s="68" t="s">
        <v>15465</v>
      </c>
      <c r="F4187" s="66" t="s">
        <v>15466</v>
      </c>
      <c r="G4187" s="71">
        <v>25376</v>
      </c>
      <c r="H4187" s="73"/>
      <c r="I4187" s="75">
        <v>0.2</v>
      </c>
      <c r="J4187" s="77"/>
      <c r="K4187" s="66"/>
      <c r="L4187" s="66"/>
      <c r="M4187" s="79" t="str">
        <f>HYPERLINK("http://www.pristavka.com/catalog/neca/NC176/")</f>
        <v>http://www.pristavka.com/catalog/neca/NC176/</v>
      </c>
      <c r="N4187" s="71">
        <v>39099</v>
      </c>
      <c r="O4187" s="66" t="s">
        <v>27</v>
      </c>
      <c r="P4187" s="82" t="s">
        <v>15467</v>
      </c>
      <c r="Q4187" s="84" t="s">
        <v>15468</v>
      </c>
      <c r="R4187" s="84"/>
      <c r="S4187" s="84">
        <v>0.25600000000000001</v>
      </c>
      <c r="T4187" s="82" t="s">
        <v>15469</v>
      </c>
      <c r="U4187" s="84"/>
      <c r="V4187" s="54"/>
    </row>
    <row r="4188" spans="1:22" s="11" customFormat="1" ht="45" customHeight="1" x14ac:dyDescent="0.2">
      <c r="A4188" s="66" t="s">
        <v>15456</v>
      </c>
      <c r="B4188" s="66" t="s">
        <v>1707</v>
      </c>
      <c r="C4188" s="66" t="s">
        <v>15456</v>
      </c>
      <c r="D4188" s="66">
        <v>634482040539</v>
      </c>
      <c r="E4188" s="68" t="s">
        <v>15470</v>
      </c>
      <c r="F4188" s="66" t="s">
        <v>15471</v>
      </c>
      <c r="G4188" s="71">
        <v>22148</v>
      </c>
      <c r="H4188" s="73"/>
      <c r="I4188" s="75">
        <v>0.2</v>
      </c>
      <c r="J4188" s="77"/>
      <c r="K4188" s="66"/>
      <c r="L4188" s="66"/>
      <c r="M4188" s="79" t="str">
        <f>HYPERLINK("http://www.pristavka.com/catalog/neca/NC86/")</f>
        <v>http://www.pristavka.com/catalog/neca/NC86/</v>
      </c>
      <c r="N4188" s="71">
        <v>31699</v>
      </c>
      <c r="O4188" s="66" t="s">
        <v>27</v>
      </c>
      <c r="P4188" s="82" t="s">
        <v>15472</v>
      </c>
      <c r="Q4188" s="84" t="s">
        <v>1840</v>
      </c>
      <c r="R4188" s="84" t="s">
        <v>1840</v>
      </c>
      <c r="S4188" s="84">
        <v>0.27900000000000003</v>
      </c>
      <c r="T4188" s="82" t="s">
        <v>15473</v>
      </c>
      <c r="U4188" s="84"/>
      <c r="V4188" s="54"/>
    </row>
    <row r="4189" spans="1:22" s="11" customFormat="1" ht="45" customHeight="1" x14ac:dyDescent="0.2">
      <c r="A4189" s="66" t="s">
        <v>15456</v>
      </c>
      <c r="B4189" s="66" t="s">
        <v>1707</v>
      </c>
      <c r="C4189" s="66" t="s">
        <v>15456</v>
      </c>
      <c r="D4189" s="66">
        <v>634482542590</v>
      </c>
      <c r="E4189" s="68" t="s">
        <v>15474</v>
      </c>
      <c r="F4189" s="66" t="s">
        <v>15475</v>
      </c>
      <c r="G4189" s="71">
        <v>28804</v>
      </c>
      <c r="H4189" s="73"/>
      <c r="I4189" s="75">
        <v>0.2</v>
      </c>
      <c r="J4189" s="77"/>
      <c r="K4189" s="66"/>
      <c r="L4189" s="66"/>
      <c r="M4189" s="79" t="str">
        <f>HYPERLINK("http://www.pristavka.com/catalog/neca/NC151/")</f>
        <v>http://www.pristavka.com/catalog/neca/NC151/</v>
      </c>
      <c r="N4189" s="71">
        <v>41199</v>
      </c>
      <c r="O4189" s="66" t="s">
        <v>27</v>
      </c>
      <c r="P4189" s="82" t="s">
        <v>15476</v>
      </c>
      <c r="Q4189" s="84" t="s">
        <v>1297</v>
      </c>
      <c r="R4189" s="84" t="s">
        <v>1303</v>
      </c>
      <c r="S4189" s="84">
        <v>0.437</v>
      </c>
      <c r="T4189" s="82" t="s">
        <v>15477</v>
      </c>
      <c r="U4189" s="84"/>
      <c r="V4189" s="54"/>
    </row>
    <row r="4190" spans="1:22" s="11" customFormat="1" ht="45" customHeight="1" x14ac:dyDescent="0.2">
      <c r="A4190" s="66" t="s">
        <v>15456</v>
      </c>
      <c r="B4190" s="66" t="s">
        <v>1707</v>
      </c>
      <c r="C4190" s="66" t="s">
        <v>15456</v>
      </c>
      <c r="D4190" s="66">
        <v>634482420669</v>
      </c>
      <c r="E4190" s="68" t="s">
        <v>15478</v>
      </c>
      <c r="F4190" s="66" t="s">
        <v>15479</v>
      </c>
      <c r="G4190" s="71">
        <v>26062</v>
      </c>
      <c r="H4190" s="73"/>
      <c r="I4190" s="75">
        <v>0.2</v>
      </c>
      <c r="J4190" s="77"/>
      <c r="K4190" s="66"/>
      <c r="L4190" s="66"/>
      <c r="M4190" s="79" t="str">
        <f>HYPERLINK("http://www.pristavka.com/catalog/neca/NC164/")</f>
        <v>http://www.pristavka.com/catalog/neca/NC164/</v>
      </c>
      <c r="N4190" s="71">
        <v>40099</v>
      </c>
      <c r="O4190" s="66" t="s">
        <v>28</v>
      </c>
      <c r="P4190" s="82" t="s">
        <v>15480</v>
      </c>
      <c r="Q4190" s="84" t="s">
        <v>1594</v>
      </c>
      <c r="R4190" s="84" t="s">
        <v>1075</v>
      </c>
      <c r="S4190" s="84">
        <v>0.22</v>
      </c>
      <c r="T4190" s="82" t="s">
        <v>15481</v>
      </c>
      <c r="U4190" s="84"/>
      <c r="V4190" s="54"/>
    </row>
    <row r="4191" spans="1:22" s="11" customFormat="1" ht="45" customHeight="1" x14ac:dyDescent="0.2">
      <c r="A4191" s="66" t="s">
        <v>15456</v>
      </c>
      <c r="B4191" s="66" t="s">
        <v>1707</v>
      </c>
      <c r="C4191" s="66" t="s">
        <v>15456</v>
      </c>
      <c r="D4191" s="66">
        <v>634482435212</v>
      </c>
      <c r="E4191" s="68" t="s">
        <v>15482</v>
      </c>
      <c r="F4191" s="66" t="s">
        <v>15483</v>
      </c>
      <c r="G4191" s="71">
        <v>34303</v>
      </c>
      <c r="H4191" s="73"/>
      <c r="I4191" s="75">
        <v>0.2</v>
      </c>
      <c r="J4191" s="77"/>
      <c r="K4191" s="66"/>
      <c r="L4191" s="66"/>
      <c r="M4191" s="79" t="str">
        <f>HYPERLINK("http://www.pristavka.com/catalog/neca/NC179/")</f>
        <v>http://www.pristavka.com/catalog/neca/NC179/</v>
      </c>
      <c r="N4191" s="71">
        <v>52799</v>
      </c>
      <c r="O4191" s="66" t="s">
        <v>27</v>
      </c>
      <c r="P4191" s="82" t="s">
        <v>15484</v>
      </c>
      <c r="Q4191" s="84" t="s">
        <v>15485</v>
      </c>
      <c r="R4191" s="84" t="s">
        <v>6171</v>
      </c>
      <c r="S4191" s="84">
        <v>0.34499999999999997</v>
      </c>
      <c r="T4191" s="82" t="s">
        <v>15486</v>
      </c>
      <c r="U4191" s="84"/>
      <c r="V4191" s="54"/>
    </row>
    <row r="4192" spans="1:22" s="11" customFormat="1" ht="45" customHeight="1" x14ac:dyDescent="0.2">
      <c r="A4192" s="66" t="s">
        <v>15456</v>
      </c>
      <c r="B4192" s="66" t="s">
        <v>1707</v>
      </c>
      <c r="C4192" s="66" t="s">
        <v>15456</v>
      </c>
      <c r="D4192" s="66">
        <v>634482435205</v>
      </c>
      <c r="E4192" s="68" t="s">
        <v>15487</v>
      </c>
      <c r="F4192" s="66" t="s">
        <v>15488</v>
      </c>
      <c r="G4192" s="71">
        <v>34303</v>
      </c>
      <c r="H4192" s="73"/>
      <c r="I4192" s="75">
        <v>0.2</v>
      </c>
      <c r="J4192" s="77"/>
      <c r="K4192" s="66"/>
      <c r="L4192" s="66"/>
      <c r="M4192" s="79" t="str">
        <f>HYPERLINK("http://www.pristavka.com/catalog/neca/NC181/")</f>
        <v>http://www.pristavka.com/catalog/neca/NC181/</v>
      </c>
      <c r="N4192" s="71">
        <v>52799</v>
      </c>
      <c r="O4192" s="66" t="s">
        <v>27</v>
      </c>
      <c r="P4192" s="82" t="s">
        <v>15489</v>
      </c>
      <c r="Q4192" s="84" t="s">
        <v>15485</v>
      </c>
      <c r="R4192" s="84" t="s">
        <v>6171</v>
      </c>
      <c r="S4192" s="84">
        <v>0.71599999999999997</v>
      </c>
      <c r="T4192" s="82" t="s">
        <v>15490</v>
      </c>
      <c r="U4192" s="84"/>
      <c r="V4192" s="54"/>
    </row>
    <row r="4193" spans="1:22" s="11" customFormat="1" ht="45" customHeight="1" x14ac:dyDescent="0.2">
      <c r="A4193" s="66" t="s">
        <v>15456</v>
      </c>
      <c r="B4193" s="66" t="s">
        <v>1707</v>
      </c>
      <c r="C4193" s="66" t="s">
        <v>15456</v>
      </c>
      <c r="D4193" s="66">
        <v>634482542941</v>
      </c>
      <c r="E4193" s="68" t="s">
        <v>15491</v>
      </c>
      <c r="F4193" s="66" t="s">
        <v>15492</v>
      </c>
      <c r="G4193" s="71">
        <v>19882</v>
      </c>
      <c r="H4193" s="73"/>
      <c r="I4193" s="75">
        <v>0.2</v>
      </c>
      <c r="J4193" s="77"/>
      <c r="K4193" s="66"/>
      <c r="L4193" s="66"/>
      <c r="M4193" s="79" t="str">
        <f>HYPERLINK("http://www.pristavka.com/catalog/neca/NC173/")</f>
        <v>http://www.pristavka.com/catalog/neca/NC173/</v>
      </c>
      <c r="N4193" s="71">
        <v>30599</v>
      </c>
      <c r="O4193" s="66" t="s">
        <v>27</v>
      </c>
      <c r="P4193" s="82" t="s">
        <v>15493</v>
      </c>
      <c r="Q4193" s="84" t="s">
        <v>1297</v>
      </c>
      <c r="R4193" s="84" t="s">
        <v>1303</v>
      </c>
      <c r="S4193" s="84">
        <v>0.315</v>
      </c>
      <c r="T4193" s="82" t="s">
        <v>15494</v>
      </c>
      <c r="U4193" s="84"/>
      <c r="V4193" s="54"/>
    </row>
    <row r="4194" spans="1:22" s="11" customFormat="1" ht="45" customHeight="1" x14ac:dyDescent="0.2">
      <c r="A4194" s="66" t="s">
        <v>15456</v>
      </c>
      <c r="B4194" s="66" t="s">
        <v>1707</v>
      </c>
      <c r="C4194" s="66" t="s">
        <v>15456</v>
      </c>
      <c r="D4194" s="66">
        <v>634482543016</v>
      </c>
      <c r="E4194" s="68" t="s">
        <v>15495</v>
      </c>
      <c r="F4194" s="66" t="s">
        <v>15496</v>
      </c>
      <c r="G4194" s="71">
        <v>30182</v>
      </c>
      <c r="H4194" s="73"/>
      <c r="I4194" s="75">
        <v>0.2</v>
      </c>
      <c r="J4194" s="77"/>
      <c r="K4194" s="66"/>
      <c r="L4194" s="66"/>
      <c r="M4194" s="79" t="str">
        <f>HYPERLINK("http://www.pristavka.com/catalog/neca/NC177/")</f>
        <v>http://www.pristavka.com/catalog/neca/NC177/</v>
      </c>
      <c r="N4194" s="71">
        <v>46499</v>
      </c>
      <c r="O4194" s="66" t="s">
        <v>27</v>
      </c>
      <c r="P4194" s="82" t="s">
        <v>15497</v>
      </c>
      <c r="Q4194" s="84" t="s">
        <v>1297</v>
      </c>
      <c r="R4194" s="84" t="s">
        <v>1303</v>
      </c>
      <c r="S4194" s="84">
        <v>0.441</v>
      </c>
      <c r="T4194" s="82" t="s">
        <v>5908</v>
      </c>
      <c r="U4194" s="84"/>
      <c r="V4194" s="54"/>
    </row>
    <row r="4195" spans="1:22" s="11" customFormat="1" ht="45" customHeight="1" x14ac:dyDescent="0.2">
      <c r="A4195" s="66" t="s">
        <v>15456</v>
      </c>
      <c r="B4195" s="66" t="s">
        <v>1707</v>
      </c>
      <c r="C4195" s="66" t="s">
        <v>15456</v>
      </c>
      <c r="D4195" s="66">
        <v>634482543009</v>
      </c>
      <c r="E4195" s="68" t="s">
        <v>15498</v>
      </c>
      <c r="F4195" s="66" t="s">
        <v>15499</v>
      </c>
      <c r="G4195" s="71">
        <v>31556</v>
      </c>
      <c r="H4195" s="73"/>
      <c r="I4195" s="75">
        <v>0.2</v>
      </c>
      <c r="J4195" s="77"/>
      <c r="K4195" s="66"/>
      <c r="L4195" s="66"/>
      <c r="M4195" s="79" t="str">
        <f>HYPERLINK("http://www.pristavka.com/catalog/neca/NC180/")</f>
        <v>http://www.pristavka.com/catalog/neca/NC180/</v>
      </c>
      <c r="N4195" s="71">
        <v>48599</v>
      </c>
      <c r="O4195" s="66" t="s">
        <v>27</v>
      </c>
      <c r="P4195" s="82" t="s">
        <v>15500</v>
      </c>
      <c r="Q4195" s="84" t="s">
        <v>1297</v>
      </c>
      <c r="R4195" s="84" t="s">
        <v>1303</v>
      </c>
      <c r="S4195" s="84">
        <v>0.46</v>
      </c>
      <c r="T4195" s="82" t="s">
        <v>15501</v>
      </c>
      <c r="U4195" s="84"/>
      <c r="V4195" s="54"/>
    </row>
    <row r="4196" spans="1:22" s="11" customFormat="1" ht="45" customHeight="1" x14ac:dyDescent="0.2">
      <c r="A4196" s="66" t="s">
        <v>15456</v>
      </c>
      <c r="B4196" s="66" t="s">
        <v>1707</v>
      </c>
      <c r="C4196" s="66" t="s">
        <v>15456</v>
      </c>
      <c r="D4196" s="66">
        <v>634482536209</v>
      </c>
      <c r="E4196" s="68" t="s">
        <v>15502</v>
      </c>
      <c r="F4196" s="66" t="s">
        <v>15503</v>
      </c>
      <c r="G4196" s="71">
        <v>27436</v>
      </c>
      <c r="H4196" s="73"/>
      <c r="I4196" s="75">
        <v>0.2</v>
      </c>
      <c r="J4196" s="77"/>
      <c r="K4196" s="66"/>
      <c r="L4196" s="66"/>
      <c r="M4196" s="79" t="str">
        <f>HYPERLINK("http://www.pristavka.com/catalog/neca/NC89/")</f>
        <v>http://www.pristavka.com/catalog/neca/NC89/</v>
      </c>
      <c r="N4196" s="71">
        <v>42299</v>
      </c>
      <c r="O4196" s="66" t="s">
        <v>28</v>
      </c>
      <c r="P4196" s="82" t="s">
        <v>15504</v>
      </c>
      <c r="Q4196" s="84" t="s">
        <v>1211</v>
      </c>
      <c r="R4196" s="84" t="s">
        <v>1303</v>
      </c>
      <c r="S4196" s="84">
        <v>0.34699999999999998</v>
      </c>
      <c r="T4196" s="82" t="s">
        <v>15505</v>
      </c>
      <c r="U4196" s="84"/>
      <c r="V4196" s="54"/>
    </row>
    <row r="4197" spans="1:22" s="11" customFormat="1" ht="45" customHeight="1" x14ac:dyDescent="0.2">
      <c r="A4197" s="66" t="s">
        <v>15456</v>
      </c>
      <c r="B4197" s="66" t="s">
        <v>1707</v>
      </c>
      <c r="C4197" s="66" t="s">
        <v>15456</v>
      </c>
      <c r="D4197" s="66">
        <v>634482514252</v>
      </c>
      <c r="E4197" s="68" t="s">
        <v>15506</v>
      </c>
      <c r="F4197" s="66" t="s">
        <v>15507</v>
      </c>
      <c r="G4197" s="71">
        <v>26749</v>
      </c>
      <c r="H4197" s="73"/>
      <c r="I4197" s="75">
        <v>0.2</v>
      </c>
      <c r="J4197" s="77"/>
      <c r="K4197" s="66"/>
      <c r="L4197" s="66"/>
      <c r="M4197" s="79" t="str">
        <f>HYPERLINK("http://www.pristavka.com/catalog/neca/NC143/NC143/")</f>
        <v>http://www.pristavka.com/catalog/neca/NC143/NC143/</v>
      </c>
      <c r="N4197" s="71">
        <v>41199</v>
      </c>
      <c r="O4197" s="66" t="s">
        <v>27</v>
      </c>
      <c r="P4197" s="82" t="s">
        <v>15508</v>
      </c>
      <c r="Q4197" s="84" t="s">
        <v>8393</v>
      </c>
      <c r="R4197" s="84" t="s">
        <v>3992</v>
      </c>
      <c r="S4197" s="84">
        <v>0.40100000000000002</v>
      </c>
      <c r="T4197" s="82" t="s">
        <v>15509</v>
      </c>
      <c r="U4197" s="84"/>
      <c r="V4197" s="54"/>
    </row>
    <row r="4198" spans="1:22" s="11" customFormat="1" ht="45" customHeight="1" x14ac:dyDescent="0.2">
      <c r="A4198" s="66" t="s">
        <v>15456</v>
      </c>
      <c r="B4198" s="66" t="s">
        <v>1707</v>
      </c>
      <c r="C4198" s="66" t="s">
        <v>15456</v>
      </c>
      <c r="D4198" s="66">
        <v>634482515860</v>
      </c>
      <c r="E4198" s="68" t="s">
        <v>15510</v>
      </c>
      <c r="F4198" s="66" t="s">
        <v>15511</v>
      </c>
      <c r="G4198" s="71">
        <v>27436</v>
      </c>
      <c r="H4198" s="73"/>
      <c r="I4198" s="75">
        <v>0.2</v>
      </c>
      <c r="J4198" s="77"/>
      <c r="K4198" s="66"/>
      <c r="L4198" s="66"/>
      <c r="M4198" s="79" t="str">
        <f>HYPERLINK("http://www.pristavka.com/catalog/neca/NC87/")</f>
        <v>http://www.pristavka.com/catalog/neca/NC87/</v>
      </c>
      <c r="N4198" s="71">
        <v>42299</v>
      </c>
      <c r="O4198" s="66" t="s">
        <v>27</v>
      </c>
      <c r="P4198" s="82" t="s">
        <v>15512</v>
      </c>
      <c r="Q4198" s="84" t="s">
        <v>8393</v>
      </c>
      <c r="R4198" s="84" t="s">
        <v>3992</v>
      </c>
      <c r="S4198" s="84">
        <v>0.40400000000000003</v>
      </c>
      <c r="T4198" s="82" t="s">
        <v>15513</v>
      </c>
      <c r="U4198" s="84"/>
      <c r="V4198" s="54"/>
    </row>
    <row r="4199" spans="1:22" s="11" customFormat="1" ht="45" customHeight="1" x14ac:dyDescent="0.2">
      <c r="A4199" s="66" t="s">
        <v>15456</v>
      </c>
      <c r="B4199" s="66" t="s">
        <v>1707</v>
      </c>
      <c r="C4199" s="66" t="s">
        <v>15456</v>
      </c>
      <c r="D4199" s="66">
        <v>634482040539</v>
      </c>
      <c r="E4199" s="68" t="s">
        <v>15514</v>
      </c>
      <c r="F4199" s="66" t="s">
        <v>15515</v>
      </c>
      <c r="G4199" s="71">
        <v>25106</v>
      </c>
      <c r="H4199" s="73"/>
      <c r="I4199" s="75">
        <v>0.2</v>
      </c>
      <c r="J4199" s="77"/>
      <c r="K4199" s="66"/>
      <c r="L4199" s="66"/>
      <c r="M4199" s="79" t="str">
        <f>HYPERLINK("http://www.pristavka.com/catalog/neca/NC85/")</f>
        <v>http://www.pristavka.com/catalog/neca/NC85/</v>
      </c>
      <c r="N4199" s="71">
        <v>35899</v>
      </c>
      <c r="O4199" s="66" t="s">
        <v>27</v>
      </c>
      <c r="P4199" s="82" t="s">
        <v>15516</v>
      </c>
      <c r="Q4199" s="84" t="s">
        <v>7388</v>
      </c>
      <c r="R4199" s="84" t="s">
        <v>3992</v>
      </c>
      <c r="S4199" s="84">
        <v>0.35099999999999998</v>
      </c>
      <c r="T4199" s="82" t="s">
        <v>15505</v>
      </c>
      <c r="U4199" s="84"/>
      <c r="V4199" s="54"/>
    </row>
    <row r="4200" spans="1:22" s="11" customFormat="1" ht="45" customHeight="1" x14ac:dyDescent="0.2">
      <c r="A4200" s="66" t="s">
        <v>15456</v>
      </c>
      <c r="B4200" s="66" t="s">
        <v>1707</v>
      </c>
      <c r="C4200" s="66" t="s">
        <v>15456</v>
      </c>
      <c r="D4200" s="66">
        <v>634482515891</v>
      </c>
      <c r="E4200" s="68" t="s">
        <v>15517</v>
      </c>
      <c r="F4200" s="66" t="s">
        <v>15518</v>
      </c>
      <c r="G4200" s="71">
        <v>40483</v>
      </c>
      <c r="H4200" s="73"/>
      <c r="I4200" s="75">
        <v>0.2</v>
      </c>
      <c r="J4200" s="77"/>
      <c r="K4200" s="66"/>
      <c r="L4200" s="66"/>
      <c r="M4200" s="79" t="str">
        <f>HYPERLINK("http://www.pristavka.com/catalog/neca/NC149/NC149/")</f>
        <v>http://www.pristavka.com/catalog/neca/NC149/NC149/</v>
      </c>
      <c r="N4200" s="71">
        <v>62299</v>
      </c>
      <c r="O4200" s="66" t="s">
        <v>27</v>
      </c>
      <c r="P4200" s="82" t="s">
        <v>15519</v>
      </c>
      <c r="Q4200" s="84" t="s">
        <v>8393</v>
      </c>
      <c r="R4200" s="84" t="s">
        <v>3992</v>
      </c>
      <c r="S4200" s="84">
        <v>0.82699999999999996</v>
      </c>
      <c r="T4200" s="82" t="s">
        <v>15520</v>
      </c>
      <c r="U4200" s="84"/>
      <c r="V4200" s="54"/>
    </row>
    <row r="4201" spans="1:22" s="11" customFormat="1" ht="45" customHeight="1" x14ac:dyDescent="0.2">
      <c r="A4201" s="66" t="s">
        <v>15456</v>
      </c>
      <c r="B4201" s="66" t="s">
        <v>1707</v>
      </c>
      <c r="C4201" s="66" t="s">
        <v>15456</v>
      </c>
      <c r="D4201" s="66">
        <v>634482541869</v>
      </c>
      <c r="E4201" s="68" t="s">
        <v>15521</v>
      </c>
      <c r="F4201" s="66" t="s">
        <v>15522</v>
      </c>
      <c r="G4201" s="71">
        <v>22286</v>
      </c>
      <c r="H4201" s="73"/>
      <c r="I4201" s="75">
        <v>0.2</v>
      </c>
      <c r="J4201" s="77"/>
      <c r="K4201" s="66"/>
      <c r="L4201" s="66"/>
      <c r="M4201" s="79" t="str">
        <f>HYPERLINK("http://www.pristavka.com/catalog/neca/NC109/NC109/")</f>
        <v>http://www.pristavka.com/catalog/neca/NC109/NC109/</v>
      </c>
      <c r="N4201" s="71">
        <v>34299</v>
      </c>
      <c r="O4201" s="66" t="s">
        <v>27</v>
      </c>
      <c r="P4201" s="82" t="s">
        <v>15523</v>
      </c>
      <c r="Q4201" s="84" t="s">
        <v>1297</v>
      </c>
      <c r="R4201" s="84" t="s">
        <v>1298</v>
      </c>
      <c r="S4201" s="84">
        <v>0.63300000000000001</v>
      </c>
      <c r="T4201" s="82" t="s">
        <v>1643</v>
      </c>
      <c r="U4201" s="84"/>
      <c r="V4201" s="54"/>
    </row>
    <row r="4202" spans="1:22" s="11" customFormat="1" ht="45" customHeight="1" x14ac:dyDescent="0.2">
      <c r="A4202" s="66" t="s">
        <v>15456</v>
      </c>
      <c r="B4202" s="66" t="s">
        <v>1707</v>
      </c>
      <c r="C4202" s="66" t="s">
        <v>15456</v>
      </c>
      <c r="D4202" s="66">
        <v>634482540398</v>
      </c>
      <c r="E4202" s="68" t="s">
        <v>15524</v>
      </c>
      <c r="F4202" s="66" t="s">
        <v>15525</v>
      </c>
      <c r="G4202" s="71">
        <v>118813</v>
      </c>
      <c r="H4202" s="73"/>
      <c r="I4202" s="75">
        <v>0.2</v>
      </c>
      <c r="J4202" s="77"/>
      <c r="K4202" s="66"/>
      <c r="L4202" s="66"/>
      <c r="M4202" s="79" t="str">
        <f>HYPERLINK("http://www.pristavka.com/catalog/neca/NC190/")</f>
        <v>http://www.pristavka.com/catalog/neca/NC190/</v>
      </c>
      <c r="N4202" s="71">
        <v>158499</v>
      </c>
      <c r="O4202" s="66" t="s">
        <v>28</v>
      </c>
      <c r="P4202" s="82" t="s">
        <v>15526</v>
      </c>
      <c r="Q4202" s="84" t="s">
        <v>1297</v>
      </c>
      <c r="R4202" s="84" t="s">
        <v>1303</v>
      </c>
      <c r="S4202" s="84">
        <v>2.9369999999999998</v>
      </c>
      <c r="T4202" s="82" t="s">
        <v>15527</v>
      </c>
      <c r="U4202" s="84"/>
      <c r="V4202" s="54"/>
    </row>
    <row r="4203" spans="1:22" s="11" customFormat="1" ht="45" customHeight="1" x14ac:dyDescent="0.2">
      <c r="A4203" s="66" t="s">
        <v>15456</v>
      </c>
      <c r="B4203" s="66" t="s">
        <v>1707</v>
      </c>
      <c r="C4203" s="66" t="s">
        <v>15456</v>
      </c>
      <c r="D4203" s="66">
        <v>634482540480</v>
      </c>
      <c r="E4203" s="68" t="s">
        <v>15528</v>
      </c>
      <c r="F4203" s="66" t="s">
        <v>15529</v>
      </c>
      <c r="G4203" s="71">
        <v>118813</v>
      </c>
      <c r="H4203" s="73"/>
      <c r="I4203" s="75">
        <v>0.2</v>
      </c>
      <c r="J4203" s="77"/>
      <c r="K4203" s="66"/>
      <c r="L4203" s="66"/>
      <c r="M4203" s="79" t="str">
        <f>HYPERLINK("http://www.pristavka.com/catalog/neca/NC189/")</f>
        <v>http://www.pristavka.com/catalog/neca/NC189/</v>
      </c>
      <c r="N4203" s="71">
        <v>158499</v>
      </c>
      <c r="O4203" s="66" t="s">
        <v>27</v>
      </c>
      <c r="P4203" s="82" t="s">
        <v>15530</v>
      </c>
      <c r="Q4203" s="84" t="s">
        <v>1297</v>
      </c>
      <c r="R4203" s="84" t="s">
        <v>1303</v>
      </c>
      <c r="S4203" s="84">
        <v>2.9790000000000001</v>
      </c>
      <c r="T4203" s="82" t="s">
        <v>15531</v>
      </c>
      <c r="U4203" s="84"/>
      <c r="V4203" s="54"/>
    </row>
    <row r="4204" spans="1:22" s="11" customFormat="1" ht="45" customHeight="1" x14ac:dyDescent="0.2">
      <c r="A4204" s="66" t="s">
        <v>15456</v>
      </c>
      <c r="B4204" s="66" t="s">
        <v>1707</v>
      </c>
      <c r="C4204" s="66" t="s">
        <v>15456</v>
      </c>
      <c r="D4204" s="66">
        <v>634482540541</v>
      </c>
      <c r="E4204" s="68" t="s">
        <v>15532</v>
      </c>
      <c r="F4204" s="66" t="s">
        <v>15533</v>
      </c>
      <c r="G4204" s="71">
        <v>118813</v>
      </c>
      <c r="H4204" s="73"/>
      <c r="I4204" s="75">
        <v>0.2</v>
      </c>
      <c r="J4204" s="77"/>
      <c r="K4204" s="66"/>
      <c r="L4204" s="66"/>
      <c r="M4204" s="79" t="str">
        <f>HYPERLINK("http://www.pristavka.com/catalog/neca/NC187/")</f>
        <v>http://www.pristavka.com/catalog/neca/NC187/</v>
      </c>
      <c r="N4204" s="71">
        <v>158499</v>
      </c>
      <c r="O4204" s="66" t="s">
        <v>28</v>
      </c>
      <c r="P4204" s="82" t="s">
        <v>15534</v>
      </c>
      <c r="Q4204" s="84" t="s">
        <v>1297</v>
      </c>
      <c r="R4204" s="84" t="s">
        <v>1303</v>
      </c>
      <c r="S4204" s="84">
        <v>2.8479999999999999</v>
      </c>
      <c r="T4204" s="82" t="s">
        <v>15531</v>
      </c>
      <c r="U4204" s="84"/>
      <c r="V4204" s="54"/>
    </row>
    <row r="4205" spans="1:22" s="11" customFormat="1" ht="45" customHeight="1" x14ac:dyDescent="0.2">
      <c r="A4205" s="66" t="s">
        <v>15456</v>
      </c>
      <c r="B4205" s="66" t="s">
        <v>1707</v>
      </c>
      <c r="C4205" s="66" t="s">
        <v>15456</v>
      </c>
      <c r="D4205" s="66">
        <v>634482540534</v>
      </c>
      <c r="E4205" s="68" t="s">
        <v>15535</v>
      </c>
      <c r="F4205" s="66" t="s">
        <v>15536</v>
      </c>
      <c r="G4205" s="71">
        <v>118813</v>
      </c>
      <c r="H4205" s="73"/>
      <c r="I4205" s="75">
        <v>0.2</v>
      </c>
      <c r="J4205" s="77"/>
      <c r="K4205" s="66"/>
      <c r="L4205" s="66"/>
      <c r="M4205" s="79" t="str">
        <f>HYPERLINK("http://www.pristavka.com/catalog/neca/NC188/")</f>
        <v>http://www.pristavka.com/catalog/neca/NC188/</v>
      </c>
      <c r="N4205" s="71">
        <v>158499</v>
      </c>
      <c r="O4205" s="66" t="s">
        <v>28</v>
      </c>
      <c r="P4205" s="82" t="s">
        <v>15537</v>
      </c>
      <c r="Q4205" s="84" t="s">
        <v>1297</v>
      </c>
      <c r="R4205" s="84" t="s">
        <v>1303</v>
      </c>
      <c r="S4205" s="84">
        <v>2.91</v>
      </c>
      <c r="T4205" s="82" t="s">
        <v>15531</v>
      </c>
      <c r="U4205" s="84"/>
      <c r="V4205" s="54"/>
    </row>
    <row r="4206" spans="1:22" s="11" customFormat="1" ht="45" customHeight="1" x14ac:dyDescent="0.2">
      <c r="A4206" s="66" t="s">
        <v>15456</v>
      </c>
      <c r="B4206" s="66" t="s">
        <v>1707</v>
      </c>
      <c r="C4206" s="66" t="s">
        <v>15456</v>
      </c>
      <c r="D4206" s="66">
        <v>634482543573</v>
      </c>
      <c r="E4206" s="68" t="s">
        <v>15538</v>
      </c>
      <c r="F4206" s="66" t="s">
        <v>15539</v>
      </c>
      <c r="G4206" s="71">
        <v>31899</v>
      </c>
      <c r="H4206" s="73"/>
      <c r="I4206" s="75">
        <v>0.2</v>
      </c>
      <c r="J4206" s="77"/>
      <c r="K4206" s="66"/>
      <c r="L4206" s="66"/>
      <c r="M4206" s="79" t="str">
        <f>HYPERLINK("http://www.pristavka.com/catalog/neca/NC167/")</f>
        <v>http://www.pristavka.com/catalog/neca/NC167/</v>
      </c>
      <c r="N4206" s="71">
        <v>49099</v>
      </c>
      <c r="O4206" s="66" t="s">
        <v>27</v>
      </c>
      <c r="P4206" s="82" t="s">
        <v>15540</v>
      </c>
      <c r="Q4206" s="84" t="s">
        <v>1297</v>
      </c>
      <c r="R4206" s="84" t="s">
        <v>1303</v>
      </c>
      <c r="S4206" s="84">
        <v>0.317</v>
      </c>
      <c r="T4206" s="82" t="s">
        <v>15541</v>
      </c>
      <c r="U4206" s="84"/>
      <c r="V4206" s="54"/>
    </row>
    <row r="4207" spans="1:22" s="11" customFormat="1" ht="45" customHeight="1" x14ac:dyDescent="0.2">
      <c r="A4207" s="66" t="s">
        <v>15456</v>
      </c>
      <c r="B4207" s="66" t="s">
        <v>1707</v>
      </c>
      <c r="C4207" s="66" t="s">
        <v>15456</v>
      </c>
      <c r="D4207" s="66">
        <v>634482543092</v>
      </c>
      <c r="E4207" s="68" t="s">
        <v>15542</v>
      </c>
      <c r="F4207" s="66" t="s">
        <v>15543</v>
      </c>
      <c r="G4207" s="71">
        <v>28809</v>
      </c>
      <c r="H4207" s="73"/>
      <c r="I4207" s="75">
        <v>0.2</v>
      </c>
      <c r="J4207" s="77"/>
      <c r="K4207" s="66"/>
      <c r="L4207" s="66"/>
      <c r="M4207" s="79" t="str">
        <f>HYPERLINK("http://www.pristavka.com/catalog/neca/NC168/")</f>
        <v>http://www.pristavka.com/catalog/neca/NC168/</v>
      </c>
      <c r="N4207" s="71">
        <v>44399</v>
      </c>
      <c r="O4207" s="66" t="s">
        <v>28</v>
      </c>
      <c r="P4207" s="82" t="s">
        <v>15544</v>
      </c>
      <c r="Q4207" s="84" t="s">
        <v>1297</v>
      </c>
      <c r="R4207" s="84" t="s">
        <v>1303</v>
      </c>
      <c r="S4207" s="84">
        <v>0.17399999999999999</v>
      </c>
      <c r="T4207" s="82" t="s">
        <v>15545</v>
      </c>
      <c r="U4207" s="84"/>
      <c r="V4207" s="54"/>
    </row>
    <row r="4208" spans="1:22" s="11" customFormat="1" ht="45" customHeight="1" x14ac:dyDescent="0.2">
      <c r="A4208" s="66" t="s">
        <v>15456</v>
      </c>
      <c r="B4208" s="66" t="s">
        <v>1707</v>
      </c>
      <c r="C4208" s="66" t="s">
        <v>15456</v>
      </c>
      <c r="D4208" s="66">
        <v>634482542897</v>
      </c>
      <c r="E4208" s="68" t="s">
        <v>15546</v>
      </c>
      <c r="F4208" s="66" t="s">
        <v>15547</v>
      </c>
      <c r="G4208" s="71">
        <v>28809</v>
      </c>
      <c r="H4208" s="73"/>
      <c r="I4208" s="75">
        <v>0.2</v>
      </c>
      <c r="J4208" s="77"/>
      <c r="K4208" s="66"/>
      <c r="L4208" s="66"/>
      <c r="M4208" s="79" t="str">
        <f>HYPERLINK("http://www.pristavka.com/catalog/neca/NC169/")</f>
        <v>http://www.pristavka.com/catalog/neca/NC169/</v>
      </c>
      <c r="N4208" s="71">
        <v>44399</v>
      </c>
      <c r="O4208" s="66" t="s">
        <v>28</v>
      </c>
      <c r="P4208" s="82" t="s">
        <v>15548</v>
      </c>
      <c r="Q4208" s="84" t="s">
        <v>1297</v>
      </c>
      <c r="R4208" s="84" t="s">
        <v>1303</v>
      </c>
      <c r="S4208" s="84">
        <v>0.21199999999999999</v>
      </c>
      <c r="T4208" s="82" t="s">
        <v>15549</v>
      </c>
      <c r="U4208" s="84"/>
      <c r="V4208" s="54"/>
    </row>
    <row r="4209" spans="1:22" s="11" customFormat="1" ht="45" customHeight="1" x14ac:dyDescent="0.2">
      <c r="A4209" s="66" t="s">
        <v>15456</v>
      </c>
      <c r="B4209" s="66" t="s">
        <v>1707</v>
      </c>
      <c r="C4209" s="66" t="s">
        <v>15456</v>
      </c>
      <c r="D4209" s="66">
        <v>634482543177</v>
      </c>
      <c r="E4209" s="68" t="s">
        <v>15550</v>
      </c>
      <c r="F4209" s="66" t="s">
        <v>15551</v>
      </c>
      <c r="G4209" s="71">
        <v>21256</v>
      </c>
      <c r="H4209" s="73"/>
      <c r="I4209" s="75">
        <v>0.2</v>
      </c>
      <c r="J4209" s="77"/>
      <c r="K4209" s="66"/>
      <c r="L4209" s="66"/>
      <c r="M4209" s="79" t="str">
        <f>HYPERLINK("http://www.pristavka.com/catalog/neca/NC174/")</f>
        <v>http://www.pristavka.com/catalog/neca/NC174/</v>
      </c>
      <c r="N4209" s="71">
        <v>32699</v>
      </c>
      <c r="O4209" s="66" t="s">
        <v>27</v>
      </c>
      <c r="P4209" s="82" t="s">
        <v>15552</v>
      </c>
      <c r="Q4209" s="84" t="s">
        <v>1297</v>
      </c>
      <c r="R4209" s="84" t="s">
        <v>1303</v>
      </c>
      <c r="S4209" s="84">
        <v>0.34799999999999998</v>
      </c>
      <c r="T4209" s="82" t="s">
        <v>15527</v>
      </c>
      <c r="U4209" s="84"/>
      <c r="V4209" s="54"/>
    </row>
    <row r="4210" spans="1:22" s="11" customFormat="1" ht="45" customHeight="1" x14ac:dyDescent="0.2">
      <c r="A4210" s="66" t="s">
        <v>15456</v>
      </c>
      <c r="B4210" s="66" t="s">
        <v>1707</v>
      </c>
      <c r="C4210" s="66" t="s">
        <v>15456</v>
      </c>
      <c r="D4210" s="66">
        <v>634482543481</v>
      </c>
      <c r="E4210" s="68" t="s">
        <v>15553</v>
      </c>
      <c r="F4210" s="66" t="s">
        <v>15554</v>
      </c>
      <c r="G4210" s="71">
        <v>30869</v>
      </c>
      <c r="H4210" s="73"/>
      <c r="I4210" s="75">
        <v>0.2</v>
      </c>
      <c r="J4210" s="77"/>
      <c r="K4210" s="66"/>
      <c r="L4210" s="66"/>
      <c r="M4210" s="79" t="str">
        <f>HYPERLINK("http://www.pristavka.com/catalog/neca/NC186/")</f>
        <v>http://www.pristavka.com/catalog/neca/NC186/</v>
      </c>
      <c r="N4210" s="71">
        <v>47499</v>
      </c>
      <c r="O4210" s="66" t="s">
        <v>27</v>
      </c>
      <c r="P4210" s="82" t="s">
        <v>15555</v>
      </c>
      <c r="Q4210" s="84" t="s">
        <v>1297</v>
      </c>
      <c r="R4210" s="84" t="s">
        <v>1303</v>
      </c>
      <c r="S4210" s="84">
        <v>0.28999999999999998</v>
      </c>
      <c r="T4210" s="82" t="s">
        <v>15527</v>
      </c>
      <c r="U4210" s="84"/>
      <c r="V4210" s="54"/>
    </row>
    <row r="4211" spans="1:22" s="11" customFormat="1" ht="45" customHeight="1" x14ac:dyDescent="0.2">
      <c r="A4211" s="66" t="s">
        <v>15456</v>
      </c>
      <c r="B4211" s="66" t="s">
        <v>1707</v>
      </c>
      <c r="C4211" s="66" t="s">
        <v>15456</v>
      </c>
      <c r="D4211" s="66">
        <v>634482543474</v>
      </c>
      <c r="E4211" s="68" t="s">
        <v>15556</v>
      </c>
      <c r="F4211" s="66" t="s">
        <v>15557</v>
      </c>
      <c r="G4211" s="71">
        <v>30869</v>
      </c>
      <c r="H4211" s="73"/>
      <c r="I4211" s="75">
        <v>0.2</v>
      </c>
      <c r="J4211" s="77"/>
      <c r="K4211" s="66"/>
      <c r="L4211" s="66"/>
      <c r="M4211" s="79" t="str">
        <f>HYPERLINK("http://www.pristavka.com/catalog/neca/NC183/")</f>
        <v>http://www.pristavka.com/catalog/neca/NC183/</v>
      </c>
      <c r="N4211" s="71">
        <v>47499</v>
      </c>
      <c r="O4211" s="66" t="s">
        <v>27</v>
      </c>
      <c r="P4211" s="82" t="s">
        <v>15558</v>
      </c>
      <c r="Q4211" s="84" t="s">
        <v>1297</v>
      </c>
      <c r="R4211" s="84" t="s">
        <v>1303</v>
      </c>
      <c r="S4211" s="84">
        <v>0.34</v>
      </c>
      <c r="T4211" s="82" t="s">
        <v>15509</v>
      </c>
      <c r="U4211" s="84"/>
      <c r="V4211" s="54"/>
    </row>
    <row r="4212" spans="1:22" s="11" customFormat="1" ht="45" customHeight="1" x14ac:dyDescent="0.2">
      <c r="A4212" s="66" t="s">
        <v>15456</v>
      </c>
      <c r="B4212" s="66" t="s">
        <v>1707</v>
      </c>
      <c r="C4212" s="66" t="s">
        <v>15456</v>
      </c>
      <c r="D4212" s="66">
        <v>634482543511</v>
      </c>
      <c r="E4212" s="68" t="s">
        <v>15559</v>
      </c>
      <c r="F4212" s="66" t="s">
        <v>15560</v>
      </c>
      <c r="G4212" s="71">
        <v>30869</v>
      </c>
      <c r="H4212" s="73"/>
      <c r="I4212" s="75">
        <v>0.2</v>
      </c>
      <c r="J4212" s="77"/>
      <c r="K4212" s="66"/>
      <c r="L4212" s="66"/>
      <c r="M4212" s="79" t="str">
        <f>HYPERLINK("http://www.pristavka.com/catalog/neca/NC184/")</f>
        <v>http://www.pristavka.com/catalog/neca/NC184/</v>
      </c>
      <c r="N4212" s="71">
        <v>47499</v>
      </c>
      <c r="O4212" s="66" t="s">
        <v>27</v>
      </c>
      <c r="P4212" s="82" t="s">
        <v>15561</v>
      </c>
      <c r="Q4212" s="84" t="s">
        <v>1297</v>
      </c>
      <c r="R4212" s="84" t="s">
        <v>1303</v>
      </c>
      <c r="S4212" s="84">
        <v>0.28999999999999998</v>
      </c>
      <c r="T4212" s="82" t="s">
        <v>15509</v>
      </c>
      <c r="U4212" s="84"/>
      <c r="V4212" s="54"/>
    </row>
    <row r="4213" spans="1:22" s="11" customFormat="1" ht="45" customHeight="1" x14ac:dyDescent="0.2">
      <c r="A4213" s="66" t="s">
        <v>15456</v>
      </c>
      <c r="B4213" s="66" t="s">
        <v>1707</v>
      </c>
      <c r="C4213" s="66" t="s">
        <v>15456</v>
      </c>
      <c r="D4213" s="66">
        <v>634482541883</v>
      </c>
      <c r="E4213" s="68" t="s">
        <v>15562</v>
      </c>
      <c r="F4213" s="66" t="s">
        <v>15563</v>
      </c>
      <c r="G4213" s="71">
        <v>22286</v>
      </c>
      <c r="H4213" s="73"/>
      <c r="I4213" s="75">
        <v>0.2</v>
      </c>
      <c r="J4213" s="77"/>
      <c r="K4213" s="66"/>
      <c r="L4213" s="66"/>
      <c r="M4213" s="79" t="str">
        <f>HYPERLINK("http://www.pristavka.com/catalog/neca/NC153/")</f>
        <v>http://www.pristavka.com/catalog/neca/NC153/</v>
      </c>
      <c r="N4213" s="71">
        <v>34299</v>
      </c>
      <c r="O4213" s="66" t="s">
        <v>27</v>
      </c>
      <c r="P4213" s="82" t="s">
        <v>15564</v>
      </c>
      <c r="Q4213" s="84" t="s">
        <v>1297</v>
      </c>
      <c r="R4213" s="84" t="s">
        <v>1298</v>
      </c>
      <c r="S4213" s="84">
        <v>0.48799999999999999</v>
      </c>
      <c r="T4213" s="82" t="s">
        <v>15565</v>
      </c>
      <c r="U4213" s="84"/>
      <c r="V4213" s="54"/>
    </row>
    <row r="4214" spans="1:22" s="11" customFormat="1" ht="45" customHeight="1" x14ac:dyDescent="0.2">
      <c r="A4214" s="66" t="s">
        <v>15566</v>
      </c>
      <c r="B4214" s="66" t="s">
        <v>1155</v>
      </c>
      <c r="C4214" s="66" t="s">
        <v>15566</v>
      </c>
      <c r="D4214" s="66">
        <v>6977299623910</v>
      </c>
      <c r="E4214" s="68" t="s">
        <v>15567</v>
      </c>
      <c r="F4214" s="66" t="s">
        <v>15568</v>
      </c>
      <c r="G4214" s="71">
        <v>0</v>
      </c>
      <c r="H4214" s="73"/>
      <c r="I4214" s="75">
        <v>0.2</v>
      </c>
      <c r="J4214" s="77"/>
      <c r="K4214" s="66"/>
      <c r="L4214" s="66"/>
      <c r="M4214" s="79" t="str">
        <f>HYPERLINK("http://www.pristavka.com/catalog/Nullset/NLS11/")</f>
        <v>http://www.pristavka.com/catalog/Nullset/NLS11/</v>
      </c>
      <c r="N4214" s="71"/>
      <c r="O4214" s="66" t="s">
        <v>27</v>
      </c>
      <c r="P4214" s="82" t="s">
        <v>15569</v>
      </c>
      <c r="Q4214" s="84" t="s">
        <v>1068</v>
      </c>
      <c r="R4214" s="84" t="s">
        <v>15570</v>
      </c>
      <c r="S4214" s="84">
        <v>0.185</v>
      </c>
      <c r="T4214" s="82" t="s">
        <v>15571</v>
      </c>
      <c r="U4214" s="84"/>
      <c r="V4214" s="54"/>
    </row>
    <row r="4215" spans="1:22" s="11" customFormat="1" ht="45" customHeight="1" x14ac:dyDescent="0.2">
      <c r="A4215" s="66" t="s">
        <v>15566</v>
      </c>
      <c r="B4215" s="66" t="s">
        <v>1155</v>
      </c>
      <c r="C4215" s="66" t="s">
        <v>15566</v>
      </c>
      <c r="D4215" s="66">
        <v>6977299623903</v>
      </c>
      <c r="E4215" s="68" t="s">
        <v>15572</v>
      </c>
      <c r="F4215" s="66" t="s">
        <v>15573</v>
      </c>
      <c r="G4215" s="71">
        <v>0</v>
      </c>
      <c r="H4215" s="73"/>
      <c r="I4215" s="75">
        <v>0.2</v>
      </c>
      <c r="J4215" s="77"/>
      <c r="K4215" s="66"/>
      <c r="L4215" s="66"/>
      <c r="M4215" s="79" t="str">
        <f>HYPERLINK("http://www.pristavka.com/catalog/Nullset/NLS10/")</f>
        <v>http://www.pristavka.com/catalog/Nullset/NLS10/</v>
      </c>
      <c r="N4215" s="71"/>
      <c r="O4215" s="66" t="s">
        <v>28</v>
      </c>
      <c r="P4215" s="82" t="s">
        <v>15574</v>
      </c>
      <c r="Q4215" s="84" t="s">
        <v>1068</v>
      </c>
      <c r="R4215" s="84" t="s">
        <v>15570</v>
      </c>
      <c r="S4215" s="84">
        <v>0.185</v>
      </c>
      <c r="T4215" s="82" t="s">
        <v>15575</v>
      </c>
      <c r="U4215" s="84"/>
      <c r="V4215" s="54"/>
    </row>
    <row r="4216" spans="1:22" s="11" customFormat="1" ht="45" customHeight="1" x14ac:dyDescent="0.2">
      <c r="A4216" s="66" t="s">
        <v>15566</v>
      </c>
      <c r="B4216" s="66" t="s">
        <v>1155</v>
      </c>
      <c r="C4216" s="66" t="s">
        <v>15566</v>
      </c>
      <c r="D4216" s="66">
        <v>6977299623941</v>
      </c>
      <c r="E4216" s="68" t="s">
        <v>15576</v>
      </c>
      <c r="F4216" s="66" t="s">
        <v>15577</v>
      </c>
      <c r="G4216" s="71">
        <v>0</v>
      </c>
      <c r="H4216" s="73"/>
      <c r="I4216" s="75">
        <v>0.2</v>
      </c>
      <c r="J4216" s="77"/>
      <c r="K4216" s="66"/>
      <c r="L4216" s="66"/>
      <c r="M4216" s="79" t="str">
        <f>HYPERLINK("http://www.pristavka.com/catalog/Nullset/NLS3/")</f>
        <v>http://www.pristavka.com/catalog/Nullset/NLS3/</v>
      </c>
      <c r="N4216" s="71"/>
      <c r="O4216" s="66" t="s">
        <v>27</v>
      </c>
      <c r="P4216" s="82" t="s">
        <v>15578</v>
      </c>
      <c r="Q4216" s="84" t="s">
        <v>1068</v>
      </c>
      <c r="R4216" s="84" t="s">
        <v>15570</v>
      </c>
      <c r="S4216" s="84">
        <v>7.0000000000000007E-2</v>
      </c>
      <c r="T4216" s="82" t="s">
        <v>15579</v>
      </c>
      <c r="U4216" s="84"/>
      <c r="V4216" s="54"/>
    </row>
    <row r="4217" spans="1:22" s="11" customFormat="1" ht="45" customHeight="1" x14ac:dyDescent="0.2">
      <c r="A4217" s="66" t="s">
        <v>15566</v>
      </c>
      <c r="B4217" s="66" t="s">
        <v>1155</v>
      </c>
      <c r="C4217" s="66" t="s">
        <v>15566</v>
      </c>
      <c r="D4217" s="66">
        <v>6977299623972</v>
      </c>
      <c r="E4217" s="68" t="s">
        <v>15580</v>
      </c>
      <c r="F4217" s="66" t="s">
        <v>15581</v>
      </c>
      <c r="G4217" s="71">
        <v>0</v>
      </c>
      <c r="H4217" s="73"/>
      <c r="I4217" s="75">
        <v>0.2</v>
      </c>
      <c r="J4217" s="77"/>
      <c r="K4217" s="66"/>
      <c r="L4217" s="66"/>
      <c r="M4217" s="79" t="str">
        <f>HYPERLINK("http://www.pristavka.com/catalog/Nullset/NLS5/")</f>
        <v>http://www.pristavka.com/catalog/Nullset/NLS5/</v>
      </c>
      <c r="N4217" s="71"/>
      <c r="O4217" s="66" t="s">
        <v>27</v>
      </c>
      <c r="P4217" s="82" t="s">
        <v>15582</v>
      </c>
      <c r="Q4217" s="84" t="s">
        <v>1068</v>
      </c>
      <c r="R4217" s="84" t="s">
        <v>15570</v>
      </c>
      <c r="S4217" s="84">
        <v>7.0000000000000007E-2</v>
      </c>
      <c r="T4217" s="82" t="s">
        <v>15579</v>
      </c>
      <c r="U4217" s="84"/>
      <c r="V4217" s="54"/>
    </row>
    <row r="4218" spans="1:22" s="11" customFormat="1" ht="45" customHeight="1" x14ac:dyDescent="0.2">
      <c r="A4218" s="66" t="s">
        <v>15566</v>
      </c>
      <c r="B4218" s="66" t="s">
        <v>1155</v>
      </c>
      <c r="C4218" s="66" t="s">
        <v>15566</v>
      </c>
      <c r="D4218" s="66">
        <v>6977299623958</v>
      </c>
      <c r="E4218" s="68" t="s">
        <v>15583</v>
      </c>
      <c r="F4218" s="66" t="s">
        <v>15584</v>
      </c>
      <c r="G4218" s="71">
        <v>0</v>
      </c>
      <c r="H4218" s="73"/>
      <c r="I4218" s="75">
        <v>0.2</v>
      </c>
      <c r="J4218" s="77"/>
      <c r="K4218" s="66"/>
      <c r="L4218" s="66"/>
      <c r="M4218" s="79" t="str">
        <f>HYPERLINK("http://www.pristavka.com/catalog/Nullset/NLS4/")</f>
        <v>http://www.pristavka.com/catalog/Nullset/NLS4/</v>
      </c>
      <c r="N4218" s="71"/>
      <c r="O4218" s="66" t="s">
        <v>27</v>
      </c>
      <c r="P4218" s="82" t="s">
        <v>15585</v>
      </c>
      <c r="Q4218" s="84" t="s">
        <v>1068</v>
      </c>
      <c r="R4218" s="84" t="s">
        <v>15570</v>
      </c>
      <c r="S4218" s="84">
        <v>7.0000000000000007E-2</v>
      </c>
      <c r="T4218" s="82" t="s">
        <v>15579</v>
      </c>
      <c r="U4218" s="84"/>
      <c r="V4218" s="54"/>
    </row>
    <row r="4219" spans="1:22" s="11" customFormat="1" ht="45" customHeight="1" x14ac:dyDescent="0.2">
      <c r="A4219" s="66" t="s">
        <v>15586</v>
      </c>
      <c r="B4219" s="66" t="s">
        <v>1707</v>
      </c>
      <c r="C4219" s="66" t="s">
        <v>15586</v>
      </c>
      <c r="D4219" s="66">
        <v>5056280434450</v>
      </c>
      <c r="E4219" s="68" t="s">
        <v>15587</v>
      </c>
      <c r="F4219" s="66" t="s">
        <v>15588</v>
      </c>
      <c r="G4219" s="71">
        <v>48771</v>
      </c>
      <c r="H4219" s="73"/>
      <c r="I4219" s="75">
        <v>0.2</v>
      </c>
      <c r="J4219" s="77"/>
      <c r="K4219" s="66"/>
      <c r="L4219" s="66"/>
      <c r="M4219" s="79" t="str">
        <f>HYPERLINK("http://www.pristavka.com/catalog/Numskull/NM3/")</f>
        <v>http://www.pristavka.com/catalog/Numskull/NM3/</v>
      </c>
      <c r="N4219" s="71">
        <v>69699</v>
      </c>
      <c r="O4219" s="66" t="s">
        <v>28</v>
      </c>
      <c r="P4219" s="82" t="s">
        <v>15589</v>
      </c>
      <c r="Q4219" s="84" t="s">
        <v>5884</v>
      </c>
      <c r="R4219" s="84" t="s">
        <v>1212</v>
      </c>
      <c r="S4219" s="84">
        <v>1.792</v>
      </c>
      <c r="T4219" s="82" t="s">
        <v>15590</v>
      </c>
      <c r="U4219" s="84"/>
      <c r="V4219" s="54"/>
    </row>
    <row r="4220" spans="1:22" s="11" customFormat="1" ht="45" customHeight="1" x14ac:dyDescent="0.2">
      <c r="A4220" s="66" t="s">
        <v>15586</v>
      </c>
      <c r="B4220" s="66" t="s">
        <v>1707</v>
      </c>
      <c r="C4220" s="66" t="s">
        <v>15586</v>
      </c>
      <c r="D4220" s="66">
        <v>5056280434429</v>
      </c>
      <c r="E4220" s="68" t="s">
        <v>15591</v>
      </c>
      <c r="F4220" s="66" t="s">
        <v>15592</v>
      </c>
      <c r="G4220" s="71">
        <v>43224</v>
      </c>
      <c r="H4220" s="73"/>
      <c r="I4220" s="75">
        <v>0.2</v>
      </c>
      <c r="J4220" s="77"/>
      <c r="K4220" s="66"/>
      <c r="L4220" s="66"/>
      <c r="M4220" s="79" t="str">
        <f>HYPERLINK("http://www.pristavka.com/catalog/Numskull/NM1/")</f>
        <v>http://www.pristavka.com/catalog/Numskull/NM1/</v>
      </c>
      <c r="N4220" s="71">
        <v>61799</v>
      </c>
      <c r="O4220" s="66" t="s">
        <v>28</v>
      </c>
      <c r="P4220" s="82" t="s">
        <v>15593</v>
      </c>
      <c r="Q4220" s="84" t="s">
        <v>1240</v>
      </c>
      <c r="R4220" s="84" t="s">
        <v>70</v>
      </c>
      <c r="S4220" s="84">
        <v>1.53</v>
      </c>
      <c r="T4220" s="82" t="s">
        <v>15594</v>
      </c>
      <c r="U4220" s="84"/>
      <c r="V4220" s="54"/>
    </row>
    <row r="4221" spans="1:22" s="11" customFormat="1" ht="45" customHeight="1" x14ac:dyDescent="0.2">
      <c r="A4221" s="66" t="s">
        <v>15586</v>
      </c>
      <c r="B4221" s="66" t="s">
        <v>1707</v>
      </c>
      <c r="C4221" s="66" t="s">
        <v>15586</v>
      </c>
      <c r="D4221" s="66">
        <v>5056280452218</v>
      </c>
      <c r="E4221" s="68" t="s">
        <v>15595</v>
      </c>
      <c r="F4221" s="66" t="s">
        <v>15596</v>
      </c>
      <c r="G4221" s="71">
        <v>60972</v>
      </c>
      <c r="H4221" s="73"/>
      <c r="I4221" s="75">
        <v>0.2</v>
      </c>
      <c r="J4221" s="77"/>
      <c r="K4221" s="66"/>
      <c r="L4221" s="66"/>
      <c r="M4221" s="79" t="str">
        <f>HYPERLINK("http://www.pristavka.com/catalog/Numskull/NM2/")</f>
        <v>http://www.pristavka.com/catalog/Numskull/NM2/</v>
      </c>
      <c r="N4221" s="71">
        <v>87199</v>
      </c>
      <c r="O4221" s="66" t="s">
        <v>28</v>
      </c>
      <c r="P4221" s="82" t="s">
        <v>15597</v>
      </c>
      <c r="Q4221" s="84" t="s">
        <v>1321</v>
      </c>
      <c r="R4221" s="84" t="s">
        <v>1322</v>
      </c>
      <c r="S4221" s="84">
        <v>2.66</v>
      </c>
      <c r="T4221" s="82" t="s">
        <v>15598</v>
      </c>
      <c r="U4221" s="84"/>
      <c r="V4221" s="54"/>
    </row>
    <row r="4222" spans="1:22" s="11" customFormat="1" ht="45" customHeight="1" x14ac:dyDescent="0.2">
      <c r="A4222" s="66" t="s">
        <v>15599</v>
      </c>
      <c r="B4222" s="66" t="s">
        <v>1155</v>
      </c>
      <c r="C4222" s="66" t="s">
        <v>15599</v>
      </c>
      <c r="D4222" s="66" t="s">
        <v>15600</v>
      </c>
      <c r="E4222" s="68" t="s">
        <v>15601</v>
      </c>
      <c r="F4222" s="66" t="s">
        <v>15602</v>
      </c>
      <c r="G4222" s="71">
        <v>3138</v>
      </c>
      <c r="H4222" s="73"/>
      <c r="I4222" s="75">
        <v>0.2</v>
      </c>
      <c r="J4222" s="77"/>
      <c r="K4222" s="66"/>
      <c r="L4222" s="66"/>
      <c r="M4222" s="79" t="str">
        <f>HYPERLINK("http://www.pristavka.com/catalog/paladone/PLD327/")</f>
        <v>http://www.pristavka.com/catalog/paladone/PLD327/</v>
      </c>
      <c r="N4222" s="71">
        <v>5299</v>
      </c>
      <c r="O4222" s="66" t="s">
        <v>27</v>
      </c>
      <c r="P4222" s="82" t="s">
        <v>15603</v>
      </c>
      <c r="Q4222" s="84" t="s">
        <v>1588</v>
      </c>
      <c r="R4222" s="84" t="s">
        <v>58</v>
      </c>
      <c r="S4222" s="84">
        <v>0.16800000000000001</v>
      </c>
      <c r="T4222" s="82" t="s">
        <v>15604</v>
      </c>
      <c r="U4222" s="84"/>
      <c r="V4222" s="54"/>
    </row>
    <row r="4223" spans="1:22" s="11" customFormat="1" ht="45" customHeight="1" x14ac:dyDescent="0.2">
      <c r="A4223" s="66" t="s">
        <v>15599</v>
      </c>
      <c r="B4223" s="66" t="s">
        <v>1155</v>
      </c>
      <c r="C4223" s="66" t="s">
        <v>15599</v>
      </c>
      <c r="D4223" s="66" t="s">
        <v>15605</v>
      </c>
      <c r="E4223" s="68" t="s">
        <v>15606</v>
      </c>
      <c r="F4223" s="66" t="s">
        <v>15607</v>
      </c>
      <c r="G4223" s="71">
        <v>14547</v>
      </c>
      <c r="H4223" s="73"/>
      <c r="I4223" s="75">
        <v>0.2</v>
      </c>
      <c r="J4223" s="77"/>
      <c r="K4223" s="66"/>
      <c r="L4223" s="66"/>
      <c r="M4223" s="79" t="str">
        <f>HYPERLINK("http://www.pristavka.com/catalog/paladone/PLD409/")</f>
        <v>http://www.pristavka.com/catalog/paladone/PLD409/</v>
      </c>
      <c r="N4223" s="71">
        <v>24299</v>
      </c>
      <c r="O4223" s="66" t="s">
        <v>27</v>
      </c>
      <c r="P4223" s="82" t="s">
        <v>15608</v>
      </c>
      <c r="Q4223" s="84" t="s">
        <v>1522</v>
      </c>
      <c r="R4223" s="84" t="s">
        <v>1068</v>
      </c>
      <c r="S4223" s="84">
        <v>0.307</v>
      </c>
      <c r="T4223" s="82" t="s">
        <v>15609</v>
      </c>
      <c r="U4223" s="84"/>
      <c r="V4223" s="54"/>
    </row>
    <row r="4224" spans="1:22" s="11" customFormat="1" ht="45" customHeight="1" x14ac:dyDescent="0.2">
      <c r="A4224" s="66" t="s">
        <v>15599</v>
      </c>
      <c r="B4224" s="66" t="s">
        <v>1155</v>
      </c>
      <c r="C4224" s="66" t="s">
        <v>15599</v>
      </c>
      <c r="D4224" s="66" t="s">
        <v>15610</v>
      </c>
      <c r="E4224" s="68" t="s">
        <v>15611</v>
      </c>
      <c r="F4224" s="66" t="s">
        <v>15612</v>
      </c>
      <c r="G4224" s="71">
        <v>14547</v>
      </c>
      <c r="H4224" s="73"/>
      <c r="I4224" s="75">
        <v>0.2</v>
      </c>
      <c r="J4224" s="77"/>
      <c r="K4224" s="66"/>
      <c r="L4224" s="66"/>
      <c r="M4224" s="79" t="str">
        <f>HYPERLINK("http://www.pristavka.com/catalog/paladone/PLD275/")</f>
        <v>http://www.pristavka.com/catalog/paladone/PLD275/</v>
      </c>
      <c r="N4224" s="71">
        <v>24299</v>
      </c>
      <c r="O4224" s="66" t="s">
        <v>27</v>
      </c>
      <c r="P4224" s="82" t="s">
        <v>15613</v>
      </c>
      <c r="Q4224" s="84" t="s">
        <v>1588</v>
      </c>
      <c r="R4224" s="84" t="s">
        <v>58</v>
      </c>
      <c r="S4224" s="84">
        <v>0.33500000000000002</v>
      </c>
      <c r="T4224" s="82" t="s">
        <v>15614</v>
      </c>
      <c r="U4224" s="84"/>
      <c r="V4224" s="54"/>
    </row>
    <row r="4225" spans="1:22" s="11" customFormat="1" ht="45" customHeight="1" x14ac:dyDescent="0.2">
      <c r="A4225" s="66" t="s">
        <v>15615</v>
      </c>
      <c r="B4225" s="66" t="s">
        <v>1707</v>
      </c>
      <c r="C4225" s="66" t="s">
        <v>15615</v>
      </c>
      <c r="D4225" s="66">
        <v>3521320800714</v>
      </c>
      <c r="E4225" s="68" t="s">
        <v>15616</v>
      </c>
      <c r="F4225" s="66" t="s">
        <v>15617</v>
      </c>
      <c r="G4225" s="71">
        <v>8209</v>
      </c>
      <c r="H4225" s="73"/>
      <c r="I4225" s="75">
        <v>0.2</v>
      </c>
      <c r="J4225" s="77"/>
      <c r="K4225" s="66"/>
      <c r="L4225" s="66"/>
      <c r="M4225" s="79" t="str">
        <f>HYPERLINK("http://www.pristavka.com/catalog/PlasToy/PToy26/")</f>
        <v>http://www.pristavka.com/catalog/PlasToy/PToy26/</v>
      </c>
      <c r="N4225" s="71">
        <v>12699</v>
      </c>
      <c r="O4225" s="66" t="s">
        <v>27</v>
      </c>
      <c r="P4225" s="82" t="s">
        <v>15618</v>
      </c>
      <c r="Q4225" s="84" t="s">
        <v>1068</v>
      </c>
      <c r="R4225" s="84" t="s">
        <v>1068</v>
      </c>
      <c r="S4225" s="84">
        <v>0.192</v>
      </c>
      <c r="T4225" s="82" t="s">
        <v>15619</v>
      </c>
      <c r="U4225" s="84"/>
      <c r="V4225" s="54"/>
    </row>
    <row r="4226" spans="1:22" s="11" customFormat="1" ht="45" customHeight="1" x14ac:dyDescent="0.2">
      <c r="A4226" s="66" t="s">
        <v>15620</v>
      </c>
      <c r="B4226" s="66" t="s">
        <v>1707</v>
      </c>
      <c r="C4226" s="66" t="s">
        <v>15620</v>
      </c>
      <c r="D4226" s="66">
        <v>8425611339080</v>
      </c>
      <c r="E4226" s="68" t="s">
        <v>15621</v>
      </c>
      <c r="F4226" s="66" t="s">
        <v>15622</v>
      </c>
      <c r="G4226" s="71">
        <v>9582</v>
      </c>
      <c r="H4226" s="73"/>
      <c r="I4226" s="75">
        <v>0.2</v>
      </c>
      <c r="J4226" s="77"/>
      <c r="K4226" s="66"/>
      <c r="L4226" s="66"/>
      <c r="M4226" s="79" t="str">
        <f>HYPERLINK("http://www.pristavka.com/catalog/Play by Play/PBP13/")</f>
        <v>http://www.pristavka.com/catalog/Play by Play/PBP13/</v>
      </c>
      <c r="N4226" s="71">
        <v>14799</v>
      </c>
      <c r="O4226" s="66" t="s">
        <v>27</v>
      </c>
      <c r="P4226" s="82" t="s">
        <v>15623</v>
      </c>
      <c r="Q4226" s="84" t="s">
        <v>1102</v>
      </c>
      <c r="R4226" s="84" t="s">
        <v>1103</v>
      </c>
      <c r="S4226" s="84">
        <v>0.16400000000000001</v>
      </c>
      <c r="T4226" s="82" t="s">
        <v>15624</v>
      </c>
      <c r="U4226" s="84" t="s">
        <v>2255</v>
      </c>
      <c r="V4226" s="54"/>
    </row>
    <row r="4227" spans="1:22" s="11" customFormat="1" ht="45" customHeight="1" x14ac:dyDescent="0.2">
      <c r="A4227" s="66" t="s">
        <v>15620</v>
      </c>
      <c r="B4227" s="66" t="s">
        <v>1707</v>
      </c>
      <c r="C4227" s="66" t="s">
        <v>15620</v>
      </c>
      <c r="D4227" s="66">
        <v>8425611342905</v>
      </c>
      <c r="E4227" s="68" t="s">
        <v>15625</v>
      </c>
      <c r="F4227" s="66" t="s">
        <v>15626</v>
      </c>
      <c r="G4227" s="71">
        <v>10269</v>
      </c>
      <c r="H4227" s="73"/>
      <c r="I4227" s="75">
        <v>0.2</v>
      </c>
      <c r="J4227" s="77"/>
      <c r="K4227" s="66"/>
      <c r="L4227" s="66"/>
      <c r="M4227" s="79" t="str">
        <f>HYPERLINK("http://www.pristavka.com/catalog/Play by Play/PBP15/")</f>
        <v>http://www.pristavka.com/catalog/Play by Play/PBP15/</v>
      </c>
      <c r="N4227" s="71">
        <v>15799</v>
      </c>
      <c r="O4227" s="66" t="s">
        <v>27</v>
      </c>
      <c r="P4227" s="82" t="s">
        <v>15627</v>
      </c>
      <c r="Q4227" s="84" t="s">
        <v>1223</v>
      </c>
      <c r="R4227" s="84" t="s">
        <v>1303</v>
      </c>
      <c r="S4227" s="84">
        <v>0.20799999999999999</v>
      </c>
      <c r="T4227" s="82" t="s">
        <v>15628</v>
      </c>
      <c r="U4227" s="84" t="s">
        <v>2255</v>
      </c>
      <c r="V4227" s="54"/>
    </row>
    <row r="4228" spans="1:22" s="11" customFormat="1" ht="45" customHeight="1" x14ac:dyDescent="0.2">
      <c r="A4228" s="66" t="s">
        <v>15620</v>
      </c>
      <c r="B4228" s="66" t="s">
        <v>1707</v>
      </c>
      <c r="C4228" s="66" t="s">
        <v>15620</v>
      </c>
      <c r="D4228" s="66">
        <v>8425611342912</v>
      </c>
      <c r="E4228" s="68" t="s">
        <v>15629</v>
      </c>
      <c r="F4228" s="66" t="s">
        <v>15630</v>
      </c>
      <c r="G4228" s="71">
        <v>10269</v>
      </c>
      <c r="H4228" s="73"/>
      <c r="I4228" s="75">
        <v>0.2</v>
      </c>
      <c r="J4228" s="77"/>
      <c r="K4228" s="66"/>
      <c r="L4228" s="66"/>
      <c r="M4228" s="79" t="str">
        <f>HYPERLINK("http://www.pristavka.com/catalog/Play by Play/PBP12/")</f>
        <v>http://www.pristavka.com/catalog/Play by Play/PBP12/</v>
      </c>
      <c r="N4228" s="71">
        <v>15799</v>
      </c>
      <c r="O4228" s="66" t="s">
        <v>27</v>
      </c>
      <c r="P4228" s="82" t="s">
        <v>15631</v>
      </c>
      <c r="Q4228" s="84" t="s">
        <v>3592</v>
      </c>
      <c r="R4228" s="84" t="s">
        <v>1303</v>
      </c>
      <c r="S4228" s="84">
        <v>0.215</v>
      </c>
      <c r="T4228" s="82" t="s">
        <v>15632</v>
      </c>
      <c r="U4228" s="84" t="s">
        <v>2255</v>
      </c>
      <c r="V4228" s="54"/>
    </row>
    <row r="4229" spans="1:22" s="11" customFormat="1" ht="45" customHeight="1" x14ac:dyDescent="0.2">
      <c r="A4229" s="66" t="s">
        <v>15620</v>
      </c>
      <c r="B4229" s="66" t="s">
        <v>1707</v>
      </c>
      <c r="C4229" s="66" t="s">
        <v>15620</v>
      </c>
      <c r="D4229" s="66">
        <v>8425611342929</v>
      </c>
      <c r="E4229" s="68" t="s">
        <v>15633</v>
      </c>
      <c r="F4229" s="66" t="s">
        <v>15634</v>
      </c>
      <c r="G4229" s="71">
        <v>10269</v>
      </c>
      <c r="H4229" s="73"/>
      <c r="I4229" s="75">
        <v>0.2</v>
      </c>
      <c r="J4229" s="77"/>
      <c r="K4229" s="66"/>
      <c r="L4229" s="66"/>
      <c r="M4229" s="79" t="str">
        <f>HYPERLINK("http://www.pristavka.com/catalog/Play by Play/PBP16/")</f>
        <v>http://www.pristavka.com/catalog/Play by Play/PBP16/</v>
      </c>
      <c r="N4229" s="71">
        <v>15799</v>
      </c>
      <c r="O4229" s="66" t="s">
        <v>27</v>
      </c>
      <c r="P4229" s="82" t="s">
        <v>15635</v>
      </c>
      <c r="Q4229" s="84" t="s">
        <v>1223</v>
      </c>
      <c r="R4229" s="84" t="s">
        <v>1303</v>
      </c>
      <c r="S4229" s="84">
        <v>0.2</v>
      </c>
      <c r="T4229" s="82" t="s">
        <v>15628</v>
      </c>
      <c r="U4229" s="84" t="s">
        <v>2255</v>
      </c>
      <c r="V4229" s="54"/>
    </row>
    <row r="4230" spans="1:22" s="11" customFormat="1" ht="45" customHeight="1" x14ac:dyDescent="0.2">
      <c r="A4230" s="66" t="s">
        <v>15620</v>
      </c>
      <c r="B4230" s="66" t="s">
        <v>1707</v>
      </c>
      <c r="C4230" s="66" t="s">
        <v>15620</v>
      </c>
      <c r="D4230" s="66">
        <v>8425611342936</v>
      </c>
      <c r="E4230" s="68" t="s">
        <v>15636</v>
      </c>
      <c r="F4230" s="66" t="s">
        <v>15637</v>
      </c>
      <c r="G4230" s="71">
        <v>10269</v>
      </c>
      <c r="H4230" s="73"/>
      <c r="I4230" s="75">
        <v>0.2</v>
      </c>
      <c r="J4230" s="77"/>
      <c r="K4230" s="66"/>
      <c r="L4230" s="66"/>
      <c r="M4230" s="79" t="str">
        <f>HYPERLINK("http://www.pristavka.com/catalog/Play by Play/PBP14/")</f>
        <v>http://www.pristavka.com/catalog/Play by Play/PBP14/</v>
      </c>
      <c r="N4230" s="71">
        <v>15799</v>
      </c>
      <c r="O4230" s="66" t="s">
        <v>27</v>
      </c>
      <c r="P4230" s="82" t="s">
        <v>15638</v>
      </c>
      <c r="Q4230" s="84" t="s">
        <v>1223</v>
      </c>
      <c r="R4230" s="84" t="s">
        <v>1303</v>
      </c>
      <c r="S4230" s="84">
        <v>0.21</v>
      </c>
      <c r="T4230" s="82" t="s">
        <v>15639</v>
      </c>
      <c r="U4230" s="84" t="s">
        <v>2255</v>
      </c>
      <c r="V4230" s="54"/>
    </row>
    <row r="4231" spans="1:22" s="11" customFormat="1" ht="45" customHeight="1" x14ac:dyDescent="0.2">
      <c r="A4231" s="66" t="s">
        <v>15620</v>
      </c>
      <c r="B4231" s="66" t="s">
        <v>1155</v>
      </c>
      <c r="C4231" s="66" t="s">
        <v>15620</v>
      </c>
      <c r="D4231" s="66">
        <v>8425611321993</v>
      </c>
      <c r="E4231" s="68" t="s">
        <v>15640</v>
      </c>
      <c r="F4231" s="66" t="s">
        <v>15641</v>
      </c>
      <c r="G4231" s="71">
        <v>11299</v>
      </c>
      <c r="H4231" s="73"/>
      <c r="I4231" s="75">
        <v>0.2</v>
      </c>
      <c r="J4231" s="77"/>
      <c r="K4231" s="66"/>
      <c r="L4231" s="66"/>
      <c r="M4231" s="79" t="str">
        <f>HYPERLINK("http://www.pristavka.com/catalog/Play by Play/PBP6/")</f>
        <v>http://www.pristavka.com/catalog/Play by Play/PBP6/</v>
      </c>
      <c r="N4231" s="71">
        <v>17399</v>
      </c>
      <c r="O4231" s="66" t="s">
        <v>27</v>
      </c>
      <c r="P4231" s="82" t="s">
        <v>15642</v>
      </c>
      <c r="Q4231" s="84" t="s">
        <v>1122</v>
      </c>
      <c r="R4231" s="84" t="s">
        <v>1068</v>
      </c>
      <c r="S4231" s="84">
        <v>0.19600000000000001</v>
      </c>
      <c r="T4231" s="82" t="s">
        <v>15643</v>
      </c>
      <c r="U4231" s="84" t="s">
        <v>2255</v>
      </c>
      <c r="V4231" s="54"/>
    </row>
    <row r="4232" spans="1:22" s="11" customFormat="1" ht="45" customHeight="1" x14ac:dyDescent="0.2">
      <c r="A4232" s="66" t="s">
        <v>15620</v>
      </c>
      <c r="B4232" s="66" t="s">
        <v>1155</v>
      </c>
      <c r="C4232" s="66" t="s">
        <v>15620</v>
      </c>
      <c r="D4232" s="66">
        <v>8425611644702</v>
      </c>
      <c r="E4232" s="68" t="s">
        <v>15644</v>
      </c>
      <c r="F4232" s="66" t="s">
        <v>15645</v>
      </c>
      <c r="G4232" s="71">
        <v>24002</v>
      </c>
      <c r="H4232" s="73"/>
      <c r="I4232" s="75">
        <v>0.2</v>
      </c>
      <c r="J4232" s="77"/>
      <c r="K4232" s="66"/>
      <c r="L4232" s="66"/>
      <c r="M4232" s="79" t="str">
        <f>HYPERLINK("http://www.pristavka.com/catalog/Play by Play/PBP7/")</f>
        <v>http://www.pristavka.com/catalog/Play by Play/PBP7/</v>
      </c>
      <c r="N4232" s="71">
        <v>36999</v>
      </c>
      <c r="O4232" s="66" t="s">
        <v>27</v>
      </c>
      <c r="P4232" s="82" t="s">
        <v>15646</v>
      </c>
      <c r="Q4232" s="84" t="s">
        <v>1240</v>
      </c>
      <c r="R4232" s="84" t="s">
        <v>70</v>
      </c>
      <c r="S4232" s="84">
        <v>0.83</v>
      </c>
      <c r="T4232" s="82" t="s">
        <v>15647</v>
      </c>
      <c r="U4232" s="84" t="s">
        <v>2255</v>
      </c>
      <c r="V4232" s="54"/>
    </row>
    <row r="4233" spans="1:22" s="11" customFormat="1" ht="45" customHeight="1" x14ac:dyDescent="0.2">
      <c r="A4233" s="66" t="s">
        <v>15648</v>
      </c>
      <c r="B4233" s="66" t="s">
        <v>1155</v>
      </c>
      <c r="C4233" s="66" t="s">
        <v>15648</v>
      </c>
      <c r="D4233" s="66" t="s">
        <v>26</v>
      </c>
      <c r="E4233" s="68" t="s">
        <v>15649</v>
      </c>
      <c r="F4233" s="66" t="s">
        <v>15650</v>
      </c>
      <c r="G4233" s="71">
        <v>15419</v>
      </c>
      <c r="H4233" s="73"/>
      <c r="I4233" s="75">
        <v>0.2</v>
      </c>
      <c r="J4233" s="77"/>
      <c r="K4233" s="66"/>
      <c r="L4233" s="66"/>
      <c r="M4233" s="79" t="str">
        <f>HYPERLINK("http://www.pristavka.com/catalog/pop_mart/PM12/")</f>
        <v>http://www.pristavka.com/catalog/pop_mart/PM12/</v>
      </c>
      <c r="N4233" s="71">
        <v>23799</v>
      </c>
      <c r="O4233" s="66" t="s">
        <v>28</v>
      </c>
      <c r="P4233" s="82" t="s">
        <v>15651</v>
      </c>
      <c r="Q4233" s="84" t="s">
        <v>15652</v>
      </c>
      <c r="R4233" s="84"/>
      <c r="S4233" s="84">
        <v>0.1</v>
      </c>
      <c r="T4233" s="82" t="s">
        <v>15653</v>
      </c>
      <c r="U4233" s="84"/>
      <c r="V4233" s="54"/>
    </row>
    <row r="4234" spans="1:22" s="11" customFormat="1" ht="45" customHeight="1" x14ac:dyDescent="0.2">
      <c r="A4234" s="66" t="s">
        <v>15654</v>
      </c>
      <c r="B4234" s="66" t="s">
        <v>1155</v>
      </c>
      <c r="C4234" s="66" t="s">
        <v>15654</v>
      </c>
      <c r="D4234" s="66" t="s">
        <v>15655</v>
      </c>
      <c r="E4234" s="68" t="s">
        <v>15656</v>
      </c>
      <c r="F4234" s="66" t="s">
        <v>15657</v>
      </c>
      <c r="G4234" s="71">
        <v>18012</v>
      </c>
      <c r="H4234" s="73"/>
      <c r="I4234" s="75">
        <v>0.2</v>
      </c>
      <c r="J4234" s="77"/>
      <c r="K4234" s="66"/>
      <c r="L4234" s="66"/>
      <c r="M4234" s="79" t="str">
        <f>HYPERLINK("http://www.pristavka.com/catalog/pyramid_international/Pyr470/")</f>
        <v>http://www.pristavka.com/catalog/pyramid_international/Pyr470/</v>
      </c>
      <c r="N4234" s="71">
        <v>29599</v>
      </c>
      <c r="O4234" s="66" t="s">
        <v>28</v>
      </c>
      <c r="P4234" s="82" t="s">
        <v>15658</v>
      </c>
      <c r="Q4234" s="84" t="s">
        <v>1600</v>
      </c>
      <c r="R4234" s="84" t="s">
        <v>1303</v>
      </c>
      <c r="S4234" s="84">
        <v>1.8</v>
      </c>
      <c r="T4234" s="82" t="s">
        <v>15659</v>
      </c>
      <c r="U4234" s="84"/>
      <c r="V4234" s="54"/>
    </row>
    <row r="4235" spans="1:22" s="11" customFormat="1" ht="45" customHeight="1" x14ac:dyDescent="0.2">
      <c r="A4235" s="66" t="s">
        <v>15654</v>
      </c>
      <c r="B4235" s="66" t="s">
        <v>26</v>
      </c>
      <c r="C4235" s="66" t="s">
        <v>15654</v>
      </c>
      <c r="D4235" s="66" t="s">
        <v>15660</v>
      </c>
      <c r="E4235" s="68" t="s">
        <v>15661</v>
      </c>
      <c r="F4235" s="66" t="s">
        <v>15662</v>
      </c>
      <c r="G4235" s="71">
        <v>18657</v>
      </c>
      <c r="H4235" s="73"/>
      <c r="I4235" s="75">
        <v>0.2</v>
      </c>
      <c r="J4235" s="77"/>
      <c r="K4235" s="66"/>
      <c r="L4235" s="66"/>
      <c r="M4235" s="79" t="str">
        <f>HYPERLINK("http://www.pristavka.com/catalog/pyramid_international/Pyr856/")</f>
        <v>http://www.pristavka.com/catalog/pyramid_international/Pyr856/</v>
      </c>
      <c r="N4235" s="71">
        <v>30599</v>
      </c>
      <c r="O4235" s="66" t="s">
        <v>27</v>
      </c>
      <c r="P4235" s="82" t="s">
        <v>15663</v>
      </c>
      <c r="Q4235" s="84" t="s">
        <v>1314</v>
      </c>
      <c r="R4235" s="84" t="s">
        <v>1315</v>
      </c>
      <c r="S4235" s="84">
        <v>1.456</v>
      </c>
      <c r="T4235" s="82" t="s">
        <v>15664</v>
      </c>
      <c r="U4235" s="84"/>
      <c r="V4235" s="54"/>
    </row>
    <row r="4236" spans="1:22" s="11" customFormat="1" ht="45" customHeight="1" x14ac:dyDescent="0.2">
      <c r="A4236" s="66" t="s">
        <v>15654</v>
      </c>
      <c r="B4236" s="66" t="s">
        <v>26</v>
      </c>
      <c r="C4236" s="66" t="s">
        <v>15654</v>
      </c>
      <c r="D4236" s="66" t="s">
        <v>15665</v>
      </c>
      <c r="E4236" s="68" t="s">
        <v>15666</v>
      </c>
      <c r="F4236" s="66" t="s">
        <v>15667</v>
      </c>
      <c r="G4236" s="71">
        <v>3513</v>
      </c>
      <c r="H4236" s="73"/>
      <c r="I4236" s="75">
        <v>0.2</v>
      </c>
      <c r="J4236" s="77"/>
      <c r="K4236" s="66"/>
      <c r="L4236" s="66"/>
      <c r="M4236" s="79" t="str">
        <f>HYPERLINK("http://www.pristavka.com/catalog/pyramid_international/Pyr898/")</f>
        <v>http://www.pristavka.com/catalog/pyramid_international/Pyr898/</v>
      </c>
      <c r="N4236" s="71">
        <v>5799</v>
      </c>
      <c r="O4236" s="66" t="s">
        <v>27</v>
      </c>
      <c r="P4236" s="82" t="s">
        <v>15668</v>
      </c>
      <c r="Q4236" s="84" t="s">
        <v>1321</v>
      </c>
      <c r="R4236" s="84" t="s">
        <v>1322</v>
      </c>
      <c r="S4236" s="84">
        <v>4.4999999999999998E-2</v>
      </c>
      <c r="T4236" s="82" t="s">
        <v>15669</v>
      </c>
      <c r="U4236" s="84"/>
      <c r="V4236" s="54"/>
    </row>
    <row r="4237" spans="1:22" s="11" customFormat="1" ht="45" customHeight="1" x14ac:dyDescent="0.2">
      <c r="A4237" s="66" t="s">
        <v>15654</v>
      </c>
      <c r="B4237" s="66" t="s">
        <v>26</v>
      </c>
      <c r="C4237" s="66" t="s">
        <v>15654</v>
      </c>
      <c r="D4237" s="66" t="s">
        <v>15670</v>
      </c>
      <c r="E4237" s="68" t="s">
        <v>15671</v>
      </c>
      <c r="F4237" s="66" t="s">
        <v>15672</v>
      </c>
      <c r="G4237" s="71">
        <v>961</v>
      </c>
      <c r="H4237" s="73"/>
      <c r="I4237" s="75">
        <v>0.2</v>
      </c>
      <c r="J4237" s="66"/>
      <c r="K4237" s="66"/>
      <c r="L4237" s="66"/>
      <c r="M4237" s="79" t="str">
        <f>HYPERLINK("http://www.pristavka.com/catalog/pyramid_international/Pyr808/")</f>
        <v>http://www.pristavka.com/catalog/pyramid_international/Pyr808/</v>
      </c>
      <c r="N4237" s="71">
        <v>1599</v>
      </c>
      <c r="O4237" s="66" t="s">
        <v>27</v>
      </c>
      <c r="P4237" s="82" t="s">
        <v>15673</v>
      </c>
      <c r="Q4237" s="84" t="s">
        <v>4158</v>
      </c>
      <c r="R4237" s="84" t="s">
        <v>1068</v>
      </c>
      <c r="S4237" s="84">
        <v>1.7000000000000001E-2</v>
      </c>
      <c r="T4237" s="82" t="s">
        <v>15674</v>
      </c>
      <c r="U4237" s="84"/>
      <c r="V4237" s="54"/>
    </row>
    <row r="4238" spans="1:22" s="11" customFormat="1" ht="45" customHeight="1" x14ac:dyDescent="0.2">
      <c r="A4238" s="66" t="s">
        <v>15654</v>
      </c>
      <c r="B4238" s="66" t="s">
        <v>26</v>
      </c>
      <c r="C4238" s="66" t="s">
        <v>15654</v>
      </c>
      <c r="D4238" s="66" t="s">
        <v>15675</v>
      </c>
      <c r="E4238" s="68" t="s">
        <v>15676</v>
      </c>
      <c r="F4238" s="66" t="s">
        <v>15677</v>
      </c>
      <c r="G4238" s="71">
        <v>961</v>
      </c>
      <c r="H4238" s="73"/>
      <c r="I4238" s="75">
        <v>0.2</v>
      </c>
      <c r="J4238" s="66"/>
      <c r="K4238" s="66"/>
      <c r="L4238" s="66"/>
      <c r="M4238" s="79" t="str">
        <f>HYPERLINK("http://www.pristavka.com/catalog/pyramid_international/Pyr827/")</f>
        <v>http://www.pristavka.com/catalog/pyramid_international/Pyr827/</v>
      </c>
      <c r="N4238" s="71">
        <v>1599</v>
      </c>
      <c r="O4238" s="66" t="s">
        <v>28</v>
      </c>
      <c r="P4238" s="82" t="s">
        <v>15678</v>
      </c>
      <c r="Q4238" s="84" t="s">
        <v>2367</v>
      </c>
      <c r="R4238" s="84" t="s">
        <v>1068</v>
      </c>
      <c r="S4238" s="84">
        <v>1.4999999999999999E-2</v>
      </c>
      <c r="T4238" s="82" t="s">
        <v>15674</v>
      </c>
      <c r="U4238" s="84"/>
      <c r="V4238" s="54"/>
    </row>
    <row r="4239" spans="1:22" s="11" customFormat="1" ht="45" customHeight="1" x14ac:dyDescent="0.2">
      <c r="A4239" s="66" t="s">
        <v>15654</v>
      </c>
      <c r="B4239" s="66" t="s">
        <v>26</v>
      </c>
      <c r="C4239" s="66" t="s">
        <v>15654</v>
      </c>
      <c r="D4239" s="66" t="s">
        <v>15679</v>
      </c>
      <c r="E4239" s="68" t="s">
        <v>15680</v>
      </c>
      <c r="F4239" s="66" t="s">
        <v>15681</v>
      </c>
      <c r="G4239" s="71">
        <v>961</v>
      </c>
      <c r="H4239" s="73"/>
      <c r="I4239" s="75">
        <v>0.2</v>
      </c>
      <c r="J4239" s="66"/>
      <c r="K4239" s="66"/>
      <c r="L4239" s="66"/>
      <c r="M4239" s="79" t="str">
        <f>HYPERLINK("http://www.pristavka.com/catalog/pyramid_international/Pyr842/")</f>
        <v>http://www.pristavka.com/catalog/pyramid_international/Pyr842/</v>
      </c>
      <c r="N4239" s="71">
        <v>1599</v>
      </c>
      <c r="O4239" s="66" t="s">
        <v>28</v>
      </c>
      <c r="P4239" s="82" t="s">
        <v>15682</v>
      </c>
      <c r="Q4239" s="84" t="s">
        <v>1102</v>
      </c>
      <c r="R4239" s="84" t="s">
        <v>1103</v>
      </c>
      <c r="S4239" s="84">
        <v>1.4E-2</v>
      </c>
      <c r="T4239" s="82" t="s">
        <v>15674</v>
      </c>
      <c r="U4239" s="84"/>
      <c r="V4239" s="54"/>
    </row>
    <row r="4240" spans="1:22" s="11" customFormat="1" ht="45" customHeight="1" x14ac:dyDescent="0.2">
      <c r="A4240" s="66" t="s">
        <v>15654</v>
      </c>
      <c r="B4240" s="66" t="s">
        <v>26</v>
      </c>
      <c r="C4240" s="66" t="s">
        <v>15654</v>
      </c>
      <c r="D4240" s="66" t="s">
        <v>15683</v>
      </c>
      <c r="E4240" s="68" t="s">
        <v>15684</v>
      </c>
      <c r="F4240" s="66" t="s">
        <v>15685</v>
      </c>
      <c r="G4240" s="71">
        <v>961</v>
      </c>
      <c r="H4240" s="73"/>
      <c r="I4240" s="75">
        <v>0.2</v>
      </c>
      <c r="J4240" s="66"/>
      <c r="K4240" s="66"/>
      <c r="L4240" s="66"/>
      <c r="M4240" s="79" t="str">
        <f>HYPERLINK("http://www.pristavka.com/catalog/pyramid_international/Pyr897/")</f>
        <v>http://www.pristavka.com/catalog/pyramid_international/Pyr897/</v>
      </c>
      <c r="N4240" s="71">
        <v>1599</v>
      </c>
      <c r="O4240" s="66" t="s">
        <v>27</v>
      </c>
      <c r="P4240" s="82" t="s">
        <v>15686</v>
      </c>
      <c r="Q4240" s="84" t="s">
        <v>1321</v>
      </c>
      <c r="R4240" s="84" t="s">
        <v>1322</v>
      </c>
      <c r="S4240" s="84">
        <v>1.4E-2</v>
      </c>
      <c r="T4240" s="82" t="s">
        <v>15674</v>
      </c>
      <c r="U4240" s="84"/>
      <c r="V4240" s="54"/>
    </row>
    <row r="4241" spans="1:22" s="11" customFormat="1" ht="45" customHeight="1" x14ac:dyDescent="0.2">
      <c r="A4241" s="66" t="s">
        <v>15654</v>
      </c>
      <c r="B4241" s="66" t="s">
        <v>26</v>
      </c>
      <c r="C4241" s="66" t="s">
        <v>15654</v>
      </c>
      <c r="D4241" s="66" t="s">
        <v>15687</v>
      </c>
      <c r="E4241" s="68" t="s">
        <v>15688</v>
      </c>
      <c r="F4241" s="66" t="s">
        <v>15689</v>
      </c>
      <c r="G4241" s="71">
        <v>3835</v>
      </c>
      <c r="H4241" s="73"/>
      <c r="I4241" s="75">
        <v>0.2</v>
      </c>
      <c r="J4241" s="77"/>
      <c r="K4241" s="66"/>
      <c r="L4241" s="66"/>
      <c r="M4241" s="79" t="str">
        <f>HYPERLINK("http://www.pristavka.com/catalog/pyramid_international/Pyr806/")</f>
        <v>http://www.pristavka.com/catalog/pyramid_international/Pyr806/</v>
      </c>
      <c r="N4241" s="71">
        <v>6299</v>
      </c>
      <c r="O4241" s="66" t="s">
        <v>27</v>
      </c>
      <c r="P4241" s="82" t="s">
        <v>15690</v>
      </c>
      <c r="Q4241" s="84" t="s">
        <v>4158</v>
      </c>
      <c r="R4241" s="84" t="s">
        <v>1068</v>
      </c>
      <c r="S4241" s="84">
        <v>9.1999999999999998E-2</v>
      </c>
      <c r="T4241" s="82" t="s">
        <v>15691</v>
      </c>
      <c r="U4241" s="84"/>
      <c r="V4241" s="54"/>
    </row>
    <row r="4242" spans="1:22" s="11" customFormat="1" ht="45" customHeight="1" x14ac:dyDescent="0.2">
      <c r="A4242" s="66" t="s">
        <v>15654</v>
      </c>
      <c r="B4242" s="66" t="s">
        <v>26</v>
      </c>
      <c r="C4242" s="66" t="s">
        <v>15654</v>
      </c>
      <c r="D4242" s="66" t="s">
        <v>15692</v>
      </c>
      <c r="E4242" s="68" t="s">
        <v>15693</v>
      </c>
      <c r="F4242" s="66" t="s">
        <v>15694</v>
      </c>
      <c r="G4242" s="71">
        <v>3835</v>
      </c>
      <c r="H4242" s="73"/>
      <c r="I4242" s="75">
        <v>0.2</v>
      </c>
      <c r="J4242" s="77"/>
      <c r="K4242" s="66"/>
      <c r="L4242" s="66"/>
      <c r="M4242" s="79" t="str">
        <f>HYPERLINK("http://www.pristavka.com/catalog/pyramid_international/Pyr807/")</f>
        <v>http://www.pristavka.com/catalog/pyramid_international/Pyr807/</v>
      </c>
      <c r="N4242" s="71">
        <v>6299</v>
      </c>
      <c r="O4242" s="66" t="s">
        <v>27</v>
      </c>
      <c r="P4242" s="82" t="s">
        <v>15695</v>
      </c>
      <c r="Q4242" s="84" t="s">
        <v>4158</v>
      </c>
      <c r="R4242" s="84" t="s">
        <v>1068</v>
      </c>
      <c r="S4242" s="84">
        <v>9.1999999999999998E-2</v>
      </c>
      <c r="T4242" s="82" t="s">
        <v>15696</v>
      </c>
      <c r="U4242" s="84"/>
      <c r="V4242" s="54"/>
    </row>
    <row r="4243" spans="1:22" s="11" customFormat="1" ht="45" customHeight="1" x14ac:dyDescent="0.2">
      <c r="A4243" s="66" t="s">
        <v>15654</v>
      </c>
      <c r="B4243" s="66" t="s">
        <v>26</v>
      </c>
      <c r="C4243" s="66" t="s">
        <v>15654</v>
      </c>
      <c r="D4243" s="66" t="s">
        <v>15697</v>
      </c>
      <c r="E4243" s="68" t="s">
        <v>15698</v>
      </c>
      <c r="F4243" s="66" t="s">
        <v>15699</v>
      </c>
      <c r="G4243" s="71">
        <v>3835</v>
      </c>
      <c r="H4243" s="73"/>
      <c r="I4243" s="75">
        <v>0.2</v>
      </c>
      <c r="J4243" s="77"/>
      <c r="K4243" s="66"/>
      <c r="L4243" s="66"/>
      <c r="M4243" s="79" t="str">
        <f>HYPERLINK("http://www.pristavka.com/catalog/pyramid_international/Pyr826/")</f>
        <v>http://www.pristavka.com/catalog/pyramid_international/Pyr826/</v>
      </c>
      <c r="N4243" s="71">
        <v>6299</v>
      </c>
      <c r="O4243" s="66" t="s">
        <v>27</v>
      </c>
      <c r="P4243" s="82" t="s">
        <v>15700</v>
      </c>
      <c r="Q4243" s="84" t="s">
        <v>2367</v>
      </c>
      <c r="R4243" s="84" t="s">
        <v>1068</v>
      </c>
      <c r="S4243" s="84">
        <v>0.09</v>
      </c>
      <c r="T4243" s="82" t="s">
        <v>15696</v>
      </c>
      <c r="U4243" s="84"/>
      <c r="V4243" s="54"/>
    </row>
    <row r="4244" spans="1:22" s="11" customFormat="1" ht="45" customHeight="1" x14ac:dyDescent="0.2">
      <c r="A4244" s="66" t="s">
        <v>15654</v>
      </c>
      <c r="B4244" s="66" t="s">
        <v>1155</v>
      </c>
      <c r="C4244" s="66" t="s">
        <v>15654</v>
      </c>
      <c r="D4244" s="66" t="s">
        <v>15701</v>
      </c>
      <c r="E4244" s="68" t="s">
        <v>15702</v>
      </c>
      <c r="F4244" s="66" t="s">
        <v>15703</v>
      </c>
      <c r="G4244" s="71">
        <v>3835</v>
      </c>
      <c r="H4244" s="73"/>
      <c r="I4244" s="75">
        <v>0.2</v>
      </c>
      <c r="J4244" s="77"/>
      <c r="K4244" s="66"/>
      <c r="L4244" s="66"/>
      <c r="M4244" s="79" t="str">
        <f>HYPERLINK("http://www.pristavka.com/catalog/pyramid_international/Pyr778/")</f>
        <v>http://www.pristavka.com/catalog/pyramid_international/Pyr778/</v>
      </c>
      <c r="N4244" s="71">
        <v>6299</v>
      </c>
      <c r="O4244" s="66" t="s">
        <v>27</v>
      </c>
      <c r="P4244" s="82" t="s">
        <v>15704</v>
      </c>
      <c r="Q4244" s="84" t="s">
        <v>1102</v>
      </c>
      <c r="R4244" s="84" t="s">
        <v>1303</v>
      </c>
      <c r="S4244" s="84">
        <v>0.104</v>
      </c>
      <c r="T4244" s="82" t="s">
        <v>15705</v>
      </c>
      <c r="U4244" s="84"/>
      <c r="V4244" s="54"/>
    </row>
    <row r="4245" spans="1:22" s="11" customFormat="1" ht="45" customHeight="1" x14ac:dyDescent="0.2">
      <c r="A4245" s="66" t="s">
        <v>15654</v>
      </c>
      <c r="B4245" s="66" t="s">
        <v>26</v>
      </c>
      <c r="C4245" s="66" t="s">
        <v>15654</v>
      </c>
      <c r="D4245" s="66" t="s">
        <v>15706</v>
      </c>
      <c r="E4245" s="68" t="s">
        <v>15707</v>
      </c>
      <c r="F4245" s="66" t="s">
        <v>15708</v>
      </c>
      <c r="G4245" s="71">
        <v>3835</v>
      </c>
      <c r="H4245" s="73"/>
      <c r="I4245" s="75">
        <v>0.2</v>
      </c>
      <c r="J4245" s="77"/>
      <c r="K4245" s="66"/>
      <c r="L4245" s="66"/>
      <c r="M4245" s="79" t="str">
        <f>HYPERLINK("http://www.pristavka.com/catalog/pyramid_international/Pyr886/")</f>
        <v>http://www.pristavka.com/catalog/pyramid_international/Pyr886/</v>
      </c>
      <c r="N4245" s="71">
        <v>6299</v>
      </c>
      <c r="O4245" s="66" t="s">
        <v>27</v>
      </c>
      <c r="P4245" s="82" t="s">
        <v>15709</v>
      </c>
      <c r="Q4245" s="84" t="s">
        <v>1240</v>
      </c>
      <c r="R4245" s="84" t="s">
        <v>70</v>
      </c>
      <c r="S4245" s="84">
        <v>0.1</v>
      </c>
      <c r="T4245" s="82" t="s">
        <v>15691</v>
      </c>
      <c r="U4245" s="84"/>
      <c r="V4245" s="54"/>
    </row>
    <row r="4246" spans="1:22" s="11" customFormat="1" ht="45" customHeight="1" x14ac:dyDescent="0.2">
      <c r="A4246" s="66" t="s">
        <v>15654</v>
      </c>
      <c r="B4246" s="66" t="s">
        <v>26</v>
      </c>
      <c r="C4246" s="66" t="s">
        <v>15654</v>
      </c>
      <c r="D4246" s="66" t="s">
        <v>15710</v>
      </c>
      <c r="E4246" s="68" t="s">
        <v>15711</v>
      </c>
      <c r="F4246" s="66" t="s">
        <v>15712</v>
      </c>
      <c r="G4246" s="71">
        <v>1447</v>
      </c>
      <c r="H4246" s="73"/>
      <c r="I4246" s="75">
        <v>0.2</v>
      </c>
      <c r="J4246" s="66"/>
      <c r="K4246" s="66"/>
      <c r="L4246" s="66"/>
      <c r="M4246" s="79" t="str">
        <f>HYPERLINK("http://www.pristavka.com/catalog/pyramid_international/Pyr819/")</f>
        <v>http://www.pristavka.com/catalog/pyramid_international/Pyr819/</v>
      </c>
      <c r="N4246" s="71">
        <v>2399</v>
      </c>
      <c r="O4246" s="66" t="s">
        <v>28</v>
      </c>
      <c r="P4246" s="82" t="s">
        <v>15713</v>
      </c>
      <c r="Q4246" s="84" t="s">
        <v>1611</v>
      </c>
      <c r="R4246" s="84" t="s">
        <v>1612</v>
      </c>
      <c r="S4246" s="84">
        <v>2.1000000000000001E-2</v>
      </c>
      <c r="T4246" s="82" t="s">
        <v>15714</v>
      </c>
      <c r="U4246" s="84"/>
      <c r="V4246" s="54"/>
    </row>
    <row r="4247" spans="1:22" s="11" customFormat="1" ht="45" customHeight="1" x14ac:dyDescent="0.2">
      <c r="A4247" s="66" t="s">
        <v>15654</v>
      </c>
      <c r="B4247" s="66" t="s">
        <v>26</v>
      </c>
      <c r="C4247" s="66" t="s">
        <v>15654</v>
      </c>
      <c r="D4247" s="66" t="s">
        <v>15715</v>
      </c>
      <c r="E4247" s="68" t="s">
        <v>15716</v>
      </c>
      <c r="F4247" s="66" t="s">
        <v>15717</v>
      </c>
      <c r="G4247" s="71">
        <v>6413</v>
      </c>
      <c r="H4247" s="73"/>
      <c r="I4247" s="75">
        <v>0.2</v>
      </c>
      <c r="J4247" s="77"/>
      <c r="K4247" s="66"/>
      <c r="L4247" s="66"/>
      <c r="M4247" s="79" t="str">
        <f>HYPERLINK("http://www.pristavka.com/catalog/pyramid_international/Pyr915/")</f>
        <v>http://www.pristavka.com/catalog/pyramid_international/Pyr915/</v>
      </c>
      <c r="N4247" s="71">
        <v>10599</v>
      </c>
      <c r="O4247" s="66" t="s">
        <v>27</v>
      </c>
      <c r="P4247" s="82" t="s">
        <v>15718</v>
      </c>
      <c r="Q4247" s="84" t="s">
        <v>1321</v>
      </c>
      <c r="R4247" s="84" t="s">
        <v>1322</v>
      </c>
      <c r="S4247" s="84">
        <v>0.40400000000000003</v>
      </c>
      <c r="T4247" s="82" t="s">
        <v>15719</v>
      </c>
      <c r="U4247" s="84"/>
      <c r="V4247" s="54"/>
    </row>
    <row r="4248" spans="1:22" s="11" customFormat="1" ht="45" customHeight="1" x14ac:dyDescent="0.2">
      <c r="A4248" s="66" t="s">
        <v>15654</v>
      </c>
      <c r="B4248" s="66" t="s">
        <v>26</v>
      </c>
      <c r="C4248" s="66" t="s">
        <v>15654</v>
      </c>
      <c r="D4248" s="66" t="s">
        <v>15720</v>
      </c>
      <c r="E4248" s="68" t="s">
        <v>15721</v>
      </c>
      <c r="F4248" s="66" t="s">
        <v>15722</v>
      </c>
      <c r="G4248" s="71">
        <v>6413</v>
      </c>
      <c r="H4248" s="73"/>
      <c r="I4248" s="75">
        <v>0.2</v>
      </c>
      <c r="J4248" s="77"/>
      <c r="K4248" s="66"/>
      <c r="L4248" s="66"/>
      <c r="M4248" s="79" t="str">
        <f>HYPERLINK("http://www.pristavka.com/catalog/pyramid_international/Pyr916/")</f>
        <v>http://www.pristavka.com/catalog/pyramid_international/Pyr916/</v>
      </c>
      <c r="N4248" s="71">
        <v>10599</v>
      </c>
      <c r="O4248" s="66" t="s">
        <v>27</v>
      </c>
      <c r="P4248" s="82" t="s">
        <v>15723</v>
      </c>
      <c r="Q4248" s="84" t="s">
        <v>1321</v>
      </c>
      <c r="R4248" s="84" t="s">
        <v>1322</v>
      </c>
      <c r="S4248" s="84">
        <v>0.376</v>
      </c>
      <c r="T4248" s="82" t="s">
        <v>15724</v>
      </c>
      <c r="U4248" s="84"/>
      <c r="V4248" s="54"/>
    </row>
    <row r="4249" spans="1:22" s="11" customFormat="1" ht="45" customHeight="1" x14ac:dyDescent="0.2">
      <c r="A4249" s="66" t="s">
        <v>15654</v>
      </c>
      <c r="B4249" s="66" t="s">
        <v>1155</v>
      </c>
      <c r="C4249" s="66" t="s">
        <v>15654</v>
      </c>
      <c r="D4249" s="66" t="s">
        <v>15725</v>
      </c>
      <c r="E4249" s="68" t="s">
        <v>15726</v>
      </c>
      <c r="F4249" s="66" t="s">
        <v>15727</v>
      </c>
      <c r="G4249" s="71">
        <v>5356</v>
      </c>
      <c r="H4249" s="73"/>
      <c r="I4249" s="75">
        <v>0.2</v>
      </c>
      <c r="J4249" s="77"/>
      <c r="K4249" s="66"/>
      <c r="L4249" s="66"/>
      <c r="M4249" s="79" t="str">
        <f>HYPERLINK("http://www.pristavka.com/catalog/pyramid_international/Pyr609/")</f>
        <v>http://www.pristavka.com/catalog/pyramid_international/Pyr609/</v>
      </c>
      <c r="N4249" s="71">
        <v>8999</v>
      </c>
      <c r="O4249" s="66" t="s">
        <v>28</v>
      </c>
      <c r="P4249" s="82" t="s">
        <v>15728</v>
      </c>
      <c r="Q4249" s="84" t="s">
        <v>1717</v>
      </c>
      <c r="R4249" s="84" t="s">
        <v>1315</v>
      </c>
      <c r="S4249" s="84">
        <v>0.25</v>
      </c>
      <c r="T4249" s="82" t="s">
        <v>15729</v>
      </c>
      <c r="U4249" s="84"/>
      <c r="V4249" s="54"/>
    </row>
    <row r="4250" spans="1:22" s="11" customFormat="1" ht="45" customHeight="1" x14ac:dyDescent="0.2">
      <c r="A4250" s="66" t="s">
        <v>15654</v>
      </c>
      <c r="B4250" s="66" t="s">
        <v>26</v>
      </c>
      <c r="C4250" s="66" t="s">
        <v>15654</v>
      </c>
      <c r="D4250" s="66" t="s">
        <v>15730</v>
      </c>
      <c r="E4250" s="68" t="s">
        <v>15731</v>
      </c>
      <c r="F4250" s="66" t="s">
        <v>15732</v>
      </c>
      <c r="G4250" s="71">
        <v>2736</v>
      </c>
      <c r="H4250" s="73"/>
      <c r="I4250" s="75">
        <v>0.2</v>
      </c>
      <c r="J4250" s="77"/>
      <c r="K4250" s="66"/>
      <c r="L4250" s="66"/>
      <c r="M4250" s="79" t="str">
        <f>HYPERLINK("http://www.pristavka.com/catalog/pyramid_international/Pyr804/")</f>
        <v>http://www.pristavka.com/catalog/pyramid_international/Pyr804/</v>
      </c>
      <c r="N4250" s="71">
        <v>4499</v>
      </c>
      <c r="O4250" s="66" t="s">
        <v>27</v>
      </c>
      <c r="P4250" s="82" t="s">
        <v>15733</v>
      </c>
      <c r="Q4250" s="84" t="s">
        <v>4158</v>
      </c>
      <c r="R4250" s="84" t="s">
        <v>1068</v>
      </c>
      <c r="S4250" s="84">
        <v>1.7999999999999999E-2</v>
      </c>
      <c r="T4250" s="82" t="s">
        <v>15734</v>
      </c>
      <c r="U4250" s="84"/>
      <c r="V4250" s="54"/>
    </row>
    <row r="4251" spans="1:22" s="11" customFormat="1" ht="45" customHeight="1" x14ac:dyDescent="0.2">
      <c r="A4251" s="66" t="s">
        <v>15654</v>
      </c>
      <c r="B4251" s="66" t="s">
        <v>26</v>
      </c>
      <c r="C4251" s="66" t="s">
        <v>15654</v>
      </c>
      <c r="D4251" s="66" t="s">
        <v>15735</v>
      </c>
      <c r="E4251" s="68" t="s">
        <v>15736</v>
      </c>
      <c r="F4251" s="66" t="s">
        <v>15737</v>
      </c>
      <c r="G4251" s="71">
        <v>2736</v>
      </c>
      <c r="H4251" s="73"/>
      <c r="I4251" s="75">
        <v>0.2</v>
      </c>
      <c r="J4251" s="77"/>
      <c r="K4251" s="66"/>
      <c r="L4251" s="66"/>
      <c r="M4251" s="79" t="str">
        <f>HYPERLINK("http://www.pristavka.com/catalog/pyramid_international/Pyr805/")</f>
        <v>http://www.pristavka.com/catalog/pyramid_international/Pyr805/</v>
      </c>
      <c r="N4251" s="71">
        <v>4499</v>
      </c>
      <c r="O4251" s="66" t="s">
        <v>27</v>
      </c>
      <c r="P4251" s="82" t="s">
        <v>15738</v>
      </c>
      <c r="Q4251" s="84" t="s">
        <v>4158</v>
      </c>
      <c r="R4251" s="84" t="s">
        <v>1068</v>
      </c>
      <c r="S4251" s="84">
        <v>1.7000000000000001E-2</v>
      </c>
      <c r="T4251" s="82" t="s">
        <v>15734</v>
      </c>
      <c r="U4251" s="84"/>
      <c r="V4251" s="54"/>
    </row>
    <row r="4252" spans="1:22" s="11" customFormat="1" ht="45" customHeight="1" x14ac:dyDescent="0.2">
      <c r="A4252" s="66" t="s">
        <v>15654</v>
      </c>
      <c r="B4252" s="66" t="s">
        <v>26</v>
      </c>
      <c r="C4252" s="66" t="s">
        <v>15654</v>
      </c>
      <c r="D4252" s="66" t="s">
        <v>15739</v>
      </c>
      <c r="E4252" s="68" t="s">
        <v>15740</v>
      </c>
      <c r="F4252" s="66" t="s">
        <v>15741</v>
      </c>
      <c r="G4252" s="71">
        <v>1928</v>
      </c>
      <c r="H4252" s="73"/>
      <c r="I4252" s="75">
        <v>0.2</v>
      </c>
      <c r="J4252" s="77"/>
      <c r="K4252" s="66"/>
      <c r="L4252" s="66"/>
      <c r="M4252" s="79" t="str">
        <f>HYPERLINK("http://www.pristavka.com/catalog/pyramid_international/Pyr932/")</f>
        <v>http://www.pristavka.com/catalog/pyramid_international/Pyr932/</v>
      </c>
      <c r="N4252" s="71">
        <v>3199</v>
      </c>
      <c r="O4252" s="66" t="s">
        <v>27</v>
      </c>
      <c r="P4252" s="82" t="s">
        <v>15742</v>
      </c>
      <c r="Q4252" s="84" t="s">
        <v>1148</v>
      </c>
      <c r="R4252" s="84" t="s">
        <v>1068</v>
      </c>
      <c r="S4252" s="84">
        <v>0.05</v>
      </c>
      <c r="T4252" s="82" t="s">
        <v>15743</v>
      </c>
      <c r="U4252" s="84"/>
      <c r="V4252" s="54"/>
    </row>
    <row r="4253" spans="1:22" s="11" customFormat="1" ht="45" customHeight="1" x14ac:dyDescent="0.2">
      <c r="A4253" s="66" t="s">
        <v>15654</v>
      </c>
      <c r="B4253" s="66" t="s">
        <v>26</v>
      </c>
      <c r="C4253" s="66" t="s">
        <v>15654</v>
      </c>
      <c r="D4253" s="66" t="s">
        <v>15744</v>
      </c>
      <c r="E4253" s="68" t="s">
        <v>15745</v>
      </c>
      <c r="F4253" s="66" t="s">
        <v>15746</v>
      </c>
      <c r="G4253" s="71">
        <v>2895</v>
      </c>
      <c r="H4253" s="73"/>
      <c r="I4253" s="75">
        <v>0.2</v>
      </c>
      <c r="J4253" s="77"/>
      <c r="K4253" s="66"/>
      <c r="L4253" s="66"/>
      <c r="M4253" s="79" t="str">
        <f>HYPERLINK("http://www.pristavka.com/catalog/pyramid_international/Pyr931/")</f>
        <v>http://www.pristavka.com/catalog/pyramid_international/Pyr931/</v>
      </c>
      <c r="N4253" s="71">
        <v>4799</v>
      </c>
      <c r="O4253" s="66" t="s">
        <v>27</v>
      </c>
      <c r="P4253" s="82" t="s">
        <v>15747</v>
      </c>
      <c r="Q4253" s="84" t="s">
        <v>1148</v>
      </c>
      <c r="R4253" s="84" t="s">
        <v>1068</v>
      </c>
      <c r="S4253" s="84">
        <v>0.10199999999999999</v>
      </c>
      <c r="T4253" s="82" t="s">
        <v>15748</v>
      </c>
      <c r="U4253" s="84"/>
      <c r="V4253" s="54"/>
    </row>
    <row r="4254" spans="1:22" s="11" customFormat="1" ht="45" customHeight="1" x14ac:dyDescent="0.2">
      <c r="A4254" s="66" t="s">
        <v>15654</v>
      </c>
      <c r="B4254" s="66" t="s">
        <v>26</v>
      </c>
      <c r="C4254" s="66" t="s">
        <v>15654</v>
      </c>
      <c r="D4254" s="66" t="s">
        <v>15749</v>
      </c>
      <c r="E4254" s="68" t="s">
        <v>15750</v>
      </c>
      <c r="F4254" s="66" t="s">
        <v>15751</v>
      </c>
      <c r="G4254" s="71">
        <v>1770</v>
      </c>
      <c r="H4254" s="73"/>
      <c r="I4254" s="75">
        <v>0.2</v>
      </c>
      <c r="J4254" s="77"/>
      <c r="K4254" s="66"/>
      <c r="L4254" s="66"/>
      <c r="M4254" s="79" t="str">
        <f>HYPERLINK("http://www.pristavka.com/catalog/pyramid_international/Pyr954/")</f>
        <v>http://www.pristavka.com/catalog/pyramid_international/Pyr954/</v>
      </c>
      <c r="N4254" s="71">
        <v>2899</v>
      </c>
      <c r="O4254" s="66" t="s">
        <v>27</v>
      </c>
      <c r="P4254" s="82" t="s">
        <v>15752</v>
      </c>
      <c r="Q4254" s="84" t="s">
        <v>4158</v>
      </c>
      <c r="R4254" s="84" t="s">
        <v>1068</v>
      </c>
      <c r="S4254" s="84">
        <v>5.1999999999999998E-2</v>
      </c>
      <c r="T4254" s="82" t="s">
        <v>15753</v>
      </c>
      <c r="U4254" s="84"/>
      <c r="V4254" s="54"/>
    </row>
    <row r="4255" spans="1:22" s="11" customFormat="1" ht="45" customHeight="1" x14ac:dyDescent="0.2">
      <c r="A4255" s="66" t="s">
        <v>15654</v>
      </c>
      <c r="B4255" s="66" t="s">
        <v>26</v>
      </c>
      <c r="C4255" s="66" t="s">
        <v>15654</v>
      </c>
      <c r="D4255" s="66" t="s">
        <v>15754</v>
      </c>
      <c r="E4255" s="68" t="s">
        <v>15755</v>
      </c>
      <c r="F4255" s="66" t="s">
        <v>15756</v>
      </c>
      <c r="G4255" s="71">
        <v>2895</v>
      </c>
      <c r="H4255" s="73"/>
      <c r="I4255" s="75">
        <v>0.2</v>
      </c>
      <c r="J4255" s="77"/>
      <c r="K4255" s="66"/>
      <c r="L4255" s="66"/>
      <c r="M4255" s="79" t="str">
        <f>HYPERLINK("http://www.pristavka.com/catalog/pyramid_international/Pyr963/")</f>
        <v>http://www.pristavka.com/catalog/pyramid_international/Pyr963/</v>
      </c>
      <c r="N4255" s="71">
        <v>4799</v>
      </c>
      <c r="O4255" s="66" t="s">
        <v>27</v>
      </c>
      <c r="P4255" s="82" t="s">
        <v>15757</v>
      </c>
      <c r="Q4255" s="84" t="s">
        <v>2367</v>
      </c>
      <c r="R4255" s="84" t="s">
        <v>1068</v>
      </c>
      <c r="S4255" s="84">
        <v>5.1999999999999998E-2</v>
      </c>
      <c r="T4255" s="82" t="s">
        <v>15753</v>
      </c>
      <c r="U4255" s="84"/>
      <c r="V4255" s="54"/>
    </row>
    <row r="4256" spans="1:22" s="11" customFormat="1" ht="45" customHeight="1" x14ac:dyDescent="0.2">
      <c r="A4256" s="66" t="s">
        <v>15654</v>
      </c>
      <c r="B4256" s="66" t="s">
        <v>26</v>
      </c>
      <c r="C4256" s="66" t="s">
        <v>15654</v>
      </c>
      <c r="D4256" s="66" t="s">
        <v>15758</v>
      </c>
      <c r="E4256" s="68" t="s">
        <v>15759</v>
      </c>
      <c r="F4256" s="66" t="s">
        <v>15760</v>
      </c>
      <c r="G4256" s="71">
        <v>1928</v>
      </c>
      <c r="H4256" s="73"/>
      <c r="I4256" s="75">
        <v>0.2</v>
      </c>
      <c r="J4256" s="77"/>
      <c r="K4256" s="66"/>
      <c r="L4256" s="66"/>
      <c r="M4256" s="79" t="str">
        <f>HYPERLINK("http://www.pristavka.com/catalog/pyramid_international/Pyr817/")</f>
        <v>http://www.pristavka.com/catalog/pyramid_international/Pyr817/</v>
      </c>
      <c r="N4256" s="71">
        <v>3199</v>
      </c>
      <c r="O4256" s="66" t="s">
        <v>27</v>
      </c>
      <c r="P4256" s="82" t="s">
        <v>15761</v>
      </c>
      <c r="Q4256" s="84" t="s">
        <v>1840</v>
      </c>
      <c r="R4256" s="84" t="s">
        <v>1840</v>
      </c>
      <c r="S4256" s="84">
        <v>4.5999999999999999E-2</v>
      </c>
      <c r="T4256" s="82" t="s">
        <v>15762</v>
      </c>
      <c r="U4256" s="84"/>
      <c r="V4256" s="54"/>
    </row>
    <row r="4257" spans="1:22" s="11" customFormat="1" ht="45" customHeight="1" x14ac:dyDescent="0.2">
      <c r="A4257" s="66" t="s">
        <v>15654</v>
      </c>
      <c r="B4257" s="66" t="s">
        <v>26</v>
      </c>
      <c r="C4257" s="66" t="s">
        <v>15654</v>
      </c>
      <c r="D4257" s="66" t="s">
        <v>15763</v>
      </c>
      <c r="E4257" s="68" t="s">
        <v>15764</v>
      </c>
      <c r="F4257" s="66" t="s">
        <v>15765</v>
      </c>
      <c r="G4257" s="71">
        <v>7379</v>
      </c>
      <c r="H4257" s="73"/>
      <c r="I4257" s="75">
        <v>0.2</v>
      </c>
      <c r="J4257" s="77"/>
      <c r="K4257" s="66"/>
      <c r="L4257" s="66"/>
      <c r="M4257" s="79" t="str">
        <f>HYPERLINK("http://www.pristavka.com/catalog/pyramid_international/Pyr918/")</f>
        <v>http://www.pristavka.com/catalog/pyramid_international/Pyr918/</v>
      </c>
      <c r="N4257" s="71">
        <v>12099</v>
      </c>
      <c r="O4257" s="66" t="s">
        <v>27</v>
      </c>
      <c r="P4257" s="82" t="s">
        <v>15766</v>
      </c>
      <c r="Q4257" s="84" t="s">
        <v>1321</v>
      </c>
      <c r="R4257" s="84" t="s">
        <v>1322</v>
      </c>
      <c r="S4257" s="84">
        <v>0.30199999999999999</v>
      </c>
      <c r="T4257" s="82" t="s">
        <v>15767</v>
      </c>
      <c r="U4257" s="84"/>
      <c r="V4257" s="54"/>
    </row>
    <row r="4258" spans="1:22" s="11" customFormat="1" ht="45" customHeight="1" x14ac:dyDescent="0.2">
      <c r="A4258" s="66" t="s">
        <v>15654</v>
      </c>
      <c r="B4258" s="66" t="s">
        <v>26</v>
      </c>
      <c r="C4258" s="66" t="s">
        <v>15654</v>
      </c>
      <c r="D4258" s="66" t="s">
        <v>15768</v>
      </c>
      <c r="E4258" s="68" t="s">
        <v>15769</v>
      </c>
      <c r="F4258" s="66" t="s">
        <v>15770</v>
      </c>
      <c r="G4258" s="71">
        <v>9635</v>
      </c>
      <c r="H4258" s="73"/>
      <c r="I4258" s="75">
        <v>0.2</v>
      </c>
      <c r="J4258" s="77"/>
      <c r="K4258" s="66"/>
      <c r="L4258" s="66"/>
      <c r="M4258" s="79" t="str">
        <f>HYPERLINK("http://www.pristavka.com/catalog/pyramid_international/Pyr921/")</f>
        <v>http://www.pristavka.com/catalog/pyramid_international/Pyr921/</v>
      </c>
      <c r="N4258" s="71">
        <v>15799</v>
      </c>
      <c r="O4258" s="66" t="s">
        <v>27</v>
      </c>
      <c r="P4258" s="82" t="s">
        <v>15771</v>
      </c>
      <c r="Q4258" s="84" t="s">
        <v>1321</v>
      </c>
      <c r="R4258" s="84" t="s">
        <v>1322</v>
      </c>
      <c r="S4258" s="84">
        <v>0.58599999999999997</v>
      </c>
      <c r="T4258" s="82" t="s">
        <v>15772</v>
      </c>
      <c r="U4258" s="84"/>
      <c r="V4258" s="54"/>
    </row>
    <row r="4259" spans="1:22" s="11" customFormat="1" ht="45" customHeight="1" x14ac:dyDescent="0.2">
      <c r="A4259" s="66" t="s">
        <v>15654</v>
      </c>
      <c r="B4259" s="66" t="s">
        <v>26</v>
      </c>
      <c r="C4259" s="66" t="s">
        <v>15654</v>
      </c>
      <c r="D4259" s="66" t="s">
        <v>15773</v>
      </c>
      <c r="E4259" s="68" t="s">
        <v>15774</v>
      </c>
      <c r="F4259" s="66" t="s">
        <v>15775</v>
      </c>
      <c r="G4259" s="71">
        <v>1928</v>
      </c>
      <c r="H4259" s="73"/>
      <c r="I4259" s="75">
        <v>0.2</v>
      </c>
      <c r="J4259" s="77"/>
      <c r="K4259" s="66"/>
      <c r="L4259" s="66"/>
      <c r="M4259" s="79" t="str">
        <f>HYPERLINK("http://www.pristavka.com/catalog/pyramid_international/Pyr865/")</f>
        <v>http://www.pristavka.com/catalog/pyramid_international/Pyr865/</v>
      </c>
      <c r="N4259" s="71">
        <v>3199</v>
      </c>
      <c r="O4259" s="66" t="s">
        <v>27</v>
      </c>
      <c r="P4259" s="82" t="s">
        <v>15776</v>
      </c>
      <c r="Q4259" s="84" t="s">
        <v>1314</v>
      </c>
      <c r="R4259" s="84" t="s">
        <v>1315</v>
      </c>
      <c r="S4259" s="84">
        <v>4.8000000000000001E-2</v>
      </c>
      <c r="T4259" s="82" t="s">
        <v>15777</v>
      </c>
      <c r="U4259" s="84"/>
      <c r="V4259" s="54"/>
    </row>
    <row r="4260" spans="1:22" s="11" customFormat="1" ht="45" customHeight="1" x14ac:dyDescent="0.2">
      <c r="A4260" s="66" t="s">
        <v>15654</v>
      </c>
      <c r="B4260" s="66" t="s">
        <v>26</v>
      </c>
      <c r="C4260" s="66" t="s">
        <v>15654</v>
      </c>
      <c r="D4260" s="66" t="s">
        <v>15778</v>
      </c>
      <c r="E4260" s="68" t="s">
        <v>15779</v>
      </c>
      <c r="F4260" s="66" t="s">
        <v>15780</v>
      </c>
      <c r="G4260" s="71">
        <v>9635</v>
      </c>
      <c r="H4260" s="73"/>
      <c r="I4260" s="75">
        <v>0.2</v>
      </c>
      <c r="J4260" s="77"/>
      <c r="K4260" s="66"/>
      <c r="L4260" s="66"/>
      <c r="M4260" s="79" t="str">
        <f>HYPERLINK("http://www.pristavka.com/catalog/pyramid_international/Pyr854/")</f>
        <v>http://www.pristavka.com/catalog/pyramid_international/Pyr854/</v>
      </c>
      <c r="N4260" s="71">
        <v>15799</v>
      </c>
      <c r="O4260" s="66" t="s">
        <v>27</v>
      </c>
      <c r="P4260" s="82" t="s">
        <v>15781</v>
      </c>
      <c r="Q4260" s="84" t="s">
        <v>3582</v>
      </c>
      <c r="R4260" s="84" t="s">
        <v>1315</v>
      </c>
      <c r="S4260" s="84">
        <v>0.59</v>
      </c>
      <c r="T4260" s="82" t="s">
        <v>15782</v>
      </c>
      <c r="U4260" s="84"/>
      <c r="V4260" s="54"/>
    </row>
    <row r="4261" spans="1:22" s="11" customFormat="1" ht="45" customHeight="1" x14ac:dyDescent="0.2">
      <c r="A4261" s="66" t="s">
        <v>15654</v>
      </c>
      <c r="B4261" s="66" t="s">
        <v>26</v>
      </c>
      <c r="C4261" s="66" t="s">
        <v>15654</v>
      </c>
      <c r="D4261" s="66" t="s">
        <v>15783</v>
      </c>
      <c r="E4261" s="68" t="s">
        <v>15784</v>
      </c>
      <c r="F4261" s="66" t="s">
        <v>15785</v>
      </c>
      <c r="G4261" s="71">
        <v>4479</v>
      </c>
      <c r="H4261" s="73"/>
      <c r="I4261" s="75">
        <v>0.2</v>
      </c>
      <c r="J4261" s="77"/>
      <c r="K4261" s="66"/>
      <c r="L4261" s="66"/>
      <c r="M4261" s="79" t="str">
        <f>HYPERLINK("http://www.pristavka.com/catalog/pyramid_international/Pyr961/")</f>
        <v>http://www.pristavka.com/catalog/pyramid_international/Pyr961/</v>
      </c>
      <c r="N4261" s="71">
        <v>7399</v>
      </c>
      <c r="O4261" s="66" t="s">
        <v>27</v>
      </c>
      <c r="P4261" s="82" t="s">
        <v>15786</v>
      </c>
      <c r="Q4261" s="84" t="s">
        <v>15787</v>
      </c>
      <c r="R4261" s="84" t="s">
        <v>7356</v>
      </c>
      <c r="S4261" s="84">
        <v>0.19400000000000001</v>
      </c>
      <c r="T4261" s="82" t="s">
        <v>15788</v>
      </c>
      <c r="U4261" s="84"/>
      <c r="V4261" s="54"/>
    </row>
    <row r="4262" spans="1:22" s="11" customFormat="1" ht="45" customHeight="1" x14ac:dyDescent="0.2">
      <c r="A4262" s="66" t="s">
        <v>15654</v>
      </c>
      <c r="B4262" s="66" t="s">
        <v>26</v>
      </c>
      <c r="C4262" s="66" t="s">
        <v>15654</v>
      </c>
      <c r="D4262" s="66" t="s">
        <v>15789</v>
      </c>
      <c r="E4262" s="68" t="s">
        <v>15790</v>
      </c>
      <c r="F4262" s="66" t="s">
        <v>15791</v>
      </c>
      <c r="G4262" s="71">
        <v>1928</v>
      </c>
      <c r="H4262" s="73"/>
      <c r="I4262" s="75">
        <v>0.2</v>
      </c>
      <c r="J4262" s="77"/>
      <c r="K4262" s="66"/>
      <c r="L4262" s="66"/>
      <c r="M4262" s="79" t="str">
        <f>HYPERLINK("http://www.pristavka.com/catalog/pyramid_international/Pyr900/")</f>
        <v>http://www.pristavka.com/catalog/pyramid_international/Pyr900/</v>
      </c>
      <c r="N4262" s="71">
        <v>3199</v>
      </c>
      <c r="O4262" s="66" t="s">
        <v>28</v>
      </c>
      <c r="P4262" s="82" t="s">
        <v>15792</v>
      </c>
      <c r="Q4262" s="84" t="s">
        <v>15793</v>
      </c>
      <c r="R4262" s="84" t="s">
        <v>859</v>
      </c>
      <c r="S4262" s="84">
        <v>0.06</v>
      </c>
      <c r="T4262" s="82" t="s">
        <v>15794</v>
      </c>
      <c r="U4262" s="84"/>
      <c r="V4262" s="54"/>
    </row>
    <row r="4263" spans="1:22" s="11" customFormat="1" ht="45" customHeight="1" x14ac:dyDescent="0.2">
      <c r="A4263" s="66" t="s">
        <v>15654</v>
      </c>
      <c r="B4263" s="66" t="s">
        <v>26</v>
      </c>
      <c r="C4263" s="66" t="s">
        <v>15654</v>
      </c>
      <c r="D4263" s="66" t="s">
        <v>15795</v>
      </c>
      <c r="E4263" s="68" t="s">
        <v>15796</v>
      </c>
      <c r="F4263" s="66" t="s">
        <v>15797</v>
      </c>
      <c r="G4263" s="71">
        <v>1928</v>
      </c>
      <c r="H4263" s="73"/>
      <c r="I4263" s="75">
        <v>0.2</v>
      </c>
      <c r="J4263" s="77"/>
      <c r="K4263" s="66"/>
      <c r="L4263" s="66"/>
      <c r="M4263" s="79" t="str">
        <f>HYPERLINK("http://www.pristavka.com/catalog/pyramid_international/Pyr901/")</f>
        <v>http://www.pristavka.com/catalog/pyramid_international/Pyr901/</v>
      </c>
      <c r="N4263" s="71">
        <v>3199</v>
      </c>
      <c r="O4263" s="66" t="s">
        <v>27</v>
      </c>
      <c r="P4263" s="82" t="s">
        <v>15798</v>
      </c>
      <c r="Q4263" s="84" t="s">
        <v>15793</v>
      </c>
      <c r="R4263" s="84" t="s">
        <v>859</v>
      </c>
      <c r="S4263" s="84">
        <v>4.4999999999999998E-2</v>
      </c>
      <c r="T4263" s="82" t="s">
        <v>15799</v>
      </c>
      <c r="U4263" s="84"/>
      <c r="V4263" s="54"/>
    </row>
    <row r="4264" spans="1:22" s="11" customFormat="1" ht="45" customHeight="1" x14ac:dyDescent="0.2">
      <c r="A4264" s="66" t="s">
        <v>15654</v>
      </c>
      <c r="B4264" s="66" t="s">
        <v>26</v>
      </c>
      <c r="C4264" s="66" t="s">
        <v>15654</v>
      </c>
      <c r="D4264" s="66" t="s">
        <v>15800</v>
      </c>
      <c r="E4264" s="68" t="s">
        <v>15801</v>
      </c>
      <c r="F4264" s="66" t="s">
        <v>15802</v>
      </c>
      <c r="G4264" s="71">
        <v>1928</v>
      </c>
      <c r="H4264" s="73"/>
      <c r="I4264" s="75">
        <v>0.2</v>
      </c>
      <c r="J4264" s="77"/>
      <c r="K4264" s="66"/>
      <c r="L4264" s="66"/>
      <c r="M4264" s="79" t="str">
        <f>HYPERLINK("http://www.pristavka.com/catalog/pyramid_international/Pyr891/")</f>
        <v>http://www.pristavka.com/catalog/pyramid_international/Pyr891/</v>
      </c>
      <c r="N4264" s="71">
        <v>3199</v>
      </c>
      <c r="O4264" s="66" t="s">
        <v>27</v>
      </c>
      <c r="P4264" s="82" t="s">
        <v>15803</v>
      </c>
      <c r="Q4264" s="84" t="s">
        <v>3527</v>
      </c>
      <c r="R4264" s="84" t="s">
        <v>3512</v>
      </c>
      <c r="S4264" s="84">
        <v>5.6000000000000001E-2</v>
      </c>
      <c r="T4264" s="82" t="s">
        <v>15804</v>
      </c>
      <c r="U4264" s="84"/>
      <c r="V4264" s="54"/>
    </row>
    <row r="4265" spans="1:22" s="11" customFormat="1" ht="45" customHeight="1" x14ac:dyDescent="0.2">
      <c r="A4265" s="66" t="s">
        <v>15654</v>
      </c>
      <c r="B4265" s="66" t="s">
        <v>1155</v>
      </c>
      <c r="C4265" s="66" t="s">
        <v>15654</v>
      </c>
      <c r="D4265" s="66" t="s">
        <v>15805</v>
      </c>
      <c r="E4265" s="68" t="s">
        <v>15806</v>
      </c>
      <c r="F4265" s="66" t="s">
        <v>15807</v>
      </c>
      <c r="G4265" s="71">
        <v>9635</v>
      </c>
      <c r="H4265" s="73"/>
      <c r="I4265" s="75">
        <v>0.2</v>
      </c>
      <c r="J4265" s="77"/>
      <c r="K4265" s="66"/>
      <c r="L4265" s="66"/>
      <c r="M4265" s="79" t="str">
        <f>HYPERLINK("http://www.pristavka.com/catalog/pyramid_international/Pyr589/")</f>
        <v>http://www.pristavka.com/catalog/pyramid_international/Pyr589/</v>
      </c>
      <c r="N4265" s="71">
        <v>15799</v>
      </c>
      <c r="O4265" s="66" t="s">
        <v>28</v>
      </c>
      <c r="P4265" s="82" t="s">
        <v>15808</v>
      </c>
      <c r="Q4265" s="84" t="s">
        <v>3566</v>
      </c>
      <c r="R4265" s="84" t="s">
        <v>1303</v>
      </c>
      <c r="S4265" s="84">
        <v>0.65</v>
      </c>
      <c r="T4265" s="82" t="s">
        <v>15809</v>
      </c>
      <c r="U4265" s="84"/>
      <c r="V4265" s="54"/>
    </row>
    <row r="4266" spans="1:22" s="11" customFormat="1" ht="45" customHeight="1" x14ac:dyDescent="0.2">
      <c r="A4266" s="66" t="s">
        <v>15654</v>
      </c>
      <c r="B4266" s="66" t="s">
        <v>26</v>
      </c>
      <c r="C4266" s="66" t="s">
        <v>15654</v>
      </c>
      <c r="D4266" s="66" t="s">
        <v>15810</v>
      </c>
      <c r="E4266" s="68" t="s">
        <v>15811</v>
      </c>
      <c r="F4266" s="66" t="s">
        <v>15812</v>
      </c>
      <c r="G4266" s="71">
        <v>9635</v>
      </c>
      <c r="H4266" s="73"/>
      <c r="I4266" s="75">
        <v>0.2</v>
      </c>
      <c r="J4266" s="77"/>
      <c r="K4266" s="66"/>
      <c r="L4266" s="66"/>
      <c r="M4266" s="79" t="str">
        <f>HYPERLINK("http://www.pristavka.com/catalog/pyramid_international/Pyr801/")</f>
        <v>http://www.pristavka.com/catalog/pyramid_international/Pyr801/</v>
      </c>
      <c r="N4266" s="71">
        <v>15799</v>
      </c>
      <c r="O4266" s="66" t="s">
        <v>27</v>
      </c>
      <c r="P4266" s="82" t="s">
        <v>15813</v>
      </c>
      <c r="Q4266" s="84" t="s">
        <v>1723</v>
      </c>
      <c r="R4266" s="84" t="s">
        <v>1315</v>
      </c>
      <c r="S4266" s="84">
        <v>1.3</v>
      </c>
      <c r="T4266" s="82" t="s">
        <v>15814</v>
      </c>
      <c r="U4266" s="84"/>
      <c r="V4266" s="54"/>
    </row>
    <row r="4267" spans="1:22" s="11" customFormat="1" ht="45" customHeight="1" x14ac:dyDescent="0.2">
      <c r="A4267" s="66" t="s">
        <v>15654</v>
      </c>
      <c r="B4267" s="66" t="s">
        <v>26</v>
      </c>
      <c r="C4267" s="66" t="s">
        <v>15654</v>
      </c>
      <c r="D4267" s="66" t="s">
        <v>15815</v>
      </c>
      <c r="E4267" s="68" t="s">
        <v>15816</v>
      </c>
      <c r="F4267" s="66" t="s">
        <v>15817</v>
      </c>
      <c r="G4267" s="71">
        <v>9635</v>
      </c>
      <c r="H4267" s="73"/>
      <c r="I4267" s="75">
        <v>0.2</v>
      </c>
      <c r="J4267" s="77"/>
      <c r="K4267" s="66"/>
      <c r="L4267" s="66"/>
      <c r="M4267" s="79" t="str">
        <f>HYPERLINK("http://www.pristavka.com/catalog/pyramid_international/Pyr820/")</f>
        <v>http://www.pristavka.com/catalog/pyramid_international/Pyr820/</v>
      </c>
      <c r="N4267" s="71">
        <v>15799</v>
      </c>
      <c r="O4267" s="66" t="s">
        <v>27</v>
      </c>
      <c r="P4267" s="82" t="s">
        <v>15818</v>
      </c>
      <c r="Q4267" s="84" t="s">
        <v>2372</v>
      </c>
      <c r="R4267" s="84" t="s">
        <v>1068</v>
      </c>
      <c r="S4267" s="84">
        <v>1.26</v>
      </c>
      <c r="T4267" s="82" t="s">
        <v>15819</v>
      </c>
      <c r="U4267" s="84"/>
      <c r="V4267" s="54"/>
    </row>
    <row r="4268" spans="1:22" s="11" customFormat="1" ht="45" customHeight="1" x14ac:dyDescent="0.2">
      <c r="A4268" s="66" t="s">
        <v>15654</v>
      </c>
      <c r="B4268" s="66" t="s">
        <v>1155</v>
      </c>
      <c r="C4268" s="66" t="s">
        <v>15654</v>
      </c>
      <c r="D4268" s="66" t="s">
        <v>15820</v>
      </c>
      <c r="E4268" s="68" t="s">
        <v>15821</v>
      </c>
      <c r="F4268" s="66" t="s">
        <v>15822</v>
      </c>
      <c r="G4268" s="71">
        <v>9635</v>
      </c>
      <c r="H4268" s="73"/>
      <c r="I4268" s="75">
        <v>0.2</v>
      </c>
      <c r="J4268" s="77"/>
      <c r="K4268" s="66"/>
      <c r="L4268" s="66"/>
      <c r="M4268" s="79" t="str">
        <f>HYPERLINK("http://www.pristavka.com/catalog/pyramid_international/Pyr729/")</f>
        <v>http://www.pristavka.com/catalog/pyramid_international/Pyr729/</v>
      </c>
      <c r="N4268" s="71">
        <v>15799</v>
      </c>
      <c r="O4268" s="66" t="s">
        <v>28</v>
      </c>
      <c r="P4268" s="82" t="s">
        <v>15823</v>
      </c>
      <c r="Q4268" s="84" t="s">
        <v>1594</v>
      </c>
      <c r="R4268" s="84" t="s">
        <v>1075</v>
      </c>
      <c r="S4268" s="84">
        <v>1.42</v>
      </c>
      <c r="T4268" s="82" t="s">
        <v>14424</v>
      </c>
      <c r="U4268" s="84"/>
      <c r="V4268" s="54"/>
    </row>
    <row r="4269" spans="1:22" s="11" customFormat="1" ht="45" customHeight="1" x14ac:dyDescent="0.2">
      <c r="A4269" s="66" t="s">
        <v>15654</v>
      </c>
      <c r="B4269" s="66" t="s">
        <v>1155</v>
      </c>
      <c r="C4269" s="66" t="s">
        <v>15654</v>
      </c>
      <c r="D4269" s="66" t="s">
        <v>15824</v>
      </c>
      <c r="E4269" s="68" t="s">
        <v>15825</v>
      </c>
      <c r="F4269" s="66" t="s">
        <v>15826</v>
      </c>
      <c r="G4269" s="71">
        <v>6413</v>
      </c>
      <c r="H4269" s="73"/>
      <c r="I4269" s="75">
        <v>0.2</v>
      </c>
      <c r="J4269" s="77"/>
      <c r="K4269" s="66"/>
      <c r="L4269" s="66"/>
      <c r="M4269" s="79" t="str">
        <f>HYPERLINK("http://www.pristavka.com/catalog/pyramid_international/Pyr731/")</f>
        <v>http://www.pristavka.com/catalog/pyramid_international/Pyr731/</v>
      </c>
      <c r="N4269" s="71">
        <v>10599</v>
      </c>
      <c r="O4269" s="66" t="s">
        <v>27</v>
      </c>
      <c r="P4269" s="82" t="s">
        <v>15827</v>
      </c>
      <c r="Q4269" s="84" t="s">
        <v>1594</v>
      </c>
      <c r="R4269" s="84" t="s">
        <v>1075</v>
      </c>
      <c r="S4269" s="84">
        <v>1.42</v>
      </c>
      <c r="T4269" s="82" t="s">
        <v>14424</v>
      </c>
      <c r="U4269" s="84"/>
      <c r="V4269" s="54"/>
    </row>
    <row r="4270" spans="1:22" s="11" customFormat="1" ht="45" customHeight="1" x14ac:dyDescent="0.2">
      <c r="A4270" s="66" t="s">
        <v>15654</v>
      </c>
      <c r="B4270" s="66" t="s">
        <v>26</v>
      </c>
      <c r="C4270" s="66" t="s">
        <v>15654</v>
      </c>
      <c r="D4270" s="66" t="s">
        <v>15828</v>
      </c>
      <c r="E4270" s="68" t="s">
        <v>15829</v>
      </c>
      <c r="F4270" s="66" t="s">
        <v>15830</v>
      </c>
      <c r="G4270" s="71">
        <v>9635</v>
      </c>
      <c r="H4270" s="73"/>
      <c r="I4270" s="75">
        <v>0.2</v>
      </c>
      <c r="J4270" s="77"/>
      <c r="K4270" s="66"/>
      <c r="L4270" s="66"/>
      <c r="M4270" s="79" t="str">
        <f>HYPERLINK("http://www.pristavka.com/catalog/pyramid_international/Pyr882/")</f>
        <v>http://www.pristavka.com/catalog/pyramid_international/Pyr882/</v>
      </c>
      <c r="N4270" s="71">
        <v>15799</v>
      </c>
      <c r="O4270" s="66" t="s">
        <v>27</v>
      </c>
      <c r="P4270" s="82" t="s">
        <v>15831</v>
      </c>
      <c r="Q4270" s="84" t="s">
        <v>1240</v>
      </c>
      <c r="R4270" s="84" t="s">
        <v>70</v>
      </c>
      <c r="S4270" s="84">
        <v>1.3</v>
      </c>
      <c r="T4270" s="82" t="s">
        <v>15814</v>
      </c>
      <c r="U4270" s="84"/>
      <c r="V4270" s="54"/>
    </row>
    <row r="4271" spans="1:22" s="11" customFormat="1" ht="45" customHeight="1" x14ac:dyDescent="0.2">
      <c r="A4271" s="66" t="s">
        <v>15654</v>
      </c>
      <c r="B4271" s="66" t="s">
        <v>26</v>
      </c>
      <c r="C4271" s="66" t="s">
        <v>15654</v>
      </c>
      <c r="D4271" s="66" t="s">
        <v>15832</v>
      </c>
      <c r="E4271" s="68" t="s">
        <v>15833</v>
      </c>
      <c r="F4271" s="66" t="s">
        <v>15834</v>
      </c>
      <c r="G4271" s="71">
        <v>11246</v>
      </c>
      <c r="H4271" s="73"/>
      <c r="I4271" s="75">
        <v>0.2</v>
      </c>
      <c r="J4271" s="77"/>
      <c r="K4271" s="66"/>
      <c r="L4271" s="66"/>
      <c r="M4271" s="79" t="str">
        <f>HYPERLINK("http://www.pristavka.com/catalog/pyramid_international/Pyr960/")</f>
        <v>http://www.pristavka.com/catalog/pyramid_international/Pyr960/</v>
      </c>
      <c r="N4271" s="71">
        <v>18499</v>
      </c>
      <c r="O4271" s="66" t="s">
        <v>28</v>
      </c>
      <c r="P4271" s="82" t="s">
        <v>15835</v>
      </c>
      <c r="Q4271" s="84" t="s">
        <v>3582</v>
      </c>
      <c r="R4271" s="84" t="s">
        <v>1315</v>
      </c>
      <c r="S4271" s="84">
        <v>0.38600000000000001</v>
      </c>
      <c r="T4271" s="82" t="s">
        <v>15836</v>
      </c>
      <c r="U4271" s="84"/>
      <c r="V4271" s="54"/>
    </row>
    <row r="4272" spans="1:22" s="11" customFormat="1" ht="45" customHeight="1" x14ac:dyDescent="0.2">
      <c r="A4272" s="66" t="s">
        <v>15654</v>
      </c>
      <c r="B4272" s="66" t="s">
        <v>1155</v>
      </c>
      <c r="C4272" s="66" t="s">
        <v>15654</v>
      </c>
      <c r="D4272" s="66" t="s">
        <v>15837</v>
      </c>
      <c r="E4272" s="68" t="s">
        <v>15838</v>
      </c>
      <c r="F4272" s="66" t="s">
        <v>15839</v>
      </c>
      <c r="G4272" s="71">
        <v>11246</v>
      </c>
      <c r="H4272" s="73"/>
      <c r="I4272" s="75">
        <v>0.2</v>
      </c>
      <c r="J4272" s="77"/>
      <c r="K4272" s="66"/>
      <c r="L4272" s="66"/>
      <c r="M4272" s="79" t="str">
        <f>HYPERLINK("http://www.pristavka.com/catalog/pyramid_international/Pyr522/")</f>
        <v>http://www.pristavka.com/catalog/pyramid_international/Pyr522/</v>
      </c>
      <c r="N4272" s="71">
        <v>18499</v>
      </c>
      <c r="O4272" s="66" t="s">
        <v>28</v>
      </c>
      <c r="P4272" s="82" t="s">
        <v>15840</v>
      </c>
      <c r="Q4272" s="84" t="s">
        <v>5281</v>
      </c>
      <c r="R4272" s="84" t="s">
        <v>3512</v>
      </c>
      <c r="S4272" s="84">
        <v>0.44500000000000001</v>
      </c>
      <c r="T4272" s="82" t="s">
        <v>15841</v>
      </c>
      <c r="U4272" s="84"/>
      <c r="V4272" s="54"/>
    </row>
    <row r="4273" spans="1:22" s="11" customFormat="1" ht="45" customHeight="1" x14ac:dyDescent="0.2">
      <c r="A4273" s="66" t="s">
        <v>15654</v>
      </c>
      <c r="B4273" s="66" t="s">
        <v>1155</v>
      </c>
      <c r="C4273" s="66" t="s">
        <v>15654</v>
      </c>
      <c r="D4273" s="66" t="s">
        <v>15842</v>
      </c>
      <c r="E4273" s="68" t="s">
        <v>15843</v>
      </c>
      <c r="F4273" s="66" t="s">
        <v>15844</v>
      </c>
      <c r="G4273" s="71">
        <v>4802</v>
      </c>
      <c r="H4273" s="73"/>
      <c r="I4273" s="75">
        <v>0.2</v>
      </c>
      <c r="J4273" s="77"/>
      <c r="K4273" s="66"/>
      <c r="L4273" s="66"/>
      <c r="M4273" s="79" t="str">
        <f>HYPERLINK("http://www.pristavka.com/catalog/pyramid_international/Pyr569/")</f>
        <v>http://www.pristavka.com/catalog/pyramid_international/Pyr569/</v>
      </c>
      <c r="N4273" s="71">
        <v>7899</v>
      </c>
      <c r="O4273" s="66" t="s">
        <v>28</v>
      </c>
      <c r="P4273" s="82" t="s">
        <v>15845</v>
      </c>
      <c r="Q4273" s="84" t="s">
        <v>1594</v>
      </c>
      <c r="R4273" s="84" t="s">
        <v>1075</v>
      </c>
      <c r="S4273" s="84">
        <v>0.55300000000000005</v>
      </c>
      <c r="T4273" s="82" t="s">
        <v>15846</v>
      </c>
      <c r="U4273" s="84"/>
      <c r="V4273" s="54"/>
    </row>
    <row r="4274" spans="1:22" s="11" customFormat="1" ht="45" customHeight="1" x14ac:dyDescent="0.2">
      <c r="A4274" s="66" t="s">
        <v>15654</v>
      </c>
      <c r="B4274" s="66" t="s">
        <v>1155</v>
      </c>
      <c r="C4274" s="66" t="s">
        <v>15654</v>
      </c>
      <c r="D4274" s="66" t="s">
        <v>15847</v>
      </c>
      <c r="E4274" s="68" t="s">
        <v>15848</v>
      </c>
      <c r="F4274" s="66" t="s">
        <v>15849</v>
      </c>
      <c r="G4274" s="71">
        <v>6090</v>
      </c>
      <c r="H4274" s="73"/>
      <c r="I4274" s="75">
        <v>0.2</v>
      </c>
      <c r="J4274" s="77"/>
      <c r="K4274" s="66"/>
      <c r="L4274" s="66"/>
      <c r="M4274" s="79" t="str">
        <f>HYPERLINK("http://www.pristavka.com/catalog/pyramid_international/Pyr571/")</f>
        <v>http://www.pristavka.com/catalog/pyramid_international/Pyr571/</v>
      </c>
      <c r="N4274" s="71">
        <v>9999</v>
      </c>
      <c r="O4274" s="66" t="s">
        <v>27</v>
      </c>
      <c r="P4274" s="82" t="s">
        <v>15850</v>
      </c>
      <c r="Q4274" s="84" t="s">
        <v>1102</v>
      </c>
      <c r="R4274" s="84" t="s">
        <v>1303</v>
      </c>
      <c r="S4274" s="84">
        <v>0.5</v>
      </c>
      <c r="T4274" s="82" t="s">
        <v>15851</v>
      </c>
      <c r="U4274" s="84"/>
      <c r="V4274" s="54"/>
    </row>
    <row r="4275" spans="1:22" s="11" customFormat="1" ht="45" customHeight="1" x14ac:dyDescent="0.2">
      <c r="A4275" s="66" t="s">
        <v>15654</v>
      </c>
      <c r="B4275" s="66" t="s">
        <v>1155</v>
      </c>
      <c r="C4275" s="66" t="s">
        <v>15654</v>
      </c>
      <c r="D4275" s="66" t="s">
        <v>15852</v>
      </c>
      <c r="E4275" s="68" t="s">
        <v>15853</v>
      </c>
      <c r="F4275" s="66" t="s">
        <v>15854</v>
      </c>
      <c r="G4275" s="71">
        <v>18657</v>
      </c>
      <c r="H4275" s="73"/>
      <c r="I4275" s="75">
        <v>0.2</v>
      </c>
      <c r="J4275" s="77"/>
      <c r="K4275" s="66"/>
      <c r="L4275" s="66"/>
      <c r="M4275" s="79" t="str">
        <f>HYPERLINK("http://www.pristavka.com/catalog/pyramid_international/Pyr620/")</f>
        <v>http://www.pristavka.com/catalog/pyramid_international/Pyr620/</v>
      </c>
      <c r="N4275" s="71">
        <v>30599</v>
      </c>
      <c r="O4275" s="66" t="s">
        <v>28</v>
      </c>
      <c r="P4275" s="82" t="s">
        <v>15855</v>
      </c>
      <c r="Q4275" s="84" t="s">
        <v>1102</v>
      </c>
      <c r="R4275" s="84" t="s">
        <v>1303</v>
      </c>
      <c r="S4275" s="84">
        <v>0.78700000000000003</v>
      </c>
      <c r="T4275" s="82" t="s">
        <v>15856</v>
      </c>
      <c r="U4275" s="84"/>
      <c r="V4275" s="54"/>
    </row>
    <row r="4276" spans="1:22" s="11" customFormat="1" ht="45" customHeight="1" x14ac:dyDescent="0.2">
      <c r="A4276" s="66" t="s">
        <v>15654</v>
      </c>
      <c r="B4276" s="66" t="s">
        <v>26</v>
      </c>
      <c r="C4276" s="66" t="s">
        <v>15654</v>
      </c>
      <c r="D4276" s="66" t="s">
        <v>15857</v>
      </c>
      <c r="E4276" s="68" t="s">
        <v>15858</v>
      </c>
      <c r="F4276" s="66" t="s">
        <v>15859</v>
      </c>
      <c r="G4276" s="71">
        <v>6413</v>
      </c>
      <c r="H4276" s="73"/>
      <c r="I4276" s="75">
        <v>0.2</v>
      </c>
      <c r="J4276" s="77"/>
      <c r="K4276" s="66"/>
      <c r="L4276" s="66"/>
      <c r="M4276" s="79" t="str">
        <f>HYPERLINK("http://www.pristavka.com/catalog/pyramid_international/Pyr821/")</f>
        <v>http://www.pristavka.com/catalog/pyramid_international/Pyr821/</v>
      </c>
      <c r="N4276" s="71">
        <v>10599</v>
      </c>
      <c r="O4276" s="66" t="s">
        <v>27</v>
      </c>
      <c r="P4276" s="82" t="s">
        <v>15860</v>
      </c>
      <c r="Q4276" s="84" t="s">
        <v>2372</v>
      </c>
      <c r="R4276" s="84" t="s">
        <v>1068</v>
      </c>
      <c r="S4276" s="84">
        <v>0.38500000000000001</v>
      </c>
      <c r="T4276" s="82" t="s">
        <v>15861</v>
      </c>
      <c r="U4276" s="84"/>
      <c r="V4276" s="54"/>
    </row>
    <row r="4277" spans="1:22" s="11" customFormat="1" ht="45" customHeight="1" x14ac:dyDescent="0.2">
      <c r="A4277" s="66" t="s">
        <v>15654</v>
      </c>
      <c r="B4277" s="66" t="s">
        <v>26</v>
      </c>
      <c r="C4277" s="66" t="s">
        <v>15654</v>
      </c>
      <c r="D4277" s="66" t="s">
        <v>15862</v>
      </c>
      <c r="E4277" s="68" t="s">
        <v>15863</v>
      </c>
      <c r="F4277" s="66" t="s">
        <v>15864</v>
      </c>
      <c r="G4277" s="71">
        <v>2895</v>
      </c>
      <c r="H4277" s="73"/>
      <c r="I4277" s="75">
        <v>0.2</v>
      </c>
      <c r="J4277" s="77"/>
      <c r="K4277" s="66"/>
      <c r="L4277" s="66"/>
      <c r="M4277" s="79" t="str">
        <f>HYPERLINK("http://www.pristavka.com/catalog/pyramid_international/Pyr951/")</f>
        <v>http://www.pristavka.com/catalog/pyramid_international/Pyr951/</v>
      </c>
      <c r="N4277" s="71">
        <v>4799</v>
      </c>
      <c r="O4277" s="66" t="s">
        <v>27</v>
      </c>
      <c r="P4277" s="82" t="s">
        <v>15865</v>
      </c>
      <c r="Q4277" s="84" t="s">
        <v>4158</v>
      </c>
      <c r="R4277" s="84" t="s">
        <v>1068</v>
      </c>
      <c r="S4277" s="84">
        <v>0.36699999999999999</v>
      </c>
      <c r="T4277" s="82" t="s">
        <v>15861</v>
      </c>
      <c r="U4277" s="84"/>
      <c r="V4277" s="54"/>
    </row>
    <row r="4278" spans="1:22" s="11" customFormat="1" ht="45" customHeight="1" x14ac:dyDescent="0.2">
      <c r="A4278" s="66" t="s">
        <v>15654</v>
      </c>
      <c r="B4278" s="66" t="s">
        <v>26</v>
      </c>
      <c r="C4278" s="66" t="s">
        <v>15654</v>
      </c>
      <c r="D4278" s="66" t="s">
        <v>15866</v>
      </c>
      <c r="E4278" s="68" t="s">
        <v>15867</v>
      </c>
      <c r="F4278" s="66" t="s">
        <v>15868</v>
      </c>
      <c r="G4278" s="71">
        <v>6413</v>
      </c>
      <c r="H4278" s="73"/>
      <c r="I4278" s="75">
        <v>0.2</v>
      </c>
      <c r="J4278" s="77"/>
      <c r="K4278" s="66"/>
      <c r="L4278" s="66"/>
      <c r="M4278" s="79" t="str">
        <f>HYPERLINK("http://www.pristavka.com/catalog/pyramid_international/Pyr825/")</f>
        <v>http://www.pristavka.com/catalog/pyramid_international/Pyr825/</v>
      </c>
      <c r="N4278" s="71">
        <v>10599</v>
      </c>
      <c r="O4278" s="66" t="s">
        <v>27</v>
      </c>
      <c r="P4278" s="82" t="s">
        <v>15869</v>
      </c>
      <c r="Q4278" s="84" t="s">
        <v>2367</v>
      </c>
      <c r="R4278" s="84" t="s">
        <v>1068</v>
      </c>
      <c r="S4278" s="84">
        <v>0.39500000000000002</v>
      </c>
      <c r="T4278" s="82" t="s">
        <v>15861</v>
      </c>
      <c r="U4278" s="84"/>
      <c r="V4278" s="54"/>
    </row>
    <row r="4279" spans="1:22" s="11" customFormat="1" ht="45" customHeight="1" x14ac:dyDescent="0.2">
      <c r="A4279" s="66" t="s">
        <v>15654</v>
      </c>
      <c r="B4279" s="66" t="s">
        <v>26</v>
      </c>
      <c r="C4279" s="66" t="s">
        <v>15654</v>
      </c>
      <c r="D4279" s="66" t="s">
        <v>15870</v>
      </c>
      <c r="E4279" s="68" t="s">
        <v>15871</v>
      </c>
      <c r="F4279" s="66" t="s">
        <v>15872</v>
      </c>
      <c r="G4279" s="71">
        <v>8990</v>
      </c>
      <c r="H4279" s="73"/>
      <c r="I4279" s="75">
        <v>0.2</v>
      </c>
      <c r="J4279" s="77"/>
      <c r="K4279" s="66"/>
      <c r="L4279" s="66"/>
      <c r="M4279" s="79" t="str">
        <f>HYPERLINK("http://www.pristavka.com/catalog/pyramid_international/Pyr844/")</f>
        <v>http://www.pristavka.com/catalog/pyramid_international/Pyr844/</v>
      </c>
      <c r="N4279" s="71">
        <v>14799</v>
      </c>
      <c r="O4279" s="66" t="s">
        <v>28</v>
      </c>
      <c r="P4279" s="82" t="s">
        <v>15873</v>
      </c>
      <c r="Q4279" s="84" t="s">
        <v>1102</v>
      </c>
      <c r="R4279" s="84" t="s">
        <v>1103</v>
      </c>
      <c r="S4279" s="84">
        <v>0.58599999999999997</v>
      </c>
      <c r="T4279" s="82" t="s">
        <v>15874</v>
      </c>
      <c r="U4279" s="84"/>
      <c r="V4279" s="54"/>
    </row>
    <row r="4280" spans="1:22" s="11" customFormat="1" ht="45" customHeight="1" x14ac:dyDescent="0.2">
      <c r="A4280" s="66" t="s">
        <v>15654</v>
      </c>
      <c r="B4280" s="66" t="s">
        <v>26</v>
      </c>
      <c r="C4280" s="66" t="s">
        <v>15654</v>
      </c>
      <c r="D4280" s="66" t="s">
        <v>15875</v>
      </c>
      <c r="E4280" s="68" t="s">
        <v>15876</v>
      </c>
      <c r="F4280" s="66" t="s">
        <v>15877</v>
      </c>
      <c r="G4280" s="71">
        <v>11246</v>
      </c>
      <c r="H4280" s="73"/>
      <c r="I4280" s="75">
        <v>0.2</v>
      </c>
      <c r="J4280" s="77"/>
      <c r="K4280" s="66"/>
      <c r="L4280" s="66"/>
      <c r="M4280" s="79" t="str">
        <f>HYPERLINK("http://www.pristavka.com/catalog/pyramid_international/Pyr899/")</f>
        <v>http://www.pristavka.com/catalog/pyramid_international/Pyr899/</v>
      </c>
      <c r="N4280" s="71">
        <v>18499</v>
      </c>
      <c r="O4280" s="66" t="s">
        <v>27</v>
      </c>
      <c r="P4280" s="82" t="s">
        <v>15878</v>
      </c>
      <c r="Q4280" s="84" t="s">
        <v>1321</v>
      </c>
      <c r="R4280" s="84" t="s">
        <v>1322</v>
      </c>
      <c r="S4280" s="84">
        <v>0.57399999999999995</v>
      </c>
      <c r="T4280" s="82" t="s">
        <v>15879</v>
      </c>
      <c r="U4280" s="84"/>
      <c r="V4280" s="54"/>
    </row>
    <row r="4281" spans="1:22" s="11" customFormat="1" ht="45" customHeight="1" x14ac:dyDescent="0.2">
      <c r="A4281" s="66" t="s">
        <v>15654</v>
      </c>
      <c r="B4281" s="66" t="s">
        <v>26</v>
      </c>
      <c r="C4281" s="66" t="s">
        <v>15654</v>
      </c>
      <c r="D4281" s="66" t="s">
        <v>15880</v>
      </c>
      <c r="E4281" s="68" t="s">
        <v>15881</v>
      </c>
      <c r="F4281" s="66" t="s">
        <v>15882</v>
      </c>
      <c r="G4281" s="71">
        <v>5446</v>
      </c>
      <c r="H4281" s="73"/>
      <c r="I4281" s="75">
        <v>0.2</v>
      </c>
      <c r="J4281" s="77"/>
      <c r="K4281" s="66"/>
      <c r="L4281" s="66"/>
      <c r="M4281" s="79" t="str">
        <f>HYPERLINK("http://www.pristavka.com/catalog/pyramid_international/Pyr885/")</f>
        <v>http://www.pristavka.com/catalog/pyramid_international/Pyr885/</v>
      </c>
      <c r="N4281" s="71">
        <v>8999</v>
      </c>
      <c r="O4281" s="66" t="s">
        <v>27</v>
      </c>
      <c r="P4281" s="82" t="s">
        <v>15883</v>
      </c>
      <c r="Q4281" s="84" t="s">
        <v>1240</v>
      </c>
      <c r="R4281" s="84" t="s">
        <v>70</v>
      </c>
      <c r="S4281" s="84">
        <v>0.39</v>
      </c>
      <c r="T4281" s="82" t="s">
        <v>15861</v>
      </c>
      <c r="U4281" s="84"/>
      <c r="V4281" s="54"/>
    </row>
    <row r="4282" spans="1:22" s="11" customFormat="1" ht="45" customHeight="1" x14ac:dyDescent="0.2">
      <c r="A4282" s="66" t="s">
        <v>15654</v>
      </c>
      <c r="B4282" s="66" t="s">
        <v>1155</v>
      </c>
      <c r="C4282" s="66" t="s">
        <v>15654</v>
      </c>
      <c r="D4282" s="66" t="s">
        <v>15884</v>
      </c>
      <c r="E4282" s="68" t="s">
        <v>15885</v>
      </c>
      <c r="F4282" s="66" t="s">
        <v>15886</v>
      </c>
      <c r="G4282" s="71">
        <v>3164</v>
      </c>
      <c r="H4282" s="73"/>
      <c r="I4282" s="75">
        <v>0.2</v>
      </c>
      <c r="J4282" s="77"/>
      <c r="K4282" s="66"/>
      <c r="L4282" s="66"/>
      <c r="M4282" s="96"/>
      <c r="N4282" s="71">
        <v>5299</v>
      </c>
      <c r="O4282" s="66" t="s">
        <v>28</v>
      </c>
      <c r="P4282" s="82" t="s">
        <v>15887</v>
      </c>
      <c r="Q4282" s="84" t="s">
        <v>15888</v>
      </c>
      <c r="R4282" s="84" t="s">
        <v>1303</v>
      </c>
      <c r="S4282" s="84">
        <v>0.3</v>
      </c>
      <c r="T4282" s="82" t="s">
        <v>15889</v>
      </c>
      <c r="U4282" s="84"/>
      <c r="V4282" s="54"/>
    </row>
    <row r="4283" spans="1:22" s="11" customFormat="1" ht="45" customHeight="1" x14ac:dyDescent="0.2">
      <c r="A4283" s="66" t="s">
        <v>15654</v>
      </c>
      <c r="B4283" s="66" t="s">
        <v>1155</v>
      </c>
      <c r="C4283" s="66" t="s">
        <v>15654</v>
      </c>
      <c r="D4283" s="66" t="s">
        <v>15890</v>
      </c>
      <c r="E4283" s="68" t="s">
        <v>15891</v>
      </c>
      <c r="F4283" s="66" t="s">
        <v>15892</v>
      </c>
      <c r="G4283" s="71">
        <v>3835</v>
      </c>
      <c r="H4283" s="73"/>
      <c r="I4283" s="75">
        <v>0.2</v>
      </c>
      <c r="J4283" s="77"/>
      <c r="K4283" s="66"/>
      <c r="L4283" s="66"/>
      <c r="M4283" s="79" t="str">
        <f>HYPERLINK("http://www.pristavka.com/catalog/pyramid_international/Pyr736/")</f>
        <v>http://www.pristavka.com/catalog/pyramid_international/Pyr736/</v>
      </c>
      <c r="N4283" s="71">
        <v>6299</v>
      </c>
      <c r="O4283" s="66" t="s">
        <v>28</v>
      </c>
      <c r="P4283" s="82" t="s">
        <v>15893</v>
      </c>
      <c r="Q4283" s="84" t="s">
        <v>3512</v>
      </c>
      <c r="R4283" s="84" t="s">
        <v>3512</v>
      </c>
      <c r="S4283" s="84">
        <v>0.34899999999999998</v>
      </c>
      <c r="T4283" s="82" t="s">
        <v>15894</v>
      </c>
      <c r="U4283" s="84"/>
      <c r="V4283" s="54"/>
    </row>
    <row r="4284" spans="1:22" s="11" customFormat="1" ht="45" customHeight="1" x14ac:dyDescent="0.2">
      <c r="A4284" s="66" t="s">
        <v>15654</v>
      </c>
      <c r="B4284" s="66" t="s">
        <v>1155</v>
      </c>
      <c r="C4284" s="66" t="s">
        <v>15654</v>
      </c>
      <c r="D4284" s="66" t="s">
        <v>15895</v>
      </c>
      <c r="E4284" s="68" t="s">
        <v>15896</v>
      </c>
      <c r="F4284" s="66" t="s">
        <v>15897</v>
      </c>
      <c r="G4284" s="71">
        <v>6413</v>
      </c>
      <c r="H4284" s="73"/>
      <c r="I4284" s="75">
        <v>0.2</v>
      </c>
      <c r="J4284" s="77"/>
      <c r="K4284" s="66"/>
      <c r="L4284" s="66"/>
      <c r="M4284" s="79" t="str">
        <f>HYPERLINK("http://www.pristavka.com/catalog/pyramid_international/Pyr158/")</f>
        <v>http://www.pristavka.com/catalog/pyramid_international/Pyr158/</v>
      </c>
      <c r="N4284" s="71">
        <v>10599</v>
      </c>
      <c r="O4284" s="66" t="s">
        <v>27</v>
      </c>
      <c r="P4284" s="82" t="s">
        <v>15898</v>
      </c>
      <c r="Q4284" s="84" t="s">
        <v>1102</v>
      </c>
      <c r="R4284" s="84" t="s">
        <v>1303</v>
      </c>
      <c r="S4284" s="84">
        <v>0.29699999999999999</v>
      </c>
      <c r="T4284" s="82" t="s">
        <v>15889</v>
      </c>
      <c r="U4284" s="84"/>
      <c r="V4284" s="54"/>
    </row>
    <row r="4285" spans="1:22" s="11" customFormat="1" ht="45" customHeight="1" x14ac:dyDescent="0.2">
      <c r="A4285" s="66" t="s">
        <v>15654</v>
      </c>
      <c r="B4285" s="66" t="s">
        <v>26</v>
      </c>
      <c r="C4285" s="66" t="s">
        <v>15654</v>
      </c>
      <c r="D4285" s="66" t="s">
        <v>15899</v>
      </c>
      <c r="E4285" s="68" t="s">
        <v>15900</v>
      </c>
      <c r="F4285" s="66" t="s">
        <v>15901</v>
      </c>
      <c r="G4285" s="71">
        <v>3217</v>
      </c>
      <c r="H4285" s="73"/>
      <c r="I4285" s="75">
        <v>0.2</v>
      </c>
      <c r="J4285" s="77"/>
      <c r="K4285" s="66"/>
      <c r="L4285" s="66"/>
      <c r="M4285" s="79" t="str">
        <f>HYPERLINK("http://www.pristavka.com/catalog/pyramid_international/Pyr952/")</f>
        <v>http://www.pristavka.com/catalog/pyramid_international/Pyr952/</v>
      </c>
      <c r="N4285" s="71">
        <v>5299</v>
      </c>
      <c r="O4285" s="66" t="s">
        <v>27</v>
      </c>
      <c r="P4285" s="82" t="s">
        <v>15902</v>
      </c>
      <c r="Q4285" s="84" t="s">
        <v>6087</v>
      </c>
      <c r="R4285" s="84" t="s">
        <v>3785</v>
      </c>
      <c r="S4285" s="84">
        <v>0.38</v>
      </c>
      <c r="T4285" s="82" t="s">
        <v>1527</v>
      </c>
      <c r="U4285" s="84"/>
      <c r="V4285" s="54"/>
    </row>
    <row r="4286" spans="1:22" s="11" customFormat="1" ht="45" customHeight="1" x14ac:dyDescent="0.2">
      <c r="A4286" s="66" t="s">
        <v>15654</v>
      </c>
      <c r="B4286" s="66" t="s">
        <v>26</v>
      </c>
      <c r="C4286" s="66" t="s">
        <v>15654</v>
      </c>
      <c r="D4286" s="66" t="s">
        <v>15903</v>
      </c>
      <c r="E4286" s="68" t="s">
        <v>15904</v>
      </c>
      <c r="F4286" s="66" t="s">
        <v>15905</v>
      </c>
      <c r="G4286" s="71">
        <v>9635</v>
      </c>
      <c r="H4286" s="73"/>
      <c r="I4286" s="75">
        <v>0.2</v>
      </c>
      <c r="J4286" s="77"/>
      <c r="K4286" s="66"/>
      <c r="L4286" s="66"/>
      <c r="M4286" s="79" t="str">
        <f>HYPERLINK("http://www.pristavka.com/catalog/pyramid_international/Pyr866/")</f>
        <v>http://www.pristavka.com/catalog/pyramid_international/Pyr866/</v>
      </c>
      <c r="N4286" s="71">
        <v>15799</v>
      </c>
      <c r="O4286" s="66" t="s">
        <v>27</v>
      </c>
      <c r="P4286" s="82" t="s">
        <v>15906</v>
      </c>
      <c r="Q4286" s="84" t="s">
        <v>1068</v>
      </c>
      <c r="R4286" s="84" t="s">
        <v>1068</v>
      </c>
      <c r="S4286" s="84">
        <v>0.80200000000000005</v>
      </c>
      <c r="T4286" s="82" t="s">
        <v>15907</v>
      </c>
      <c r="U4286" s="84"/>
      <c r="V4286" s="54"/>
    </row>
    <row r="4287" spans="1:22" s="11" customFormat="1" ht="45" customHeight="1" x14ac:dyDescent="0.2">
      <c r="A4287" s="66" t="s">
        <v>15654</v>
      </c>
      <c r="B4287" s="66" t="s">
        <v>26</v>
      </c>
      <c r="C4287" s="66" t="s">
        <v>15654</v>
      </c>
      <c r="D4287" s="66" t="s">
        <v>15908</v>
      </c>
      <c r="E4287" s="68" t="s">
        <v>15909</v>
      </c>
      <c r="F4287" s="66" t="s">
        <v>15910</v>
      </c>
      <c r="G4287" s="71">
        <v>9957</v>
      </c>
      <c r="H4287" s="73"/>
      <c r="I4287" s="75">
        <v>0.2</v>
      </c>
      <c r="J4287" s="77"/>
      <c r="K4287" s="66"/>
      <c r="L4287" s="66"/>
      <c r="M4287" s="79" t="str">
        <f>HYPERLINK("http://www.pristavka.com/catalog/pyramid_international/Pyr923/")</f>
        <v>http://www.pristavka.com/catalog/pyramid_international/Pyr923/</v>
      </c>
      <c r="N4287" s="71">
        <v>16399</v>
      </c>
      <c r="O4287" s="66" t="s">
        <v>28</v>
      </c>
      <c r="P4287" s="82" t="s">
        <v>15911</v>
      </c>
      <c r="Q4287" s="84" t="s">
        <v>1068</v>
      </c>
      <c r="R4287" s="84" t="s">
        <v>1068</v>
      </c>
      <c r="S4287" s="84">
        <v>0.78700000000000003</v>
      </c>
      <c r="T4287" s="82" t="s">
        <v>15912</v>
      </c>
      <c r="U4287" s="84"/>
      <c r="V4287" s="54"/>
    </row>
    <row r="4288" spans="1:22" s="11" customFormat="1" ht="45" customHeight="1" x14ac:dyDescent="0.2">
      <c r="A4288" s="66" t="s">
        <v>15654</v>
      </c>
      <c r="B4288" s="66" t="s">
        <v>26</v>
      </c>
      <c r="C4288" s="66" t="s">
        <v>15654</v>
      </c>
      <c r="D4288" s="66" t="s">
        <v>15913</v>
      </c>
      <c r="E4288" s="68" t="s">
        <v>15914</v>
      </c>
      <c r="F4288" s="66" t="s">
        <v>15915</v>
      </c>
      <c r="G4288" s="71">
        <v>1284</v>
      </c>
      <c r="H4288" s="73"/>
      <c r="I4288" s="75">
        <v>0.2</v>
      </c>
      <c r="J4288" s="66"/>
      <c r="K4288" s="66"/>
      <c r="L4288" s="66"/>
      <c r="M4288" s="79" t="str">
        <f>HYPERLINK("http://www.pristavka.com/catalog/pyramid_international/Pyr711/")</f>
        <v>http://www.pristavka.com/catalog/pyramid_international/Pyr711/</v>
      </c>
      <c r="N4288" s="71">
        <v>2199</v>
      </c>
      <c r="O4288" s="66" t="s">
        <v>27</v>
      </c>
      <c r="P4288" s="82" t="s">
        <v>15916</v>
      </c>
      <c r="Q4288" s="84" t="s">
        <v>4871</v>
      </c>
      <c r="R4288" s="84" t="s">
        <v>1303</v>
      </c>
      <c r="S4288" s="84">
        <v>0.02</v>
      </c>
      <c r="T4288" s="82" t="s">
        <v>1555</v>
      </c>
      <c r="U4288" s="84"/>
      <c r="V4288" s="54"/>
    </row>
    <row r="4289" spans="1:22" s="11" customFormat="1" ht="45" customHeight="1" x14ac:dyDescent="0.2">
      <c r="A4289" s="66" t="s">
        <v>15654</v>
      </c>
      <c r="B4289" s="66" t="s">
        <v>26</v>
      </c>
      <c r="C4289" s="66" t="s">
        <v>15654</v>
      </c>
      <c r="D4289" s="66" t="s">
        <v>15917</v>
      </c>
      <c r="E4289" s="68" t="s">
        <v>15918</v>
      </c>
      <c r="F4289" s="66" t="s">
        <v>15919</v>
      </c>
      <c r="G4289" s="71">
        <v>1284</v>
      </c>
      <c r="H4289" s="73"/>
      <c r="I4289" s="75">
        <v>0.2</v>
      </c>
      <c r="J4289" s="66"/>
      <c r="K4289" s="66"/>
      <c r="L4289" s="66"/>
      <c r="M4289" s="79" t="str">
        <f>HYPERLINK("http://www.pristavka.com/catalog/pyramid_international/Pyr893/")</f>
        <v>http://www.pristavka.com/catalog/pyramid_international/Pyr893/</v>
      </c>
      <c r="N4289" s="71">
        <v>2199</v>
      </c>
      <c r="O4289" s="66" t="s">
        <v>27</v>
      </c>
      <c r="P4289" s="82" t="s">
        <v>15920</v>
      </c>
      <c r="Q4289" s="84" t="s">
        <v>1321</v>
      </c>
      <c r="R4289" s="84" t="s">
        <v>1322</v>
      </c>
      <c r="S4289" s="84">
        <v>1.7000000000000001E-2</v>
      </c>
      <c r="T4289" s="82" t="s">
        <v>15921</v>
      </c>
      <c r="U4289" s="84"/>
      <c r="V4289" s="54"/>
    </row>
    <row r="4290" spans="1:22" s="11" customFormat="1" ht="45" customHeight="1" x14ac:dyDescent="0.2">
      <c r="A4290" s="66" t="s">
        <v>15654</v>
      </c>
      <c r="B4290" s="66" t="s">
        <v>26</v>
      </c>
      <c r="C4290" s="66" t="s">
        <v>15654</v>
      </c>
      <c r="D4290" s="66" t="s">
        <v>15922</v>
      </c>
      <c r="E4290" s="68" t="s">
        <v>15923</v>
      </c>
      <c r="F4290" s="66" t="s">
        <v>15924</v>
      </c>
      <c r="G4290" s="71">
        <v>1284</v>
      </c>
      <c r="H4290" s="73"/>
      <c r="I4290" s="75">
        <v>0.2</v>
      </c>
      <c r="J4290" s="66"/>
      <c r="K4290" s="66"/>
      <c r="L4290" s="66"/>
      <c r="M4290" s="79" t="str">
        <f>HYPERLINK("http://www.pristavka.com/catalog/pyramid_international/Pyr855/")</f>
        <v>http://www.pristavka.com/catalog/pyramid_international/Pyr855/</v>
      </c>
      <c r="N4290" s="71">
        <v>2199</v>
      </c>
      <c r="O4290" s="66" t="s">
        <v>27</v>
      </c>
      <c r="P4290" s="82" t="s">
        <v>15925</v>
      </c>
      <c r="Q4290" s="84" t="s">
        <v>1314</v>
      </c>
      <c r="R4290" s="84" t="s">
        <v>1315</v>
      </c>
      <c r="S4290" s="84">
        <v>1.7000000000000001E-2</v>
      </c>
      <c r="T4290" s="82" t="s">
        <v>15921</v>
      </c>
      <c r="U4290" s="84"/>
      <c r="V4290" s="54"/>
    </row>
    <row r="4291" spans="1:22" s="11" customFormat="1" ht="45" customHeight="1" x14ac:dyDescent="0.2">
      <c r="A4291" s="66" t="s">
        <v>15654</v>
      </c>
      <c r="B4291" s="66" t="s">
        <v>26</v>
      </c>
      <c r="C4291" s="66" t="s">
        <v>15654</v>
      </c>
      <c r="D4291" s="66" t="s">
        <v>15926</v>
      </c>
      <c r="E4291" s="68" t="s">
        <v>15927</v>
      </c>
      <c r="F4291" s="66" t="s">
        <v>15928</v>
      </c>
      <c r="G4291" s="71">
        <v>1284</v>
      </c>
      <c r="H4291" s="73"/>
      <c r="I4291" s="75">
        <v>0.2</v>
      </c>
      <c r="J4291" s="66"/>
      <c r="K4291" s="66"/>
      <c r="L4291" s="66"/>
      <c r="M4291" s="79" t="str">
        <f>HYPERLINK("http://www.pristavka.com/catalog/pyramid_international/Pyr889/")</f>
        <v>http://www.pristavka.com/catalog/pyramid_international/Pyr889/</v>
      </c>
      <c r="N4291" s="71">
        <v>2199</v>
      </c>
      <c r="O4291" s="66" t="s">
        <v>27</v>
      </c>
      <c r="P4291" s="82" t="s">
        <v>15929</v>
      </c>
      <c r="Q4291" s="84" t="s">
        <v>3527</v>
      </c>
      <c r="R4291" s="84" t="s">
        <v>3512</v>
      </c>
      <c r="S4291" s="84">
        <v>1.7000000000000001E-2</v>
      </c>
      <c r="T4291" s="82" t="s">
        <v>15930</v>
      </c>
      <c r="U4291" s="84"/>
      <c r="V4291" s="54"/>
    </row>
    <row r="4292" spans="1:22" s="11" customFormat="1" ht="45" customHeight="1" x14ac:dyDescent="0.2">
      <c r="A4292" s="66" t="s">
        <v>15654</v>
      </c>
      <c r="B4292" s="66" t="s">
        <v>1155</v>
      </c>
      <c r="C4292" s="66" t="s">
        <v>15654</v>
      </c>
      <c r="D4292" s="66" t="s">
        <v>15931</v>
      </c>
      <c r="E4292" s="68" t="s">
        <v>15932</v>
      </c>
      <c r="F4292" s="66" t="s">
        <v>15933</v>
      </c>
      <c r="G4292" s="71">
        <v>1284</v>
      </c>
      <c r="H4292" s="73"/>
      <c r="I4292" s="75">
        <v>0.2</v>
      </c>
      <c r="J4292" s="66"/>
      <c r="K4292" s="66"/>
      <c r="L4292" s="66"/>
      <c r="M4292" s="79" t="str">
        <f>HYPERLINK("http://www.pristavka.com/catalog/pyramid_international/Pyr588/")</f>
        <v>http://www.pristavka.com/catalog/pyramid_international/Pyr588/</v>
      </c>
      <c r="N4292" s="71">
        <v>2199</v>
      </c>
      <c r="O4292" s="66" t="s">
        <v>27</v>
      </c>
      <c r="P4292" s="82" t="s">
        <v>15934</v>
      </c>
      <c r="Q4292" s="84" t="s">
        <v>1594</v>
      </c>
      <c r="R4292" s="84" t="s">
        <v>1075</v>
      </c>
      <c r="S4292" s="84">
        <v>0.02</v>
      </c>
      <c r="T4292" s="82" t="s">
        <v>15935</v>
      </c>
      <c r="U4292" s="84"/>
      <c r="V4292" s="54"/>
    </row>
    <row r="4293" spans="1:22" s="11" customFormat="1" ht="45" customHeight="1" x14ac:dyDescent="0.2">
      <c r="A4293" s="66" t="s">
        <v>15654</v>
      </c>
      <c r="B4293" s="66" t="s">
        <v>26</v>
      </c>
      <c r="C4293" s="66" t="s">
        <v>15654</v>
      </c>
      <c r="D4293" s="66" t="s">
        <v>15936</v>
      </c>
      <c r="E4293" s="68" t="s">
        <v>15937</v>
      </c>
      <c r="F4293" s="66" t="s">
        <v>15938</v>
      </c>
      <c r="G4293" s="71">
        <v>1284</v>
      </c>
      <c r="H4293" s="73"/>
      <c r="I4293" s="75">
        <v>0.2</v>
      </c>
      <c r="J4293" s="66"/>
      <c r="K4293" s="66"/>
      <c r="L4293" s="66"/>
      <c r="M4293" s="79" t="str">
        <f>HYPERLINK("http://www.pristavka.com/catalog/pyramid_international/Pyr868/")</f>
        <v>http://www.pristavka.com/catalog/pyramid_international/Pyr868/</v>
      </c>
      <c r="N4293" s="71">
        <v>2199</v>
      </c>
      <c r="O4293" s="66" t="s">
        <v>28</v>
      </c>
      <c r="P4293" s="82" t="s">
        <v>15939</v>
      </c>
      <c r="Q4293" s="84" t="s">
        <v>1594</v>
      </c>
      <c r="R4293" s="84" t="s">
        <v>1075</v>
      </c>
      <c r="S4293" s="84">
        <v>1.7000000000000001E-2</v>
      </c>
      <c r="T4293" s="82" t="s">
        <v>15940</v>
      </c>
      <c r="U4293" s="84"/>
      <c r="V4293" s="54"/>
    </row>
    <row r="4294" spans="1:22" s="11" customFormat="1" ht="45" customHeight="1" x14ac:dyDescent="0.2">
      <c r="A4294" s="66" t="s">
        <v>15654</v>
      </c>
      <c r="B4294" s="66" t="s">
        <v>1155</v>
      </c>
      <c r="C4294" s="66" t="s">
        <v>15654</v>
      </c>
      <c r="D4294" s="66" t="s">
        <v>15941</v>
      </c>
      <c r="E4294" s="68" t="s">
        <v>15942</v>
      </c>
      <c r="F4294" s="66" t="s">
        <v>15943</v>
      </c>
      <c r="G4294" s="71">
        <v>1284</v>
      </c>
      <c r="H4294" s="73"/>
      <c r="I4294" s="75">
        <v>0.2</v>
      </c>
      <c r="J4294" s="66"/>
      <c r="K4294" s="66"/>
      <c r="L4294" s="66"/>
      <c r="M4294" s="79" t="str">
        <f>HYPERLINK("http://www.pristavka.com/catalog/pyramid_international/Pyr537/")</f>
        <v>http://www.pristavka.com/catalog/pyramid_international/Pyr537/</v>
      </c>
      <c r="N4294" s="71">
        <v>2199</v>
      </c>
      <c r="O4294" s="66" t="s">
        <v>27</v>
      </c>
      <c r="P4294" s="82" t="s">
        <v>15944</v>
      </c>
      <c r="Q4294" s="84" t="s">
        <v>1594</v>
      </c>
      <c r="R4294" s="84" t="s">
        <v>1075</v>
      </c>
      <c r="S4294" s="84">
        <v>1.7999999999999999E-2</v>
      </c>
      <c r="T4294" s="82" t="s">
        <v>15935</v>
      </c>
      <c r="U4294" s="84"/>
      <c r="V4294" s="54"/>
    </row>
    <row r="4295" spans="1:22" s="11" customFormat="1" ht="45" customHeight="1" x14ac:dyDescent="0.2">
      <c r="A4295" s="66" t="s">
        <v>15654</v>
      </c>
      <c r="B4295" s="66" t="s">
        <v>26</v>
      </c>
      <c r="C4295" s="66" t="s">
        <v>15654</v>
      </c>
      <c r="D4295" s="66" t="s">
        <v>15945</v>
      </c>
      <c r="E4295" s="68" t="s">
        <v>15946</v>
      </c>
      <c r="F4295" s="66" t="s">
        <v>15947</v>
      </c>
      <c r="G4295" s="71">
        <v>1284</v>
      </c>
      <c r="H4295" s="73"/>
      <c r="I4295" s="75">
        <v>0.2</v>
      </c>
      <c r="J4295" s="66"/>
      <c r="K4295" s="66"/>
      <c r="L4295" s="66"/>
      <c r="M4295" s="79" t="str">
        <f>HYPERLINK("http://www.pristavka.com/catalog/pyramid_international/Pyr924/")</f>
        <v>http://www.pristavka.com/catalog/pyramid_international/Pyr924/</v>
      </c>
      <c r="N4295" s="71">
        <v>2199</v>
      </c>
      <c r="O4295" s="66" t="s">
        <v>27</v>
      </c>
      <c r="P4295" s="82" t="s">
        <v>15948</v>
      </c>
      <c r="Q4295" s="84"/>
      <c r="R4295" s="84"/>
      <c r="S4295" s="84">
        <v>1.7000000000000001E-2</v>
      </c>
      <c r="T4295" s="82" t="s">
        <v>15949</v>
      </c>
      <c r="U4295" s="84"/>
      <c r="V4295" s="54"/>
    </row>
    <row r="4296" spans="1:22" s="11" customFormat="1" ht="45" customHeight="1" x14ac:dyDescent="0.2">
      <c r="A4296" s="66" t="s">
        <v>15654</v>
      </c>
      <c r="B4296" s="66" t="s">
        <v>1155</v>
      </c>
      <c r="C4296" s="66" t="s">
        <v>15654</v>
      </c>
      <c r="D4296" s="66" t="s">
        <v>15950</v>
      </c>
      <c r="E4296" s="68" t="s">
        <v>15951</v>
      </c>
      <c r="F4296" s="66" t="s">
        <v>15952</v>
      </c>
      <c r="G4296" s="71">
        <v>1284</v>
      </c>
      <c r="H4296" s="73"/>
      <c r="I4296" s="75">
        <v>0.2</v>
      </c>
      <c r="J4296" s="66"/>
      <c r="K4296" s="66"/>
      <c r="L4296" s="66"/>
      <c r="M4296" s="79" t="str">
        <f>HYPERLINK("http://www.pristavka.com/catalog/pyramid_international/Pyr71/")</f>
        <v>http://www.pristavka.com/catalog/pyramid_international/Pyr71/</v>
      </c>
      <c r="N4296" s="71">
        <v>2199</v>
      </c>
      <c r="O4296" s="66" t="s">
        <v>27</v>
      </c>
      <c r="P4296" s="82" t="s">
        <v>15953</v>
      </c>
      <c r="Q4296" s="84" t="s">
        <v>3566</v>
      </c>
      <c r="R4296" s="84" t="s">
        <v>1303</v>
      </c>
      <c r="S4296" s="84">
        <v>1.7999999999999999E-2</v>
      </c>
      <c r="T4296" s="82" t="s">
        <v>15930</v>
      </c>
      <c r="U4296" s="84"/>
      <c r="V4296" s="54"/>
    </row>
    <row r="4297" spans="1:22" s="11" customFormat="1" ht="45" customHeight="1" x14ac:dyDescent="0.2">
      <c r="A4297" s="66" t="s">
        <v>15654</v>
      </c>
      <c r="B4297" s="66" t="s">
        <v>26</v>
      </c>
      <c r="C4297" s="66" t="s">
        <v>15654</v>
      </c>
      <c r="D4297" s="66" t="s">
        <v>15954</v>
      </c>
      <c r="E4297" s="68" t="s">
        <v>15955</v>
      </c>
      <c r="F4297" s="66" t="s">
        <v>15956</v>
      </c>
      <c r="G4297" s="71">
        <v>1284</v>
      </c>
      <c r="H4297" s="73"/>
      <c r="I4297" s="75">
        <v>0.2</v>
      </c>
      <c r="J4297" s="66"/>
      <c r="K4297" s="66"/>
      <c r="L4297" s="66"/>
      <c r="M4297" s="79" t="str">
        <f>HYPERLINK("http://www.pristavka.com/catalog/pyramid_international/Pyr823/")</f>
        <v>http://www.pristavka.com/catalog/pyramid_international/Pyr823/</v>
      </c>
      <c r="N4297" s="71">
        <v>2199</v>
      </c>
      <c r="O4297" s="66" t="s">
        <v>27</v>
      </c>
      <c r="P4297" s="82" t="s">
        <v>15957</v>
      </c>
      <c r="Q4297" s="84" t="s">
        <v>2367</v>
      </c>
      <c r="R4297" s="84" t="s">
        <v>1068</v>
      </c>
      <c r="S4297" s="84">
        <v>1.7000000000000001E-2</v>
      </c>
      <c r="T4297" s="82" t="s">
        <v>15935</v>
      </c>
      <c r="U4297" s="84"/>
      <c r="V4297" s="54"/>
    </row>
    <row r="4298" spans="1:22" s="11" customFormat="1" ht="45" customHeight="1" x14ac:dyDescent="0.2">
      <c r="A4298" s="66" t="s">
        <v>15654</v>
      </c>
      <c r="B4298" s="66" t="s">
        <v>26</v>
      </c>
      <c r="C4298" s="66" t="s">
        <v>15654</v>
      </c>
      <c r="D4298" s="66" t="s">
        <v>15958</v>
      </c>
      <c r="E4298" s="68" t="s">
        <v>15959</v>
      </c>
      <c r="F4298" s="66" t="s">
        <v>15960</v>
      </c>
      <c r="G4298" s="71">
        <v>1284</v>
      </c>
      <c r="H4298" s="73"/>
      <c r="I4298" s="75">
        <v>0.2</v>
      </c>
      <c r="J4298" s="66"/>
      <c r="K4298" s="66"/>
      <c r="L4298" s="66"/>
      <c r="M4298" s="79" t="str">
        <f>HYPERLINK("http://www.pristavka.com/catalog/pyramid_international/Pyr902/")</f>
        <v>http://www.pristavka.com/catalog/pyramid_international/Pyr902/</v>
      </c>
      <c r="N4298" s="71">
        <v>2199</v>
      </c>
      <c r="O4298" s="66" t="s">
        <v>27</v>
      </c>
      <c r="P4298" s="82" t="s">
        <v>15961</v>
      </c>
      <c r="Q4298" s="84" t="s">
        <v>1321</v>
      </c>
      <c r="R4298" s="84" t="s">
        <v>1322</v>
      </c>
      <c r="S4298" s="84">
        <v>1.7000000000000001E-2</v>
      </c>
      <c r="T4298" s="82" t="s">
        <v>15935</v>
      </c>
      <c r="U4298" s="84"/>
      <c r="V4298" s="54"/>
    </row>
    <row r="4299" spans="1:22" s="11" customFormat="1" ht="45" customHeight="1" x14ac:dyDescent="0.2">
      <c r="A4299" s="66" t="s">
        <v>15654</v>
      </c>
      <c r="B4299" s="66" t="s">
        <v>1155</v>
      </c>
      <c r="C4299" s="66" t="s">
        <v>15654</v>
      </c>
      <c r="D4299" s="66" t="s">
        <v>15962</v>
      </c>
      <c r="E4299" s="68" t="s">
        <v>15963</v>
      </c>
      <c r="F4299" s="66" t="s">
        <v>15964</v>
      </c>
      <c r="G4299" s="71">
        <v>1284</v>
      </c>
      <c r="H4299" s="73"/>
      <c r="I4299" s="75">
        <v>0.2</v>
      </c>
      <c r="J4299" s="66"/>
      <c r="K4299" s="66"/>
      <c r="L4299" s="66"/>
      <c r="M4299" s="79" t="str">
        <f>HYPERLINK("http://www.pristavka.com/catalog/pyramid_international/Pyr80/")</f>
        <v>http://www.pristavka.com/catalog/pyramid_international/Pyr80/</v>
      </c>
      <c r="N4299" s="71">
        <v>2199</v>
      </c>
      <c r="O4299" s="66" t="s">
        <v>28</v>
      </c>
      <c r="P4299" s="82" t="s">
        <v>15965</v>
      </c>
      <c r="Q4299" s="84" t="s">
        <v>15787</v>
      </c>
      <c r="R4299" s="84" t="s">
        <v>1068</v>
      </c>
      <c r="S4299" s="84">
        <v>2.8000000000000001E-2</v>
      </c>
      <c r="T4299" s="82" t="s">
        <v>15930</v>
      </c>
      <c r="U4299" s="84"/>
      <c r="V4299" s="54"/>
    </row>
    <row r="4300" spans="1:22" s="11" customFormat="1" ht="45" customHeight="1" x14ac:dyDescent="0.2">
      <c r="A4300" s="66" t="s">
        <v>15654</v>
      </c>
      <c r="B4300" s="66" t="s">
        <v>1155</v>
      </c>
      <c r="C4300" s="66" t="s">
        <v>15654</v>
      </c>
      <c r="D4300" s="66" t="s">
        <v>15966</v>
      </c>
      <c r="E4300" s="68" t="s">
        <v>15967</v>
      </c>
      <c r="F4300" s="66" t="s">
        <v>15968</v>
      </c>
      <c r="G4300" s="71">
        <v>1284</v>
      </c>
      <c r="H4300" s="73"/>
      <c r="I4300" s="75">
        <v>0.2</v>
      </c>
      <c r="J4300" s="66"/>
      <c r="K4300" s="66"/>
      <c r="L4300" s="66"/>
      <c r="M4300" s="79" t="str">
        <f>HYPERLINK("http://www.pristavka.com/catalog/pyramid_international/Pyr615/")</f>
        <v>http://www.pristavka.com/catalog/pyramid_international/Pyr615/</v>
      </c>
      <c r="N4300" s="71">
        <v>2199</v>
      </c>
      <c r="O4300" s="66" t="s">
        <v>27</v>
      </c>
      <c r="P4300" s="82" t="s">
        <v>15969</v>
      </c>
      <c r="Q4300" s="84" t="s">
        <v>15787</v>
      </c>
      <c r="R4300" s="84"/>
      <c r="S4300" s="84">
        <v>1.6E-2</v>
      </c>
      <c r="T4300" s="82" t="s">
        <v>15970</v>
      </c>
      <c r="U4300" s="84"/>
      <c r="V4300" s="54"/>
    </row>
    <row r="4301" spans="1:22" s="11" customFormat="1" ht="45" customHeight="1" x14ac:dyDescent="0.2">
      <c r="A4301" s="66" t="s">
        <v>15654</v>
      </c>
      <c r="B4301" s="66" t="s">
        <v>1155</v>
      </c>
      <c r="C4301" s="66" t="s">
        <v>15654</v>
      </c>
      <c r="D4301" s="66" t="s">
        <v>15971</v>
      </c>
      <c r="E4301" s="68" t="s">
        <v>15972</v>
      </c>
      <c r="F4301" s="66" t="s">
        <v>15973</v>
      </c>
      <c r="G4301" s="71">
        <v>1284</v>
      </c>
      <c r="H4301" s="73"/>
      <c r="I4301" s="75">
        <v>0.2</v>
      </c>
      <c r="J4301" s="66"/>
      <c r="K4301" s="66"/>
      <c r="L4301" s="66"/>
      <c r="M4301" s="79" t="str">
        <f>HYPERLINK("http://www.pristavka.com/catalog/pyramid_international/Pyr81/")</f>
        <v>http://www.pristavka.com/catalog/pyramid_international/Pyr81/</v>
      </c>
      <c r="N4301" s="71">
        <v>2199</v>
      </c>
      <c r="O4301" s="66" t="s">
        <v>28</v>
      </c>
      <c r="P4301" s="82" t="s">
        <v>15974</v>
      </c>
      <c r="Q4301" s="84" t="s">
        <v>15787</v>
      </c>
      <c r="R4301" s="84" t="s">
        <v>1068</v>
      </c>
      <c r="S4301" s="84">
        <v>1.7999999999999999E-2</v>
      </c>
      <c r="T4301" s="82" t="s">
        <v>15975</v>
      </c>
      <c r="U4301" s="84"/>
      <c r="V4301" s="54"/>
    </row>
    <row r="4302" spans="1:22" s="11" customFormat="1" ht="45" customHeight="1" x14ac:dyDescent="0.2">
      <c r="A4302" s="66" t="s">
        <v>15654</v>
      </c>
      <c r="B4302" s="66" t="s">
        <v>26</v>
      </c>
      <c r="C4302" s="66" t="s">
        <v>15654</v>
      </c>
      <c r="D4302" s="66" t="s">
        <v>15976</v>
      </c>
      <c r="E4302" s="68" t="s">
        <v>15977</v>
      </c>
      <c r="F4302" s="66" t="s">
        <v>15978</v>
      </c>
      <c r="G4302" s="71">
        <v>1284</v>
      </c>
      <c r="H4302" s="73"/>
      <c r="I4302" s="75">
        <v>0.2</v>
      </c>
      <c r="J4302" s="66"/>
      <c r="K4302" s="66"/>
      <c r="L4302" s="66"/>
      <c r="M4302" s="79" t="str">
        <f>HYPERLINK("http://www.pristavka.com/catalog/pyramid_international/Pyr881/")</f>
        <v>http://www.pristavka.com/catalog/pyramid_international/Pyr881/</v>
      </c>
      <c r="N4302" s="71">
        <v>2199</v>
      </c>
      <c r="O4302" s="66" t="s">
        <v>28</v>
      </c>
      <c r="P4302" s="82" t="s">
        <v>15979</v>
      </c>
      <c r="Q4302" s="84" t="s">
        <v>1240</v>
      </c>
      <c r="R4302" s="84" t="s">
        <v>70</v>
      </c>
      <c r="S4302" s="84">
        <v>1.7000000000000001E-2</v>
      </c>
      <c r="T4302" s="82" t="s">
        <v>15921</v>
      </c>
      <c r="U4302" s="84"/>
      <c r="V4302" s="54"/>
    </row>
    <row r="4303" spans="1:22" s="11" customFormat="1" ht="45" customHeight="1" x14ac:dyDescent="0.2">
      <c r="A4303" s="66" t="s">
        <v>15654</v>
      </c>
      <c r="B4303" s="66" t="s">
        <v>26</v>
      </c>
      <c r="C4303" s="66" t="s">
        <v>15654</v>
      </c>
      <c r="D4303" s="66" t="s">
        <v>15980</v>
      </c>
      <c r="E4303" s="68" t="s">
        <v>15981</v>
      </c>
      <c r="F4303" s="66" t="s">
        <v>15982</v>
      </c>
      <c r="G4303" s="71">
        <v>6413</v>
      </c>
      <c r="H4303" s="73"/>
      <c r="I4303" s="75">
        <v>0.2</v>
      </c>
      <c r="J4303" s="77"/>
      <c r="K4303" s="66"/>
      <c r="L4303" s="66"/>
      <c r="M4303" s="79" t="str">
        <f>HYPERLINK("http://www.pristavka.com/catalog/pyramid_international/Pyr833/")</f>
        <v>http://www.pristavka.com/catalog/pyramid_international/Pyr833/</v>
      </c>
      <c r="N4303" s="71">
        <v>10599</v>
      </c>
      <c r="O4303" s="66" t="s">
        <v>27</v>
      </c>
      <c r="P4303" s="82" t="s">
        <v>15983</v>
      </c>
      <c r="Q4303" s="84" t="s">
        <v>1102</v>
      </c>
      <c r="R4303" s="84" t="s">
        <v>1103</v>
      </c>
      <c r="S4303" s="84">
        <v>0.57999999999999996</v>
      </c>
      <c r="T4303" s="82" t="s">
        <v>15984</v>
      </c>
      <c r="U4303" s="84"/>
      <c r="V4303" s="54"/>
    </row>
    <row r="4304" spans="1:22" s="11" customFormat="1" ht="45" customHeight="1" x14ac:dyDescent="0.2">
      <c r="A4304" s="66" t="s">
        <v>15654</v>
      </c>
      <c r="B4304" s="66" t="s">
        <v>26</v>
      </c>
      <c r="C4304" s="66" t="s">
        <v>15654</v>
      </c>
      <c r="D4304" s="66" t="s">
        <v>15985</v>
      </c>
      <c r="E4304" s="68" t="s">
        <v>15986</v>
      </c>
      <c r="F4304" s="66" t="s">
        <v>15987</v>
      </c>
      <c r="G4304" s="71">
        <v>2250</v>
      </c>
      <c r="H4304" s="73"/>
      <c r="I4304" s="75">
        <v>0.2</v>
      </c>
      <c r="J4304" s="77"/>
      <c r="K4304" s="66"/>
      <c r="L4304" s="66"/>
      <c r="M4304" s="79" t="str">
        <f>HYPERLINK("http://www.pristavka.com/catalog/pyramid_international/Pyr934/")</f>
        <v>http://www.pristavka.com/catalog/pyramid_international/Pyr934/</v>
      </c>
      <c r="N4304" s="71">
        <v>3699</v>
      </c>
      <c r="O4304" s="66" t="s">
        <v>27</v>
      </c>
      <c r="P4304" s="82" t="s">
        <v>15988</v>
      </c>
      <c r="Q4304" s="84" t="s">
        <v>1148</v>
      </c>
      <c r="R4304" s="84" t="s">
        <v>1068</v>
      </c>
      <c r="S4304" s="84">
        <v>0.09</v>
      </c>
      <c r="T4304" s="82" t="s">
        <v>15989</v>
      </c>
      <c r="U4304" s="84"/>
      <c r="V4304" s="54"/>
    </row>
    <row r="4305" spans="1:22" s="11" customFormat="1" ht="45" customHeight="1" x14ac:dyDescent="0.2">
      <c r="A4305" s="66" t="s">
        <v>15654</v>
      </c>
      <c r="B4305" s="66" t="s">
        <v>26</v>
      </c>
      <c r="C4305" s="66" t="s">
        <v>15654</v>
      </c>
      <c r="D4305" s="66" t="s">
        <v>15990</v>
      </c>
      <c r="E4305" s="68" t="s">
        <v>15991</v>
      </c>
      <c r="F4305" s="66" t="s">
        <v>15992</v>
      </c>
      <c r="G4305" s="71">
        <v>3513</v>
      </c>
      <c r="H4305" s="73"/>
      <c r="I4305" s="75">
        <v>0.2</v>
      </c>
      <c r="J4305" s="77"/>
      <c r="K4305" s="66"/>
      <c r="L4305" s="66"/>
      <c r="M4305" s="79" t="str">
        <f>HYPERLINK("http://www.pristavka.com/catalog/pyramid_international/Pyr896/")</f>
        <v>http://www.pristavka.com/catalog/pyramid_international/Pyr896/</v>
      </c>
      <c r="N4305" s="71">
        <v>5799</v>
      </c>
      <c r="O4305" s="66" t="s">
        <v>27</v>
      </c>
      <c r="P4305" s="82" t="s">
        <v>15993</v>
      </c>
      <c r="Q4305" s="84" t="s">
        <v>1321</v>
      </c>
      <c r="R4305" s="84" t="s">
        <v>1322</v>
      </c>
      <c r="S4305" s="84">
        <v>0.25800000000000001</v>
      </c>
      <c r="T4305" s="82" t="s">
        <v>15994</v>
      </c>
      <c r="U4305" s="84"/>
      <c r="V4305" s="54"/>
    </row>
    <row r="4306" spans="1:22" s="11" customFormat="1" ht="45" customHeight="1" x14ac:dyDescent="0.2">
      <c r="A4306" s="66" t="s">
        <v>15654</v>
      </c>
      <c r="B4306" s="66" t="s">
        <v>1155</v>
      </c>
      <c r="C4306" s="66" t="s">
        <v>15654</v>
      </c>
      <c r="D4306" s="66" t="s">
        <v>15995</v>
      </c>
      <c r="E4306" s="68" t="s">
        <v>15996</v>
      </c>
      <c r="F4306" s="66" t="s">
        <v>15997</v>
      </c>
      <c r="G4306" s="71">
        <v>1606</v>
      </c>
      <c r="H4306" s="73"/>
      <c r="I4306" s="75">
        <v>0.2</v>
      </c>
      <c r="J4306" s="77"/>
      <c r="K4306" s="66"/>
      <c r="L4306" s="66"/>
      <c r="M4306" s="79" t="str">
        <f>HYPERLINK("http://www.pristavka.com/catalog/pyramid_international/Pyr771/")</f>
        <v>http://www.pristavka.com/catalog/pyramid_international/Pyr771/</v>
      </c>
      <c r="N4306" s="71">
        <v>2699</v>
      </c>
      <c r="O4306" s="66" t="s">
        <v>27</v>
      </c>
      <c r="P4306" s="82" t="s">
        <v>15998</v>
      </c>
      <c r="Q4306" s="84" t="s">
        <v>4871</v>
      </c>
      <c r="R4306" s="84" t="s">
        <v>1303</v>
      </c>
      <c r="S4306" s="84">
        <v>0.22700000000000001</v>
      </c>
      <c r="T4306" s="82" t="s">
        <v>15999</v>
      </c>
      <c r="U4306" s="84" t="s">
        <v>3708</v>
      </c>
      <c r="V4306" s="54"/>
    </row>
    <row r="4307" spans="1:22" s="11" customFormat="1" ht="45" customHeight="1" x14ac:dyDescent="0.2">
      <c r="A4307" s="66" t="s">
        <v>15654</v>
      </c>
      <c r="B4307" s="66" t="s">
        <v>26</v>
      </c>
      <c r="C4307" s="66" t="s">
        <v>15654</v>
      </c>
      <c r="D4307" s="66" t="s">
        <v>16000</v>
      </c>
      <c r="E4307" s="68" t="s">
        <v>16001</v>
      </c>
      <c r="F4307" s="66" t="s">
        <v>16002</v>
      </c>
      <c r="G4307" s="71">
        <v>8668</v>
      </c>
      <c r="H4307" s="73"/>
      <c r="I4307" s="75">
        <v>0.2</v>
      </c>
      <c r="J4307" s="77"/>
      <c r="K4307" s="66"/>
      <c r="L4307" s="66"/>
      <c r="M4307" s="79" t="str">
        <f>HYPERLINK("http://www.pristavka.com/catalog/pyramid_international/Pyr959/")</f>
        <v>http://www.pristavka.com/catalog/pyramid_international/Pyr959/</v>
      </c>
      <c r="N4307" s="71">
        <v>14299</v>
      </c>
      <c r="O4307" s="66" t="s">
        <v>27</v>
      </c>
      <c r="P4307" s="82" t="s">
        <v>16003</v>
      </c>
      <c r="Q4307" s="84" t="s">
        <v>3502</v>
      </c>
      <c r="R4307" s="84" t="s">
        <v>1303</v>
      </c>
      <c r="S4307" s="84">
        <v>0.434</v>
      </c>
      <c r="T4307" s="82" t="s">
        <v>16004</v>
      </c>
      <c r="U4307" s="84"/>
      <c r="V4307" s="54"/>
    </row>
    <row r="4308" spans="1:22" s="11" customFormat="1" ht="45" customHeight="1" x14ac:dyDescent="0.2">
      <c r="A4308" s="66" t="s">
        <v>15654</v>
      </c>
      <c r="B4308" s="66" t="s">
        <v>26</v>
      </c>
      <c r="C4308" s="66" t="s">
        <v>15654</v>
      </c>
      <c r="D4308" s="66" t="s">
        <v>16005</v>
      </c>
      <c r="E4308" s="68" t="s">
        <v>16006</v>
      </c>
      <c r="F4308" s="66" t="s">
        <v>16007</v>
      </c>
      <c r="G4308" s="71">
        <v>4802</v>
      </c>
      <c r="H4308" s="73"/>
      <c r="I4308" s="75">
        <v>0.2</v>
      </c>
      <c r="J4308" s="77"/>
      <c r="K4308" s="66"/>
      <c r="L4308" s="66"/>
      <c r="M4308" s="79" t="str">
        <f>HYPERLINK("http://www.pristavka.com/catalog/pyramid_international/Pyr947/")</f>
        <v>http://www.pristavka.com/catalog/pyramid_international/Pyr947/</v>
      </c>
      <c r="N4308" s="71">
        <v>7899</v>
      </c>
      <c r="O4308" s="66" t="s">
        <v>28</v>
      </c>
      <c r="P4308" s="82" t="s">
        <v>16008</v>
      </c>
      <c r="Q4308" s="84" t="s">
        <v>3916</v>
      </c>
      <c r="R4308" s="84" t="s">
        <v>1322</v>
      </c>
      <c r="S4308" s="84">
        <v>0.39100000000000001</v>
      </c>
      <c r="T4308" s="82" t="s">
        <v>16009</v>
      </c>
      <c r="U4308" s="84"/>
      <c r="V4308" s="54"/>
    </row>
    <row r="4309" spans="1:22" s="11" customFormat="1" ht="45" customHeight="1" x14ac:dyDescent="0.2">
      <c r="A4309" s="66" t="s">
        <v>15654</v>
      </c>
      <c r="B4309" s="66" t="s">
        <v>26</v>
      </c>
      <c r="C4309" s="66" t="s">
        <v>15654</v>
      </c>
      <c r="D4309" s="66" t="s">
        <v>16010</v>
      </c>
      <c r="E4309" s="68" t="s">
        <v>16011</v>
      </c>
      <c r="F4309" s="66" t="s">
        <v>16012</v>
      </c>
      <c r="G4309" s="71">
        <v>3835</v>
      </c>
      <c r="H4309" s="73"/>
      <c r="I4309" s="75">
        <v>0.2</v>
      </c>
      <c r="J4309" s="77"/>
      <c r="K4309" s="66"/>
      <c r="L4309" s="66"/>
      <c r="M4309" s="79" t="str">
        <f>HYPERLINK("http://www.pristavka.com/catalog/pyramid_international/Pyr944/")</f>
        <v>http://www.pristavka.com/catalog/pyramid_international/Pyr944/</v>
      </c>
      <c r="N4309" s="71">
        <v>6299</v>
      </c>
      <c r="O4309" s="66" t="s">
        <v>27</v>
      </c>
      <c r="P4309" s="82" t="s">
        <v>16013</v>
      </c>
      <c r="Q4309" s="84" t="s">
        <v>1723</v>
      </c>
      <c r="R4309" s="84" t="s">
        <v>1315</v>
      </c>
      <c r="S4309" s="84">
        <v>0.45400000000000001</v>
      </c>
      <c r="T4309" s="82" t="s">
        <v>2293</v>
      </c>
      <c r="U4309" s="84"/>
      <c r="V4309" s="54"/>
    </row>
    <row r="4310" spans="1:22" s="11" customFormat="1" ht="45" customHeight="1" x14ac:dyDescent="0.2">
      <c r="A4310" s="66" t="s">
        <v>15654</v>
      </c>
      <c r="B4310" s="66" t="s">
        <v>26</v>
      </c>
      <c r="C4310" s="66" t="s">
        <v>15654</v>
      </c>
      <c r="D4310" s="66" t="s">
        <v>16014</v>
      </c>
      <c r="E4310" s="68" t="s">
        <v>16015</v>
      </c>
      <c r="F4310" s="66" t="s">
        <v>16016</v>
      </c>
      <c r="G4310" s="71">
        <v>5768</v>
      </c>
      <c r="H4310" s="73"/>
      <c r="I4310" s="75">
        <v>0.2</v>
      </c>
      <c r="J4310" s="77"/>
      <c r="K4310" s="66"/>
      <c r="L4310" s="66"/>
      <c r="M4310" s="79" t="str">
        <f>HYPERLINK("http://www.pristavka.com/catalog/pyramid_international/Pyr958/")</f>
        <v>http://www.pristavka.com/catalog/pyramid_international/Pyr958/</v>
      </c>
      <c r="N4310" s="71">
        <v>9499</v>
      </c>
      <c r="O4310" s="66" t="s">
        <v>27</v>
      </c>
      <c r="P4310" s="82" t="s">
        <v>16017</v>
      </c>
      <c r="Q4310" s="84" t="s">
        <v>4158</v>
      </c>
      <c r="R4310" s="84" t="s">
        <v>1068</v>
      </c>
      <c r="S4310" s="84">
        <v>0.41199999999999998</v>
      </c>
      <c r="T4310" s="82" t="s">
        <v>16009</v>
      </c>
      <c r="U4310" s="84"/>
      <c r="V4310" s="54"/>
    </row>
    <row r="4311" spans="1:22" s="11" customFormat="1" ht="45" customHeight="1" x14ac:dyDescent="0.2">
      <c r="A4311" s="66" t="s">
        <v>15654</v>
      </c>
      <c r="B4311" s="66" t="s">
        <v>1155</v>
      </c>
      <c r="C4311" s="66" t="s">
        <v>15654</v>
      </c>
      <c r="D4311" s="66" t="s">
        <v>16018</v>
      </c>
      <c r="E4311" s="68" t="s">
        <v>16019</v>
      </c>
      <c r="F4311" s="66" t="s">
        <v>16020</v>
      </c>
      <c r="G4311" s="71">
        <v>28968</v>
      </c>
      <c r="H4311" s="73"/>
      <c r="I4311" s="75">
        <v>0.2</v>
      </c>
      <c r="J4311" s="77"/>
      <c r="K4311" s="66"/>
      <c r="L4311" s="66"/>
      <c r="M4311" s="79" t="str">
        <f>HYPERLINK("http://www.pristavka.com/catalog/pyramid_international/Pyr700/")</f>
        <v>http://www.pristavka.com/catalog/pyramid_international/Pyr700/</v>
      </c>
      <c r="N4311" s="71">
        <v>47499</v>
      </c>
      <c r="O4311" s="66" t="s">
        <v>27</v>
      </c>
      <c r="P4311" s="82" t="s">
        <v>16021</v>
      </c>
      <c r="Q4311" s="84" t="s">
        <v>1102</v>
      </c>
      <c r="R4311" s="84" t="s">
        <v>1303</v>
      </c>
      <c r="S4311" s="84">
        <v>1.4339999999999999</v>
      </c>
      <c r="T4311" s="82" t="s">
        <v>16022</v>
      </c>
      <c r="U4311" s="84"/>
      <c r="V4311" s="54"/>
    </row>
    <row r="4312" spans="1:22" s="11" customFormat="1" ht="45" customHeight="1" x14ac:dyDescent="0.2">
      <c r="A4312" s="66" t="s">
        <v>15654</v>
      </c>
      <c r="B4312" s="66" t="s">
        <v>26</v>
      </c>
      <c r="C4312" s="66" t="s">
        <v>15654</v>
      </c>
      <c r="D4312" s="66" t="s">
        <v>16023</v>
      </c>
      <c r="E4312" s="68" t="s">
        <v>16024</v>
      </c>
      <c r="F4312" s="66" t="s">
        <v>16025</v>
      </c>
      <c r="G4312" s="71">
        <v>19301</v>
      </c>
      <c r="H4312" s="73"/>
      <c r="I4312" s="75">
        <v>0.2</v>
      </c>
      <c r="J4312" s="77"/>
      <c r="K4312" s="66"/>
      <c r="L4312" s="66"/>
      <c r="M4312" s="79" t="str">
        <f>HYPERLINK("http://www.pristavka.com/catalog/pyramid_international/Pyr836/")</f>
        <v>http://www.pristavka.com/catalog/pyramid_international/Pyr836/</v>
      </c>
      <c r="N4312" s="71">
        <v>31699</v>
      </c>
      <c r="O4312" s="66" t="s">
        <v>27</v>
      </c>
      <c r="P4312" s="82" t="s">
        <v>16026</v>
      </c>
      <c r="Q4312" s="84" t="s">
        <v>1102</v>
      </c>
      <c r="R4312" s="84" t="s">
        <v>1103</v>
      </c>
      <c r="S4312" s="84">
        <v>1.355</v>
      </c>
      <c r="T4312" s="82" t="s">
        <v>16027</v>
      </c>
      <c r="U4312" s="84"/>
      <c r="V4312" s="54"/>
    </row>
    <row r="4313" spans="1:22" s="11" customFormat="1" ht="45" customHeight="1" x14ac:dyDescent="0.2">
      <c r="A4313" s="66" t="s">
        <v>15654</v>
      </c>
      <c r="B4313" s="66" t="s">
        <v>26</v>
      </c>
      <c r="C4313" s="66" t="s">
        <v>15654</v>
      </c>
      <c r="D4313" s="66" t="s">
        <v>16028</v>
      </c>
      <c r="E4313" s="68" t="s">
        <v>16029</v>
      </c>
      <c r="F4313" s="66" t="s">
        <v>16030</v>
      </c>
      <c r="G4313" s="71">
        <v>31223</v>
      </c>
      <c r="H4313" s="73"/>
      <c r="I4313" s="75">
        <v>0.2</v>
      </c>
      <c r="J4313" s="77"/>
      <c r="K4313" s="66"/>
      <c r="L4313" s="66"/>
      <c r="M4313" s="79" t="str">
        <f>HYPERLINK("http://www.pristavka.com/catalog/pyramid_international/Pyr834/")</f>
        <v>http://www.pristavka.com/catalog/pyramid_international/Pyr834/</v>
      </c>
      <c r="N4313" s="71">
        <v>51199</v>
      </c>
      <c r="O4313" s="66" t="s">
        <v>27</v>
      </c>
      <c r="P4313" s="82" t="s">
        <v>16031</v>
      </c>
      <c r="Q4313" s="84" t="s">
        <v>1102</v>
      </c>
      <c r="R4313" s="84" t="s">
        <v>1103</v>
      </c>
      <c r="S4313" s="84">
        <v>1.7629999999999999</v>
      </c>
      <c r="T4313" s="82" t="s">
        <v>16032</v>
      </c>
      <c r="U4313" s="84"/>
      <c r="V4313" s="54"/>
    </row>
    <row r="4314" spans="1:22" s="11" customFormat="1" ht="45" customHeight="1" x14ac:dyDescent="0.2">
      <c r="A4314" s="66" t="s">
        <v>15654</v>
      </c>
      <c r="B4314" s="66" t="s">
        <v>26</v>
      </c>
      <c r="C4314" s="66" t="s">
        <v>15654</v>
      </c>
      <c r="D4314" s="66" t="s">
        <v>16033</v>
      </c>
      <c r="E4314" s="68" t="s">
        <v>16034</v>
      </c>
      <c r="F4314" s="66" t="s">
        <v>16035</v>
      </c>
      <c r="G4314" s="71">
        <v>11246</v>
      </c>
      <c r="H4314" s="73"/>
      <c r="I4314" s="75">
        <v>0.2</v>
      </c>
      <c r="J4314" s="77"/>
      <c r="K4314" s="66"/>
      <c r="L4314" s="66"/>
      <c r="M4314" s="79" t="str">
        <f>HYPERLINK("http://www.pristavka.com/catalog/pyramid_international/Pyr910/")</f>
        <v>http://www.pristavka.com/catalog/pyramid_international/Pyr910/</v>
      </c>
      <c r="N4314" s="71">
        <v>18499</v>
      </c>
      <c r="O4314" s="66" t="s">
        <v>27</v>
      </c>
      <c r="P4314" s="82" t="s">
        <v>16036</v>
      </c>
      <c r="Q4314" s="84" t="s">
        <v>1321</v>
      </c>
      <c r="R4314" s="84" t="s">
        <v>1322</v>
      </c>
      <c r="S4314" s="84">
        <v>0.63600000000000001</v>
      </c>
      <c r="T4314" s="82" t="s">
        <v>16037</v>
      </c>
      <c r="U4314" s="84"/>
      <c r="V4314" s="54"/>
    </row>
    <row r="4315" spans="1:22" s="11" customFormat="1" ht="45" customHeight="1" x14ac:dyDescent="0.2">
      <c r="A4315" s="66" t="s">
        <v>15654</v>
      </c>
      <c r="B4315" s="66" t="s">
        <v>26</v>
      </c>
      <c r="C4315" s="66" t="s">
        <v>15654</v>
      </c>
      <c r="D4315" s="66" t="s">
        <v>16038</v>
      </c>
      <c r="E4315" s="68" t="s">
        <v>16039</v>
      </c>
      <c r="F4315" s="66" t="s">
        <v>16040</v>
      </c>
      <c r="G4315" s="71">
        <v>6735</v>
      </c>
      <c r="H4315" s="73"/>
      <c r="I4315" s="75">
        <v>0.2</v>
      </c>
      <c r="J4315" s="77"/>
      <c r="K4315" s="66"/>
      <c r="L4315" s="66"/>
      <c r="M4315" s="79" t="str">
        <f>HYPERLINK("http://www.pristavka.com/catalog/pyramid_international/Pyr908/")</f>
        <v>http://www.pristavka.com/catalog/pyramid_international/Pyr908/</v>
      </c>
      <c r="N4315" s="71">
        <v>11099</v>
      </c>
      <c r="O4315" s="66" t="s">
        <v>27</v>
      </c>
      <c r="P4315" s="82" t="s">
        <v>16041</v>
      </c>
      <c r="Q4315" s="84" t="s">
        <v>1321</v>
      </c>
      <c r="R4315" s="84" t="s">
        <v>1322</v>
      </c>
      <c r="S4315" s="84">
        <v>0.53</v>
      </c>
      <c r="T4315" s="82" t="s">
        <v>16042</v>
      </c>
      <c r="U4315" s="84"/>
      <c r="V4315" s="54"/>
    </row>
    <row r="4316" spans="1:22" s="11" customFormat="1" ht="45" customHeight="1" x14ac:dyDescent="0.2">
      <c r="A4316" s="66" t="s">
        <v>15654</v>
      </c>
      <c r="B4316" s="66" t="s">
        <v>26</v>
      </c>
      <c r="C4316" s="66" t="s">
        <v>15654</v>
      </c>
      <c r="D4316" s="66" t="s">
        <v>16043</v>
      </c>
      <c r="E4316" s="68" t="s">
        <v>16044</v>
      </c>
      <c r="F4316" s="66" t="s">
        <v>16045</v>
      </c>
      <c r="G4316" s="71">
        <v>11246</v>
      </c>
      <c r="H4316" s="73"/>
      <c r="I4316" s="75">
        <v>0.2</v>
      </c>
      <c r="J4316" s="77"/>
      <c r="K4316" s="66"/>
      <c r="L4316" s="66"/>
      <c r="M4316" s="79" t="str">
        <f>HYPERLINK("http://www.pristavka.com/catalog/pyramid_international/Pyr906/")</f>
        <v>http://www.pristavka.com/catalog/pyramid_international/Pyr906/</v>
      </c>
      <c r="N4316" s="71">
        <v>18499</v>
      </c>
      <c r="O4316" s="66" t="s">
        <v>28</v>
      </c>
      <c r="P4316" s="82" t="s">
        <v>16046</v>
      </c>
      <c r="Q4316" s="84" t="s">
        <v>1321</v>
      </c>
      <c r="R4316" s="84" t="s">
        <v>1322</v>
      </c>
      <c r="S4316" s="84">
        <v>0.77400000000000002</v>
      </c>
      <c r="T4316" s="82" t="s">
        <v>16037</v>
      </c>
      <c r="U4316" s="84"/>
      <c r="V4316" s="54"/>
    </row>
    <row r="4317" spans="1:22" s="11" customFormat="1" ht="45" customHeight="1" x14ac:dyDescent="0.2">
      <c r="A4317" s="66" t="s">
        <v>15654</v>
      </c>
      <c r="B4317" s="66" t="s">
        <v>26</v>
      </c>
      <c r="C4317" s="66" t="s">
        <v>15654</v>
      </c>
      <c r="D4317" s="66" t="s">
        <v>16047</v>
      </c>
      <c r="E4317" s="68" t="s">
        <v>16048</v>
      </c>
      <c r="F4317" s="66" t="s">
        <v>16049</v>
      </c>
      <c r="G4317" s="71">
        <v>7701</v>
      </c>
      <c r="H4317" s="73"/>
      <c r="I4317" s="75">
        <v>0.2</v>
      </c>
      <c r="J4317" s="77"/>
      <c r="K4317" s="66"/>
      <c r="L4317" s="66"/>
      <c r="M4317" s="79" t="str">
        <f>HYPERLINK("http://www.pristavka.com/catalog/pyramid_international/Pyr907/")</f>
        <v>http://www.pristavka.com/catalog/pyramid_international/Pyr907/</v>
      </c>
      <c r="N4317" s="71">
        <v>12699</v>
      </c>
      <c r="O4317" s="66" t="s">
        <v>27</v>
      </c>
      <c r="P4317" s="82" t="s">
        <v>16050</v>
      </c>
      <c r="Q4317" s="84" t="s">
        <v>1321</v>
      </c>
      <c r="R4317" s="84" t="s">
        <v>1322</v>
      </c>
      <c r="S4317" s="84">
        <v>0.42799999999999999</v>
      </c>
      <c r="T4317" s="82" t="s">
        <v>16004</v>
      </c>
      <c r="U4317" s="84"/>
      <c r="V4317" s="54"/>
    </row>
    <row r="4318" spans="1:22" s="11" customFormat="1" ht="45" customHeight="1" x14ac:dyDescent="0.2">
      <c r="A4318" s="66" t="s">
        <v>15654</v>
      </c>
      <c r="B4318" s="66" t="s">
        <v>26</v>
      </c>
      <c r="C4318" s="66" t="s">
        <v>15654</v>
      </c>
      <c r="D4318" s="66" t="s">
        <v>16051</v>
      </c>
      <c r="E4318" s="68" t="s">
        <v>16052</v>
      </c>
      <c r="F4318" s="66" t="s">
        <v>16053</v>
      </c>
      <c r="G4318" s="71">
        <v>31223</v>
      </c>
      <c r="H4318" s="73"/>
      <c r="I4318" s="75">
        <v>0.2</v>
      </c>
      <c r="J4318" s="77"/>
      <c r="K4318" s="66"/>
      <c r="L4318" s="66"/>
      <c r="M4318" s="79" t="str">
        <f>HYPERLINK("http://www.pristavka.com/catalog/pyramid_international/Pyr858/")</f>
        <v>http://www.pristavka.com/catalog/pyramid_international/Pyr858/</v>
      </c>
      <c r="N4318" s="71">
        <v>51199</v>
      </c>
      <c r="O4318" s="66" t="s">
        <v>28</v>
      </c>
      <c r="P4318" s="82" t="s">
        <v>16054</v>
      </c>
      <c r="Q4318" s="84" t="s">
        <v>1314</v>
      </c>
      <c r="R4318" s="84" t="s">
        <v>1315</v>
      </c>
      <c r="S4318" s="84">
        <v>1.2929999999999999</v>
      </c>
      <c r="T4318" s="82" t="s">
        <v>16055</v>
      </c>
      <c r="U4318" s="84"/>
      <c r="V4318" s="54"/>
    </row>
    <row r="4319" spans="1:22" s="11" customFormat="1" ht="45" customHeight="1" x14ac:dyDescent="0.2">
      <c r="A4319" s="66" t="s">
        <v>15654</v>
      </c>
      <c r="B4319" s="66" t="s">
        <v>26</v>
      </c>
      <c r="C4319" s="66" t="s">
        <v>15654</v>
      </c>
      <c r="D4319" s="66" t="s">
        <v>16056</v>
      </c>
      <c r="E4319" s="68" t="s">
        <v>16057</v>
      </c>
      <c r="F4319" s="66" t="s">
        <v>16058</v>
      </c>
      <c r="G4319" s="71">
        <v>6413</v>
      </c>
      <c r="H4319" s="73"/>
      <c r="I4319" s="75">
        <v>0.2</v>
      </c>
      <c r="J4319" s="77"/>
      <c r="K4319" s="66"/>
      <c r="L4319" s="66"/>
      <c r="M4319" s="79" t="str">
        <f>HYPERLINK("http://www.pristavka.com/catalog/pyramid_international/Pyr877/")</f>
        <v>http://www.pristavka.com/catalog/pyramid_international/Pyr877/</v>
      </c>
      <c r="N4319" s="71">
        <v>10599</v>
      </c>
      <c r="O4319" s="66" t="s">
        <v>28</v>
      </c>
      <c r="P4319" s="82" t="s">
        <v>16059</v>
      </c>
      <c r="Q4319" s="84" t="s">
        <v>15787</v>
      </c>
      <c r="R4319" s="84" t="s">
        <v>7356</v>
      </c>
      <c r="S4319" s="84">
        <v>0.51100000000000001</v>
      </c>
      <c r="T4319" s="82" t="s">
        <v>16042</v>
      </c>
      <c r="U4319" s="84"/>
      <c r="V4319" s="54"/>
    </row>
    <row r="4320" spans="1:22" s="11" customFormat="1" ht="45" customHeight="1" x14ac:dyDescent="0.2">
      <c r="A4320" s="66" t="s">
        <v>15654</v>
      </c>
      <c r="B4320" s="66" t="s">
        <v>26</v>
      </c>
      <c r="C4320" s="66" t="s">
        <v>15654</v>
      </c>
      <c r="D4320" s="66" t="s">
        <v>16060</v>
      </c>
      <c r="E4320" s="68" t="s">
        <v>16061</v>
      </c>
      <c r="F4320" s="66" t="s">
        <v>16062</v>
      </c>
      <c r="G4320" s="71">
        <v>7701</v>
      </c>
      <c r="H4320" s="73"/>
      <c r="I4320" s="75">
        <v>0.2</v>
      </c>
      <c r="J4320" s="77"/>
      <c r="K4320" s="66"/>
      <c r="L4320" s="66"/>
      <c r="M4320" s="79" t="str">
        <f>HYPERLINK("http://www.pristavka.com/catalog/pyramid_international/Pyr883/")</f>
        <v>http://www.pristavka.com/catalog/pyramid_international/Pyr883/</v>
      </c>
      <c r="N4320" s="71">
        <v>12699</v>
      </c>
      <c r="O4320" s="66" t="s">
        <v>28</v>
      </c>
      <c r="P4320" s="82" t="s">
        <v>16063</v>
      </c>
      <c r="Q4320" s="84" t="s">
        <v>1240</v>
      </c>
      <c r="R4320" s="84" t="s">
        <v>70</v>
      </c>
      <c r="S4320" s="84">
        <v>0.41499999999999998</v>
      </c>
      <c r="T4320" s="82" t="s">
        <v>16004</v>
      </c>
      <c r="U4320" s="84"/>
      <c r="V4320" s="54"/>
    </row>
    <row r="4321" spans="1:22" s="11" customFormat="1" ht="45" customHeight="1" x14ac:dyDescent="0.2">
      <c r="A4321" s="66" t="s">
        <v>15654</v>
      </c>
      <c r="B4321" s="66" t="s">
        <v>26</v>
      </c>
      <c r="C4321" s="66" t="s">
        <v>15654</v>
      </c>
      <c r="D4321" s="66" t="s">
        <v>16064</v>
      </c>
      <c r="E4321" s="68" t="s">
        <v>16065</v>
      </c>
      <c r="F4321" s="66" t="s">
        <v>16066</v>
      </c>
      <c r="G4321" s="71">
        <v>30256</v>
      </c>
      <c r="H4321" s="73"/>
      <c r="I4321" s="75">
        <v>0.2</v>
      </c>
      <c r="J4321" s="77"/>
      <c r="K4321" s="66"/>
      <c r="L4321" s="66"/>
      <c r="M4321" s="79" t="str">
        <f>HYPERLINK("http://www.pristavka.com/catalog/pyramid_international/Pyr822/")</f>
        <v>http://www.pristavka.com/catalog/pyramid_international/Pyr822/</v>
      </c>
      <c r="N4321" s="71">
        <v>49599</v>
      </c>
      <c r="O4321" s="66" t="s">
        <v>28</v>
      </c>
      <c r="P4321" s="82" t="s">
        <v>16067</v>
      </c>
      <c r="Q4321" s="84" t="s">
        <v>5281</v>
      </c>
      <c r="R4321" s="84" t="s">
        <v>3512</v>
      </c>
      <c r="S4321" s="84">
        <v>1.6479999999999999</v>
      </c>
      <c r="T4321" s="82" t="s">
        <v>16068</v>
      </c>
      <c r="U4321" s="84"/>
      <c r="V4321" s="54"/>
    </row>
    <row r="4322" spans="1:22" s="11" customFormat="1" ht="45" customHeight="1" x14ac:dyDescent="0.2">
      <c r="A4322" s="66" t="s">
        <v>15654</v>
      </c>
      <c r="B4322" s="66" t="s">
        <v>26</v>
      </c>
      <c r="C4322" s="66" t="s">
        <v>15654</v>
      </c>
      <c r="D4322" s="66" t="s">
        <v>16069</v>
      </c>
      <c r="E4322" s="68" t="s">
        <v>16070</v>
      </c>
      <c r="F4322" s="66" t="s">
        <v>16071</v>
      </c>
      <c r="G4322" s="71">
        <v>1284</v>
      </c>
      <c r="H4322" s="73"/>
      <c r="I4322" s="75">
        <v>0.2</v>
      </c>
      <c r="J4322" s="66"/>
      <c r="K4322" s="66"/>
      <c r="L4322" s="66"/>
      <c r="M4322" s="79" t="str">
        <f>HYPERLINK("http://www.pristavka.com/catalog/pyramid_international/Pyr811/")</f>
        <v>http://www.pristavka.com/catalog/pyramid_international/Pyr811/</v>
      </c>
      <c r="N4322" s="71">
        <v>2199</v>
      </c>
      <c r="O4322" s="66" t="s">
        <v>27</v>
      </c>
      <c r="P4322" s="82" t="s">
        <v>16072</v>
      </c>
      <c r="Q4322" s="84" t="s">
        <v>1315</v>
      </c>
      <c r="R4322" s="84" t="s">
        <v>1315</v>
      </c>
      <c r="S4322" s="84">
        <v>4.2000000000000003E-2</v>
      </c>
      <c r="T4322" s="82" t="s">
        <v>16073</v>
      </c>
      <c r="U4322" s="84"/>
      <c r="V4322" s="54"/>
    </row>
    <row r="4323" spans="1:22" s="11" customFormat="1" ht="45" customHeight="1" x14ac:dyDescent="0.2">
      <c r="A4323" s="66" t="s">
        <v>15654</v>
      </c>
      <c r="B4323" s="66" t="s">
        <v>1155</v>
      </c>
      <c r="C4323" s="66" t="s">
        <v>15654</v>
      </c>
      <c r="D4323" s="66">
        <v>5050293475349</v>
      </c>
      <c r="E4323" s="68" t="s">
        <v>16074</v>
      </c>
      <c r="F4323" s="66" t="s">
        <v>16075</v>
      </c>
      <c r="G4323" s="71">
        <v>2250</v>
      </c>
      <c r="H4323" s="73"/>
      <c r="I4323" s="75">
        <v>0.2</v>
      </c>
      <c r="J4323" s="77"/>
      <c r="K4323" s="66"/>
      <c r="L4323" s="66"/>
      <c r="M4323" s="79" t="str">
        <f>HYPERLINK("http://www.pristavka.com/catalog/pyramid_international/Pyr937/")</f>
        <v>http://www.pristavka.com/catalog/pyramid_international/Pyr937/</v>
      </c>
      <c r="N4323" s="71">
        <v>3699</v>
      </c>
      <c r="O4323" s="66" t="s">
        <v>27</v>
      </c>
      <c r="P4323" s="82" t="s">
        <v>16076</v>
      </c>
      <c r="Q4323" s="84" t="s">
        <v>1315</v>
      </c>
      <c r="R4323" s="84" t="s">
        <v>1315</v>
      </c>
      <c r="S4323" s="84">
        <v>7.4999999999999997E-2</v>
      </c>
      <c r="T4323" s="82" t="s">
        <v>16077</v>
      </c>
      <c r="U4323" s="84"/>
      <c r="V4323" s="54"/>
    </row>
    <row r="4324" spans="1:22" s="11" customFormat="1" ht="45" customHeight="1" x14ac:dyDescent="0.2">
      <c r="A4324" s="66" t="s">
        <v>15654</v>
      </c>
      <c r="B4324" s="66" t="s">
        <v>26</v>
      </c>
      <c r="C4324" s="66" t="s">
        <v>15654</v>
      </c>
      <c r="D4324" s="66" t="s">
        <v>16078</v>
      </c>
      <c r="E4324" s="68" t="s">
        <v>16079</v>
      </c>
      <c r="F4324" s="66" t="s">
        <v>16080</v>
      </c>
      <c r="G4324" s="71">
        <v>1284</v>
      </c>
      <c r="H4324" s="73"/>
      <c r="I4324" s="75">
        <v>0.2</v>
      </c>
      <c r="J4324" s="66"/>
      <c r="K4324" s="66"/>
      <c r="L4324" s="66"/>
      <c r="M4324" s="79" t="str">
        <f>HYPERLINK("http://www.pristavka.com/catalog/pyramid_international/Pyr813/")</f>
        <v>http://www.pristavka.com/catalog/pyramid_international/Pyr813/</v>
      </c>
      <c r="N4324" s="71">
        <v>2199</v>
      </c>
      <c r="O4324" s="66" t="s">
        <v>27</v>
      </c>
      <c r="P4324" s="82" t="s">
        <v>16081</v>
      </c>
      <c r="Q4324" s="84" t="s">
        <v>1315</v>
      </c>
      <c r="R4324" s="84" t="s">
        <v>1315</v>
      </c>
      <c r="S4324" s="84">
        <v>4.2000000000000003E-2</v>
      </c>
      <c r="T4324" s="82" t="s">
        <v>16073</v>
      </c>
      <c r="U4324" s="84"/>
      <c r="V4324" s="54"/>
    </row>
    <row r="4325" spans="1:22" s="11" customFormat="1" ht="45" customHeight="1" x14ac:dyDescent="0.2">
      <c r="A4325" s="66" t="s">
        <v>15654</v>
      </c>
      <c r="B4325" s="66" t="s">
        <v>26</v>
      </c>
      <c r="C4325" s="66" t="s">
        <v>15654</v>
      </c>
      <c r="D4325" s="66" t="s">
        <v>16082</v>
      </c>
      <c r="E4325" s="68" t="s">
        <v>16083</v>
      </c>
      <c r="F4325" s="66" t="s">
        <v>16084</v>
      </c>
      <c r="G4325" s="71">
        <v>639</v>
      </c>
      <c r="H4325" s="73"/>
      <c r="I4325" s="75">
        <v>0.2</v>
      </c>
      <c r="J4325" s="66"/>
      <c r="K4325" s="66"/>
      <c r="L4325" s="66"/>
      <c r="M4325" s="79" t="str">
        <f>HYPERLINK("http://www.pristavka.com/catalog/pyramid_international/Pyr927/")</f>
        <v>http://www.pristavka.com/catalog/pyramid_international/Pyr927/</v>
      </c>
      <c r="N4325" s="71">
        <v>1099</v>
      </c>
      <c r="O4325" s="66" t="s">
        <v>27</v>
      </c>
      <c r="P4325" s="82" t="s">
        <v>16085</v>
      </c>
      <c r="Q4325" s="84" t="s">
        <v>1148</v>
      </c>
      <c r="R4325" s="84" t="s">
        <v>1068</v>
      </c>
      <c r="S4325" s="84">
        <v>4.0000000000000001E-3</v>
      </c>
      <c r="T4325" s="82" t="s">
        <v>16086</v>
      </c>
      <c r="U4325" s="84"/>
      <c r="V4325" s="54"/>
    </row>
    <row r="4326" spans="1:22" s="11" customFormat="1" ht="45" customHeight="1" x14ac:dyDescent="0.2">
      <c r="A4326" s="66" t="s">
        <v>15654</v>
      </c>
      <c r="B4326" s="66" t="s">
        <v>26</v>
      </c>
      <c r="C4326" s="66" t="s">
        <v>15654</v>
      </c>
      <c r="D4326" s="66" t="s">
        <v>16087</v>
      </c>
      <c r="E4326" s="68" t="s">
        <v>16088</v>
      </c>
      <c r="F4326" s="66" t="s">
        <v>16089</v>
      </c>
      <c r="G4326" s="71">
        <v>1284</v>
      </c>
      <c r="H4326" s="73"/>
      <c r="I4326" s="75">
        <v>0.2</v>
      </c>
      <c r="J4326" s="66"/>
      <c r="K4326" s="66"/>
      <c r="L4326" s="66"/>
      <c r="M4326" s="79" t="str">
        <f>HYPERLINK("http://www.pristavka.com/catalog/pyramid_international/Pyr812/")</f>
        <v>http://www.pristavka.com/catalog/pyramid_international/Pyr812/</v>
      </c>
      <c r="N4326" s="71">
        <v>2199</v>
      </c>
      <c r="O4326" s="66" t="s">
        <v>27</v>
      </c>
      <c r="P4326" s="82" t="s">
        <v>16090</v>
      </c>
      <c r="Q4326" s="84" t="s">
        <v>3953</v>
      </c>
      <c r="R4326" s="84" t="s">
        <v>3953</v>
      </c>
      <c r="S4326" s="84">
        <v>4.2000000000000003E-2</v>
      </c>
      <c r="T4326" s="82" t="s">
        <v>16073</v>
      </c>
      <c r="U4326" s="84"/>
      <c r="V4326" s="54"/>
    </row>
    <row r="4327" spans="1:22" s="11" customFormat="1" ht="45" customHeight="1" x14ac:dyDescent="0.2">
      <c r="A4327" s="66" t="s">
        <v>15654</v>
      </c>
      <c r="B4327" s="66" t="s">
        <v>26</v>
      </c>
      <c r="C4327" s="66" t="s">
        <v>15654</v>
      </c>
      <c r="D4327" s="66" t="s">
        <v>16091</v>
      </c>
      <c r="E4327" s="68" t="s">
        <v>16092</v>
      </c>
      <c r="F4327" s="66" t="s">
        <v>16093</v>
      </c>
      <c r="G4327" s="71">
        <v>3217</v>
      </c>
      <c r="H4327" s="73"/>
      <c r="I4327" s="75">
        <v>0.2</v>
      </c>
      <c r="J4327" s="77"/>
      <c r="K4327" s="66"/>
      <c r="L4327" s="66"/>
      <c r="M4327" s="79" t="str">
        <f>HYPERLINK("http://www.pristavka.com/catalog/pyramid_international/Pyr876/")</f>
        <v>http://www.pristavka.com/catalog/pyramid_international/Pyr876/</v>
      </c>
      <c r="N4327" s="71">
        <v>5299</v>
      </c>
      <c r="O4327" s="66" t="s">
        <v>27</v>
      </c>
      <c r="P4327" s="82" t="s">
        <v>16094</v>
      </c>
      <c r="Q4327" s="84" t="s">
        <v>1588</v>
      </c>
      <c r="R4327" s="84" t="s">
        <v>58</v>
      </c>
      <c r="S4327" s="84">
        <v>7.1999999999999995E-2</v>
      </c>
      <c r="T4327" s="82" t="s">
        <v>16095</v>
      </c>
      <c r="U4327" s="84"/>
      <c r="V4327" s="54"/>
    </row>
    <row r="4328" spans="1:22" s="11" customFormat="1" ht="45" customHeight="1" x14ac:dyDescent="0.2">
      <c r="A4328" s="66" t="s">
        <v>15654</v>
      </c>
      <c r="B4328" s="66" t="s">
        <v>26</v>
      </c>
      <c r="C4328" s="66" t="s">
        <v>15654</v>
      </c>
      <c r="D4328" s="66" t="s">
        <v>16096</v>
      </c>
      <c r="E4328" s="68" t="s">
        <v>16097</v>
      </c>
      <c r="F4328" s="66" t="s">
        <v>16098</v>
      </c>
      <c r="G4328" s="71">
        <v>639</v>
      </c>
      <c r="H4328" s="73"/>
      <c r="I4328" s="75">
        <v>0.2</v>
      </c>
      <c r="J4328" s="66"/>
      <c r="K4328" s="66"/>
      <c r="L4328" s="66"/>
      <c r="M4328" s="79" t="str">
        <f>HYPERLINK("http://www.pristavka.com/catalog/pyramid_international/Pyr874/")</f>
        <v>http://www.pristavka.com/catalog/pyramid_international/Pyr874/</v>
      </c>
      <c r="N4328" s="71">
        <v>1099</v>
      </c>
      <c r="O4328" s="66" t="s">
        <v>27</v>
      </c>
      <c r="P4328" s="82" t="s">
        <v>16099</v>
      </c>
      <c r="Q4328" s="84" t="s">
        <v>1588</v>
      </c>
      <c r="R4328" s="84" t="s">
        <v>58</v>
      </c>
      <c r="S4328" s="84">
        <v>4.0000000000000001E-3</v>
      </c>
      <c r="T4328" s="82" t="s">
        <v>16086</v>
      </c>
      <c r="U4328" s="84"/>
      <c r="V4328" s="54"/>
    </row>
    <row r="4329" spans="1:22" s="11" customFormat="1" ht="45" customHeight="1" x14ac:dyDescent="0.2">
      <c r="A4329" s="66" t="s">
        <v>15654</v>
      </c>
      <c r="B4329" s="66" t="s">
        <v>26</v>
      </c>
      <c r="C4329" s="66" t="s">
        <v>15654</v>
      </c>
      <c r="D4329" s="66" t="s">
        <v>16100</v>
      </c>
      <c r="E4329" s="68" t="s">
        <v>16101</v>
      </c>
      <c r="F4329" s="66" t="s">
        <v>16102</v>
      </c>
      <c r="G4329" s="71">
        <v>3217</v>
      </c>
      <c r="H4329" s="73"/>
      <c r="I4329" s="75">
        <v>0.2</v>
      </c>
      <c r="J4329" s="77"/>
      <c r="K4329" s="66"/>
      <c r="L4329" s="66"/>
      <c r="M4329" s="79" t="str">
        <f>HYPERLINK("http://www.pristavka.com/catalog/pyramid_international/Pyr809/")</f>
        <v>http://www.pristavka.com/catalog/pyramid_international/Pyr809/</v>
      </c>
      <c r="N4329" s="71">
        <v>5299</v>
      </c>
      <c r="O4329" s="66" t="s">
        <v>28</v>
      </c>
      <c r="P4329" s="82" t="s">
        <v>16103</v>
      </c>
      <c r="Q4329" s="84" t="s">
        <v>4158</v>
      </c>
      <c r="R4329" s="84" t="s">
        <v>1068</v>
      </c>
      <c r="S4329" s="84">
        <v>7.5999999999999998E-2</v>
      </c>
      <c r="T4329" s="82" t="s">
        <v>15994</v>
      </c>
      <c r="U4329" s="84"/>
      <c r="V4329" s="54"/>
    </row>
    <row r="4330" spans="1:22" s="11" customFormat="1" ht="45" customHeight="1" x14ac:dyDescent="0.2">
      <c r="A4330" s="66" t="s">
        <v>15654</v>
      </c>
      <c r="B4330" s="66" t="s">
        <v>1155</v>
      </c>
      <c r="C4330" s="66" t="s">
        <v>15654</v>
      </c>
      <c r="D4330" s="66" t="s">
        <v>16104</v>
      </c>
      <c r="E4330" s="68" t="s">
        <v>16105</v>
      </c>
      <c r="F4330" s="66" t="s">
        <v>16106</v>
      </c>
      <c r="G4330" s="71">
        <v>629</v>
      </c>
      <c r="H4330" s="73"/>
      <c r="I4330" s="75">
        <v>0.2</v>
      </c>
      <c r="J4330" s="66"/>
      <c r="K4330" s="66"/>
      <c r="L4330" s="66"/>
      <c r="M4330" s="79" t="str">
        <f>HYPERLINK("http://www.pristavka.com/catalog/pyramid_international/Pyr785/")</f>
        <v>http://www.pristavka.com/catalog/pyramid_international/Pyr785/</v>
      </c>
      <c r="N4330" s="71">
        <v>1099</v>
      </c>
      <c r="O4330" s="66" t="s">
        <v>27</v>
      </c>
      <c r="P4330" s="82" t="s">
        <v>16107</v>
      </c>
      <c r="Q4330" s="84" t="s">
        <v>3566</v>
      </c>
      <c r="R4330" s="84" t="s">
        <v>1303</v>
      </c>
      <c r="S4330" s="84">
        <v>5.0000000000000001E-3</v>
      </c>
      <c r="T4330" s="82" t="s">
        <v>16108</v>
      </c>
      <c r="U4330" s="84"/>
      <c r="V4330" s="54"/>
    </row>
    <row r="4331" spans="1:22" s="11" customFormat="1" ht="45" customHeight="1" x14ac:dyDescent="0.2">
      <c r="A4331" s="66" t="s">
        <v>15654</v>
      </c>
      <c r="B4331" s="66" t="s">
        <v>1155</v>
      </c>
      <c r="C4331" s="66" t="s">
        <v>15654</v>
      </c>
      <c r="D4331" s="66" t="s">
        <v>16109</v>
      </c>
      <c r="E4331" s="68" t="s">
        <v>16110</v>
      </c>
      <c r="F4331" s="66" t="s">
        <v>16111</v>
      </c>
      <c r="G4331" s="71">
        <v>1606</v>
      </c>
      <c r="H4331" s="73"/>
      <c r="I4331" s="75">
        <v>0.2</v>
      </c>
      <c r="J4331" s="77"/>
      <c r="K4331" s="66"/>
      <c r="L4331" s="66"/>
      <c r="M4331" s="79" t="str">
        <f>HYPERLINK("http://www.pristavka.com/catalog/pyramid_international/Pyr475/")</f>
        <v>http://www.pristavka.com/catalog/pyramid_international/Pyr475/</v>
      </c>
      <c r="N4331" s="71">
        <v>2699</v>
      </c>
      <c r="O4331" s="66" t="s">
        <v>27</v>
      </c>
      <c r="P4331" s="82" t="s">
        <v>16112</v>
      </c>
      <c r="Q4331" s="84" t="s">
        <v>1102</v>
      </c>
      <c r="R4331" s="84" t="s">
        <v>1303</v>
      </c>
      <c r="S4331" s="84">
        <v>0.08</v>
      </c>
      <c r="T4331" s="82" t="s">
        <v>16113</v>
      </c>
      <c r="U4331" s="84"/>
      <c r="V4331" s="54"/>
    </row>
    <row r="4332" spans="1:22" s="11" customFormat="1" ht="45" customHeight="1" x14ac:dyDescent="0.2">
      <c r="A4332" s="66" t="s">
        <v>15654</v>
      </c>
      <c r="B4332" s="66" t="s">
        <v>26</v>
      </c>
      <c r="C4332" s="66" t="s">
        <v>15654</v>
      </c>
      <c r="D4332" s="66" t="s">
        <v>16114</v>
      </c>
      <c r="E4332" s="68" t="s">
        <v>16115</v>
      </c>
      <c r="F4332" s="66" t="s">
        <v>16116</v>
      </c>
      <c r="G4332" s="71">
        <v>1606</v>
      </c>
      <c r="H4332" s="73"/>
      <c r="I4332" s="75">
        <v>0.2</v>
      </c>
      <c r="J4332" s="77"/>
      <c r="K4332" s="66"/>
      <c r="L4332" s="66"/>
      <c r="M4332" s="79" t="str">
        <f>HYPERLINK("http://www.pristavka.com/catalog/pyramid_international/Pyr841/")</f>
        <v>http://www.pristavka.com/catalog/pyramid_international/Pyr841/</v>
      </c>
      <c r="N4332" s="71">
        <v>2699</v>
      </c>
      <c r="O4332" s="66" t="s">
        <v>28</v>
      </c>
      <c r="P4332" s="82" t="s">
        <v>16117</v>
      </c>
      <c r="Q4332" s="84" t="s">
        <v>1102</v>
      </c>
      <c r="R4332" s="84" t="s">
        <v>1103</v>
      </c>
      <c r="S4332" s="84">
        <v>4.8000000000000001E-2</v>
      </c>
      <c r="T4332" s="82" t="s">
        <v>16118</v>
      </c>
      <c r="U4332" s="84"/>
      <c r="V4332" s="54"/>
    </row>
    <row r="4333" spans="1:22" s="11" customFormat="1" ht="45" customHeight="1" x14ac:dyDescent="0.2">
      <c r="A4333" s="66" t="s">
        <v>15654</v>
      </c>
      <c r="B4333" s="66" t="s">
        <v>26</v>
      </c>
      <c r="C4333" s="66" t="s">
        <v>15654</v>
      </c>
      <c r="D4333" s="66" t="s">
        <v>16119</v>
      </c>
      <c r="E4333" s="68" t="s">
        <v>16120</v>
      </c>
      <c r="F4333" s="66" t="s">
        <v>16121</v>
      </c>
      <c r="G4333" s="71">
        <v>1284</v>
      </c>
      <c r="H4333" s="73"/>
      <c r="I4333" s="75">
        <v>0.2</v>
      </c>
      <c r="J4333" s="66"/>
      <c r="K4333" s="66"/>
      <c r="L4333" s="66"/>
      <c r="M4333" s="79" t="str">
        <f>HYPERLINK("http://www.pristavka.com/catalog/pyramid_international/Pyr912/")</f>
        <v>http://www.pristavka.com/catalog/pyramid_international/Pyr912/</v>
      </c>
      <c r="N4333" s="71">
        <v>2199</v>
      </c>
      <c r="O4333" s="66" t="s">
        <v>27</v>
      </c>
      <c r="P4333" s="82" t="s">
        <v>16122</v>
      </c>
      <c r="Q4333" s="84" t="s">
        <v>1321</v>
      </c>
      <c r="R4333" s="84" t="s">
        <v>1322</v>
      </c>
      <c r="S4333" s="84">
        <v>4.1000000000000002E-2</v>
      </c>
      <c r="T4333" s="82" t="s">
        <v>16073</v>
      </c>
      <c r="U4333" s="84"/>
      <c r="V4333" s="54"/>
    </row>
    <row r="4334" spans="1:22" s="11" customFormat="1" ht="45" customHeight="1" x14ac:dyDescent="0.2">
      <c r="A4334" s="66" t="s">
        <v>15654</v>
      </c>
      <c r="B4334" s="66" t="s">
        <v>26</v>
      </c>
      <c r="C4334" s="66" t="s">
        <v>15654</v>
      </c>
      <c r="D4334" s="66" t="s">
        <v>16123</v>
      </c>
      <c r="E4334" s="68" t="s">
        <v>16124</v>
      </c>
      <c r="F4334" s="66" t="s">
        <v>16125</v>
      </c>
      <c r="G4334" s="71">
        <v>639</v>
      </c>
      <c r="H4334" s="73"/>
      <c r="I4334" s="75">
        <v>0.2</v>
      </c>
      <c r="J4334" s="66"/>
      <c r="K4334" s="66"/>
      <c r="L4334" s="66"/>
      <c r="M4334" s="79" t="str">
        <f>HYPERLINK("http://www.pristavka.com/catalog/pyramid_international/Pyr860/")</f>
        <v>http://www.pristavka.com/catalog/pyramid_international/Pyr860/</v>
      </c>
      <c r="N4334" s="71">
        <v>1099</v>
      </c>
      <c r="O4334" s="66" t="s">
        <v>27</v>
      </c>
      <c r="P4334" s="82" t="s">
        <v>16126</v>
      </c>
      <c r="Q4334" s="84" t="s">
        <v>1314</v>
      </c>
      <c r="R4334" s="84" t="s">
        <v>1315</v>
      </c>
      <c r="S4334" s="84">
        <v>4.0000000000000001E-3</v>
      </c>
      <c r="T4334" s="82" t="s">
        <v>16086</v>
      </c>
      <c r="U4334" s="84"/>
      <c r="V4334" s="54"/>
    </row>
    <row r="4335" spans="1:22" s="11" customFormat="1" ht="45" customHeight="1" x14ac:dyDescent="0.2">
      <c r="A4335" s="66" t="s">
        <v>15654</v>
      </c>
      <c r="B4335" s="66" t="s">
        <v>1155</v>
      </c>
      <c r="C4335" s="66" t="s">
        <v>15654</v>
      </c>
      <c r="D4335" s="66" t="s">
        <v>16127</v>
      </c>
      <c r="E4335" s="68" t="s">
        <v>16128</v>
      </c>
      <c r="F4335" s="66" t="s">
        <v>16129</v>
      </c>
      <c r="G4335" s="71">
        <v>639</v>
      </c>
      <c r="H4335" s="73"/>
      <c r="I4335" s="75">
        <v>0.2</v>
      </c>
      <c r="J4335" s="66"/>
      <c r="K4335" s="66"/>
      <c r="L4335" s="66"/>
      <c r="M4335" s="79" t="str">
        <f>HYPERLINK("http://www.pristavka.com/catalog/pyramid_international/Pyr268/")</f>
        <v>http://www.pristavka.com/catalog/pyramid_international/Pyr268/</v>
      </c>
      <c r="N4335" s="71">
        <v>1099</v>
      </c>
      <c r="O4335" s="66" t="s">
        <v>27</v>
      </c>
      <c r="P4335" s="82" t="s">
        <v>16130</v>
      </c>
      <c r="Q4335" s="84" t="s">
        <v>15787</v>
      </c>
      <c r="R4335" s="84"/>
      <c r="S4335" s="84">
        <v>3.0000000000000001E-3</v>
      </c>
      <c r="T4335" s="82" t="s">
        <v>16131</v>
      </c>
      <c r="U4335" s="84"/>
      <c r="V4335" s="54"/>
    </row>
    <row r="4336" spans="1:22" s="11" customFormat="1" ht="45" customHeight="1" x14ac:dyDescent="0.2">
      <c r="A4336" s="66" t="s">
        <v>15654</v>
      </c>
      <c r="B4336" s="66" t="s">
        <v>26</v>
      </c>
      <c r="C4336" s="66" t="s">
        <v>15654</v>
      </c>
      <c r="D4336" s="66" t="s">
        <v>16132</v>
      </c>
      <c r="E4336" s="68" t="s">
        <v>16133</v>
      </c>
      <c r="F4336" s="66" t="s">
        <v>16134</v>
      </c>
      <c r="G4336" s="71">
        <v>1284</v>
      </c>
      <c r="H4336" s="73"/>
      <c r="I4336" s="75">
        <v>0.2</v>
      </c>
      <c r="J4336" s="66"/>
      <c r="K4336" s="66"/>
      <c r="L4336" s="66"/>
      <c r="M4336" s="79" t="str">
        <f>HYPERLINK("http://www.pristavka.com/catalog/pyramid_international/Pyr890/")</f>
        <v>http://www.pristavka.com/catalog/pyramid_international/Pyr890/</v>
      </c>
      <c r="N4336" s="71">
        <v>2199</v>
      </c>
      <c r="O4336" s="66" t="s">
        <v>27</v>
      </c>
      <c r="P4336" s="82" t="s">
        <v>16135</v>
      </c>
      <c r="Q4336" s="84" t="s">
        <v>3527</v>
      </c>
      <c r="R4336" s="84" t="s">
        <v>3512</v>
      </c>
      <c r="S4336" s="84">
        <v>4.2000000000000003E-2</v>
      </c>
      <c r="T4336" s="82" t="s">
        <v>16073</v>
      </c>
      <c r="U4336" s="84"/>
      <c r="V4336" s="54"/>
    </row>
    <row r="4337" spans="1:22" s="11" customFormat="1" ht="45" customHeight="1" x14ac:dyDescent="0.2">
      <c r="A4337" s="66" t="s">
        <v>15654</v>
      </c>
      <c r="B4337" s="66" t="s">
        <v>26</v>
      </c>
      <c r="C4337" s="66" t="s">
        <v>15654</v>
      </c>
      <c r="D4337" s="66" t="s">
        <v>16136</v>
      </c>
      <c r="E4337" s="68" t="s">
        <v>16137</v>
      </c>
      <c r="F4337" s="66" t="s">
        <v>16138</v>
      </c>
      <c r="G4337" s="71">
        <v>1706</v>
      </c>
      <c r="H4337" s="73"/>
      <c r="I4337" s="75">
        <v>0.2</v>
      </c>
      <c r="J4337" s="77"/>
      <c r="K4337" s="66"/>
      <c r="L4337" s="66"/>
      <c r="M4337" s="79" t="str">
        <f>HYPERLINK("http://www.pristavka.com/catalog/pyramid_international/Pyr803/")</f>
        <v>http://www.pristavka.com/catalog/pyramid_international/Pyr803/</v>
      </c>
      <c r="N4337" s="71">
        <v>2799</v>
      </c>
      <c r="O4337" s="66" t="s">
        <v>27</v>
      </c>
      <c r="P4337" s="82" t="s">
        <v>16139</v>
      </c>
      <c r="Q4337" s="84" t="s">
        <v>4158</v>
      </c>
      <c r="R4337" s="84" t="s">
        <v>1068</v>
      </c>
      <c r="S4337" s="84">
        <v>3.0000000000000001E-3</v>
      </c>
      <c r="T4337" s="82" t="s">
        <v>16140</v>
      </c>
      <c r="U4337" s="84"/>
      <c r="V4337" s="54"/>
    </row>
    <row r="4338" spans="1:22" s="11" customFormat="1" ht="45" customHeight="1" x14ac:dyDescent="0.2">
      <c r="A4338" s="66" t="s">
        <v>15654</v>
      </c>
      <c r="B4338" s="66" t="s">
        <v>26</v>
      </c>
      <c r="C4338" s="66" t="s">
        <v>15654</v>
      </c>
      <c r="D4338" s="66" t="s">
        <v>16141</v>
      </c>
      <c r="E4338" s="68" t="s">
        <v>16142</v>
      </c>
      <c r="F4338" s="66" t="s">
        <v>16143</v>
      </c>
      <c r="G4338" s="71">
        <v>2572</v>
      </c>
      <c r="H4338" s="73"/>
      <c r="I4338" s="75">
        <v>0.2</v>
      </c>
      <c r="J4338" s="77"/>
      <c r="K4338" s="66"/>
      <c r="L4338" s="66"/>
      <c r="M4338" s="79" t="str">
        <f>HYPERLINK("http://www.pristavka.com/catalog/pyramid_international/Pyr832/")</f>
        <v>http://www.pristavka.com/catalog/pyramid_international/Pyr832/</v>
      </c>
      <c r="N4338" s="71">
        <v>4299</v>
      </c>
      <c r="O4338" s="66" t="s">
        <v>27</v>
      </c>
      <c r="P4338" s="82" t="s">
        <v>16144</v>
      </c>
      <c r="Q4338" s="84" t="s">
        <v>1102</v>
      </c>
      <c r="R4338" s="84" t="s">
        <v>1103</v>
      </c>
      <c r="S4338" s="84">
        <v>0.01</v>
      </c>
      <c r="T4338" s="82" t="s">
        <v>16145</v>
      </c>
      <c r="U4338" s="84"/>
      <c r="V4338" s="54"/>
    </row>
    <row r="4339" spans="1:22" s="11" customFormat="1" ht="45" customHeight="1" x14ac:dyDescent="0.2">
      <c r="A4339" s="66" t="s">
        <v>15654</v>
      </c>
      <c r="B4339" s="66" t="s">
        <v>26</v>
      </c>
      <c r="C4339" s="66" t="s">
        <v>15654</v>
      </c>
      <c r="D4339" s="66" t="s">
        <v>16146</v>
      </c>
      <c r="E4339" s="68" t="s">
        <v>16147</v>
      </c>
      <c r="F4339" s="66" t="s">
        <v>16148</v>
      </c>
      <c r="G4339" s="71">
        <v>3217</v>
      </c>
      <c r="H4339" s="73"/>
      <c r="I4339" s="75">
        <v>0.2</v>
      </c>
      <c r="J4339" s="77"/>
      <c r="K4339" s="66"/>
      <c r="L4339" s="66"/>
      <c r="M4339" s="79" t="str">
        <f>HYPERLINK("http://www.pristavka.com/catalog/pyramid_international/Pyr928/")</f>
        <v>http://www.pristavka.com/catalog/pyramid_international/Pyr928/</v>
      </c>
      <c r="N4339" s="71">
        <v>5299</v>
      </c>
      <c r="O4339" s="66" t="s">
        <v>27</v>
      </c>
      <c r="P4339" s="82" t="s">
        <v>16149</v>
      </c>
      <c r="Q4339" s="84" t="s">
        <v>1148</v>
      </c>
      <c r="R4339" s="84" t="s">
        <v>1068</v>
      </c>
      <c r="S4339" s="84">
        <v>3.7999999999999999E-2</v>
      </c>
      <c r="T4339" s="82" t="s">
        <v>16150</v>
      </c>
      <c r="U4339" s="84"/>
      <c r="V4339" s="54"/>
    </row>
    <row r="4340" spans="1:22" s="11" customFormat="1" ht="45" customHeight="1" x14ac:dyDescent="0.2">
      <c r="A4340" s="66" t="s">
        <v>15654</v>
      </c>
      <c r="B4340" s="66" t="s">
        <v>26</v>
      </c>
      <c r="C4340" s="66" t="s">
        <v>15654</v>
      </c>
      <c r="D4340" s="66" t="s">
        <v>16151</v>
      </c>
      <c r="E4340" s="68" t="s">
        <v>16152</v>
      </c>
      <c r="F4340" s="66" t="s">
        <v>16153</v>
      </c>
      <c r="G4340" s="71">
        <v>3058</v>
      </c>
      <c r="H4340" s="73"/>
      <c r="I4340" s="75">
        <v>0.2</v>
      </c>
      <c r="J4340" s="77"/>
      <c r="K4340" s="66"/>
      <c r="L4340" s="66"/>
      <c r="M4340" s="79" t="str">
        <f>HYPERLINK("http://www.pristavka.com/catalog/pyramid_international/Pyr845/")</f>
        <v>http://www.pristavka.com/catalog/pyramid_international/Pyr845/</v>
      </c>
      <c r="N4340" s="71">
        <v>5099</v>
      </c>
      <c r="O4340" s="66" t="s">
        <v>27</v>
      </c>
      <c r="P4340" s="82" t="s">
        <v>16154</v>
      </c>
      <c r="Q4340" s="84" t="s">
        <v>1102</v>
      </c>
      <c r="R4340" s="84" t="s">
        <v>1103</v>
      </c>
      <c r="S4340" s="84">
        <v>3.5999999999999997E-2</v>
      </c>
      <c r="T4340" s="82" t="s">
        <v>16155</v>
      </c>
      <c r="U4340" s="84"/>
      <c r="V4340" s="54"/>
    </row>
    <row r="4341" spans="1:22" s="11" customFormat="1" ht="45" customHeight="1" x14ac:dyDescent="0.2">
      <c r="A4341" s="66" t="s">
        <v>15654</v>
      </c>
      <c r="B4341" s="66" t="s">
        <v>26</v>
      </c>
      <c r="C4341" s="66" t="s">
        <v>15654</v>
      </c>
      <c r="D4341" s="66" t="s">
        <v>16156</v>
      </c>
      <c r="E4341" s="68" t="s">
        <v>16157</v>
      </c>
      <c r="F4341" s="66" t="s">
        <v>16158</v>
      </c>
      <c r="G4341" s="71">
        <v>2572</v>
      </c>
      <c r="H4341" s="73"/>
      <c r="I4341" s="75">
        <v>0.2</v>
      </c>
      <c r="J4341" s="77"/>
      <c r="K4341" s="66"/>
      <c r="L4341" s="66"/>
      <c r="M4341" s="79" t="str">
        <f>HYPERLINK("http://www.pristavka.com/catalog/pyramid_international/Pyr848/")</f>
        <v>http://www.pristavka.com/catalog/pyramid_international/Pyr848/</v>
      </c>
      <c r="N4341" s="71">
        <v>4299</v>
      </c>
      <c r="O4341" s="66" t="s">
        <v>27</v>
      </c>
      <c r="P4341" s="82" t="s">
        <v>16159</v>
      </c>
      <c r="Q4341" s="84" t="s">
        <v>1102</v>
      </c>
      <c r="R4341" s="84" t="s">
        <v>1103</v>
      </c>
      <c r="S4341" s="84">
        <v>5.8000000000000003E-2</v>
      </c>
      <c r="T4341" s="82" t="s">
        <v>16160</v>
      </c>
      <c r="U4341" s="84"/>
      <c r="V4341" s="54"/>
    </row>
    <row r="4342" spans="1:22" s="11" customFormat="1" ht="45" customHeight="1" x14ac:dyDescent="0.2">
      <c r="A4342" s="66" t="s">
        <v>15654</v>
      </c>
      <c r="B4342" s="66" t="s">
        <v>26</v>
      </c>
      <c r="C4342" s="66" t="s">
        <v>15654</v>
      </c>
      <c r="D4342" s="66" t="s">
        <v>16161</v>
      </c>
      <c r="E4342" s="68" t="s">
        <v>16162</v>
      </c>
      <c r="F4342" s="66" t="s">
        <v>16163</v>
      </c>
      <c r="G4342" s="71">
        <v>4802</v>
      </c>
      <c r="H4342" s="73"/>
      <c r="I4342" s="75">
        <v>0.2</v>
      </c>
      <c r="J4342" s="77"/>
      <c r="K4342" s="66"/>
      <c r="L4342" s="66"/>
      <c r="M4342" s="79" t="str">
        <f>HYPERLINK("http://www.pristavka.com/catalog/pyramid_international/Pyr846/")</f>
        <v>http://www.pristavka.com/catalog/pyramid_international/Pyr846/</v>
      </c>
      <c r="N4342" s="71">
        <v>7899</v>
      </c>
      <c r="O4342" s="66" t="s">
        <v>27</v>
      </c>
      <c r="P4342" s="82" t="s">
        <v>16164</v>
      </c>
      <c r="Q4342" s="84" t="s">
        <v>1102</v>
      </c>
      <c r="R4342" s="84" t="s">
        <v>1103</v>
      </c>
      <c r="S4342" s="84">
        <v>4.5999999999999999E-2</v>
      </c>
      <c r="T4342" s="82" t="s">
        <v>16165</v>
      </c>
      <c r="U4342" s="84"/>
      <c r="V4342" s="54"/>
    </row>
    <row r="4343" spans="1:22" s="11" customFormat="1" ht="45" customHeight="1" x14ac:dyDescent="0.2">
      <c r="A4343" s="66" t="s">
        <v>15654</v>
      </c>
      <c r="B4343" s="66" t="s">
        <v>26</v>
      </c>
      <c r="C4343" s="66" t="s">
        <v>15654</v>
      </c>
      <c r="D4343" s="66" t="s">
        <v>16166</v>
      </c>
      <c r="E4343" s="68" t="s">
        <v>16167</v>
      </c>
      <c r="F4343" s="66" t="s">
        <v>16168</v>
      </c>
      <c r="G4343" s="71">
        <v>3217</v>
      </c>
      <c r="H4343" s="73"/>
      <c r="I4343" s="75">
        <v>0.2</v>
      </c>
      <c r="J4343" s="77"/>
      <c r="K4343" s="66"/>
      <c r="L4343" s="66"/>
      <c r="M4343" s="79" t="str">
        <f>HYPERLINK("http://www.pristavka.com/catalog/pyramid_international/Pyr917/")</f>
        <v>http://www.pristavka.com/catalog/pyramid_international/Pyr917/</v>
      </c>
      <c r="N4343" s="71">
        <v>5299</v>
      </c>
      <c r="O4343" s="66" t="s">
        <v>27</v>
      </c>
      <c r="P4343" s="82" t="s">
        <v>16169</v>
      </c>
      <c r="Q4343" s="84" t="s">
        <v>1321</v>
      </c>
      <c r="R4343" s="84" t="s">
        <v>1322</v>
      </c>
      <c r="S4343" s="84">
        <v>4.5999999999999999E-2</v>
      </c>
      <c r="T4343" s="82" t="s">
        <v>16155</v>
      </c>
      <c r="U4343" s="84"/>
      <c r="V4343" s="54"/>
    </row>
    <row r="4344" spans="1:22" s="11" customFormat="1" ht="45" customHeight="1" x14ac:dyDescent="0.2">
      <c r="A4344" s="66" t="s">
        <v>15654</v>
      </c>
      <c r="B4344" s="66" t="s">
        <v>26</v>
      </c>
      <c r="C4344" s="66" t="s">
        <v>15654</v>
      </c>
      <c r="D4344" s="66" t="s">
        <v>16170</v>
      </c>
      <c r="E4344" s="68" t="s">
        <v>16171</v>
      </c>
      <c r="F4344" s="66" t="s">
        <v>16172</v>
      </c>
      <c r="G4344" s="71">
        <v>2572</v>
      </c>
      <c r="H4344" s="73"/>
      <c r="I4344" s="75">
        <v>0.2</v>
      </c>
      <c r="J4344" s="77"/>
      <c r="K4344" s="66"/>
      <c r="L4344" s="66"/>
      <c r="M4344" s="79" t="str">
        <f>HYPERLINK("http://www.pristavka.com/catalog/pyramid_international/Pyr919/")</f>
        <v>http://www.pristavka.com/catalog/pyramid_international/Pyr919/</v>
      </c>
      <c r="N4344" s="71">
        <v>4299</v>
      </c>
      <c r="O4344" s="66" t="s">
        <v>27</v>
      </c>
      <c r="P4344" s="82" t="s">
        <v>16173</v>
      </c>
      <c r="Q4344" s="84" t="s">
        <v>1321</v>
      </c>
      <c r="R4344" s="84" t="s">
        <v>1322</v>
      </c>
      <c r="S4344" s="84">
        <v>6.4000000000000001E-2</v>
      </c>
      <c r="T4344" s="82" t="s">
        <v>16160</v>
      </c>
      <c r="U4344" s="84"/>
      <c r="V4344" s="54"/>
    </row>
    <row r="4345" spans="1:22" s="11" customFormat="1" ht="45" customHeight="1" x14ac:dyDescent="0.2">
      <c r="A4345" s="66" t="s">
        <v>15654</v>
      </c>
      <c r="B4345" s="66" t="s">
        <v>26</v>
      </c>
      <c r="C4345" s="66" t="s">
        <v>15654</v>
      </c>
      <c r="D4345" s="66" t="s">
        <v>16174</v>
      </c>
      <c r="E4345" s="68" t="s">
        <v>16175</v>
      </c>
      <c r="F4345" s="66" t="s">
        <v>16176</v>
      </c>
      <c r="G4345" s="71">
        <v>3217</v>
      </c>
      <c r="H4345" s="73"/>
      <c r="I4345" s="75">
        <v>0.2</v>
      </c>
      <c r="J4345" s="77"/>
      <c r="K4345" s="66"/>
      <c r="L4345" s="66"/>
      <c r="M4345" s="79" t="str">
        <f>HYPERLINK("http://www.pristavka.com/catalog/pyramid_international/Pyr920/")</f>
        <v>http://www.pristavka.com/catalog/pyramid_international/Pyr920/</v>
      </c>
      <c r="N4345" s="71">
        <v>5299</v>
      </c>
      <c r="O4345" s="66" t="s">
        <v>27</v>
      </c>
      <c r="P4345" s="82" t="s">
        <v>16177</v>
      </c>
      <c r="Q4345" s="84" t="s">
        <v>1321</v>
      </c>
      <c r="R4345" s="84" t="s">
        <v>1322</v>
      </c>
      <c r="S4345" s="84">
        <v>3.7999999999999999E-2</v>
      </c>
      <c r="T4345" s="82" t="s">
        <v>16155</v>
      </c>
      <c r="U4345" s="84"/>
      <c r="V4345" s="54"/>
    </row>
    <row r="4346" spans="1:22" s="11" customFormat="1" ht="45" customHeight="1" x14ac:dyDescent="0.2">
      <c r="A4346" s="66" t="s">
        <v>15654</v>
      </c>
      <c r="B4346" s="66" t="s">
        <v>26</v>
      </c>
      <c r="C4346" s="66" t="s">
        <v>15654</v>
      </c>
      <c r="D4346" s="66" t="s">
        <v>16178</v>
      </c>
      <c r="E4346" s="68" t="s">
        <v>16179</v>
      </c>
      <c r="F4346" s="66" t="s">
        <v>16180</v>
      </c>
      <c r="G4346" s="71">
        <v>7057</v>
      </c>
      <c r="H4346" s="73"/>
      <c r="I4346" s="75">
        <v>0.2</v>
      </c>
      <c r="J4346" s="77"/>
      <c r="K4346" s="66"/>
      <c r="L4346" s="66"/>
      <c r="M4346" s="79" t="str">
        <f>HYPERLINK("http://www.pristavka.com/catalog/pyramid_international/Pyr864/")</f>
        <v>http://www.pristavka.com/catalog/pyramid_international/Pyr864/</v>
      </c>
      <c r="N4346" s="71">
        <v>11599</v>
      </c>
      <c r="O4346" s="66" t="s">
        <v>27</v>
      </c>
      <c r="P4346" s="82" t="s">
        <v>16181</v>
      </c>
      <c r="Q4346" s="84" t="s">
        <v>1314</v>
      </c>
      <c r="R4346" s="84" t="s">
        <v>1315</v>
      </c>
      <c r="S4346" s="84">
        <v>0.16600000000000001</v>
      </c>
      <c r="T4346" s="82" t="s">
        <v>16182</v>
      </c>
      <c r="U4346" s="84"/>
      <c r="V4346" s="54"/>
    </row>
    <row r="4347" spans="1:22" s="11" customFormat="1" ht="45" customHeight="1" x14ac:dyDescent="0.2">
      <c r="A4347" s="66" t="s">
        <v>15654</v>
      </c>
      <c r="B4347" s="66" t="s">
        <v>26</v>
      </c>
      <c r="C4347" s="66" t="s">
        <v>15654</v>
      </c>
      <c r="D4347" s="66" t="s">
        <v>16183</v>
      </c>
      <c r="E4347" s="68" t="s">
        <v>16184</v>
      </c>
      <c r="F4347" s="66" t="s">
        <v>16185</v>
      </c>
      <c r="G4347" s="71">
        <v>6413</v>
      </c>
      <c r="H4347" s="73"/>
      <c r="I4347" s="75">
        <v>0.2</v>
      </c>
      <c r="J4347" s="77"/>
      <c r="K4347" s="66"/>
      <c r="L4347" s="66"/>
      <c r="M4347" s="79" t="str">
        <f>HYPERLINK("http://www.pristavka.com/catalog/pyramid_international/Pyr929/")</f>
        <v>http://www.pristavka.com/catalog/pyramid_international/Pyr929/</v>
      </c>
      <c r="N4347" s="71">
        <v>10599</v>
      </c>
      <c r="O4347" s="66" t="s">
        <v>28</v>
      </c>
      <c r="P4347" s="82" t="s">
        <v>16186</v>
      </c>
      <c r="Q4347" s="84" t="s">
        <v>1148</v>
      </c>
      <c r="R4347" s="84" t="s">
        <v>1068</v>
      </c>
      <c r="S4347" s="84">
        <v>0.45</v>
      </c>
      <c r="T4347" s="82" t="s">
        <v>16187</v>
      </c>
      <c r="U4347" s="84"/>
      <c r="V4347" s="54"/>
    </row>
    <row r="4348" spans="1:22" s="11" customFormat="1" ht="45" customHeight="1" x14ac:dyDescent="0.2">
      <c r="A4348" s="66" t="s">
        <v>15654</v>
      </c>
      <c r="B4348" s="66" t="s">
        <v>26</v>
      </c>
      <c r="C4348" s="66" t="s">
        <v>15654</v>
      </c>
      <c r="D4348" s="66" t="s">
        <v>16188</v>
      </c>
      <c r="E4348" s="68" t="s">
        <v>16189</v>
      </c>
      <c r="F4348" s="66" t="s">
        <v>16190</v>
      </c>
      <c r="G4348" s="71">
        <v>5673</v>
      </c>
      <c r="H4348" s="73"/>
      <c r="I4348" s="75">
        <v>0.2</v>
      </c>
      <c r="J4348" s="77"/>
      <c r="K4348" s="66"/>
      <c r="L4348" s="66"/>
      <c r="M4348" s="79" t="str">
        <f>HYPERLINK("http://www.pristavka.com/catalog/pyramid_international/Pyr765/")</f>
        <v>http://www.pristavka.com/catalog/pyramid_international/Pyr765/</v>
      </c>
      <c r="N4348" s="71">
        <v>9499</v>
      </c>
      <c r="O4348" s="66" t="s">
        <v>28</v>
      </c>
      <c r="P4348" s="82" t="s">
        <v>16191</v>
      </c>
      <c r="Q4348" s="84" t="s">
        <v>4985</v>
      </c>
      <c r="R4348" s="84" t="s">
        <v>1068</v>
      </c>
      <c r="S4348" s="84">
        <v>0.5</v>
      </c>
      <c r="T4348" s="82" t="s">
        <v>16192</v>
      </c>
      <c r="U4348" s="84" t="s">
        <v>3708</v>
      </c>
      <c r="V4348" s="54"/>
    </row>
    <row r="4349" spans="1:22" s="11" customFormat="1" ht="45" customHeight="1" x14ac:dyDescent="0.2">
      <c r="A4349" s="66" t="s">
        <v>15654</v>
      </c>
      <c r="B4349" s="66" t="s">
        <v>1155</v>
      </c>
      <c r="C4349" s="66" t="s">
        <v>15654</v>
      </c>
      <c r="D4349" s="66" t="s">
        <v>16193</v>
      </c>
      <c r="E4349" s="68" t="s">
        <v>16194</v>
      </c>
      <c r="F4349" s="66" t="s">
        <v>16195</v>
      </c>
      <c r="G4349" s="71">
        <v>6307</v>
      </c>
      <c r="H4349" s="73"/>
      <c r="I4349" s="75">
        <v>0.2</v>
      </c>
      <c r="J4349" s="77"/>
      <c r="K4349" s="66"/>
      <c r="L4349" s="66"/>
      <c r="M4349" s="79" t="str">
        <f>HYPERLINK("http://www.pristavka.com/catalog/pyramid_international/Pyr782/")</f>
        <v>http://www.pristavka.com/catalog/pyramid_international/Pyr782/</v>
      </c>
      <c r="N4349" s="71">
        <v>10599</v>
      </c>
      <c r="O4349" s="66" t="s">
        <v>27</v>
      </c>
      <c r="P4349" s="82" t="s">
        <v>16196</v>
      </c>
      <c r="Q4349" s="84" t="s">
        <v>3566</v>
      </c>
      <c r="R4349" s="84" t="s">
        <v>1303</v>
      </c>
      <c r="S4349" s="84">
        <v>0.42699999999999999</v>
      </c>
      <c r="T4349" s="82" t="s">
        <v>16187</v>
      </c>
      <c r="U4349" s="84"/>
      <c r="V4349" s="54"/>
    </row>
    <row r="4350" spans="1:22" s="11" customFormat="1" ht="45" customHeight="1" x14ac:dyDescent="0.2">
      <c r="A4350" s="66" t="s">
        <v>15654</v>
      </c>
      <c r="B4350" s="66" t="s">
        <v>26</v>
      </c>
      <c r="C4350" s="66" t="s">
        <v>15654</v>
      </c>
      <c r="D4350" s="66" t="s">
        <v>16197</v>
      </c>
      <c r="E4350" s="68" t="s">
        <v>16198</v>
      </c>
      <c r="F4350" s="66" t="s">
        <v>16199</v>
      </c>
      <c r="G4350" s="71">
        <v>6413</v>
      </c>
      <c r="H4350" s="73"/>
      <c r="I4350" s="75">
        <v>0.2</v>
      </c>
      <c r="J4350" s="77"/>
      <c r="K4350" s="66"/>
      <c r="L4350" s="66"/>
      <c r="M4350" s="79" t="str">
        <f>HYPERLINK("http://www.pristavka.com/catalog/pyramid_international/Pyr831/")</f>
        <v>http://www.pristavka.com/catalog/pyramid_international/Pyr831/</v>
      </c>
      <c r="N4350" s="71">
        <v>10599</v>
      </c>
      <c r="O4350" s="66" t="s">
        <v>28</v>
      </c>
      <c r="P4350" s="82" t="s">
        <v>16200</v>
      </c>
      <c r="Q4350" s="84" t="s">
        <v>1102</v>
      </c>
      <c r="R4350" s="84" t="s">
        <v>1103</v>
      </c>
      <c r="S4350" s="84">
        <v>0.42599999999999999</v>
      </c>
      <c r="T4350" s="82" t="s">
        <v>16201</v>
      </c>
      <c r="U4350" s="84"/>
      <c r="V4350" s="54"/>
    </row>
    <row r="4351" spans="1:22" s="11" customFormat="1" ht="45" customHeight="1" x14ac:dyDescent="0.2">
      <c r="A4351" s="66" t="s">
        <v>15654</v>
      </c>
      <c r="B4351" s="66" t="s">
        <v>26</v>
      </c>
      <c r="C4351" s="66" t="s">
        <v>15654</v>
      </c>
      <c r="D4351" s="66" t="s">
        <v>16202</v>
      </c>
      <c r="E4351" s="68" t="s">
        <v>16203</v>
      </c>
      <c r="F4351" s="66" t="s">
        <v>16204</v>
      </c>
      <c r="G4351" s="71">
        <v>6413</v>
      </c>
      <c r="H4351" s="73"/>
      <c r="I4351" s="75">
        <v>0.2</v>
      </c>
      <c r="J4351" s="77"/>
      <c r="K4351" s="66"/>
      <c r="L4351" s="66"/>
      <c r="M4351" s="79" t="str">
        <f>HYPERLINK("http://www.pristavka.com/catalog/pyramid_international/Pyr829/")</f>
        <v>http://www.pristavka.com/catalog/pyramid_international/Pyr829/</v>
      </c>
      <c r="N4351" s="71">
        <v>10599</v>
      </c>
      <c r="O4351" s="66" t="s">
        <v>27</v>
      </c>
      <c r="P4351" s="82" t="s">
        <v>16205</v>
      </c>
      <c r="Q4351" s="84" t="s">
        <v>1102</v>
      </c>
      <c r="R4351" s="84" t="s">
        <v>1103</v>
      </c>
      <c r="S4351" s="84">
        <v>0.45</v>
      </c>
      <c r="T4351" s="82" t="s">
        <v>16187</v>
      </c>
      <c r="U4351" s="84"/>
      <c r="V4351" s="54"/>
    </row>
    <row r="4352" spans="1:22" s="11" customFormat="1" ht="45" customHeight="1" x14ac:dyDescent="0.2">
      <c r="A4352" s="66" t="s">
        <v>15654</v>
      </c>
      <c r="B4352" s="66" t="s">
        <v>26</v>
      </c>
      <c r="C4352" s="66" t="s">
        <v>15654</v>
      </c>
      <c r="D4352" s="66" t="s">
        <v>16206</v>
      </c>
      <c r="E4352" s="68" t="s">
        <v>16207</v>
      </c>
      <c r="F4352" s="66" t="s">
        <v>16208</v>
      </c>
      <c r="G4352" s="71">
        <v>6413</v>
      </c>
      <c r="H4352" s="73"/>
      <c r="I4352" s="75">
        <v>0.2</v>
      </c>
      <c r="J4352" s="77"/>
      <c r="K4352" s="66"/>
      <c r="L4352" s="66"/>
      <c r="M4352" s="79" t="str">
        <f>HYPERLINK("http://www.pristavka.com/catalog/pyramid_international/Pyr828/")</f>
        <v>http://www.pristavka.com/catalog/pyramid_international/Pyr828/</v>
      </c>
      <c r="N4352" s="71">
        <v>10599</v>
      </c>
      <c r="O4352" s="66" t="s">
        <v>28</v>
      </c>
      <c r="P4352" s="82" t="s">
        <v>16209</v>
      </c>
      <c r="Q4352" s="84" t="s">
        <v>1102</v>
      </c>
      <c r="R4352" s="84" t="s">
        <v>1103</v>
      </c>
      <c r="S4352" s="84">
        <v>0.42099999999999999</v>
      </c>
      <c r="T4352" s="82" t="s">
        <v>16201</v>
      </c>
      <c r="U4352" s="84"/>
      <c r="V4352" s="54"/>
    </row>
    <row r="4353" spans="1:22" s="11" customFormat="1" ht="45" customHeight="1" x14ac:dyDescent="0.2">
      <c r="A4353" s="66" t="s">
        <v>15654</v>
      </c>
      <c r="B4353" s="66" t="s">
        <v>1155</v>
      </c>
      <c r="C4353" s="66" t="s">
        <v>15654</v>
      </c>
      <c r="D4353" s="66" t="s">
        <v>16210</v>
      </c>
      <c r="E4353" s="68" t="s">
        <v>16211</v>
      </c>
      <c r="F4353" s="66" t="s">
        <v>16212</v>
      </c>
      <c r="G4353" s="71">
        <v>5039</v>
      </c>
      <c r="H4353" s="73"/>
      <c r="I4353" s="75">
        <v>0.2</v>
      </c>
      <c r="J4353" s="77"/>
      <c r="K4353" s="66"/>
      <c r="L4353" s="66"/>
      <c r="M4353" s="79" t="str">
        <f>HYPERLINK("http://www.pristavka.com/catalog/pyramid_international/Pyr6/")</f>
        <v>http://www.pristavka.com/catalog/pyramid_international/Pyr6/</v>
      </c>
      <c r="N4353" s="71">
        <v>8399</v>
      </c>
      <c r="O4353" s="66" t="s">
        <v>27</v>
      </c>
      <c r="P4353" s="82" t="s">
        <v>16213</v>
      </c>
      <c r="Q4353" s="84" t="s">
        <v>16214</v>
      </c>
      <c r="R4353" s="84" t="s">
        <v>859</v>
      </c>
      <c r="S4353" s="84">
        <v>0.5</v>
      </c>
      <c r="T4353" s="82" t="s">
        <v>16215</v>
      </c>
      <c r="U4353" s="84"/>
      <c r="V4353" s="54"/>
    </row>
    <row r="4354" spans="1:22" s="11" customFormat="1" ht="45" customHeight="1" x14ac:dyDescent="0.2">
      <c r="A4354" s="66" t="s">
        <v>15654</v>
      </c>
      <c r="B4354" s="66" t="s">
        <v>26</v>
      </c>
      <c r="C4354" s="66" t="s">
        <v>15654</v>
      </c>
      <c r="D4354" s="66" t="s">
        <v>16216</v>
      </c>
      <c r="E4354" s="68" t="s">
        <v>16217</v>
      </c>
      <c r="F4354" s="66" t="s">
        <v>16218</v>
      </c>
      <c r="G4354" s="71">
        <v>6413</v>
      </c>
      <c r="H4354" s="73"/>
      <c r="I4354" s="75">
        <v>0.2</v>
      </c>
      <c r="J4354" s="77"/>
      <c r="K4354" s="66"/>
      <c r="L4354" s="66"/>
      <c r="M4354" s="79" t="str">
        <f>HYPERLINK("http://www.pristavka.com/catalog/pyramid_international/Pyr925/")</f>
        <v>http://www.pristavka.com/catalog/pyramid_international/Pyr925/</v>
      </c>
      <c r="N4354" s="71">
        <v>10599</v>
      </c>
      <c r="O4354" s="66" t="s">
        <v>27</v>
      </c>
      <c r="P4354" s="82" t="s">
        <v>16219</v>
      </c>
      <c r="Q4354" s="84" t="s">
        <v>1240</v>
      </c>
      <c r="R4354" s="84" t="s">
        <v>70</v>
      </c>
      <c r="S4354" s="84">
        <v>0.45</v>
      </c>
      <c r="T4354" s="82" t="s">
        <v>16187</v>
      </c>
      <c r="U4354" s="84"/>
      <c r="V4354" s="54"/>
    </row>
    <row r="4355" spans="1:22" s="11" customFormat="1" ht="45" customHeight="1" x14ac:dyDescent="0.2">
      <c r="A4355" s="66" t="s">
        <v>15654</v>
      </c>
      <c r="B4355" s="66" t="s">
        <v>26</v>
      </c>
      <c r="C4355" s="66" t="s">
        <v>15654</v>
      </c>
      <c r="D4355" s="66" t="s">
        <v>16220</v>
      </c>
      <c r="E4355" s="68" t="s">
        <v>16221</v>
      </c>
      <c r="F4355" s="66" t="s">
        <v>16222</v>
      </c>
      <c r="G4355" s="71">
        <v>1606</v>
      </c>
      <c r="H4355" s="73"/>
      <c r="I4355" s="75">
        <v>0.2</v>
      </c>
      <c r="J4355" s="77"/>
      <c r="K4355" s="66"/>
      <c r="L4355" s="66"/>
      <c r="M4355" s="79" t="str">
        <f>HYPERLINK("http://www.pristavka.com/catalog/pyramid_international/Pyr849/")</f>
        <v>http://www.pristavka.com/catalog/pyramid_international/Pyr849/</v>
      </c>
      <c r="N4355" s="71">
        <v>2699</v>
      </c>
      <c r="O4355" s="66" t="s">
        <v>27</v>
      </c>
      <c r="P4355" s="82" t="s">
        <v>16223</v>
      </c>
      <c r="Q4355" s="84" t="s">
        <v>1102</v>
      </c>
      <c r="R4355" s="84" t="s">
        <v>1103</v>
      </c>
      <c r="S4355" s="84">
        <v>2.8000000000000001E-2</v>
      </c>
      <c r="T4355" s="82" t="s">
        <v>16224</v>
      </c>
      <c r="U4355" s="84"/>
      <c r="V4355" s="54"/>
    </row>
    <row r="4356" spans="1:22" s="11" customFormat="1" ht="45" customHeight="1" x14ac:dyDescent="0.2">
      <c r="A4356" s="66" t="s">
        <v>15654</v>
      </c>
      <c r="B4356" s="66" t="s">
        <v>26</v>
      </c>
      <c r="C4356" s="66" t="s">
        <v>15654</v>
      </c>
      <c r="D4356" s="66" t="s">
        <v>16225</v>
      </c>
      <c r="E4356" s="68" t="s">
        <v>16226</v>
      </c>
      <c r="F4356" s="66" t="s">
        <v>16227</v>
      </c>
      <c r="G4356" s="71">
        <v>1606</v>
      </c>
      <c r="H4356" s="73"/>
      <c r="I4356" s="75">
        <v>0.2</v>
      </c>
      <c r="J4356" s="77"/>
      <c r="K4356" s="66"/>
      <c r="L4356" s="66"/>
      <c r="M4356" s="79" t="str">
        <f>HYPERLINK("http://www.pristavka.com/catalog/pyramid_international/Pyr933/")</f>
        <v>http://www.pristavka.com/catalog/pyramid_international/Pyr933/</v>
      </c>
      <c r="N4356" s="71">
        <v>2699</v>
      </c>
      <c r="O4356" s="66" t="s">
        <v>27</v>
      </c>
      <c r="P4356" s="82" t="s">
        <v>16228</v>
      </c>
      <c r="Q4356" s="84" t="s">
        <v>1148</v>
      </c>
      <c r="R4356" s="84" t="s">
        <v>1068</v>
      </c>
      <c r="S4356" s="84">
        <v>3.5000000000000003E-2</v>
      </c>
      <c r="T4356" s="82" t="s">
        <v>16229</v>
      </c>
      <c r="U4356" s="84"/>
      <c r="V4356" s="54"/>
    </row>
    <row r="4357" spans="1:22" s="11" customFormat="1" ht="45" customHeight="1" x14ac:dyDescent="0.2">
      <c r="A4357" s="66" t="s">
        <v>15654</v>
      </c>
      <c r="B4357" s="66" t="s">
        <v>26</v>
      </c>
      <c r="C4357" s="66" t="s">
        <v>15654</v>
      </c>
      <c r="D4357" s="66" t="s">
        <v>16230</v>
      </c>
      <c r="E4357" s="68" t="s">
        <v>16231</v>
      </c>
      <c r="F4357" s="66" t="s">
        <v>16232</v>
      </c>
      <c r="G4357" s="71">
        <v>5446</v>
      </c>
      <c r="H4357" s="73"/>
      <c r="I4357" s="75">
        <v>0.2</v>
      </c>
      <c r="J4357" s="77"/>
      <c r="K4357" s="66"/>
      <c r="L4357" s="66"/>
      <c r="M4357" s="79" t="str">
        <f>HYPERLINK("http://www.pristavka.com/catalog/pyramid_international/Pyr800/")</f>
        <v>http://www.pristavka.com/catalog/pyramid_international/Pyr800/</v>
      </c>
      <c r="N4357" s="71">
        <v>8999</v>
      </c>
      <c r="O4357" s="66" t="s">
        <v>27</v>
      </c>
      <c r="P4357" s="82" t="s">
        <v>16233</v>
      </c>
      <c r="Q4357" s="84" t="s">
        <v>1594</v>
      </c>
      <c r="R4357" s="84" t="s">
        <v>1075</v>
      </c>
      <c r="S4357" s="84">
        <v>7.0999999999999994E-2</v>
      </c>
      <c r="T4357" s="82" t="s">
        <v>16234</v>
      </c>
      <c r="U4357" s="84"/>
      <c r="V4357" s="54"/>
    </row>
    <row r="4358" spans="1:22" s="11" customFormat="1" ht="45" customHeight="1" x14ac:dyDescent="0.2">
      <c r="A4358" s="66" t="s">
        <v>15654</v>
      </c>
      <c r="B4358" s="66" t="s">
        <v>26</v>
      </c>
      <c r="C4358" s="66" t="s">
        <v>15654</v>
      </c>
      <c r="D4358" s="66" t="s">
        <v>16235</v>
      </c>
      <c r="E4358" s="68" t="s">
        <v>16236</v>
      </c>
      <c r="F4358" s="66" t="s">
        <v>16237</v>
      </c>
      <c r="G4358" s="71">
        <v>5446</v>
      </c>
      <c r="H4358" s="73"/>
      <c r="I4358" s="75">
        <v>0.2</v>
      </c>
      <c r="J4358" s="77"/>
      <c r="K4358" s="66"/>
      <c r="L4358" s="66"/>
      <c r="M4358" s="79" t="str">
        <f>HYPERLINK("http://www.pristavka.com/catalog/pyramid_international/Pyr799/")</f>
        <v>http://www.pristavka.com/catalog/pyramid_international/Pyr799/</v>
      </c>
      <c r="N4358" s="71">
        <v>8999</v>
      </c>
      <c r="O4358" s="66" t="s">
        <v>27</v>
      </c>
      <c r="P4358" s="82" t="s">
        <v>16238</v>
      </c>
      <c r="Q4358" s="84" t="s">
        <v>1594</v>
      </c>
      <c r="R4358" s="84" t="s">
        <v>1075</v>
      </c>
      <c r="S4358" s="84">
        <v>8.2000000000000003E-2</v>
      </c>
      <c r="T4358" s="82" t="s">
        <v>16234</v>
      </c>
      <c r="U4358" s="84"/>
      <c r="V4358" s="54"/>
    </row>
    <row r="4359" spans="1:22" s="11" customFormat="1" ht="45" customHeight="1" x14ac:dyDescent="0.2">
      <c r="A4359" s="66" t="s">
        <v>15654</v>
      </c>
      <c r="B4359" s="66" t="s">
        <v>26</v>
      </c>
      <c r="C4359" s="66" t="s">
        <v>15654</v>
      </c>
      <c r="D4359" s="66" t="s">
        <v>16239</v>
      </c>
      <c r="E4359" s="68" t="s">
        <v>16240</v>
      </c>
      <c r="F4359" s="66" t="s">
        <v>16241</v>
      </c>
      <c r="G4359" s="71">
        <v>5446</v>
      </c>
      <c r="H4359" s="73"/>
      <c r="I4359" s="75">
        <v>0.2</v>
      </c>
      <c r="J4359" s="77"/>
      <c r="K4359" s="66"/>
      <c r="L4359" s="66"/>
      <c r="M4359" s="79" t="str">
        <f>HYPERLINK("http://www.pristavka.com/catalog/pyramid_international/Pyr810/")</f>
        <v>http://www.pristavka.com/catalog/pyramid_international/Pyr810/</v>
      </c>
      <c r="N4359" s="71">
        <v>8999</v>
      </c>
      <c r="O4359" s="66" t="s">
        <v>27</v>
      </c>
      <c r="P4359" s="82" t="s">
        <v>16242</v>
      </c>
      <c r="Q4359" s="84" t="s">
        <v>1594</v>
      </c>
      <c r="R4359" s="84" t="s">
        <v>1075</v>
      </c>
      <c r="S4359" s="84">
        <v>8.6999999999999994E-2</v>
      </c>
      <c r="T4359" s="82" t="s">
        <v>16234</v>
      </c>
      <c r="U4359" s="84"/>
      <c r="V4359" s="54"/>
    </row>
    <row r="4360" spans="1:22" s="11" customFormat="1" ht="45" customHeight="1" x14ac:dyDescent="0.2">
      <c r="A4360" s="66" t="s">
        <v>15654</v>
      </c>
      <c r="B4360" s="66" t="s">
        <v>26</v>
      </c>
      <c r="C4360" s="66" t="s">
        <v>15654</v>
      </c>
      <c r="D4360" s="66" t="s">
        <v>16243</v>
      </c>
      <c r="E4360" s="68" t="s">
        <v>16244</v>
      </c>
      <c r="F4360" s="66" t="s">
        <v>16245</v>
      </c>
      <c r="G4360" s="71">
        <v>5446</v>
      </c>
      <c r="H4360" s="73"/>
      <c r="I4360" s="75">
        <v>0.2</v>
      </c>
      <c r="J4360" s="77"/>
      <c r="K4360" s="66"/>
      <c r="L4360" s="66"/>
      <c r="M4360" s="79" t="str">
        <f>HYPERLINK("http://www.pristavka.com/catalog/pyramid_international/Pyr869/")</f>
        <v>http://www.pristavka.com/catalog/pyramid_international/Pyr869/</v>
      </c>
      <c r="N4360" s="71">
        <v>8999</v>
      </c>
      <c r="O4360" s="66" t="s">
        <v>28</v>
      </c>
      <c r="P4360" s="82" t="s">
        <v>16246</v>
      </c>
      <c r="Q4360" s="84" t="s">
        <v>1594</v>
      </c>
      <c r="R4360" s="84" t="s">
        <v>1075</v>
      </c>
      <c r="S4360" s="84">
        <v>8.8999999999999996E-2</v>
      </c>
      <c r="T4360" s="82" t="s">
        <v>16234</v>
      </c>
      <c r="U4360" s="84"/>
      <c r="V4360" s="54"/>
    </row>
    <row r="4361" spans="1:22" s="11" customFormat="1" ht="45" customHeight="1" x14ac:dyDescent="0.2">
      <c r="A4361" s="66" t="s">
        <v>15654</v>
      </c>
      <c r="B4361" s="66" t="s">
        <v>26</v>
      </c>
      <c r="C4361" s="66" t="s">
        <v>15654</v>
      </c>
      <c r="D4361" s="66" t="s">
        <v>16247</v>
      </c>
      <c r="E4361" s="68" t="s">
        <v>16248</v>
      </c>
      <c r="F4361" s="66" t="s">
        <v>16249</v>
      </c>
      <c r="G4361" s="71">
        <v>5446</v>
      </c>
      <c r="H4361" s="73"/>
      <c r="I4361" s="75">
        <v>0.2</v>
      </c>
      <c r="J4361" s="77"/>
      <c r="K4361" s="66"/>
      <c r="L4361" s="66"/>
      <c r="M4361" s="79" t="str">
        <f>HYPERLINK("http://www.pristavka.com/catalog/pyramid_international/Pyr879/")</f>
        <v>http://www.pristavka.com/catalog/pyramid_international/Pyr879/</v>
      </c>
      <c r="N4361" s="71">
        <v>8999</v>
      </c>
      <c r="O4361" s="66" t="s">
        <v>27</v>
      </c>
      <c r="P4361" s="82" t="s">
        <v>16250</v>
      </c>
      <c r="Q4361" s="84" t="s">
        <v>1594</v>
      </c>
      <c r="R4361" s="84" t="s">
        <v>1075</v>
      </c>
      <c r="S4361" s="84">
        <v>8.7999999999999995E-2</v>
      </c>
      <c r="T4361" s="82" t="s">
        <v>16234</v>
      </c>
      <c r="U4361" s="84"/>
      <c r="V4361" s="54"/>
    </row>
    <row r="4362" spans="1:22" s="11" customFormat="1" ht="45" customHeight="1" x14ac:dyDescent="0.2">
      <c r="A4362" s="66" t="s">
        <v>15654</v>
      </c>
      <c r="B4362" s="66" t="s">
        <v>26</v>
      </c>
      <c r="C4362" s="66" t="s">
        <v>15654</v>
      </c>
      <c r="D4362" s="66" t="s">
        <v>16251</v>
      </c>
      <c r="E4362" s="68" t="s">
        <v>16252</v>
      </c>
      <c r="F4362" s="66" t="s">
        <v>16253</v>
      </c>
      <c r="G4362" s="71">
        <v>5446</v>
      </c>
      <c r="H4362" s="73"/>
      <c r="I4362" s="75">
        <v>0.2</v>
      </c>
      <c r="J4362" s="77"/>
      <c r="K4362" s="66"/>
      <c r="L4362" s="66"/>
      <c r="M4362" s="79" t="str">
        <f>HYPERLINK("http://www.pristavka.com/catalog/pyramid_international/Pyr922/")</f>
        <v>http://www.pristavka.com/catalog/pyramid_international/Pyr922/</v>
      </c>
      <c r="N4362" s="71">
        <v>8999</v>
      </c>
      <c r="O4362" s="66" t="s">
        <v>27</v>
      </c>
      <c r="P4362" s="82" t="s">
        <v>16254</v>
      </c>
      <c r="Q4362" s="84" t="s">
        <v>1594</v>
      </c>
      <c r="R4362" s="84" t="s">
        <v>1075</v>
      </c>
      <c r="S4362" s="84">
        <v>8.6999999999999994E-2</v>
      </c>
      <c r="T4362" s="82" t="s">
        <v>16234</v>
      </c>
      <c r="U4362" s="84"/>
      <c r="V4362" s="54"/>
    </row>
    <row r="4363" spans="1:22" s="11" customFormat="1" ht="45" customHeight="1" x14ac:dyDescent="0.2">
      <c r="A4363" s="66" t="s">
        <v>15654</v>
      </c>
      <c r="B4363" s="66" t="s">
        <v>26</v>
      </c>
      <c r="C4363" s="66" t="s">
        <v>15654</v>
      </c>
      <c r="D4363" s="66" t="s">
        <v>16255</v>
      </c>
      <c r="E4363" s="68" t="s">
        <v>16256</v>
      </c>
      <c r="F4363" s="66" t="s">
        <v>16257</v>
      </c>
      <c r="G4363" s="71">
        <v>9635</v>
      </c>
      <c r="H4363" s="73"/>
      <c r="I4363" s="75">
        <v>0.2</v>
      </c>
      <c r="J4363" s="77"/>
      <c r="K4363" s="66"/>
      <c r="L4363" s="66"/>
      <c r="M4363" s="79" t="str">
        <f>HYPERLINK("http://www.pristavka.com/catalog/pyramid_international/Pyr851/")</f>
        <v>http://www.pristavka.com/catalog/pyramid_international/Pyr851/</v>
      </c>
      <c r="N4363" s="71">
        <v>15799</v>
      </c>
      <c r="O4363" s="66" t="s">
        <v>28</v>
      </c>
      <c r="P4363" s="82" t="s">
        <v>16258</v>
      </c>
      <c r="Q4363" s="84" t="s">
        <v>1068</v>
      </c>
      <c r="R4363" s="84" t="s">
        <v>1068</v>
      </c>
      <c r="S4363" s="84">
        <v>0.50900000000000001</v>
      </c>
      <c r="T4363" s="82" t="s">
        <v>16259</v>
      </c>
      <c r="U4363" s="84"/>
      <c r="V4363" s="54"/>
    </row>
    <row r="4364" spans="1:22" s="11" customFormat="1" ht="45" customHeight="1" x14ac:dyDescent="0.2">
      <c r="A4364" s="66" t="s">
        <v>15654</v>
      </c>
      <c r="B4364" s="66" t="s">
        <v>26</v>
      </c>
      <c r="C4364" s="66" t="s">
        <v>15654</v>
      </c>
      <c r="D4364" s="66" t="s">
        <v>16260</v>
      </c>
      <c r="E4364" s="68" t="s">
        <v>16261</v>
      </c>
      <c r="F4364" s="66" t="s">
        <v>16262</v>
      </c>
      <c r="G4364" s="71">
        <v>9635</v>
      </c>
      <c r="H4364" s="73"/>
      <c r="I4364" s="75">
        <v>0.2</v>
      </c>
      <c r="J4364" s="77"/>
      <c r="K4364" s="66"/>
      <c r="L4364" s="66"/>
      <c r="M4364" s="79" t="str">
        <f>HYPERLINK("http://www.pristavka.com/catalog/pyramid_international/Pyr867/")</f>
        <v>http://www.pristavka.com/catalog/pyramid_international/Pyr867/</v>
      </c>
      <c r="N4364" s="71">
        <v>15799</v>
      </c>
      <c r="O4364" s="66" t="s">
        <v>27</v>
      </c>
      <c r="P4364" s="82" t="s">
        <v>16263</v>
      </c>
      <c r="Q4364" s="84" t="s">
        <v>1068</v>
      </c>
      <c r="R4364" s="84" t="s">
        <v>1068</v>
      </c>
      <c r="S4364" s="84">
        <v>0.56999999999999995</v>
      </c>
      <c r="T4364" s="82" t="s">
        <v>16264</v>
      </c>
      <c r="U4364" s="84"/>
      <c r="V4364" s="54"/>
    </row>
    <row r="4365" spans="1:22" s="11" customFormat="1" ht="45" customHeight="1" x14ac:dyDescent="0.2">
      <c r="A4365" s="66" t="s">
        <v>15654</v>
      </c>
      <c r="B4365" s="66" t="s">
        <v>26</v>
      </c>
      <c r="C4365" s="66" t="s">
        <v>15654</v>
      </c>
      <c r="D4365" s="66" t="s">
        <v>16265</v>
      </c>
      <c r="E4365" s="68" t="s">
        <v>16266</v>
      </c>
      <c r="F4365" s="66" t="s">
        <v>16267</v>
      </c>
      <c r="G4365" s="71">
        <v>6413</v>
      </c>
      <c r="H4365" s="73"/>
      <c r="I4365" s="75">
        <v>0.2</v>
      </c>
      <c r="J4365" s="77"/>
      <c r="K4365" s="66"/>
      <c r="L4365" s="66"/>
      <c r="M4365" s="79" t="str">
        <f>HYPERLINK("http://www.pristavka.com/catalog/pyramid_international/Pyr948/")</f>
        <v>http://www.pristavka.com/catalog/pyramid_international/Pyr948/</v>
      </c>
      <c r="N4365" s="71">
        <v>10599</v>
      </c>
      <c r="O4365" s="66" t="s">
        <v>28</v>
      </c>
      <c r="P4365" s="82" t="s">
        <v>16268</v>
      </c>
      <c r="Q4365" s="84" t="s">
        <v>1256</v>
      </c>
      <c r="R4365" s="84" t="s">
        <v>3327</v>
      </c>
      <c r="S4365" s="84">
        <v>0.32</v>
      </c>
      <c r="T4365" s="82" t="s">
        <v>16269</v>
      </c>
      <c r="U4365" s="84"/>
      <c r="V4365" s="54"/>
    </row>
    <row r="4366" spans="1:22" s="11" customFormat="1" ht="45" customHeight="1" x14ac:dyDescent="0.2">
      <c r="A4366" s="66" t="s">
        <v>15654</v>
      </c>
      <c r="B4366" s="66" t="s">
        <v>26</v>
      </c>
      <c r="C4366" s="66" t="s">
        <v>15654</v>
      </c>
      <c r="D4366" s="66" t="s">
        <v>16270</v>
      </c>
      <c r="E4366" s="68" t="s">
        <v>16271</v>
      </c>
      <c r="F4366" s="66" t="s">
        <v>16272</v>
      </c>
      <c r="G4366" s="71">
        <v>10279</v>
      </c>
      <c r="H4366" s="73"/>
      <c r="I4366" s="75">
        <v>0.2</v>
      </c>
      <c r="J4366" s="77"/>
      <c r="K4366" s="66"/>
      <c r="L4366" s="66"/>
      <c r="M4366" s="79" t="str">
        <f>HYPERLINK("http://www.pristavka.com/catalog/pyramid_international/Pyr884/")</f>
        <v>http://www.pristavka.com/catalog/pyramid_international/Pyr884/</v>
      </c>
      <c r="N4366" s="71">
        <v>16899</v>
      </c>
      <c r="O4366" s="66" t="s">
        <v>28</v>
      </c>
      <c r="P4366" s="82" t="s">
        <v>16273</v>
      </c>
      <c r="Q4366" s="84" t="s">
        <v>1240</v>
      </c>
      <c r="R4366" s="84" t="s">
        <v>70</v>
      </c>
      <c r="S4366" s="84">
        <v>0.317</v>
      </c>
      <c r="T4366" s="82" t="s">
        <v>16274</v>
      </c>
      <c r="U4366" s="84"/>
      <c r="V4366" s="54"/>
    </row>
    <row r="4367" spans="1:22" s="11" customFormat="1" ht="45" customHeight="1" x14ac:dyDescent="0.2">
      <c r="A4367" s="66" t="s">
        <v>15654</v>
      </c>
      <c r="B4367" s="66" t="s">
        <v>1155</v>
      </c>
      <c r="C4367" s="66" t="s">
        <v>15654</v>
      </c>
      <c r="D4367" s="66" t="s">
        <v>16275</v>
      </c>
      <c r="E4367" s="68" t="s">
        <v>16276</v>
      </c>
      <c r="F4367" s="66" t="s">
        <v>16277</v>
      </c>
      <c r="G4367" s="71">
        <v>5673</v>
      </c>
      <c r="H4367" s="73"/>
      <c r="I4367" s="75">
        <v>0.2</v>
      </c>
      <c r="J4367" s="77"/>
      <c r="K4367" s="66"/>
      <c r="L4367" s="66"/>
      <c r="M4367" s="79" t="str">
        <f>HYPERLINK("http://www.pristavka.com/catalog/pyramid_international/Pyr681/")</f>
        <v>http://www.pristavka.com/catalog/pyramid_international/Pyr681/</v>
      </c>
      <c r="N4367" s="71">
        <v>9499</v>
      </c>
      <c r="O4367" s="66" t="s">
        <v>27</v>
      </c>
      <c r="P4367" s="82" t="s">
        <v>16278</v>
      </c>
      <c r="Q4367" s="84" t="s">
        <v>3566</v>
      </c>
      <c r="R4367" s="84" t="s">
        <v>1303</v>
      </c>
      <c r="S4367" s="84">
        <v>0.4</v>
      </c>
      <c r="T4367" s="82" t="s">
        <v>16279</v>
      </c>
      <c r="U4367" s="84"/>
      <c r="V4367" s="54"/>
    </row>
    <row r="4368" spans="1:22" s="11" customFormat="1" ht="45" customHeight="1" x14ac:dyDescent="0.2">
      <c r="A4368" s="66" t="s">
        <v>15654</v>
      </c>
      <c r="B4368" s="66" t="s">
        <v>1155</v>
      </c>
      <c r="C4368" s="66" t="s">
        <v>15654</v>
      </c>
      <c r="D4368" s="66" t="s">
        <v>16280</v>
      </c>
      <c r="E4368" s="68" t="s">
        <v>16281</v>
      </c>
      <c r="F4368" s="66" t="s">
        <v>16282</v>
      </c>
      <c r="G4368" s="71">
        <v>7057</v>
      </c>
      <c r="H4368" s="73"/>
      <c r="I4368" s="75">
        <v>0.2</v>
      </c>
      <c r="J4368" s="77"/>
      <c r="K4368" s="66"/>
      <c r="L4368" s="66"/>
      <c r="M4368" s="79" t="str">
        <f>HYPERLINK("http://www.pristavka.com/catalog/pyramid_international/Pyr678/")</f>
        <v>http://www.pristavka.com/catalog/pyramid_international/Pyr678/</v>
      </c>
      <c r="N4368" s="71">
        <v>11599</v>
      </c>
      <c r="O4368" s="66" t="s">
        <v>28</v>
      </c>
      <c r="P4368" s="82" t="s">
        <v>16283</v>
      </c>
      <c r="Q4368" s="84" t="s">
        <v>1102</v>
      </c>
      <c r="R4368" s="84" t="s">
        <v>1303</v>
      </c>
      <c r="S4368" s="84">
        <v>0.4</v>
      </c>
      <c r="T4368" s="82" t="s">
        <v>16279</v>
      </c>
      <c r="U4368" s="84"/>
      <c r="V4368" s="54"/>
    </row>
    <row r="4369" spans="1:22" s="11" customFormat="1" ht="45" customHeight="1" x14ac:dyDescent="0.2">
      <c r="A4369" s="66" t="s">
        <v>15654</v>
      </c>
      <c r="B4369" s="66" t="s">
        <v>26</v>
      </c>
      <c r="C4369" s="66" t="s">
        <v>15654</v>
      </c>
      <c r="D4369" s="66" t="s">
        <v>16284</v>
      </c>
      <c r="E4369" s="68" t="s">
        <v>16285</v>
      </c>
      <c r="F4369" s="66" t="s">
        <v>16286</v>
      </c>
      <c r="G4369" s="71">
        <v>12535</v>
      </c>
      <c r="H4369" s="73"/>
      <c r="I4369" s="75">
        <v>0.2</v>
      </c>
      <c r="J4369" s="77"/>
      <c r="K4369" s="66"/>
      <c r="L4369" s="66"/>
      <c r="M4369" s="79" t="str">
        <f>HYPERLINK("http://www.pristavka.com/catalog/pyramid_international/Pyr838/")</f>
        <v>http://www.pristavka.com/catalog/pyramid_international/Pyr838/</v>
      </c>
      <c r="N4369" s="71">
        <v>20599</v>
      </c>
      <c r="O4369" s="66" t="s">
        <v>27</v>
      </c>
      <c r="P4369" s="82" t="s">
        <v>16287</v>
      </c>
      <c r="Q4369" s="84" t="s">
        <v>1102</v>
      </c>
      <c r="R4369" s="84" t="s">
        <v>1103</v>
      </c>
      <c r="S4369" s="84">
        <v>0.32400000000000001</v>
      </c>
      <c r="T4369" s="82" t="s">
        <v>16288</v>
      </c>
      <c r="U4369" s="84"/>
      <c r="V4369" s="54"/>
    </row>
    <row r="4370" spans="1:22" s="11" customFormat="1" ht="45" customHeight="1" x14ac:dyDescent="0.2">
      <c r="A4370" s="66" t="s">
        <v>15654</v>
      </c>
      <c r="B4370" s="66" t="s">
        <v>1155</v>
      </c>
      <c r="C4370" s="66" t="s">
        <v>15654</v>
      </c>
      <c r="D4370" s="66" t="s">
        <v>16289</v>
      </c>
      <c r="E4370" s="68" t="s">
        <v>16290</v>
      </c>
      <c r="F4370" s="66" t="s">
        <v>16291</v>
      </c>
      <c r="G4370" s="71">
        <v>7131</v>
      </c>
      <c r="H4370" s="73"/>
      <c r="I4370" s="75">
        <v>0.2</v>
      </c>
      <c r="J4370" s="77"/>
      <c r="K4370" s="66"/>
      <c r="L4370" s="66"/>
      <c r="M4370" s="79" t="str">
        <f>HYPERLINK("http://www.pristavka.com/catalog/pyramid_international/Pyr783/")</f>
        <v>http://www.pristavka.com/catalog/pyramid_international/Pyr783/</v>
      </c>
      <c r="N4370" s="71">
        <v>11899</v>
      </c>
      <c r="O4370" s="66" t="s">
        <v>28</v>
      </c>
      <c r="P4370" s="82" t="s">
        <v>16292</v>
      </c>
      <c r="Q4370" s="84" t="s">
        <v>1102</v>
      </c>
      <c r="R4370" s="84" t="s">
        <v>1303</v>
      </c>
      <c r="S4370" s="84">
        <v>0.21099999999999999</v>
      </c>
      <c r="T4370" s="82" t="s">
        <v>16293</v>
      </c>
      <c r="U4370" s="84"/>
      <c r="V4370" s="54"/>
    </row>
    <row r="4371" spans="1:22" s="11" customFormat="1" ht="45" customHeight="1" x14ac:dyDescent="0.2">
      <c r="A4371" s="66" t="s">
        <v>16294</v>
      </c>
      <c r="B4371" s="66" t="s">
        <v>1707</v>
      </c>
      <c r="C4371" s="66" t="s">
        <v>2232</v>
      </c>
      <c r="D4371" s="66" t="s">
        <v>16295</v>
      </c>
      <c r="E4371" s="68" t="s">
        <v>16296</v>
      </c>
      <c r="F4371" s="66" t="s">
        <v>16297</v>
      </c>
      <c r="G4371" s="71">
        <v>2760</v>
      </c>
      <c r="H4371" s="73"/>
      <c r="I4371" s="75">
        <v>0.1</v>
      </c>
      <c r="J4371" s="77"/>
      <c r="K4371" s="66"/>
      <c r="L4371" s="66"/>
      <c r="M4371" s="79" t="str">
        <f>HYPERLINK("http://www.pristavka.com/catalog/q_posket/BDQ24/")</f>
        <v>http://www.pristavka.com/catalog/q_posket/BDQ24/</v>
      </c>
      <c r="N4371" s="71">
        <v>4699</v>
      </c>
      <c r="O4371" s="66" t="s">
        <v>28</v>
      </c>
      <c r="P4371" s="82" t="s">
        <v>16298</v>
      </c>
      <c r="Q4371" s="84" t="s">
        <v>16299</v>
      </c>
      <c r="R4371" s="84" t="s">
        <v>1315</v>
      </c>
      <c r="S4371" s="84">
        <v>0.14599999999999999</v>
      </c>
      <c r="T4371" s="82" t="s">
        <v>2767</v>
      </c>
      <c r="U4371" s="84"/>
      <c r="V4371" s="54"/>
    </row>
    <row r="4372" spans="1:22" s="11" customFormat="1" ht="45" customHeight="1" x14ac:dyDescent="0.2">
      <c r="A4372" s="66" t="s">
        <v>16294</v>
      </c>
      <c r="B4372" s="66" t="s">
        <v>1707</v>
      </c>
      <c r="C4372" s="66" t="s">
        <v>2232</v>
      </c>
      <c r="D4372" s="66" t="s">
        <v>16300</v>
      </c>
      <c r="E4372" s="68" t="s">
        <v>16301</v>
      </c>
      <c r="F4372" s="66" t="s">
        <v>16302</v>
      </c>
      <c r="G4372" s="71">
        <v>2760</v>
      </c>
      <c r="H4372" s="73"/>
      <c r="I4372" s="75">
        <v>0.1</v>
      </c>
      <c r="J4372" s="77"/>
      <c r="K4372" s="66"/>
      <c r="L4372" s="66"/>
      <c r="M4372" s="79" t="str">
        <f>HYPERLINK("http://www.pristavka.com/catalog/q_posket/BDQ33/")</f>
        <v>http://www.pristavka.com/catalog/q_posket/BDQ33/</v>
      </c>
      <c r="N4372" s="71">
        <v>4699</v>
      </c>
      <c r="O4372" s="66" t="s">
        <v>28</v>
      </c>
      <c r="P4372" s="82" t="s">
        <v>16303</v>
      </c>
      <c r="Q4372" s="84" t="s">
        <v>1738</v>
      </c>
      <c r="R4372" s="84" t="s">
        <v>1315</v>
      </c>
      <c r="S4372" s="84">
        <v>0.16</v>
      </c>
      <c r="T4372" s="82" t="s">
        <v>2767</v>
      </c>
      <c r="U4372" s="84"/>
      <c r="V4372" s="54"/>
    </row>
    <row r="4373" spans="1:22" s="11" customFormat="1" ht="45" customHeight="1" x14ac:dyDescent="0.2">
      <c r="A4373" s="66" t="s">
        <v>16294</v>
      </c>
      <c r="B4373" s="66" t="s">
        <v>1707</v>
      </c>
      <c r="C4373" s="66" t="s">
        <v>2232</v>
      </c>
      <c r="D4373" s="66" t="s">
        <v>16304</v>
      </c>
      <c r="E4373" s="68" t="s">
        <v>16305</v>
      </c>
      <c r="F4373" s="66" t="s">
        <v>16306</v>
      </c>
      <c r="G4373" s="71">
        <v>17135</v>
      </c>
      <c r="H4373" s="73"/>
      <c r="I4373" s="75">
        <v>0.2</v>
      </c>
      <c r="J4373" s="77"/>
      <c r="K4373" s="66"/>
      <c r="L4373" s="66"/>
      <c r="M4373" s="79" t="str">
        <f>HYPERLINK("http://www.pristavka.com/catalog/q_posket/BDQ140/")</f>
        <v>http://www.pristavka.com/catalog/q_posket/BDQ140/</v>
      </c>
      <c r="N4373" s="71">
        <v>26399</v>
      </c>
      <c r="O4373" s="66" t="s">
        <v>27</v>
      </c>
      <c r="P4373" s="82" t="s">
        <v>16307</v>
      </c>
      <c r="Q4373" s="84" t="s">
        <v>1522</v>
      </c>
      <c r="R4373" s="84" t="s">
        <v>1068</v>
      </c>
      <c r="S4373" s="84">
        <v>0.19400000000000001</v>
      </c>
      <c r="T4373" s="82" t="s">
        <v>2399</v>
      </c>
      <c r="U4373" s="84"/>
      <c r="V4373" s="54"/>
    </row>
    <row r="4374" spans="1:22" s="11" customFormat="1" ht="45" customHeight="1" x14ac:dyDescent="0.2">
      <c r="A4374" s="66" t="s">
        <v>16294</v>
      </c>
      <c r="B4374" s="66" t="s">
        <v>1707</v>
      </c>
      <c r="C4374" s="66" t="s">
        <v>2232</v>
      </c>
      <c r="D4374" s="66">
        <v>4983164183825</v>
      </c>
      <c r="E4374" s="68" t="s">
        <v>16308</v>
      </c>
      <c r="F4374" s="66" t="s">
        <v>16309</v>
      </c>
      <c r="G4374" s="71">
        <v>6835</v>
      </c>
      <c r="H4374" s="73"/>
      <c r="I4374" s="75">
        <v>0.2</v>
      </c>
      <c r="J4374" s="77"/>
      <c r="K4374" s="66"/>
      <c r="L4374" s="66"/>
      <c r="M4374" s="79" t="str">
        <f>HYPERLINK("http://www.pristavka.com/catalog/q_posket/BDQ170/")</f>
        <v>http://www.pristavka.com/catalog/q_posket/BDQ170/</v>
      </c>
      <c r="N4374" s="71">
        <v>10599</v>
      </c>
      <c r="O4374" s="66" t="s">
        <v>27</v>
      </c>
      <c r="P4374" s="82" t="s">
        <v>16310</v>
      </c>
      <c r="Q4374" s="84" t="s">
        <v>1522</v>
      </c>
      <c r="R4374" s="84" t="s">
        <v>1068</v>
      </c>
      <c r="S4374" s="84">
        <v>0.23100000000000001</v>
      </c>
      <c r="T4374" s="82" t="s">
        <v>2284</v>
      </c>
      <c r="U4374" s="84"/>
      <c r="V4374" s="54"/>
    </row>
    <row r="4375" spans="1:22" s="11" customFormat="1" ht="45" customHeight="1" x14ac:dyDescent="0.2">
      <c r="A4375" s="66" t="s">
        <v>16294</v>
      </c>
      <c r="B4375" s="66" t="s">
        <v>1707</v>
      </c>
      <c r="C4375" s="66" t="s">
        <v>2232</v>
      </c>
      <c r="D4375" s="66" t="s">
        <v>16311</v>
      </c>
      <c r="E4375" s="68" t="s">
        <v>16312</v>
      </c>
      <c r="F4375" s="66" t="s">
        <v>16313</v>
      </c>
      <c r="G4375" s="71">
        <v>10453</v>
      </c>
      <c r="H4375" s="73"/>
      <c r="I4375" s="75">
        <v>0.1</v>
      </c>
      <c r="J4375" s="77"/>
      <c r="K4375" s="66"/>
      <c r="L4375" s="66"/>
      <c r="M4375" s="79" t="str">
        <f>HYPERLINK("http://www.pristavka.com/catalog/q_posket/BDQ124/")</f>
        <v>http://www.pristavka.com/catalog/q_posket/BDQ124/</v>
      </c>
      <c r="N4375" s="71">
        <v>16099</v>
      </c>
      <c r="O4375" s="66" t="s">
        <v>28</v>
      </c>
      <c r="P4375" s="82" t="s">
        <v>16314</v>
      </c>
      <c r="Q4375" s="84" t="s">
        <v>6264</v>
      </c>
      <c r="R4375" s="84" t="s">
        <v>1315</v>
      </c>
      <c r="S4375" s="84">
        <v>0.21</v>
      </c>
      <c r="T4375" s="82" t="s">
        <v>16315</v>
      </c>
      <c r="U4375" s="84"/>
      <c r="V4375" s="54"/>
    </row>
    <row r="4376" spans="1:22" s="11" customFormat="1" ht="45" customHeight="1" x14ac:dyDescent="0.2">
      <c r="A4376" s="66" t="s">
        <v>16294</v>
      </c>
      <c r="B4376" s="66" t="s">
        <v>1707</v>
      </c>
      <c r="C4376" s="66" t="s">
        <v>2232</v>
      </c>
      <c r="D4376" s="66">
        <v>4983164183733</v>
      </c>
      <c r="E4376" s="68" t="s">
        <v>16316</v>
      </c>
      <c r="F4376" s="66" t="s">
        <v>16317</v>
      </c>
      <c r="G4376" s="71">
        <v>8552</v>
      </c>
      <c r="H4376" s="73"/>
      <c r="I4376" s="75">
        <v>0.2</v>
      </c>
      <c r="J4376" s="77"/>
      <c r="K4376" s="66"/>
      <c r="L4376" s="66"/>
      <c r="M4376" s="79" t="str">
        <f>HYPERLINK("http://www.pristavka.com/catalog/q_posket/BDQ169/")</f>
        <v>http://www.pristavka.com/catalog/q_posket/BDQ169/</v>
      </c>
      <c r="N4376" s="71">
        <v>13199</v>
      </c>
      <c r="O4376" s="66" t="s">
        <v>27</v>
      </c>
      <c r="P4376" s="82" t="s">
        <v>16318</v>
      </c>
      <c r="Q4376" s="84" t="s">
        <v>1117</v>
      </c>
      <c r="R4376" s="84" t="s">
        <v>1068</v>
      </c>
      <c r="S4376" s="84">
        <v>0.18</v>
      </c>
      <c r="T4376" s="82" t="s">
        <v>2284</v>
      </c>
      <c r="U4376" s="84"/>
      <c r="V4376" s="54"/>
    </row>
    <row r="4377" spans="1:22" s="11" customFormat="1" ht="45" customHeight="1" x14ac:dyDescent="0.2">
      <c r="A4377" s="66" t="s">
        <v>16319</v>
      </c>
      <c r="B4377" s="66" t="s">
        <v>2223</v>
      </c>
      <c r="C4377" s="66" t="s">
        <v>16319</v>
      </c>
      <c r="D4377" s="66">
        <v>6931080103937</v>
      </c>
      <c r="E4377" s="68" t="s">
        <v>16320</v>
      </c>
      <c r="F4377" s="66" t="s">
        <v>16321</v>
      </c>
      <c r="G4377" s="71">
        <v>10269</v>
      </c>
      <c r="H4377" s="73"/>
      <c r="I4377" s="75">
        <v>0.2</v>
      </c>
      <c r="J4377" s="77"/>
      <c r="K4377" s="66"/>
      <c r="L4377" s="66"/>
      <c r="M4377" s="79" t="str">
        <f>HYPERLINK("http://www.pristavka.com/catalog/Sakami/SAKM15/")</f>
        <v>http://www.pristavka.com/catalog/Sakami/SAKM15/</v>
      </c>
      <c r="N4377" s="71">
        <v>15799</v>
      </c>
      <c r="O4377" s="66" t="s">
        <v>27</v>
      </c>
      <c r="P4377" s="82" t="s">
        <v>16322</v>
      </c>
      <c r="Q4377" s="84" t="s">
        <v>1148</v>
      </c>
      <c r="R4377" s="84" t="s">
        <v>1068</v>
      </c>
      <c r="S4377" s="84">
        <v>0.14899999999999999</v>
      </c>
      <c r="T4377" s="82" t="s">
        <v>16323</v>
      </c>
      <c r="U4377" s="84"/>
      <c r="V4377" s="54"/>
    </row>
    <row r="4378" spans="1:22" s="11" customFormat="1" ht="45" customHeight="1" x14ac:dyDescent="0.2">
      <c r="A4378" s="66" t="s">
        <v>16319</v>
      </c>
      <c r="B4378" s="66" t="s">
        <v>2223</v>
      </c>
      <c r="C4378" s="66" t="s">
        <v>16319</v>
      </c>
      <c r="D4378" s="66">
        <v>6931080108307</v>
      </c>
      <c r="E4378" s="68" t="s">
        <v>16324</v>
      </c>
      <c r="F4378" s="66" t="s">
        <v>16325</v>
      </c>
      <c r="G4378" s="71">
        <v>10955</v>
      </c>
      <c r="H4378" s="73"/>
      <c r="I4378" s="75">
        <v>0.2</v>
      </c>
      <c r="J4378" s="77"/>
      <c r="K4378" s="66"/>
      <c r="L4378" s="66"/>
      <c r="M4378" s="79" t="str">
        <f>HYPERLINK("http://www.pristavka.com/catalog/Sakami/SAKM14/")</f>
        <v>http://www.pristavka.com/catalog/Sakami/SAKM14/</v>
      </c>
      <c r="N4378" s="71">
        <v>16899</v>
      </c>
      <c r="O4378" s="66" t="s">
        <v>27</v>
      </c>
      <c r="P4378" s="82" t="s">
        <v>16326</v>
      </c>
      <c r="Q4378" s="84" t="s">
        <v>1148</v>
      </c>
      <c r="R4378" s="84" t="s">
        <v>1068</v>
      </c>
      <c r="S4378" s="84">
        <v>0.14499999999999999</v>
      </c>
      <c r="T4378" s="82" t="s">
        <v>12845</v>
      </c>
      <c r="U4378" s="84"/>
      <c r="V4378" s="54"/>
    </row>
    <row r="4379" spans="1:22" s="11" customFormat="1" ht="45" customHeight="1" x14ac:dyDescent="0.2">
      <c r="A4379" s="66" t="s">
        <v>16319</v>
      </c>
      <c r="B4379" s="66" t="s">
        <v>2223</v>
      </c>
      <c r="C4379" s="66" t="s">
        <v>16319</v>
      </c>
      <c r="D4379" s="66">
        <v>6931080103876</v>
      </c>
      <c r="E4379" s="68" t="s">
        <v>16327</v>
      </c>
      <c r="F4379" s="66" t="s">
        <v>16328</v>
      </c>
      <c r="G4379" s="71">
        <v>13702</v>
      </c>
      <c r="H4379" s="73"/>
      <c r="I4379" s="75">
        <v>0.2</v>
      </c>
      <c r="J4379" s="77"/>
      <c r="K4379" s="66"/>
      <c r="L4379" s="66"/>
      <c r="M4379" s="79" t="str">
        <f>HYPERLINK("http://www.pristavka.com/catalog/Sakami/SAKM13/")</f>
        <v>http://www.pristavka.com/catalog/Sakami/SAKM13/</v>
      </c>
      <c r="N4379" s="71">
        <v>21099</v>
      </c>
      <c r="O4379" s="66" t="s">
        <v>27</v>
      </c>
      <c r="P4379" s="82" t="s">
        <v>16329</v>
      </c>
      <c r="Q4379" s="84" t="s">
        <v>1148</v>
      </c>
      <c r="R4379" s="84" t="s">
        <v>1068</v>
      </c>
      <c r="S4379" s="84">
        <v>0.25800000000000001</v>
      </c>
      <c r="T4379" s="82" t="s">
        <v>16330</v>
      </c>
      <c r="U4379" s="84"/>
      <c r="V4379" s="54"/>
    </row>
    <row r="4380" spans="1:22" s="11" customFormat="1" ht="45" customHeight="1" x14ac:dyDescent="0.2">
      <c r="A4380" s="66" t="s">
        <v>16319</v>
      </c>
      <c r="B4380" s="66" t="s">
        <v>2223</v>
      </c>
      <c r="C4380" s="66" t="s">
        <v>16319</v>
      </c>
      <c r="D4380" s="66">
        <v>6931080103913</v>
      </c>
      <c r="E4380" s="68" t="s">
        <v>16331</v>
      </c>
      <c r="F4380" s="66" t="s">
        <v>16332</v>
      </c>
      <c r="G4380" s="71">
        <v>13702</v>
      </c>
      <c r="H4380" s="73"/>
      <c r="I4380" s="75">
        <v>0.2</v>
      </c>
      <c r="J4380" s="77"/>
      <c r="K4380" s="66"/>
      <c r="L4380" s="66"/>
      <c r="M4380" s="79" t="str">
        <f>HYPERLINK("http://www.pristavka.com/catalog/Sakami/SAKM17/")</f>
        <v>http://www.pristavka.com/catalog/Sakami/SAKM17/</v>
      </c>
      <c r="N4380" s="71">
        <v>21099</v>
      </c>
      <c r="O4380" s="66" t="s">
        <v>27</v>
      </c>
      <c r="P4380" s="82" t="s">
        <v>16333</v>
      </c>
      <c r="Q4380" s="84" t="s">
        <v>1148</v>
      </c>
      <c r="R4380" s="84" t="s">
        <v>1068</v>
      </c>
      <c r="S4380" s="84">
        <v>0.19500000000000001</v>
      </c>
      <c r="T4380" s="82" t="s">
        <v>16334</v>
      </c>
      <c r="U4380" s="84"/>
      <c r="V4380" s="54"/>
    </row>
    <row r="4381" spans="1:22" s="11" customFormat="1" ht="45" customHeight="1" x14ac:dyDescent="0.2">
      <c r="A4381" s="66" t="s">
        <v>16319</v>
      </c>
      <c r="B4381" s="66" t="s">
        <v>2223</v>
      </c>
      <c r="C4381" s="66" t="s">
        <v>16319</v>
      </c>
      <c r="D4381" s="66">
        <v>6931080103944</v>
      </c>
      <c r="E4381" s="68" t="s">
        <v>16335</v>
      </c>
      <c r="F4381" s="66" t="s">
        <v>16336</v>
      </c>
      <c r="G4381" s="71">
        <v>10955</v>
      </c>
      <c r="H4381" s="73"/>
      <c r="I4381" s="75">
        <v>0.2</v>
      </c>
      <c r="J4381" s="77"/>
      <c r="K4381" s="66"/>
      <c r="L4381" s="66"/>
      <c r="M4381" s="79" t="str">
        <f>HYPERLINK("http://www.pristavka.com/catalog/Sakami/SAKM16/")</f>
        <v>http://www.pristavka.com/catalog/Sakami/SAKM16/</v>
      </c>
      <c r="N4381" s="71">
        <v>16899</v>
      </c>
      <c r="O4381" s="66" t="s">
        <v>27</v>
      </c>
      <c r="P4381" s="82" t="s">
        <v>16337</v>
      </c>
      <c r="Q4381" s="84" t="s">
        <v>1148</v>
      </c>
      <c r="R4381" s="84" t="s">
        <v>1068</v>
      </c>
      <c r="S4381" s="84">
        <v>0.128</v>
      </c>
      <c r="T4381" s="82" t="s">
        <v>16338</v>
      </c>
      <c r="U4381" s="84"/>
      <c r="V4381" s="54"/>
    </row>
    <row r="4382" spans="1:22" s="11" customFormat="1" ht="45" customHeight="1" x14ac:dyDescent="0.2">
      <c r="A4382" s="66" t="s">
        <v>16319</v>
      </c>
      <c r="B4382" s="66" t="s">
        <v>2223</v>
      </c>
      <c r="C4382" s="66" t="s">
        <v>16319</v>
      </c>
      <c r="D4382" s="66">
        <v>6931080108321</v>
      </c>
      <c r="E4382" s="68" t="s">
        <v>16339</v>
      </c>
      <c r="F4382" s="66" t="s">
        <v>16340</v>
      </c>
      <c r="G4382" s="71">
        <v>10955</v>
      </c>
      <c r="H4382" s="73"/>
      <c r="I4382" s="75">
        <v>0.2</v>
      </c>
      <c r="J4382" s="77"/>
      <c r="K4382" s="66"/>
      <c r="L4382" s="66"/>
      <c r="M4382" s="79" t="str">
        <f>HYPERLINK("http://www.pristavka.com/catalog/Sakami/SAKM12/")</f>
        <v>http://www.pristavka.com/catalog/Sakami/SAKM12/</v>
      </c>
      <c r="N4382" s="71">
        <v>16899</v>
      </c>
      <c r="O4382" s="66" t="s">
        <v>27</v>
      </c>
      <c r="P4382" s="82" t="s">
        <v>16341</v>
      </c>
      <c r="Q4382" s="84" t="s">
        <v>1148</v>
      </c>
      <c r="R4382" s="84" t="s">
        <v>1068</v>
      </c>
      <c r="S4382" s="84">
        <v>0.14000000000000001</v>
      </c>
      <c r="T4382" s="82" t="s">
        <v>16342</v>
      </c>
      <c r="U4382" s="84"/>
      <c r="V4382" s="54"/>
    </row>
    <row r="4383" spans="1:22" s="11" customFormat="1" ht="45" customHeight="1" x14ac:dyDescent="0.2">
      <c r="A4383" s="66" t="s">
        <v>16319</v>
      </c>
      <c r="B4383" s="66" t="s">
        <v>2223</v>
      </c>
      <c r="C4383" s="66" t="s">
        <v>16319</v>
      </c>
      <c r="D4383" s="66">
        <v>6931080100905</v>
      </c>
      <c r="E4383" s="68" t="s">
        <v>16343</v>
      </c>
      <c r="F4383" s="66" t="s">
        <v>16344</v>
      </c>
      <c r="G4383" s="71">
        <v>10955</v>
      </c>
      <c r="H4383" s="73"/>
      <c r="I4383" s="75">
        <v>0.2</v>
      </c>
      <c r="J4383" s="77"/>
      <c r="K4383" s="66"/>
      <c r="L4383" s="66"/>
      <c r="M4383" s="79" t="str">
        <f>HYPERLINK("http://www.pristavka.com/catalog/Sakami/SAKM11/")</f>
        <v>http://www.pristavka.com/catalog/Sakami/SAKM11/</v>
      </c>
      <c r="N4383" s="71">
        <v>16899</v>
      </c>
      <c r="O4383" s="66" t="s">
        <v>27</v>
      </c>
      <c r="P4383" s="82" t="s">
        <v>16345</v>
      </c>
      <c r="Q4383" s="84" t="s">
        <v>1148</v>
      </c>
      <c r="R4383" s="84" t="s">
        <v>1068</v>
      </c>
      <c r="S4383" s="84">
        <v>0.128</v>
      </c>
      <c r="T4383" s="82" t="s">
        <v>16342</v>
      </c>
      <c r="U4383" s="84"/>
      <c r="V4383" s="54"/>
    </row>
    <row r="4384" spans="1:22" s="11" customFormat="1" ht="45" customHeight="1" x14ac:dyDescent="0.2">
      <c r="A4384" s="66" t="s">
        <v>16319</v>
      </c>
      <c r="B4384" s="66" t="s">
        <v>1707</v>
      </c>
      <c r="C4384" s="66" t="s">
        <v>16319</v>
      </c>
      <c r="D4384" s="66" t="s">
        <v>16346</v>
      </c>
      <c r="E4384" s="68" t="s">
        <v>16347</v>
      </c>
      <c r="F4384" s="66" t="s">
        <v>16348</v>
      </c>
      <c r="G4384" s="71">
        <v>8552</v>
      </c>
      <c r="H4384" s="73"/>
      <c r="I4384" s="75">
        <v>0.2</v>
      </c>
      <c r="J4384" s="77"/>
      <c r="K4384" s="66"/>
      <c r="L4384" s="66"/>
      <c r="M4384" s="79" t="str">
        <f>HYPERLINK("http://www.pristavka.com/catalog/Sakami/SAKM4/")</f>
        <v>http://www.pristavka.com/catalog/Sakami/SAKM4/</v>
      </c>
      <c r="N4384" s="71">
        <v>13199</v>
      </c>
      <c r="O4384" s="66" t="s">
        <v>28</v>
      </c>
      <c r="P4384" s="82" t="s">
        <v>16349</v>
      </c>
      <c r="Q4384" s="84" t="s">
        <v>1148</v>
      </c>
      <c r="R4384" s="84" t="s">
        <v>1068</v>
      </c>
      <c r="S4384" s="84">
        <v>0.22</v>
      </c>
      <c r="T4384" s="82" t="s">
        <v>16350</v>
      </c>
      <c r="U4384" s="84" t="s">
        <v>3708</v>
      </c>
      <c r="V4384" s="54"/>
    </row>
    <row r="4385" spans="1:22" s="11" customFormat="1" ht="45" customHeight="1" x14ac:dyDescent="0.2">
      <c r="A4385" s="66" t="s">
        <v>16319</v>
      </c>
      <c r="B4385" s="66" t="s">
        <v>1707</v>
      </c>
      <c r="C4385" s="66" t="s">
        <v>16319</v>
      </c>
      <c r="D4385" s="66" t="s">
        <v>16351</v>
      </c>
      <c r="E4385" s="68" t="s">
        <v>16352</v>
      </c>
      <c r="F4385" s="66" t="s">
        <v>16353</v>
      </c>
      <c r="G4385" s="71">
        <v>8552</v>
      </c>
      <c r="H4385" s="73"/>
      <c r="I4385" s="75">
        <v>0.2</v>
      </c>
      <c r="J4385" s="77"/>
      <c r="K4385" s="66"/>
      <c r="L4385" s="66"/>
      <c r="M4385" s="79" t="str">
        <f>HYPERLINK("http://www.pristavka.com/catalog/Sakami/SAKM1/")</f>
        <v>http://www.pristavka.com/catalog/Sakami/SAKM1/</v>
      </c>
      <c r="N4385" s="71">
        <v>13199</v>
      </c>
      <c r="O4385" s="66" t="s">
        <v>27</v>
      </c>
      <c r="P4385" s="82" t="s">
        <v>16354</v>
      </c>
      <c r="Q4385" s="84" t="s">
        <v>1148</v>
      </c>
      <c r="R4385" s="84" t="s">
        <v>1068</v>
      </c>
      <c r="S4385" s="84">
        <v>0.23499999999999999</v>
      </c>
      <c r="T4385" s="82" t="s">
        <v>16355</v>
      </c>
      <c r="U4385" s="84" t="s">
        <v>3708</v>
      </c>
      <c r="V4385" s="54"/>
    </row>
    <row r="4386" spans="1:22" s="11" customFormat="1" ht="45" customHeight="1" x14ac:dyDescent="0.2">
      <c r="A4386" s="66" t="s">
        <v>16319</v>
      </c>
      <c r="B4386" s="66" t="s">
        <v>1707</v>
      </c>
      <c r="C4386" s="66" t="s">
        <v>16319</v>
      </c>
      <c r="D4386" s="66" t="s">
        <v>16356</v>
      </c>
      <c r="E4386" s="68" t="s">
        <v>16357</v>
      </c>
      <c r="F4386" s="66" t="s">
        <v>16358</v>
      </c>
      <c r="G4386" s="71">
        <v>8552</v>
      </c>
      <c r="H4386" s="73"/>
      <c r="I4386" s="75">
        <v>0.2</v>
      </c>
      <c r="J4386" s="77"/>
      <c r="K4386" s="66"/>
      <c r="L4386" s="66"/>
      <c r="M4386" s="79" t="str">
        <f>HYPERLINK("http://www.pristavka.com/catalog/Sakami/SAKM2/")</f>
        <v>http://www.pristavka.com/catalog/Sakami/SAKM2/</v>
      </c>
      <c r="N4386" s="71">
        <v>13199</v>
      </c>
      <c r="O4386" s="66" t="s">
        <v>27</v>
      </c>
      <c r="P4386" s="82" t="s">
        <v>16359</v>
      </c>
      <c r="Q4386" s="84" t="s">
        <v>1148</v>
      </c>
      <c r="R4386" s="84" t="s">
        <v>1068</v>
      </c>
      <c r="S4386" s="84">
        <v>0.26400000000000001</v>
      </c>
      <c r="T4386" s="82" t="s">
        <v>16360</v>
      </c>
      <c r="U4386" s="84" t="s">
        <v>3708</v>
      </c>
      <c r="V4386" s="54"/>
    </row>
    <row r="4387" spans="1:22" s="11" customFormat="1" ht="45" customHeight="1" x14ac:dyDescent="0.2">
      <c r="A4387" s="66" t="s">
        <v>16319</v>
      </c>
      <c r="B4387" s="66" t="s">
        <v>1707</v>
      </c>
      <c r="C4387" s="66" t="s">
        <v>16319</v>
      </c>
      <c r="D4387" s="66" t="s">
        <v>16361</v>
      </c>
      <c r="E4387" s="68" t="s">
        <v>16362</v>
      </c>
      <c r="F4387" s="66" t="s">
        <v>16363</v>
      </c>
      <c r="G4387" s="71">
        <v>8552</v>
      </c>
      <c r="H4387" s="73"/>
      <c r="I4387" s="75">
        <v>0.2</v>
      </c>
      <c r="J4387" s="77"/>
      <c r="K4387" s="66"/>
      <c r="L4387" s="66"/>
      <c r="M4387" s="79" t="str">
        <f>HYPERLINK("http://www.pristavka.com/catalog/Sakami/SAKM8/")</f>
        <v>http://www.pristavka.com/catalog/Sakami/SAKM8/</v>
      </c>
      <c r="N4387" s="71">
        <v>13199</v>
      </c>
      <c r="O4387" s="66" t="s">
        <v>27</v>
      </c>
      <c r="P4387" s="82" t="s">
        <v>16364</v>
      </c>
      <c r="Q4387" s="84" t="s">
        <v>1148</v>
      </c>
      <c r="R4387" s="84" t="s">
        <v>1068</v>
      </c>
      <c r="S4387" s="84">
        <v>0.248</v>
      </c>
      <c r="T4387" s="82" t="s">
        <v>16360</v>
      </c>
      <c r="U4387" s="84" t="s">
        <v>3708</v>
      </c>
      <c r="V4387" s="54"/>
    </row>
    <row r="4388" spans="1:22" s="11" customFormat="1" ht="45" customHeight="1" x14ac:dyDescent="0.2">
      <c r="A4388" s="66" t="s">
        <v>16365</v>
      </c>
      <c r="B4388" s="66" t="s">
        <v>1155</v>
      </c>
      <c r="C4388" s="66" t="s">
        <v>16365</v>
      </c>
      <c r="D4388" s="66">
        <v>3760226377917</v>
      </c>
      <c r="E4388" s="68" t="s">
        <v>16366</v>
      </c>
      <c r="F4388" s="66" t="s">
        <v>16367</v>
      </c>
      <c r="G4388" s="71">
        <v>13359</v>
      </c>
      <c r="H4388" s="73"/>
      <c r="I4388" s="75">
        <v>0.2</v>
      </c>
      <c r="J4388" s="77"/>
      <c r="K4388" s="66"/>
      <c r="L4388" s="66"/>
      <c r="M4388" s="79" t="str">
        <f>HYPERLINK("http://www.pristavka.com/catalog/Semic/SEM4/")</f>
        <v>http://www.pristavka.com/catalog/Semic/SEM4/</v>
      </c>
      <c r="N4388" s="71">
        <v>20599</v>
      </c>
      <c r="O4388" s="66" t="s">
        <v>28</v>
      </c>
      <c r="P4388" s="82" t="s">
        <v>16368</v>
      </c>
      <c r="Q4388" s="84" t="s">
        <v>3511</v>
      </c>
      <c r="R4388" s="84" t="s">
        <v>3512</v>
      </c>
      <c r="S4388" s="84">
        <v>0.83099999999999996</v>
      </c>
      <c r="T4388" s="82" t="s">
        <v>16369</v>
      </c>
      <c r="U4388" s="84"/>
      <c r="V4388" s="54"/>
    </row>
    <row r="4389" spans="1:22" s="11" customFormat="1" ht="45" customHeight="1" x14ac:dyDescent="0.2">
      <c r="A4389" s="66" t="s">
        <v>16365</v>
      </c>
      <c r="B4389" s="66" t="s">
        <v>1707</v>
      </c>
      <c r="C4389" s="66" t="s">
        <v>16365</v>
      </c>
      <c r="D4389" s="66">
        <v>812095025512</v>
      </c>
      <c r="E4389" s="68" t="s">
        <v>16370</v>
      </c>
      <c r="F4389" s="66" t="s">
        <v>16371</v>
      </c>
      <c r="G4389" s="71">
        <v>17711</v>
      </c>
      <c r="H4389" s="73"/>
      <c r="I4389" s="75">
        <v>0.2</v>
      </c>
      <c r="J4389" s="77"/>
      <c r="K4389" s="66"/>
      <c r="L4389" s="66"/>
      <c r="M4389" s="79" t="str">
        <f>HYPERLINK("http://www.pristavka.com/catalog/Semic/SEM13/")</f>
        <v>http://www.pristavka.com/catalog/Semic/SEM13/</v>
      </c>
      <c r="N4389" s="71">
        <v>25399</v>
      </c>
      <c r="O4389" s="66" t="s">
        <v>28</v>
      </c>
      <c r="P4389" s="82" t="s">
        <v>16372</v>
      </c>
      <c r="Q4389" s="84" t="s">
        <v>1314</v>
      </c>
      <c r="R4389" s="84" t="s">
        <v>1315</v>
      </c>
      <c r="S4389" s="84">
        <v>0.151</v>
      </c>
      <c r="T4389" s="82" t="s">
        <v>16373</v>
      </c>
      <c r="U4389" s="84"/>
      <c r="V4389" s="54"/>
    </row>
    <row r="4390" spans="1:22" s="11" customFormat="1" ht="45" customHeight="1" x14ac:dyDescent="0.2">
      <c r="A4390" s="66" t="s">
        <v>16374</v>
      </c>
      <c r="B4390" s="66" t="s">
        <v>1155</v>
      </c>
      <c r="C4390" s="66" t="s">
        <v>16374</v>
      </c>
      <c r="D4390" s="66" t="s">
        <v>16375</v>
      </c>
      <c r="E4390" s="68" t="s">
        <v>16376</v>
      </c>
      <c r="F4390" s="66" t="s">
        <v>16377</v>
      </c>
      <c r="G4390" s="71">
        <v>2689</v>
      </c>
      <c r="H4390" s="73"/>
      <c r="I4390" s="75">
        <v>0.2</v>
      </c>
      <c r="J4390" s="77"/>
      <c r="K4390" s="66"/>
      <c r="L4390" s="66"/>
      <c r="M4390" s="79" t="str">
        <f>HYPERLINK("https://pristavka.com/catalog/sihir_dukkani/SDN119/")</f>
        <v>https://pristavka.com/catalog/sihir_dukkani/SDN119/</v>
      </c>
      <c r="N4390" s="71">
        <v>4499</v>
      </c>
      <c r="O4390" s="66" t="s">
        <v>28</v>
      </c>
      <c r="P4390" s="82" t="s">
        <v>16378</v>
      </c>
      <c r="Q4390" s="84" t="s">
        <v>1102</v>
      </c>
      <c r="R4390" s="84" t="s">
        <v>1103</v>
      </c>
      <c r="S4390" s="84">
        <v>6.4000000000000001E-2</v>
      </c>
      <c r="T4390" s="82" t="s">
        <v>16379</v>
      </c>
      <c r="U4390" s="84" t="s">
        <v>3708</v>
      </c>
      <c r="V4390" s="54"/>
    </row>
    <row r="4391" spans="1:22" s="11" customFormat="1" ht="45" customHeight="1" x14ac:dyDescent="0.2">
      <c r="A4391" s="66" t="s">
        <v>16374</v>
      </c>
      <c r="B4391" s="66" t="s">
        <v>1155</v>
      </c>
      <c r="C4391" s="66" t="s">
        <v>16374</v>
      </c>
      <c r="D4391" s="66" t="s">
        <v>16380</v>
      </c>
      <c r="E4391" s="68" t="s">
        <v>16381</v>
      </c>
      <c r="F4391" s="66" t="s">
        <v>16382</v>
      </c>
      <c r="G4391" s="71">
        <v>787</v>
      </c>
      <c r="H4391" s="73"/>
      <c r="I4391" s="75">
        <v>0.2</v>
      </c>
      <c r="J4391" s="77"/>
      <c r="K4391" s="66"/>
      <c r="L4391" s="66"/>
      <c r="M4391" s="79" t="str">
        <f>HYPERLINK("https://pristavka.com/catalog/sihir_dukkani/SDN57/")</f>
        <v>https://pristavka.com/catalog/sihir_dukkani/SDN57/</v>
      </c>
      <c r="N4391" s="71">
        <v>1399</v>
      </c>
      <c r="O4391" s="66" t="s">
        <v>28</v>
      </c>
      <c r="P4391" s="82" t="s">
        <v>16383</v>
      </c>
      <c r="Q4391" s="84" t="s">
        <v>1102</v>
      </c>
      <c r="R4391" s="84" t="s">
        <v>1103</v>
      </c>
      <c r="S4391" s="84">
        <v>0.112</v>
      </c>
      <c r="T4391" s="82" t="s">
        <v>16384</v>
      </c>
      <c r="U4391" s="84" t="s">
        <v>3708</v>
      </c>
      <c r="V4391" s="54"/>
    </row>
    <row r="4392" spans="1:22" s="11" customFormat="1" ht="45" customHeight="1" x14ac:dyDescent="0.2">
      <c r="A4392" s="66" t="s">
        <v>16374</v>
      </c>
      <c r="B4392" s="66" t="s">
        <v>1155</v>
      </c>
      <c r="C4392" s="66" t="s">
        <v>16374</v>
      </c>
      <c r="D4392" s="66" t="s">
        <v>16385</v>
      </c>
      <c r="E4392" s="68" t="s">
        <v>16386</v>
      </c>
      <c r="F4392" s="66" t="s">
        <v>16387</v>
      </c>
      <c r="G4392" s="71">
        <v>787</v>
      </c>
      <c r="H4392" s="73"/>
      <c r="I4392" s="75">
        <v>0.2</v>
      </c>
      <c r="J4392" s="77"/>
      <c r="K4392" s="66"/>
      <c r="L4392" s="66"/>
      <c r="M4392" s="79" t="str">
        <f>HYPERLINK("https://pristavka.com/catalog/sihir_dukkani/SDN55/")</f>
        <v>https://pristavka.com/catalog/sihir_dukkani/SDN55/</v>
      </c>
      <c r="N4392" s="71">
        <v>1399</v>
      </c>
      <c r="O4392" s="66" t="s">
        <v>28</v>
      </c>
      <c r="P4392" s="82" t="s">
        <v>16388</v>
      </c>
      <c r="Q4392" s="84" t="s">
        <v>1102</v>
      </c>
      <c r="R4392" s="84" t="s">
        <v>1103</v>
      </c>
      <c r="S4392" s="84">
        <v>1.4999999999999999E-2</v>
      </c>
      <c r="T4392" s="82" t="s">
        <v>16384</v>
      </c>
      <c r="U4392" s="84" t="s">
        <v>3708</v>
      </c>
      <c r="V4392" s="54"/>
    </row>
    <row r="4393" spans="1:22" s="11" customFormat="1" ht="45" customHeight="1" x14ac:dyDescent="0.2">
      <c r="A4393" s="66" t="s">
        <v>16374</v>
      </c>
      <c r="B4393" s="66" t="s">
        <v>1155</v>
      </c>
      <c r="C4393" s="66" t="s">
        <v>16374</v>
      </c>
      <c r="D4393" s="66" t="s">
        <v>16389</v>
      </c>
      <c r="E4393" s="68" t="s">
        <v>16390</v>
      </c>
      <c r="F4393" s="66" t="s">
        <v>16391</v>
      </c>
      <c r="G4393" s="71">
        <v>787</v>
      </c>
      <c r="H4393" s="73"/>
      <c r="I4393" s="75">
        <v>0.2</v>
      </c>
      <c r="J4393" s="77"/>
      <c r="K4393" s="66"/>
      <c r="L4393" s="66"/>
      <c r="M4393" s="79" t="str">
        <f>HYPERLINK("https://pristavka.com/catalog/sihir_dukkani/SDN166/")</f>
        <v>https://pristavka.com/catalog/sihir_dukkani/SDN166/</v>
      </c>
      <c r="N4393" s="71">
        <v>1399</v>
      </c>
      <c r="O4393" s="66" t="s">
        <v>27</v>
      </c>
      <c r="P4393" s="82" t="s">
        <v>16392</v>
      </c>
      <c r="Q4393" s="84" t="s">
        <v>15888</v>
      </c>
      <c r="R4393" s="84" t="s">
        <v>1103</v>
      </c>
      <c r="S4393" s="84">
        <v>1.2E-2</v>
      </c>
      <c r="T4393" s="82" t="s">
        <v>16393</v>
      </c>
      <c r="U4393" s="84" t="s">
        <v>3708</v>
      </c>
      <c r="V4393" s="54"/>
    </row>
    <row r="4394" spans="1:22" s="11" customFormat="1" ht="45" customHeight="1" x14ac:dyDescent="0.2">
      <c r="A4394" s="66" t="s">
        <v>16374</v>
      </c>
      <c r="B4394" s="66" t="s">
        <v>1155</v>
      </c>
      <c r="C4394" s="66" t="s">
        <v>16374</v>
      </c>
      <c r="D4394" s="66" t="s">
        <v>16394</v>
      </c>
      <c r="E4394" s="68" t="s">
        <v>16395</v>
      </c>
      <c r="F4394" s="66" t="s">
        <v>16396</v>
      </c>
      <c r="G4394" s="71">
        <v>1262</v>
      </c>
      <c r="H4394" s="73"/>
      <c r="I4394" s="75">
        <v>0.2</v>
      </c>
      <c r="J4394" s="77"/>
      <c r="K4394" s="66"/>
      <c r="L4394" s="66"/>
      <c r="M4394" s="79" t="str">
        <f>HYPERLINK("https://pristavka.com/catalog/sihir_dukkani/SDN5/")</f>
        <v>https://pristavka.com/catalog/sihir_dukkani/SDN5/</v>
      </c>
      <c r="N4394" s="71">
        <v>2199</v>
      </c>
      <c r="O4394" s="66" t="s">
        <v>27</v>
      </c>
      <c r="P4394" s="82" t="s">
        <v>16397</v>
      </c>
      <c r="Q4394" s="84" t="s">
        <v>1102</v>
      </c>
      <c r="R4394" s="84" t="s">
        <v>1103</v>
      </c>
      <c r="S4394" s="84">
        <v>5.0999999999999997E-2</v>
      </c>
      <c r="T4394" s="82" t="s">
        <v>16398</v>
      </c>
      <c r="U4394" s="84" t="s">
        <v>3708</v>
      </c>
      <c r="V4394" s="54"/>
    </row>
    <row r="4395" spans="1:22" s="11" customFormat="1" ht="45" customHeight="1" x14ac:dyDescent="0.2">
      <c r="A4395" s="66" t="s">
        <v>16374</v>
      </c>
      <c r="B4395" s="66" t="s">
        <v>1155</v>
      </c>
      <c r="C4395" s="66" t="s">
        <v>16374</v>
      </c>
      <c r="D4395" s="66" t="s">
        <v>16399</v>
      </c>
      <c r="E4395" s="68" t="s">
        <v>16400</v>
      </c>
      <c r="F4395" s="66" t="s">
        <v>16401</v>
      </c>
      <c r="G4395" s="71">
        <v>5699</v>
      </c>
      <c r="H4395" s="73"/>
      <c r="I4395" s="75">
        <v>0.2</v>
      </c>
      <c r="J4395" s="77"/>
      <c r="K4395" s="66"/>
      <c r="L4395" s="66"/>
      <c r="M4395" s="79" t="str">
        <f>HYPERLINK("https://pristavka.com/catalog/sihir_dukkani/SDN1/")</f>
        <v>https://pristavka.com/catalog/sihir_dukkani/SDN1/</v>
      </c>
      <c r="N4395" s="71">
        <v>9599</v>
      </c>
      <c r="O4395" s="66" t="s">
        <v>27</v>
      </c>
      <c r="P4395" s="82" t="s">
        <v>16402</v>
      </c>
      <c r="Q4395" s="84" t="s">
        <v>1102</v>
      </c>
      <c r="R4395" s="84" t="s">
        <v>1103</v>
      </c>
      <c r="S4395" s="84">
        <v>0.125</v>
      </c>
      <c r="T4395" s="82" t="s">
        <v>16403</v>
      </c>
      <c r="U4395" s="84" t="s">
        <v>3708</v>
      </c>
      <c r="V4395" s="54"/>
    </row>
    <row r="4396" spans="1:22" s="11" customFormat="1" ht="45" customHeight="1" x14ac:dyDescent="0.2">
      <c r="A4396" s="66" t="s">
        <v>16374</v>
      </c>
      <c r="B4396" s="66" t="s">
        <v>1155</v>
      </c>
      <c r="C4396" s="66" t="s">
        <v>16374</v>
      </c>
      <c r="D4396" s="66" t="s">
        <v>16404</v>
      </c>
      <c r="E4396" s="68" t="s">
        <v>16405</v>
      </c>
      <c r="F4396" s="66" t="s">
        <v>16406</v>
      </c>
      <c r="G4396" s="71">
        <v>3481</v>
      </c>
      <c r="H4396" s="73"/>
      <c r="I4396" s="75">
        <v>0.2</v>
      </c>
      <c r="J4396" s="77"/>
      <c r="K4396" s="66"/>
      <c r="L4396" s="66"/>
      <c r="M4396" s="79" t="str">
        <f>HYPERLINK("https://pristavka.com/catalog/sihir_dukkani/SDN40/")</f>
        <v>https://pristavka.com/catalog/sihir_dukkani/SDN40/</v>
      </c>
      <c r="N4396" s="71">
        <v>5899</v>
      </c>
      <c r="O4396" s="66" t="s">
        <v>28</v>
      </c>
      <c r="P4396" s="82" t="s">
        <v>16407</v>
      </c>
      <c r="Q4396" s="84" t="s">
        <v>1102</v>
      </c>
      <c r="R4396" s="84" t="s">
        <v>1103</v>
      </c>
      <c r="S4396" s="84">
        <v>8.1000000000000003E-2</v>
      </c>
      <c r="T4396" s="82" t="s">
        <v>16408</v>
      </c>
      <c r="U4396" s="84" t="s">
        <v>3708</v>
      </c>
      <c r="V4396" s="54"/>
    </row>
    <row r="4397" spans="1:22" s="11" customFormat="1" ht="45" customHeight="1" x14ac:dyDescent="0.2">
      <c r="A4397" s="66" t="s">
        <v>16374</v>
      </c>
      <c r="B4397" s="66" t="s">
        <v>1155</v>
      </c>
      <c r="C4397" s="66" t="s">
        <v>16374</v>
      </c>
      <c r="D4397" s="66" t="s">
        <v>16409</v>
      </c>
      <c r="E4397" s="68" t="s">
        <v>16410</v>
      </c>
      <c r="F4397" s="66" t="s">
        <v>16411</v>
      </c>
      <c r="G4397" s="71">
        <v>3481</v>
      </c>
      <c r="H4397" s="73"/>
      <c r="I4397" s="75">
        <v>0.2</v>
      </c>
      <c r="J4397" s="77"/>
      <c r="K4397" s="66"/>
      <c r="L4397" s="66"/>
      <c r="M4397" s="79" t="str">
        <f>HYPERLINK("https://pristavka.com/catalog/sihir_dukkani/SDN44/")</f>
        <v>https://pristavka.com/catalog/sihir_dukkani/SDN44/</v>
      </c>
      <c r="N4397" s="71">
        <v>5899</v>
      </c>
      <c r="O4397" s="66" t="s">
        <v>27</v>
      </c>
      <c r="P4397" s="82" t="s">
        <v>16412</v>
      </c>
      <c r="Q4397" s="84" t="s">
        <v>1102</v>
      </c>
      <c r="R4397" s="84" t="s">
        <v>1103</v>
      </c>
      <c r="S4397" s="84">
        <v>0.09</v>
      </c>
      <c r="T4397" s="82" t="s">
        <v>16408</v>
      </c>
      <c r="U4397" s="84" t="s">
        <v>3708</v>
      </c>
      <c r="V4397" s="54"/>
    </row>
    <row r="4398" spans="1:22" s="11" customFormat="1" ht="45" customHeight="1" x14ac:dyDescent="0.2">
      <c r="A4398" s="66" t="s">
        <v>16374</v>
      </c>
      <c r="B4398" s="66" t="s">
        <v>1155</v>
      </c>
      <c r="C4398" s="66" t="s">
        <v>16374</v>
      </c>
      <c r="D4398" s="66" t="s">
        <v>16413</v>
      </c>
      <c r="E4398" s="68" t="s">
        <v>16414</v>
      </c>
      <c r="F4398" s="66" t="s">
        <v>16415</v>
      </c>
      <c r="G4398" s="71">
        <v>3798</v>
      </c>
      <c r="H4398" s="73"/>
      <c r="I4398" s="75">
        <v>0.2</v>
      </c>
      <c r="J4398" s="77"/>
      <c r="K4398" s="66"/>
      <c r="L4398" s="66"/>
      <c r="M4398" s="79" t="str">
        <f>HYPERLINK("https://pristavka.com/catalog/sihir_dukkani/SDN136/")</f>
        <v>https://pristavka.com/catalog/sihir_dukkani/SDN136/</v>
      </c>
      <c r="N4398" s="71">
        <v>6399</v>
      </c>
      <c r="O4398" s="66" t="s">
        <v>28</v>
      </c>
      <c r="P4398" s="82" t="s">
        <v>16416</v>
      </c>
      <c r="Q4398" s="84" t="s">
        <v>1102</v>
      </c>
      <c r="R4398" s="84" t="s">
        <v>1103</v>
      </c>
      <c r="S4398" s="84">
        <v>0.20300000000000001</v>
      </c>
      <c r="T4398" s="82" t="s">
        <v>16417</v>
      </c>
      <c r="U4398" s="84" t="s">
        <v>3708</v>
      </c>
      <c r="V4398" s="54"/>
    </row>
    <row r="4399" spans="1:22" s="11" customFormat="1" ht="45" customHeight="1" x14ac:dyDescent="0.2">
      <c r="A4399" s="66" t="s">
        <v>16374</v>
      </c>
      <c r="B4399" s="66" t="s">
        <v>1155</v>
      </c>
      <c r="C4399" s="66" t="s">
        <v>16374</v>
      </c>
      <c r="D4399" s="66" t="s">
        <v>16418</v>
      </c>
      <c r="E4399" s="68" t="s">
        <v>16419</v>
      </c>
      <c r="F4399" s="66" t="s">
        <v>16420</v>
      </c>
      <c r="G4399" s="71">
        <v>2689</v>
      </c>
      <c r="H4399" s="73"/>
      <c r="I4399" s="75">
        <v>0.2</v>
      </c>
      <c r="J4399" s="77"/>
      <c r="K4399" s="66"/>
      <c r="L4399" s="66"/>
      <c r="M4399" s="79" t="str">
        <f>HYPERLINK("https://pristavka.com/catalog/sihir_dukkani/SDN159/")</f>
        <v>https://pristavka.com/catalog/sihir_dukkani/SDN159/</v>
      </c>
      <c r="N4399" s="71">
        <v>4499</v>
      </c>
      <c r="O4399" s="66" t="s">
        <v>28</v>
      </c>
      <c r="P4399" s="82" t="s">
        <v>16421</v>
      </c>
      <c r="Q4399" s="84" t="s">
        <v>1102</v>
      </c>
      <c r="R4399" s="84" t="s">
        <v>1103</v>
      </c>
      <c r="S4399" s="84">
        <v>7.4999999999999997E-2</v>
      </c>
      <c r="T4399" s="82" t="s">
        <v>16422</v>
      </c>
      <c r="U4399" s="84" t="s">
        <v>3708</v>
      </c>
      <c r="V4399" s="54"/>
    </row>
    <row r="4400" spans="1:22" s="11" customFormat="1" ht="45" customHeight="1" x14ac:dyDescent="0.2">
      <c r="A4400" s="66" t="s">
        <v>16374</v>
      </c>
      <c r="B4400" s="66" t="s">
        <v>1155</v>
      </c>
      <c r="C4400" s="66" t="s">
        <v>16374</v>
      </c>
      <c r="D4400" s="66" t="s">
        <v>16423</v>
      </c>
      <c r="E4400" s="68" t="s">
        <v>16424</v>
      </c>
      <c r="F4400" s="66" t="s">
        <v>16425</v>
      </c>
      <c r="G4400" s="71">
        <v>4749</v>
      </c>
      <c r="H4400" s="73"/>
      <c r="I4400" s="75">
        <v>0.2</v>
      </c>
      <c r="J4400" s="77"/>
      <c r="K4400" s="66"/>
      <c r="L4400" s="66"/>
      <c r="M4400" s="79" t="str">
        <f>HYPERLINK("https://pristavka.com/catalog/sihir_dukkani/SDN163/")</f>
        <v>https://pristavka.com/catalog/sihir_dukkani/SDN163/</v>
      </c>
      <c r="N4400" s="71">
        <v>7999</v>
      </c>
      <c r="O4400" s="66" t="s">
        <v>28</v>
      </c>
      <c r="P4400" s="82" t="s">
        <v>16426</v>
      </c>
      <c r="Q4400" s="84" t="s">
        <v>1102</v>
      </c>
      <c r="R4400" s="84" t="s">
        <v>1103</v>
      </c>
      <c r="S4400" s="84">
        <v>0.215</v>
      </c>
      <c r="T4400" s="82" t="s">
        <v>16427</v>
      </c>
      <c r="U4400" s="84" t="s">
        <v>3708</v>
      </c>
      <c r="V4400" s="54"/>
    </row>
    <row r="4401" spans="1:22" s="11" customFormat="1" ht="45" customHeight="1" x14ac:dyDescent="0.2">
      <c r="A4401" s="66" t="s">
        <v>16374</v>
      </c>
      <c r="B4401" s="66" t="s">
        <v>1155</v>
      </c>
      <c r="C4401" s="66" t="s">
        <v>16374</v>
      </c>
      <c r="D4401" s="66" t="s">
        <v>16428</v>
      </c>
      <c r="E4401" s="68" t="s">
        <v>16429</v>
      </c>
      <c r="F4401" s="66" t="s">
        <v>16430</v>
      </c>
      <c r="G4401" s="71">
        <v>4749</v>
      </c>
      <c r="H4401" s="73"/>
      <c r="I4401" s="75">
        <v>0.2</v>
      </c>
      <c r="J4401" s="77"/>
      <c r="K4401" s="66"/>
      <c r="L4401" s="66"/>
      <c r="M4401" s="79" t="str">
        <f>HYPERLINK("https://pristavka.com/catalog/sihir_dukkani/SDN164/")</f>
        <v>https://pristavka.com/catalog/sihir_dukkani/SDN164/</v>
      </c>
      <c r="N4401" s="71">
        <v>7999</v>
      </c>
      <c r="O4401" s="66" t="s">
        <v>28</v>
      </c>
      <c r="P4401" s="82" t="s">
        <v>16431</v>
      </c>
      <c r="Q4401" s="84" t="s">
        <v>1102</v>
      </c>
      <c r="R4401" s="84" t="s">
        <v>1103</v>
      </c>
      <c r="S4401" s="84">
        <v>0.19700000000000001</v>
      </c>
      <c r="T4401" s="82" t="s">
        <v>16427</v>
      </c>
      <c r="U4401" s="84" t="s">
        <v>3708</v>
      </c>
      <c r="V4401" s="54"/>
    </row>
    <row r="4402" spans="1:22" s="11" customFormat="1" ht="45" customHeight="1" x14ac:dyDescent="0.2">
      <c r="A4402" s="66" t="s">
        <v>16432</v>
      </c>
      <c r="B4402" s="66" t="s">
        <v>1707</v>
      </c>
      <c r="C4402" s="66" t="s">
        <v>16432</v>
      </c>
      <c r="D4402" s="66" t="s">
        <v>16433</v>
      </c>
      <c r="E4402" s="68" t="s">
        <v>16434</v>
      </c>
      <c r="F4402" s="66" t="s">
        <v>16435</v>
      </c>
      <c r="G4402" s="71">
        <v>9577</v>
      </c>
      <c r="H4402" s="73"/>
      <c r="I4402" s="75">
        <v>0.2</v>
      </c>
      <c r="J4402" s="77"/>
      <c r="K4402" s="66"/>
      <c r="L4402" s="66"/>
      <c r="M4402" s="79" t="str">
        <f>HYPERLINK("http://www.pristavka.com/catalog/Super7/SPR159/")</f>
        <v>http://www.pristavka.com/catalog/Super7/SPR159/</v>
      </c>
      <c r="N4402" s="71">
        <v>13699</v>
      </c>
      <c r="O4402" s="66" t="s">
        <v>28</v>
      </c>
      <c r="P4402" s="82" t="s">
        <v>16436</v>
      </c>
      <c r="Q4402" s="84" t="s">
        <v>1738</v>
      </c>
      <c r="R4402" s="84" t="s">
        <v>1315</v>
      </c>
      <c r="S4402" s="84">
        <v>8.7999999999999995E-2</v>
      </c>
      <c r="T4402" s="82" t="s">
        <v>16437</v>
      </c>
      <c r="U4402" s="84"/>
      <c r="V4402" s="54"/>
    </row>
    <row r="4403" spans="1:22" s="11" customFormat="1" ht="45" customHeight="1" x14ac:dyDescent="0.2">
      <c r="A4403" s="66" t="s">
        <v>16432</v>
      </c>
      <c r="B4403" s="66" t="s">
        <v>1707</v>
      </c>
      <c r="C4403" s="66" t="s">
        <v>16432</v>
      </c>
      <c r="D4403" s="66" t="s">
        <v>16438</v>
      </c>
      <c r="E4403" s="68" t="s">
        <v>16439</v>
      </c>
      <c r="F4403" s="66" t="s">
        <v>16440</v>
      </c>
      <c r="G4403" s="71">
        <v>9577</v>
      </c>
      <c r="H4403" s="73"/>
      <c r="I4403" s="75">
        <v>0.2</v>
      </c>
      <c r="J4403" s="77"/>
      <c r="K4403" s="66"/>
      <c r="L4403" s="66"/>
      <c r="M4403" s="79" t="str">
        <f>HYPERLINK("http://www.pristavka.com/catalog/Super7/SPR157/")</f>
        <v>http://www.pristavka.com/catalog/Super7/SPR157/</v>
      </c>
      <c r="N4403" s="71">
        <v>13699</v>
      </c>
      <c r="O4403" s="66" t="s">
        <v>28</v>
      </c>
      <c r="P4403" s="82" t="s">
        <v>16441</v>
      </c>
      <c r="Q4403" s="84" t="s">
        <v>1738</v>
      </c>
      <c r="R4403" s="84" t="s">
        <v>1315</v>
      </c>
      <c r="S4403" s="84">
        <v>0.09</v>
      </c>
      <c r="T4403" s="82" t="s">
        <v>16442</v>
      </c>
      <c r="U4403" s="84"/>
      <c r="V4403" s="54"/>
    </row>
    <row r="4404" spans="1:22" s="11" customFormat="1" ht="45" customHeight="1" x14ac:dyDescent="0.2">
      <c r="A4404" s="66" t="s">
        <v>16432</v>
      </c>
      <c r="B4404" s="66" t="s">
        <v>1707</v>
      </c>
      <c r="C4404" s="66" t="s">
        <v>16432</v>
      </c>
      <c r="D4404" s="66" t="s">
        <v>16443</v>
      </c>
      <c r="E4404" s="68" t="s">
        <v>16444</v>
      </c>
      <c r="F4404" s="66" t="s">
        <v>16445</v>
      </c>
      <c r="G4404" s="71">
        <v>9577</v>
      </c>
      <c r="H4404" s="73"/>
      <c r="I4404" s="75">
        <v>0.2</v>
      </c>
      <c r="J4404" s="77"/>
      <c r="K4404" s="66"/>
      <c r="L4404" s="66"/>
      <c r="M4404" s="79" t="str">
        <f>HYPERLINK("http://www.pristavka.com/catalog/Super7/SPR160/")</f>
        <v>http://www.pristavka.com/catalog/Super7/SPR160/</v>
      </c>
      <c r="N4404" s="71">
        <v>13699</v>
      </c>
      <c r="O4404" s="66" t="s">
        <v>28</v>
      </c>
      <c r="P4404" s="82" t="s">
        <v>16446</v>
      </c>
      <c r="Q4404" s="84" t="s">
        <v>1738</v>
      </c>
      <c r="R4404" s="84" t="s">
        <v>1315</v>
      </c>
      <c r="S4404" s="84">
        <v>9.9000000000000005E-2</v>
      </c>
      <c r="T4404" s="82" t="s">
        <v>16442</v>
      </c>
      <c r="U4404" s="84"/>
      <c r="V4404" s="54"/>
    </row>
    <row r="4405" spans="1:22" s="11" customFormat="1" ht="45" customHeight="1" x14ac:dyDescent="0.2">
      <c r="A4405" s="66" t="s">
        <v>16432</v>
      </c>
      <c r="B4405" s="66" t="s">
        <v>1707</v>
      </c>
      <c r="C4405" s="66" t="s">
        <v>16432</v>
      </c>
      <c r="D4405" s="66" t="s">
        <v>16447</v>
      </c>
      <c r="E4405" s="68" t="s">
        <v>16448</v>
      </c>
      <c r="F4405" s="66" t="s">
        <v>16449</v>
      </c>
      <c r="G4405" s="71">
        <v>9577</v>
      </c>
      <c r="H4405" s="73"/>
      <c r="I4405" s="75">
        <v>0.2</v>
      </c>
      <c r="J4405" s="77"/>
      <c r="K4405" s="66"/>
      <c r="L4405" s="66"/>
      <c r="M4405" s="79" t="str">
        <f>HYPERLINK("http://www.pristavka.com/catalog/Super7/SPR134/")</f>
        <v>http://www.pristavka.com/catalog/Super7/SPR134/</v>
      </c>
      <c r="N4405" s="71">
        <v>13699</v>
      </c>
      <c r="O4405" s="66" t="s">
        <v>28</v>
      </c>
      <c r="P4405" s="82" t="s">
        <v>16450</v>
      </c>
      <c r="Q4405" s="84" t="s">
        <v>1840</v>
      </c>
      <c r="R4405" s="84" t="s">
        <v>1303</v>
      </c>
      <c r="S4405" s="84">
        <v>6.6000000000000003E-2</v>
      </c>
      <c r="T4405" s="82" t="s">
        <v>16451</v>
      </c>
      <c r="U4405" s="84"/>
      <c r="V4405" s="54"/>
    </row>
    <row r="4406" spans="1:22" s="11" customFormat="1" ht="45" customHeight="1" x14ac:dyDescent="0.2">
      <c r="A4406" s="66" t="s">
        <v>16452</v>
      </c>
      <c r="B4406" s="66" t="s">
        <v>1707</v>
      </c>
      <c r="C4406" s="66" t="s">
        <v>16452</v>
      </c>
      <c r="D4406" s="66">
        <v>4573102639677</v>
      </c>
      <c r="E4406" s="68" t="s">
        <v>16453</v>
      </c>
      <c r="F4406" s="66" t="s">
        <v>16454</v>
      </c>
      <c r="G4406" s="71">
        <v>36569</v>
      </c>
      <c r="H4406" s="73"/>
      <c r="I4406" s="75">
        <v>0.2</v>
      </c>
      <c r="J4406" s="77"/>
      <c r="K4406" s="66"/>
      <c r="L4406" s="66"/>
      <c r="M4406" s="79" t="str">
        <f>HYPERLINK("http://www.pristavka.com/catalog/tamashii_nations/BTM438/")</f>
        <v>http://www.pristavka.com/catalog/tamashii_nations/BTM438/</v>
      </c>
      <c r="N4406" s="71">
        <v>52299</v>
      </c>
      <c r="O4406" s="66" t="s">
        <v>27</v>
      </c>
      <c r="P4406" s="82" t="s">
        <v>16455</v>
      </c>
      <c r="Q4406" s="84" t="s">
        <v>1522</v>
      </c>
      <c r="R4406" s="84" t="s">
        <v>1068</v>
      </c>
      <c r="S4406" s="84">
        <v>0.33</v>
      </c>
      <c r="T4406" s="82" t="s">
        <v>16456</v>
      </c>
      <c r="U4406" s="84"/>
      <c r="V4406" s="54"/>
    </row>
    <row r="4407" spans="1:22" s="11" customFormat="1" ht="45" customHeight="1" x14ac:dyDescent="0.2">
      <c r="A4407" s="66" t="s">
        <v>16452</v>
      </c>
      <c r="B4407" s="66" t="s">
        <v>1707</v>
      </c>
      <c r="C4407" s="66" t="s">
        <v>16452</v>
      </c>
      <c r="D4407" s="66">
        <v>4573102653758</v>
      </c>
      <c r="E4407" s="68" t="s">
        <v>16457</v>
      </c>
      <c r="F4407" s="66" t="s">
        <v>16458</v>
      </c>
      <c r="G4407" s="71">
        <v>15075</v>
      </c>
      <c r="H4407" s="73"/>
      <c r="I4407" s="75">
        <v>0.2</v>
      </c>
      <c r="J4407" s="77"/>
      <c r="K4407" s="66"/>
      <c r="L4407" s="66"/>
      <c r="M4407" s="79" t="str">
        <f>HYPERLINK("http://www.pristavka.com/catalog/tamashii_nations/BTM437/")</f>
        <v>http://www.pristavka.com/catalog/tamashii_nations/BTM437/</v>
      </c>
      <c r="N4407" s="71">
        <v>23199</v>
      </c>
      <c r="O4407" s="66" t="s">
        <v>28</v>
      </c>
      <c r="P4407" s="82" t="s">
        <v>16459</v>
      </c>
      <c r="Q4407" s="84" t="s">
        <v>16460</v>
      </c>
      <c r="R4407" s="84" t="s">
        <v>1068</v>
      </c>
      <c r="S4407" s="84">
        <v>9.0999999999999998E-2</v>
      </c>
      <c r="T4407" s="82" t="s">
        <v>16461</v>
      </c>
      <c r="U4407" s="84"/>
      <c r="V4407" s="54"/>
    </row>
    <row r="4408" spans="1:22" s="11" customFormat="1" ht="45" customHeight="1" x14ac:dyDescent="0.2">
      <c r="A4408" s="66" t="s">
        <v>16452</v>
      </c>
      <c r="B4408" s="66" t="s">
        <v>1707</v>
      </c>
      <c r="C4408" s="66" t="s">
        <v>16452</v>
      </c>
      <c r="D4408" s="66">
        <v>4573102649447</v>
      </c>
      <c r="E4408" s="68" t="s">
        <v>16462</v>
      </c>
      <c r="F4408" s="66" t="s">
        <v>16463</v>
      </c>
      <c r="G4408" s="71">
        <v>15762</v>
      </c>
      <c r="H4408" s="73"/>
      <c r="I4408" s="75">
        <v>0.2</v>
      </c>
      <c r="J4408" s="77"/>
      <c r="K4408" s="66"/>
      <c r="L4408" s="66"/>
      <c r="M4408" s="79" t="str">
        <f>HYPERLINK("http://www.pristavka.com/catalog/tamashii_nations/BTM454/")</f>
        <v>http://www.pristavka.com/catalog/tamashii_nations/BTM454/</v>
      </c>
      <c r="N4408" s="71">
        <v>24299</v>
      </c>
      <c r="O4408" s="66" t="s">
        <v>28</v>
      </c>
      <c r="P4408" s="82" t="s">
        <v>16464</v>
      </c>
      <c r="Q4408" s="84" t="s">
        <v>1067</v>
      </c>
      <c r="R4408" s="84" t="s">
        <v>1068</v>
      </c>
      <c r="S4408" s="84">
        <v>0.08</v>
      </c>
      <c r="T4408" s="82" t="s">
        <v>16465</v>
      </c>
      <c r="U4408" s="84"/>
      <c r="V4408" s="54"/>
    </row>
    <row r="4409" spans="1:22" s="11" customFormat="1" ht="45" customHeight="1" x14ac:dyDescent="0.2">
      <c r="A4409" s="66" t="s">
        <v>16452</v>
      </c>
      <c r="B4409" s="66" t="s">
        <v>1707</v>
      </c>
      <c r="C4409" s="66" t="s">
        <v>16452</v>
      </c>
      <c r="D4409" s="66">
        <v>4573102649454</v>
      </c>
      <c r="E4409" s="68" t="s">
        <v>16466</v>
      </c>
      <c r="F4409" s="66" t="s">
        <v>16467</v>
      </c>
      <c r="G4409" s="71">
        <v>15762</v>
      </c>
      <c r="H4409" s="73"/>
      <c r="I4409" s="75">
        <v>0.2</v>
      </c>
      <c r="J4409" s="77"/>
      <c r="K4409" s="66"/>
      <c r="L4409" s="66"/>
      <c r="M4409" s="79" t="str">
        <f>HYPERLINK("http://www.pristavka.com/catalog/tamashii_nations/BTM455/")</f>
        <v>http://www.pristavka.com/catalog/tamashii_nations/BTM455/</v>
      </c>
      <c r="N4409" s="71">
        <v>24299</v>
      </c>
      <c r="O4409" s="66" t="s">
        <v>28</v>
      </c>
      <c r="P4409" s="82" t="s">
        <v>16468</v>
      </c>
      <c r="Q4409" s="84" t="s">
        <v>1067</v>
      </c>
      <c r="R4409" s="84" t="s">
        <v>1068</v>
      </c>
      <c r="S4409" s="84">
        <v>0.08</v>
      </c>
      <c r="T4409" s="82" t="s">
        <v>16465</v>
      </c>
      <c r="U4409" s="84"/>
      <c r="V4409" s="54"/>
    </row>
    <row r="4410" spans="1:22" s="11" customFormat="1" ht="45" customHeight="1" x14ac:dyDescent="0.2">
      <c r="A4410" s="66" t="s">
        <v>16452</v>
      </c>
      <c r="B4410" s="66" t="s">
        <v>1707</v>
      </c>
      <c r="C4410" s="66" t="s">
        <v>16452</v>
      </c>
      <c r="D4410" s="66">
        <v>4573102654670</v>
      </c>
      <c r="E4410" s="68" t="s">
        <v>16469</v>
      </c>
      <c r="F4410" s="66" t="s">
        <v>16470</v>
      </c>
      <c r="G4410" s="71">
        <v>15762</v>
      </c>
      <c r="H4410" s="73"/>
      <c r="I4410" s="75">
        <v>0.2</v>
      </c>
      <c r="J4410" s="77"/>
      <c r="K4410" s="66"/>
      <c r="L4410" s="66"/>
      <c r="M4410" s="79" t="str">
        <f>HYPERLINK("http://www.pristavka.com/catalog/tamashii_nations/BTM461/")</f>
        <v>http://www.pristavka.com/catalog/tamashii_nations/BTM461/</v>
      </c>
      <c r="N4410" s="71">
        <v>24299</v>
      </c>
      <c r="O4410" s="66" t="s">
        <v>28</v>
      </c>
      <c r="P4410" s="82" t="s">
        <v>16471</v>
      </c>
      <c r="Q4410" s="84" t="s">
        <v>1067</v>
      </c>
      <c r="R4410" s="84" t="s">
        <v>1068</v>
      </c>
      <c r="S4410" s="84">
        <v>8.7999999999999995E-2</v>
      </c>
      <c r="T4410" s="82" t="s">
        <v>16472</v>
      </c>
      <c r="U4410" s="84"/>
      <c r="V4410" s="54"/>
    </row>
    <row r="4411" spans="1:22" s="11" customFormat="1" ht="45" customHeight="1" x14ac:dyDescent="0.2">
      <c r="A4411" s="66" t="s">
        <v>16452</v>
      </c>
      <c r="B4411" s="66" t="s">
        <v>1707</v>
      </c>
      <c r="C4411" s="66" t="s">
        <v>16452</v>
      </c>
      <c r="D4411" s="66">
        <v>4573102653772</v>
      </c>
      <c r="E4411" s="68" t="s">
        <v>16473</v>
      </c>
      <c r="F4411" s="66" t="s">
        <v>16474</v>
      </c>
      <c r="G4411" s="71">
        <v>15762</v>
      </c>
      <c r="H4411" s="73"/>
      <c r="I4411" s="75">
        <v>0.2</v>
      </c>
      <c r="J4411" s="77"/>
      <c r="K4411" s="66"/>
      <c r="L4411" s="66"/>
      <c r="M4411" s="79" t="str">
        <f>HYPERLINK("http://www.pristavka.com/catalog/tamashii_nations/BTM450/")</f>
        <v>http://www.pristavka.com/catalog/tamashii_nations/BTM450/</v>
      </c>
      <c r="N4411" s="71">
        <v>24299</v>
      </c>
      <c r="O4411" s="66" t="s">
        <v>28</v>
      </c>
      <c r="P4411" s="82" t="s">
        <v>16475</v>
      </c>
      <c r="Q4411" s="84" t="s">
        <v>1067</v>
      </c>
      <c r="R4411" s="84" t="s">
        <v>1068</v>
      </c>
      <c r="S4411" s="84">
        <v>8.5999999999999993E-2</v>
      </c>
      <c r="T4411" s="82" t="s">
        <v>16472</v>
      </c>
      <c r="U4411" s="84"/>
      <c r="V4411" s="54"/>
    </row>
    <row r="4412" spans="1:22" s="11" customFormat="1" ht="45" customHeight="1" x14ac:dyDescent="0.2">
      <c r="A4412" s="66" t="s">
        <v>16452</v>
      </c>
      <c r="B4412" s="66" t="s">
        <v>1707</v>
      </c>
      <c r="C4412" s="66" t="s">
        <v>16452</v>
      </c>
      <c r="D4412" s="66">
        <v>4573102653789</v>
      </c>
      <c r="E4412" s="68" t="s">
        <v>16476</v>
      </c>
      <c r="F4412" s="66" t="s">
        <v>16477</v>
      </c>
      <c r="G4412" s="71">
        <v>15762</v>
      </c>
      <c r="H4412" s="73"/>
      <c r="I4412" s="75">
        <v>0.2</v>
      </c>
      <c r="J4412" s="77"/>
      <c r="K4412" s="66"/>
      <c r="L4412" s="66"/>
      <c r="M4412" s="79" t="str">
        <f>HYPERLINK("http://www.pristavka.com/catalog/tamashii_nations/BTM451/")</f>
        <v>http://www.pristavka.com/catalog/tamashii_nations/BTM451/</v>
      </c>
      <c r="N4412" s="71">
        <v>24299</v>
      </c>
      <c r="O4412" s="66" t="s">
        <v>28</v>
      </c>
      <c r="P4412" s="82" t="s">
        <v>16478</v>
      </c>
      <c r="Q4412" s="84" t="s">
        <v>1067</v>
      </c>
      <c r="R4412" s="84" t="s">
        <v>1068</v>
      </c>
      <c r="S4412" s="84">
        <v>0.09</v>
      </c>
      <c r="T4412" s="82" t="s">
        <v>16472</v>
      </c>
      <c r="U4412" s="84"/>
      <c r="V4412" s="54"/>
    </row>
    <row r="4413" spans="1:22" s="11" customFormat="1" ht="45" customHeight="1" x14ac:dyDescent="0.2">
      <c r="A4413" s="66" t="s">
        <v>16452</v>
      </c>
      <c r="B4413" s="66" t="s">
        <v>1707</v>
      </c>
      <c r="C4413" s="66" t="s">
        <v>16452</v>
      </c>
      <c r="D4413" s="66">
        <v>4573102654663</v>
      </c>
      <c r="E4413" s="68" t="s">
        <v>16479</v>
      </c>
      <c r="F4413" s="66" t="s">
        <v>16480</v>
      </c>
      <c r="G4413" s="71">
        <v>15762</v>
      </c>
      <c r="H4413" s="73"/>
      <c r="I4413" s="75">
        <v>0.2</v>
      </c>
      <c r="J4413" s="77"/>
      <c r="K4413" s="66"/>
      <c r="L4413" s="66"/>
      <c r="M4413" s="79" t="str">
        <f>HYPERLINK("http://www.pristavka.com/catalog/tamashii_nations/BTM457/")</f>
        <v>http://www.pristavka.com/catalog/tamashii_nations/BTM457/</v>
      </c>
      <c r="N4413" s="71">
        <v>24299</v>
      </c>
      <c r="O4413" s="66" t="s">
        <v>28</v>
      </c>
      <c r="P4413" s="82" t="s">
        <v>16481</v>
      </c>
      <c r="Q4413" s="84" t="s">
        <v>1067</v>
      </c>
      <c r="R4413" s="84" t="s">
        <v>1068</v>
      </c>
      <c r="S4413" s="84">
        <v>8.7999999999999995E-2</v>
      </c>
      <c r="T4413" s="82" t="s">
        <v>16472</v>
      </c>
      <c r="U4413" s="84"/>
      <c r="V4413" s="54"/>
    </row>
    <row r="4414" spans="1:22" s="11" customFormat="1" ht="45" customHeight="1" x14ac:dyDescent="0.2">
      <c r="A4414" s="66" t="s">
        <v>16452</v>
      </c>
      <c r="B4414" s="66" t="s">
        <v>1707</v>
      </c>
      <c r="C4414" s="66" t="s">
        <v>16452</v>
      </c>
      <c r="D4414" s="66">
        <v>4573102651716</v>
      </c>
      <c r="E4414" s="68" t="s">
        <v>16482</v>
      </c>
      <c r="F4414" s="66" t="s">
        <v>16483</v>
      </c>
      <c r="G4414" s="71">
        <v>14732</v>
      </c>
      <c r="H4414" s="73"/>
      <c r="I4414" s="75">
        <v>0.2</v>
      </c>
      <c r="J4414" s="77"/>
      <c r="K4414" s="66"/>
      <c r="L4414" s="66"/>
      <c r="M4414" s="79" t="str">
        <f>HYPERLINK("http://www.pristavka.com/catalog/tamashii_nations/BTM414/")</f>
        <v>http://www.pristavka.com/catalog/tamashii_nations/BTM414/</v>
      </c>
      <c r="N4414" s="71">
        <v>22699</v>
      </c>
      <c r="O4414" s="66" t="s">
        <v>28</v>
      </c>
      <c r="P4414" s="82" t="s">
        <v>16484</v>
      </c>
      <c r="Q4414" s="84" t="s">
        <v>1112</v>
      </c>
      <c r="R4414" s="84" t="s">
        <v>1068</v>
      </c>
      <c r="S4414" s="84">
        <v>0.09</v>
      </c>
      <c r="T4414" s="82" t="s">
        <v>16472</v>
      </c>
      <c r="U4414" s="84"/>
      <c r="V4414" s="54"/>
    </row>
    <row r="4415" spans="1:22" s="11" customFormat="1" ht="45" customHeight="1" x14ac:dyDescent="0.2">
      <c r="A4415" s="66" t="s">
        <v>16452</v>
      </c>
      <c r="B4415" s="66" t="s">
        <v>1707</v>
      </c>
      <c r="C4415" s="66" t="s">
        <v>16452</v>
      </c>
      <c r="D4415" s="66">
        <v>4573102651709</v>
      </c>
      <c r="E4415" s="68" t="s">
        <v>16485</v>
      </c>
      <c r="F4415" s="66" t="s">
        <v>16486</v>
      </c>
      <c r="G4415" s="71">
        <v>14732</v>
      </c>
      <c r="H4415" s="73"/>
      <c r="I4415" s="75">
        <v>0.2</v>
      </c>
      <c r="J4415" s="77"/>
      <c r="K4415" s="66"/>
      <c r="L4415" s="66"/>
      <c r="M4415" s="79" t="str">
        <f>HYPERLINK("http://www.pristavka.com/catalog/tamashii_nations/BTM413/")</f>
        <v>http://www.pristavka.com/catalog/tamashii_nations/BTM413/</v>
      </c>
      <c r="N4415" s="71">
        <v>22699</v>
      </c>
      <c r="O4415" s="66" t="s">
        <v>28</v>
      </c>
      <c r="P4415" s="82" t="s">
        <v>16487</v>
      </c>
      <c r="Q4415" s="84" t="s">
        <v>1112</v>
      </c>
      <c r="R4415" s="84" t="s">
        <v>1068</v>
      </c>
      <c r="S4415" s="84">
        <v>0.09</v>
      </c>
      <c r="T4415" s="82" t="s">
        <v>16472</v>
      </c>
      <c r="U4415" s="84"/>
      <c r="V4415" s="54"/>
    </row>
    <row r="4416" spans="1:22" s="11" customFormat="1" ht="45" customHeight="1" x14ac:dyDescent="0.2">
      <c r="A4416" s="66" t="s">
        <v>16452</v>
      </c>
      <c r="B4416" s="66" t="s">
        <v>1707</v>
      </c>
      <c r="C4416" s="66" t="s">
        <v>16452</v>
      </c>
      <c r="D4416" s="66">
        <v>4573102639660</v>
      </c>
      <c r="E4416" s="68" t="s">
        <v>16488</v>
      </c>
      <c r="F4416" s="66" t="s">
        <v>16489</v>
      </c>
      <c r="G4416" s="71">
        <v>15075</v>
      </c>
      <c r="H4416" s="73"/>
      <c r="I4416" s="75">
        <v>0.2</v>
      </c>
      <c r="J4416" s="77"/>
      <c r="K4416" s="66"/>
      <c r="L4416" s="66"/>
      <c r="M4416" s="79" t="str">
        <f>HYPERLINK("http://www.pristavka.com/catalog/tamashii_nations/BTM333/")</f>
        <v>http://www.pristavka.com/catalog/tamashii_nations/BTM333/</v>
      </c>
      <c r="N4416" s="71">
        <v>23199</v>
      </c>
      <c r="O4416" s="66" t="s">
        <v>27</v>
      </c>
      <c r="P4416" s="82" t="s">
        <v>16490</v>
      </c>
      <c r="Q4416" s="84" t="s">
        <v>1522</v>
      </c>
      <c r="R4416" s="84" t="s">
        <v>1068</v>
      </c>
      <c r="S4416" s="84">
        <v>9.5000000000000001E-2</v>
      </c>
      <c r="T4416" s="82" t="s">
        <v>16465</v>
      </c>
      <c r="U4416" s="84"/>
      <c r="V4416" s="54"/>
    </row>
    <row r="4417" spans="1:22" s="11" customFormat="1" ht="45" customHeight="1" x14ac:dyDescent="0.2">
      <c r="A4417" s="66" t="s">
        <v>16452</v>
      </c>
      <c r="B4417" s="66" t="s">
        <v>1707</v>
      </c>
      <c r="C4417" s="66" t="s">
        <v>16452</v>
      </c>
      <c r="D4417" s="66">
        <v>4573102637253</v>
      </c>
      <c r="E4417" s="68" t="s">
        <v>16491</v>
      </c>
      <c r="F4417" s="66" t="s">
        <v>16492</v>
      </c>
      <c r="G4417" s="71">
        <v>15075</v>
      </c>
      <c r="H4417" s="73"/>
      <c r="I4417" s="75">
        <v>0.2</v>
      </c>
      <c r="J4417" s="77"/>
      <c r="K4417" s="66"/>
      <c r="L4417" s="66"/>
      <c r="M4417" s="79" t="str">
        <f>HYPERLINK("http://www.pristavka.com/catalog/tamashii_nations/BTM332/")</f>
        <v>http://www.pristavka.com/catalog/tamashii_nations/BTM332/</v>
      </c>
      <c r="N4417" s="71">
        <v>23199</v>
      </c>
      <c r="O4417" s="66" t="s">
        <v>28</v>
      </c>
      <c r="P4417" s="82" t="s">
        <v>16493</v>
      </c>
      <c r="Q4417" s="84" t="s">
        <v>1522</v>
      </c>
      <c r="R4417" s="84" t="s">
        <v>1068</v>
      </c>
      <c r="S4417" s="84">
        <v>9.1999999999999998E-2</v>
      </c>
      <c r="T4417" s="82" t="s">
        <v>16494</v>
      </c>
      <c r="U4417" s="84"/>
      <c r="V4417" s="54"/>
    </row>
    <row r="4418" spans="1:22" s="11" customFormat="1" ht="45" customHeight="1" x14ac:dyDescent="0.2">
      <c r="A4418" s="66" t="s">
        <v>16452</v>
      </c>
      <c r="B4418" s="66" t="s">
        <v>1707</v>
      </c>
      <c r="C4418" s="66" t="s">
        <v>16452</v>
      </c>
      <c r="D4418" s="66">
        <v>4573102650610</v>
      </c>
      <c r="E4418" s="68" t="s">
        <v>16495</v>
      </c>
      <c r="F4418" s="66" t="s">
        <v>16496</v>
      </c>
      <c r="G4418" s="71">
        <v>47006</v>
      </c>
      <c r="H4418" s="73"/>
      <c r="I4418" s="75">
        <v>0.2</v>
      </c>
      <c r="J4418" s="77"/>
      <c r="K4418" s="66"/>
      <c r="L4418" s="66"/>
      <c r="M4418" s="79" t="str">
        <f>HYPERLINK("http://www.pristavka.com/catalog/tamashii_nations/BTM431/")</f>
        <v>http://www.pristavka.com/catalog/tamashii_nations/BTM431/</v>
      </c>
      <c r="N4418" s="71">
        <v>72399</v>
      </c>
      <c r="O4418" s="66" t="s">
        <v>28</v>
      </c>
      <c r="P4418" s="82" t="s">
        <v>16497</v>
      </c>
      <c r="Q4418" s="84" t="s">
        <v>1522</v>
      </c>
      <c r="R4418" s="84" t="s">
        <v>1068</v>
      </c>
      <c r="S4418" s="84">
        <v>0.76900000000000002</v>
      </c>
      <c r="T4418" s="82" t="s">
        <v>16498</v>
      </c>
      <c r="U4418" s="84"/>
      <c r="V4418" s="54"/>
    </row>
    <row r="4419" spans="1:22" s="11" customFormat="1" ht="45" customHeight="1" x14ac:dyDescent="0.2">
      <c r="A4419" s="66" t="s">
        <v>16452</v>
      </c>
      <c r="B4419" s="66" t="s">
        <v>1707</v>
      </c>
      <c r="C4419" s="66" t="s">
        <v>16452</v>
      </c>
      <c r="D4419" s="66">
        <v>4573102661135</v>
      </c>
      <c r="E4419" s="68" t="s">
        <v>16499</v>
      </c>
      <c r="F4419" s="66" t="s">
        <v>16500</v>
      </c>
      <c r="G4419" s="71">
        <v>52468</v>
      </c>
      <c r="H4419" s="73"/>
      <c r="I4419" s="75">
        <v>0.2</v>
      </c>
      <c r="J4419" s="77"/>
      <c r="K4419" s="66"/>
      <c r="L4419" s="66"/>
      <c r="M4419" s="79" t="str">
        <f>HYPERLINK("http://www.pristavka.com/catalog/tamashii_nations/BTM445/")</f>
        <v>http://www.pristavka.com/catalog/tamashii_nations/BTM445/</v>
      </c>
      <c r="N4419" s="71">
        <v>74999</v>
      </c>
      <c r="O4419" s="66" t="s">
        <v>28</v>
      </c>
      <c r="P4419" s="82" t="s">
        <v>16501</v>
      </c>
      <c r="Q4419" s="84" t="s">
        <v>1334</v>
      </c>
      <c r="R4419" s="84" t="s">
        <v>1068</v>
      </c>
      <c r="S4419" s="84">
        <v>1.04</v>
      </c>
      <c r="T4419" s="82" t="s">
        <v>16502</v>
      </c>
      <c r="U4419" s="84"/>
      <c r="V4419" s="54"/>
    </row>
    <row r="4420" spans="1:22" s="11" customFormat="1" ht="45" customHeight="1" x14ac:dyDescent="0.2">
      <c r="A4420" s="66" t="s">
        <v>16452</v>
      </c>
      <c r="B4420" s="66" t="s">
        <v>1707</v>
      </c>
      <c r="C4420" s="66" t="s">
        <v>16452</v>
      </c>
      <c r="D4420" s="66">
        <v>4573102661128</v>
      </c>
      <c r="E4420" s="68" t="s">
        <v>16503</v>
      </c>
      <c r="F4420" s="66" t="s">
        <v>16504</v>
      </c>
      <c r="G4420" s="71">
        <v>47661</v>
      </c>
      <c r="H4420" s="73"/>
      <c r="I4420" s="75">
        <v>0.2</v>
      </c>
      <c r="J4420" s="77"/>
      <c r="K4420" s="66"/>
      <c r="L4420" s="66"/>
      <c r="M4420" s="79" t="str">
        <f>HYPERLINK("http://www.pristavka.com/catalog/tamashii_nations/BTM447/")</f>
        <v>http://www.pristavka.com/catalog/tamashii_nations/BTM447/</v>
      </c>
      <c r="N4420" s="71">
        <v>68099</v>
      </c>
      <c r="O4420" s="66" t="s">
        <v>28</v>
      </c>
      <c r="P4420" s="82" t="s">
        <v>16505</v>
      </c>
      <c r="Q4420" s="84" t="s">
        <v>1334</v>
      </c>
      <c r="R4420" s="84" t="s">
        <v>1068</v>
      </c>
      <c r="S4420" s="84">
        <v>1.0349999999999999</v>
      </c>
      <c r="T4420" s="82" t="s">
        <v>16506</v>
      </c>
      <c r="U4420" s="84"/>
      <c r="V4420" s="54"/>
    </row>
    <row r="4421" spans="1:22" s="11" customFormat="1" ht="45" customHeight="1" x14ac:dyDescent="0.2">
      <c r="A4421" s="66" t="s">
        <v>16452</v>
      </c>
      <c r="B4421" s="66" t="s">
        <v>1707</v>
      </c>
      <c r="C4421" s="66" t="s">
        <v>16452</v>
      </c>
      <c r="D4421" s="66">
        <v>618771</v>
      </c>
      <c r="E4421" s="68" t="s">
        <v>16507</v>
      </c>
      <c r="F4421" s="66" t="s">
        <v>16508</v>
      </c>
      <c r="G4421" s="71">
        <v>18509</v>
      </c>
      <c r="H4421" s="73"/>
      <c r="I4421" s="75">
        <v>0.2</v>
      </c>
      <c r="J4421" s="77"/>
      <c r="K4421" s="66"/>
      <c r="L4421" s="66"/>
      <c r="M4421" s="79" t="str">
        <f>HYPERLINK("http://www.pristavka.com/catalog/tamashii_nations/BTM229/")</f>
        <v>http://www.pristavka.com/catalog/tamashii_nations/BTM229/</v>
      </c>
      <c r="N4421" s="71">
        <v>28499</v>
      </c>
      <c r="O4421" s="66" t="s">
        <v>27</v>
      </c>
      <c r="P4421" s="82" t="s">
        <v>16509</v>
      </c>
      <c r="Q4421" s="84" t="s">
        <v>1334</v>
      </c>
      <c r="R4421" s="84" t="s">
        <v>1068</v>
      </c>
      <c r="S4421" s="84">
        <v>0.104</v>
      </c>
      <c r="T4421" s="82" t="s">
        <v>16510</v>
      </c>
      <c r="U4421" s="84" t="s">
        <v>2255</v>
      </c>
      <c r="V4421" s="54"/>
    </row>
    <row r="4422" spans="1:22" s="11" customFormat="1" ht="45" customHeight="1" x14ac:dyDescent="0.2">
      <c r="A4422" s="66" t="s">
        <v>16452</v>
      </c>
      <c r="B4422" s="66" t="s">
        <v>1707</v>
      </c>
      <c r="C4422" s="66" t="s">
        <v>16452</v>
      </c>
      <c r="D4422" s="66">
        <v>4573102651440</v>
      </c>
      <c r="E4422" s="68" t="s">
        <v>16511</v>
      </c>
      <c r="F4422" s="66" t="s">
        <v>16512</v>
      </c>
      <c r="G4422" s="71">
        <v>43916</v>
      </c>
      <c r="H4422" s="73"/>
      <c r="I4422" s="75">
        <v>0.2</v>
      </c>
      <c r="J4422" s="77"/>
      <c r="K4422" s="66"/>
      <c r="L4422" s="66"/>
      <c r="M4422" s="79" t="str">
        <f>HYPERLINK("http://www.pristavka.com/catalog/tamashii_nations/BTM405/")</f>
        <v>http://www.pristavka.com/catalog/tamashii_nations/BTM405/</v>
      </c>
      <c r="N4422" s="71">
        <v>67599</v>
      </c>
      <c r="O4422" s="66" t="s">
        <v>28</v>
      </c>
      <c r="P4422" s="82" t="s">
        <v>16513</v>
      </c>
      <c r="Q4422" s="84" t="s">
        <v>2972</v>
      </c>
      <c r="R4422" s="84" t="s">
        <v>1068</v>
      </c>
      <c r="S4422" s="84">
        <v>0.19</v>
      </c>
      <c r="T4422" s="82" t="s">
        <v>16514</v>
      </c>
      <c r="U4422" s="84"/>
      <c r="V4422" s="54"/>
    </row>
    <row r="4423" spans="1:22" s="11" customFormat="1" ht="45" customHeight="1" x14ac:dyDescent="0.2">
      <c r="A4423" s="66" t="s">
        <v>16452</v>
      </c>
      <c r="B4423" s="66" t="s">
        <v>1707</v>
      </c>
      <c r="C4423" s="66" t="s">
        <v>16452</v>
      </c>
      <c r="D4423" s="66">
        <v>4573102651488</v>
      </c>
      <c r="E4423" s="68" t="s">
        <v>16515</v>
      </c>
      <c r="F4423" s="66" t="s">
        <v>16516</v>
      </c>
      <c r="G4423" s="71">
        <v>78134</v>
      </c>
      <c r="H4423" s="73"/>
      <c r="I4423" s="75">
        <v>0.2</v>
      </c>
      <c r="J4423" s="77"/>
      <c r="K4423" s="66"/>
      <c r="L4423" s="66"/>
      <c r="M4423" s="79" t="str">
        <f>HYPERLINK("http://www.pristavka.com/catalog/tamashii_nations/BTM406/")</f>
        <v>http://www.pristavka.com/catalog/tamashii_nations/BTM406/</v>
      </c>
      <c r="N4423" s="71">
        <v>97699</v>
      </c>
      <c r="O4423" s="66" t="s">
        <v>28</v>
      </c>
      <c r="P4423" s="82" t="s">
        <v>16517</v>
      </c>
      <c r="Q4423" s="84" t="s">
        <v>1068</v>
      </c>
      <c r="R4423" s="84" t="s">
        <v>1068</v>
      </c>
      <c r="S4423" s="84">
        <v>1.5349999999999999</v>
      </c>
      <c r="T4423" s="82" t="s">
        <v>16518</v>
      </c>
      <c r="U4423" s="84"/>
      <c r="V4423" s="54"/>
    </row>
    <row r="4424" spans="1:22" s="11" customFormat="1" ht="45" customHeight="1" x14ac:dyDescent="0.2">
      <c r="A4424" s="66" t="s">
        <v>16452</v>
      </c>
      <c r="B4424" s="66" t="s">
        <v>1707</v>
      </c>
      <c r="C4424" s="66" t="s">
        <v>16452</v>
      </c>
      <c r="D4424" s="66">
        <v>4573102650337</v>
      </c>
      <c r="E4424" s="68" t="s">
        <v>16519</v>
      </c>
      <c r="F4424" s="66" t="s">
        <v>16520</v>
      </c>
      <c r="G4424" s="71">
        <v>84346</v>
      </c>
      <c r="H4424" s="73"/>
      <c r="I4424" s="75">
        <v>0.2</v>
      </c>
      <c r="J4424" s="77"/>
      <c r="K4424" s="66"/>
      <c r="L4424" s="66"/>
      <c r="M4424" s="79" t="str">
        <f>HYPERLINK("http://www.pristavka.com/catalog/tamashii_nations/BTM440/")</f>
        <v>http://www.pristavka.com/catalog/tamashii_nations/BTM440/</v>
      </c>
      <c r="N4424" s="71">
        <v>112499</v>
      </c>
      <c r="O4424" s="66" t="s">
        <v>28</v>
      </c>
      <c r="P4424" s="82" t="s">
        <v>16521</v>
      </c>
      <c r="Q4424" s="84" t="s">
        <v>1068</v>
      </c>
      <c r="R4424" s="84" t="s">
        <v>1068</v>
      </c>
      <c r="S4424" s="84">
        <v>0.87</v>
      </c>
      <c r="T4424" s="82" t="s">
        <v>16522</v>
      </c>
      <c r="U4424" s="84"/>
      <c r="V4424" s="54"/>
    </row>
    <row r="4425" spans="1:22" s="11" customFormat="1" ht="45" customHeight="1" x14ac:dyDescent="0.2">
      <c r="A4425" s="66" t="s">
        <v>16452</v>
      </c>
      <c r="B4425" s="66" t="s">
        <v>1707</v>
      </c>
      <c r="C4425" s="66" t="s">
        <v>16452</v>
      </c>
      <c r="D4425" s="66">
        <v>4573102656506</v>
      </c>
      <c r="E4425" s="68" t="s">
        <v>16523</v>
      </c>
      <c r="F4425" s="66" t="s">
        <v>16524</v>
      </c>
      <c r="G4425" s="71">
        <v>38048</v>
      </c>
      <c r="H4425" s="73"/>
      <c r="I4425" s="75">
        <v>0.2</v>
      </c>
      <c r="J4425" s="77"/>
      <c r="K4425" s="66"/>
      <c r="L4425" s="66"/>
      <c r="M4425" s="79" t="str">
        <f>HYPERLINK("http://www.pristavka.com/catalog/tamashii_nations/BTM452/")</f>
        <v>http://www.pristavka.com/catalog/tamashii_nations/BTM452/</v>
      </c>
      <c r="N4425" s="71">
        <v>54399</v>
      </c>
      <c r="O4425" s="66" t="s">
        <v>27</v>
      </c>
      <c r="P4425" s="82" t="s">
        <v>16525</v>
      </c>
      <c r="Q4425" s="84" t="s">
        <v>1091</v>
      </c>
      <c r="R4425" s="84" t="s">
        <v>1068</v>
      </c>
      <c r="S4425" s="84">
        <v>0.14499999999999999</v>
      </c>
      <c r="T4425" s="82" t="s">
        <v>16526</v>
      </c>
      <c r="U4425" s="84"/>
      <c r="V4425" s="54"/>
    </row>
    <row r="4426" spans="1:22" s="11" customFormat="1" ht="45" customHeight="1" x14ac:dyDescent="0.2">
      <c r="A4426" s="66" t="s">
        <v>16452</v>
      </c>
      <c r="B4426" s="66" t="s">
        <v>1707</v>
      </c>
      <c r="C4426" s="66" t="s">
        <v>16452</v>
      </c>
      <c r="D4426" s="66">
        <v>4573102651679</v>
      </c>
      <c r="E4426" s="68" t="s">
        <v>16527</v>
      </c>
      <c r="F4426" s="66" t="s">
        <v>16528</v>
      </c>
      <c r="G4426" s="71">
        <v>39453</v>
      </c>
      <c r="H4426" s="73"/>
      <c r="I4426" s="75">
        <v>0.2</v>
      </c>
      <c r="J4426" s="77"/>
      <c r="K4426" s="66"/>
      <c r="L4426" s="66"/>
      <c r="M4426" s="79" t="str">
        <f>HYPERLINK("http://www.pristavka.com/catalog/tamashii_nations/BTM415/")</f>
        <v>http://www.pristavka.com/catalog/tamashii_nations/BTM415/</v>
      </c>
      <c r="N4426" s="71">
        <v>60699</v>
      </c>
      <c r="O4426" s="66" t="s">
        <v>28</v>
      </c>
      <c r="P4426" s="82" t="s">
        <v>16529</v>
      </c>
      <c r="Q4426" s="84" t="s">
        <v>1112</v>
      </c>
      <c r="R4426" s="84" t="s">
        <v>1068</v>
      </c>
      <c r="S4426" s="84">
        <v>0.12</v>
      </c>
      <c r="T4426" s="82" t="s">
        <v>16530</v>
      </c>
      <c r="U4426" s="84"/>
      <c r="V4426" s="54"/>
    </row>
    <row r="4427" spans="1:22" s="11" customFormat="1" ht="45" customHeight="1" x14ac:dyDescent="0.2">
      <c r="A4427" s="66" t="s">
        <v>16452</v>
      </c>
      <c r="B4427" s="66" t="s">
        <v>1155</v>
      </c>
      <c r="C4427" s="66" t="s">
        <v>16452</v>
      </c>
      <c r="D4427" s="66">
        <v>4573102651327</v>
      </c>
      <c r="E4427" s="68" t="s">
        <v>16531</v>
      </c>
      <c r="F4427" s="66" t="s">
        <v>16532</v>
      </c>
      <c r="G4427" s="71">
        <v>36938</v>
      </c>
      <c r="H4427" s="73"/>
      <c r="I4427" s="75">
        <v>0.2</v>
      </c>
      <c r="J4427" s="77"/>
      <c r="K4427" s="66"/>
      <c r="L4427" s="66"/>
      <c r="M4427" s="79" t="str">
        <f>HYPERLINK("http://www.pristavka.com/catalog/tamashii_nations/BTM479/")</f>
        <v>http://www.pristavka.com/catalog/tamashii_nations/BTM479/</v>
      </c>
      <c r="N4427" s="71">
        <v>52799</v>
      </c>
      <c r="O4427" s="66" t="s">
        <v>27</v>
      </c>
      <c r="P4427" s="82" t="s">
        <v>16533</v>
      </c>
      <c r="Q4427" s="84" t="s">
        <v>1963</v>
      </c>
      <c r="R4427" s="84" t="s">
        <v>1068</v>
      </c>
      <c r="S4427" s="84">
        <v>0.18</v>
      </c>
      <c r="T4427" s="82" t="s">
        <v>16534</v>
      </c>
      <c r="U4427" s="84"/>
      <c r="V4427" s="54"/>
    </row>
    <row r="4428" spans="1:22" s="11" customFormat="1" ht="45" customHeight="1" x14ac:dyDescent="0.2">
      <c r="A4428" s="66" t="s">
        <v>16452</v>
      </c>
      <c r="B4428" s="66" t="s">
        <v>1707</v>
      </c>
      <c r="C4428" s="66" t="s">
        <v>16452</v>
      </c>
      <c r="D4428" s="66">
        <v>4573102651686</v>
      </c>
      <c r="E4428" s="68" t="s">
        <v>16535</v>
      </c>
      <c r="F4428" s="66" t="s">
        <v>16536</v>
      </c>
      <c r="G4428" s="71">
        <v>42199</v>
      </c>
      <c r="H4428" s="73"/>
      <c r="I4428" s="75">
        <v>0.2</v>
      </c>
      <c r="J4428" s="77"/>
      <c r="K4428" s="66"/>
      <c r="L4428" s="66"/>
      <c r="M4428" s="79" t="str">
        <f>HYPERLINK("http://www.pristavka.com/catalog/bandai/BTM425/")</f>
        <v>http://www.pristavka.com/catalog/bandai/BTM425/</v>
      </c>
      <c r="N4428" s="71">
        <v>64999</v>
      </c>
      <c r="O4428" s="66" t="s">
        <v>28</v>
      </c>
      <c r="P4428" s="82" t="s">
        <v>16537</v>
      </c>
      <c r="Q4428" s="84" t="s">
        <v>1112</v>
      </c>
      <c r="R4428" s="84" t="s">
        <v>1068</v>
      </c>
      <c r="S4428" s="84">
        <v>0.155</v>
      </c>
      <c r="T4428" s="82" t="s">
        <v>16538</v>
      </c>
      <c r="U4428" s="84"/>
      <c r="V4428" s="54"/>
    </row>
    <row r="4429" spans="1:22" s="11" customFormat="1" ht="45" customHeight="1" x14ac:dyDescent="0.2">
      <c r="A4429" s="66" t="s">
        <v>16452</v>
      </c>
      <c r="B4429" s="66" t="s">
        <v>1707</v>
      </c>
      <c r="C4429" s="66" t="s">
        <v>16452</v>
      </c>
      <c r="D4429" s="66">
        <v>4573102655370</v>
      </c>
      <c r="E4429" s="68" t="s">
        <v>16539</v>
      </c>
      <c r="F4429" s="66" t="s">
        <v>16540</v>
      </c>
      <c r="G4429" s="71">
        <v>55426</v>
      </c>
      <c r="H4429" s="73"/>
      <c r="I4429" s="75">
        <v>0.2</v>
      </c>
      <c r="J4429" s="77"/>
      <c r="K4429" s="66"/>
      <c r="L4429" s="66"/>
      <c r="M4429" s="79" t="str">
        <f>HYPERLINK("http://www.pristavka.com/catalog/tamashii_nations/BTM449/")</f>
        <v>http://www.pristavka.com/catalog/tamashii_nations/BTM449/</v>
      </c>
      <c r="N4429" s="71">
        <v>79199</v>
      </c>
      <c r="O4429" s="66" t="s">
        <v>27</v>
      </c>
      <c r="P4429" s="82" t="s">
        <v>16541</v>
      </c>
      <c r="Q4429" s="84" t="s">
        <v>1594</v>
      </c>
      <c r="R4429" s="84" t="s">
        <v>1075</v>
      </c>
      <c r="S4429" s="84">
        <v>0.20399999999999999</v>
      </c>
      <c r="T4429" s="82" t="s">
        <v>16542</v>
      </c>
      <c r="U4429" s="84"/>
      <c r="V4429" s="54"/>
    </row>
    <row r="4430" spans="1:22" s="11" customFormat="1" ht="45" customHeight="1" x14ac:dyDescent="0.2">
      <c r="A4430" s="66" t="s">
        <v>16452</v>
      </c>
      <c r="B4430" s="66" t="s">
        <v>1707</v>
      </c>
      <c r="C4430" s="66" t="s">
        <v>16452</v>
      </c>
      <c r="D4430" s="66">
        <v>4573102653703</v>
      </c>
      <c r="E4430" s="68" t="s">
        <v>16543</v>
      </c>
      <c r="F4430" s="66" t="s">
        <v>16544</v>
      </c>
      <c r="G4430" s="71">
        <v>40826</v>
      </c>
      <c r="H4430" s="73"/>
      <c r="I4430" s="75">
        <v>0.2</v>
      </c>
      <c r="J4430" s="77"/>
      <c r="K4430" s="66"/>
      <c r="L4430" s="66"/>
      <c r="M4430" s="79" t="str">
        <f>HYPERLINK("http://www.pristavka.com/catalog/tamashii_nations/BTM429/")</f>
        <v>http://www.pristavka.com/catalog/tamashii_nations/BTM429/</v>
      </c>
      <c r="N4430" s="71">
        <v>62899</v>
      </c>
      <c r="O4430" s="66" t="s">
        <v>28</v>
      </c>
      <c r="P4430" s="82" t="s">
        <v>16545</v>
      </c>
      <c r="Q4430" s="84" t="s">
        <v>16460</v>
      </c>
      <c r="R4430" s="84" t="s">
        <v>1068</v>
      </c>
      <c r="S4430" s="84">
        <v>0.154</v>
      </c>
      <c r="T4430" s="82" t="s">
        <v>16546</v>
      </c>
      <c r="U4430" s="84"/>
      <c r="V4430" s="54"/>
    </row>
    <row r="4431" spans="1:22" s="11" customFormat="1" ht="45" customHeight="1" x14ac:dyDescent="0.2">
      <c r="A4431" s="66" t="s">
        <v>16452</v>
      </c>
      <c r="B4431" s="66" t="s">
        <v>1707</v>
      </c>
      <c r="C4431" s="66" t="s">
        <v>16452</v>
      </c>
      <c r="D4431" s="66">
        <v>4573102649324</v>
      </c>
      <c r="E4431" s="68" t="s">
        <v>16547</v>
      </c>
      <c r="F4431" s="66" t="s">
        <v>16548</v>
      </c>
      <c r="G4431" s="71">
        <v>40768</v>
      </c>
      <c r="H4431" s="73"/>
      <c r="I4431" s="75">
        <v>0.2</v>
      </c>
      <c r="J4431" s="77"/>
      <c r="K4431" s="66"/>
      <c r="L4431" s="66"/>
      <c r="M4431" s="79" t="str">
        <f>HYPERLINK("http://www.pristavka.com/catalog/tamashii_nations/BTM395/")</f>
        <v>http://www.pristavka.com/catalog/tamashii_nations/BTM395/</v>
      </c>
      <c r="N4431" s="71">
        <v>54399</v>
      </c>
      <c r="O4431" s="66" t="s">
        <v>28</v>
      </c>
      <c r="P4431" s="82" t="s">
        <v>16549</v>
      </c>
      <c r="Q4431" s="84" t="s">
        <v>1091</v>
      </c>
      <c r="R4431" s="84" t="s">
        <v>1068</v>
      </c>
      <c r="S4431" s="84">
        <v>0.14899999999999999</v>
      </c>
      <c r="T4431" s="82" t="s">
        <v>16514</v>
      </c>
      <c r="U4431" s="84"/>
      <c r="V4431" s="54"/>
    </row>
    <row r="4432" spans="1:22" s="11" customFormat="1" ht="45" customHeight="1" x14ac:dyDescent="0.2">
      <c r="A4432" s="66" t="s">
        <v>16452</v>
      </c>
      <c r="B4432" s="66" t="s">
        <v>1707</v>
      </c>
      <c r="C4432" s="66" t="s">
        <v>16452</v>
      </c>
      <c r="D4432" s="66">
        <v>4573102653642</v>
      </c>
      <c r="E4432" s="68" t="s">
        <v>16550</v>
      </c>
      <c r="F4432" s="66" t="s">
        <v>16551</v>
      </c>
      <c r="G4432" s="71">
        <v>47661</v>
      </c>
      <c r="H4432" s="73"/>
      <c r="I4432" s="75">
        <v>0.2</v>
      </c>
      <c r="J4432" s="77"/>
      <c r="K4432" s="66"/>
      <c r="L4432" s="66"/>
      <c r="M4432" s="79" t="str">
        <f>HYPERLINK("http://www.pristavka.com/catalog/tamashii_nations/BTM443/")</f>
        <v>http://www.pristavka.com/catalog/tamashii_nations/BTM443/</v>
      </c>
      <c r="N4432" s="71">
        <v>68099</v>
      </c>
      <c r="O4432" s="66" t="s">
        <v>28</v>
      </c>
      <c r="P4432" s="82" t="s">
        <v>16552</v>
      </c>
      <c r="Q4432" s="84" t="s">
        <v>1334</v>
      </c>
      <c r="R4432" s="84" t="s">
        <v>1068</v>
      </c>
      <c r="S4432" s="84">
        <v>0.21199999999999999</v>
      </c>
      <c r="T4432" s="82" t="s">
        <v>16553</v>
      </c>
      <c r="U4432" s="84"/>
      <c r="V4432" s="54"/>
    </row>
    <row r="4433" spans="1:22" s="11" customFormat="1" ht="45" customHeight="1" x14ac:dyDescent="0.2">
      <c r="A4433" s="66" t="s">
        <v>16452</v>
      </c>
      <c r="B4433" s="66" t="s">
        <v>1707</v>
      </c>
      <c r="C4433" s="66" t="s">
        <v>16452</v>
      </c>
      <c r="D4433" s="66">
        <v>4573102655608</v>
      </c>
      <c r="E4433" s="68" t="s">
        <v>16554</v>
      </c>
      <c r="F4433" s="66" t="s">
        <v>16555</v>
      </c>
      <c r="G4433" s="71">
        <v>47661</v>
      </c>
      <c r="H4433" s="73"/>
      <c r="I4433" s="75">
        <v>0.2</v>
      </c>
      <c r="J4433" s="77"/>
      <c r="K4433" s="66"/>
      <c r="L4433" s="66"/>
      <c r="M4433" s="79" t="str">
        <f>HYPERLINK("http://www.pristavka.com/catalog/tamashii_nations/BTM444/")</f>
        <v>http://www.pristavka.com/catalog/tamashii_nations/BTM444/</v>
      </c>
      <c r="N4433" s="71">
        <v>68099</v>
      </c>
      <c r="O4433" s="66" t="s">
        <v>27</v>
      </c>
      <c r="P4433" s="82" t="s">
        <v>16556</v>
      </c>
      <c r="Q4433" s="84" t="s">
        <v>1334</v>
      </c>
      <c r="R4433" s="84" t="s">
        <v>1068</v>
      </c>
      <c r="S4433" s="84">
        <v>0.19</v>
      </c>
      <c r="T4433" s="82" t="s">
        <v>16514</v>
      </c>
      <c r="U4433" s="84"/>
      <c r="V4433" s="54"/>
    </row>
    <row r="4434" spans="1:22" s="11" customFormat="1" ht="45" customHeight="1" x14ac:dyDescent="0.2">
      <c r="A4434" s="66" t="s">
        <v>16452</v>
      </c>
      <c r="B4434" s="66" t="s">
        <v>1707</v>
      </c>
      <c r="C4434" s="66" t="s">
        <v>16452</v>
      </c>
      <c r="D4434" s="66">
        <v>4573102649317</v>
      </c>
      <c r="E4434" s="68" t="s">
        <v>16557</v>
      </c>
      <c r="F4434" s="66" t="s">
        <v>16558</v>
      </c>
      <c r="G4434" s="71">
        <v>37736</v>
      </c>
      <c r="H4434" s="73"/>
      <c r="I4434" s="75">
        <v>0.2</v>
      </c>
      <c r="J4434" s="77"/>
      <c r="K4434" s="66"/>
      <c r="L4434" s="66"/>
      <c r="M4434" s="79" t="str">
        <f>HYPERLINK("http://www.pristavka.com/catalog/tamashii_nations/BTM426/")</f>
        <v>http://www.pristavka.com/catalog/tamashii_nations/BTM426/</v>
      </c>
      <c r="N4434" s="71">
        <v>58099</v>
      </c>
      <c r="O4434" s="66" t="s">
        <v>28</v>
      </c>
      <c r="P4434" s="82" t="s">
        <v>16559</v>
      </c>
      <c r="Q4434" s="84" t="s">
        <v>1148</v>
      </c>
      <c r="R4434" s="84" t="s">
        <v>1068</v>
      </c>
      <c r="S4434" s="84">
        <v>0.14599999999999999</v>
      </c>
      <c r="T4434" s="82" t="s">
        <v>16514</v>
      </c>
      <c r="U4434" s="84"/>
      <c r="V4434" s="54"/>
    </row>
    <row r="4435" spans="1:22" s="11" customFormat="1" ht="45" customHeight="1" x14ac:dyDescent="0.2">
      <c r="A4435" s="66" t="s">
        <v>16452</v>
      </c>
      <c r="B4435" s="66" t="s">
        <v>1707</v>
      </c>
      <c r="C4435" s="66" t="s">
        <v>16452</v>
      </c>
      <c r="D4435" s="66">
        <v>4573102661821</v>
      </c>
      <c r="E4435" s="68" t="s">
        <v>16560</v>
      </c>
      <c r="F4435" s="66" t="s">
        <v>16561</v>
      </c>
      <c r="G4435" s="71">
        <v>44334</v>
      </c>
      <c r="H4435" s="73"/>
      <c r="I4435" s="75">
        <v>0.2</v>
      </c>
      <c r="J4435" s="77"/>
      <c r="K4435" s="66"/>
      <c r="L4435" s="66"/>
      <c r="M4435" s="79" t="str">
        <f>HYPERLINK("http://www.pristavka.com/catalog/tamashii_nations/BTM459/")</f>
        <v>http://www.pristavka.com/catalog/tamashii_nations/BTM459/</v>
      </c>
      <c r="N4435" s="71">
        <v>63399</v>
      </c>
      <c r="O4435" s="66" t="s">
        <v>28</v>
      </c>
      <c r="P4435" s="82" t="s">
        <v>16562</v>
      </c>
      <c r="Q4435" s="84" t="s">
        <v>1068</v>
      </c>
      <c r="R4435" s="84" t="s">
        <v>1068</v>
      </c>
      <c r="S4435" s="84">
        <v>0.106</v>
      </c>
      <c r="T4435" s="82" t="s">
        <v>16526</v>
      </c>
      <c r="U4435" s="84"/>
      <c r="V4435" s="54"/>
    </row>
    <row r="4436" spans="1:22" s="11" customFormat="1" ht="45" customHeight="1" x14ac:dyDescent="0.2">
      <c r="A4436" s="66" t="s">
        <v>16452</v>
      </c>
      <c r="B4436" s="66" t="s">
        <v>1707</v>
      </c>
      <c r="C4436" s="66" t="s">
        <v>16452</v>
      </c>
      <c r="D4436" s="66">
        <v>4573102661838</v>
      </c>
      <c r="E4436" s="68" t="s">
        <v>16563</v>
      </c>
      <c r="F4436" s="66" t="s">
        <v>16564</v>
      </c>
      <c r="G4436" s="71">
        <v>47661</v>
      </c>
      <c r="H4436" s="73"/>
      <c r="I4436" s="75">
        <v>0.2</v>
      </c>
      <c r="J4436" s="77"/>
      <c r="K4436" s="66"/>
      <c r="L4436" s="66"/>
      <c r="M4436" s="79" t="str">
        <f>HYPERLINK("http://www.pristavka.com/catalog/tamashii_nations/BTM460/")</f>
        <v>http://www.pristavka.com/catalog/tamashii_nations/BTM460/</v>
      </c>
      <c r="N4436" s="71">
        <v>68099</v>
      </c>
      <c r="O4436" s="66" t="s">
        <v>28</v>
      </c>
      <c r="P4436" s="82" t="s">
        <v>16565</v>
      </c>
      <c r="Q4436" s="84" t="s">
        <v>1068</v>
      </c>
      <c r="R4436" s="84" t="s">
        <v>1068</v>
      </c>
      <c r="S4436" s="84">
        <v>0.14499999999999999</v>
      </c>
      <c r="T4436" s="82" t="s">
        <v>16566</v>
      </c>
      <c r="U4436" s="84"/>
      <c r="V4436" s="54"/>
    </row>
    <row r="4437" spans="1:22" s="11" customFormat="1" ht="45" customHeight="1" x14ac:dyDescent="0.2">
      <c r="A4437" s="66" t="s">
        <v>16452</v>
      </c>
      <c r="B4437" s="66" t="s">
        <v>1707</v>
      </c>
      <c r="C4437" s="66" t="s">
        <v>16452</v>
      </c>
      <c r="D4437" s="66">
        <v>4573102653673</v>
      </c>
      <c r="E4437" s="68" t="s">
        <v>16567</v>
      </c>
      <c r="F4437" s="66" t="s">
        <v>16568</v>
      </c>
      <c r="G4437" s="71">
        <v>46182</v>
      </c>
      <c r="H4437" s="73"/>
      <c r="I4437" s="75">
        <v>0.2</v>
      </c>
      <c r="J4437" s="77"/>
      <c r="K4437" s="66"/>
      <c r="L4437" s="66"/>
      <c r="M4437" s="79" t="str">
        <f>HYPERLINK("http://www.pristavka.com/catalog/tamashii_nations/BTM462/")</f>
        <v>http://www.pristavka.com/catalog/tamashii_nations/BTM462/</v>
      </c>
      <c r="N4437" s="71">
        <v>65999</v>
      </c>
      <c r="O4437" s="66" t="s">
        <v>28</v>
      </c>
      <c r="P4437" s="82" t="s">
        <v>16569</v>
      </c>
      <c r="Q4437" s="84" t="s">
        <v>1067</v>
      </c>
      <c r="R4437" s="84" t="s">
        <v>1068</v>
      </c>
      <c r="S4437" s="84">
        <v>0.28000000000000003</v>
      </c>
      <c r="T4437" s="82" t="s">
        <v>16514</v>
      </c>
      <c r="U4437" s="84"/>
      <c r="V4437" s="54"/>
    </row>
    <row r="4438" spans="1:22" s="11" customFormat="1" ht="45" customHeight="1" x14ac:dyDescent="0.2">
      <c r="A4438" s="66" t="s">
        <v>16452</v>
      </c>
      <c r="B4438" s="66" t="s">
        <v>1707</v>
      </c>
      <c r="C4438" s="66" t="s">
        <v>16452</v>
      </c>
      <c r="D4438" s="66">
        <v>4573102639073</v>
      </c>
      <c r="E4438" s="68" t="s">
        <v>16570</v>
      </c>
      <c r="F4438" s="66" t="s">
        <v>16571</v>
      </c>
      <c r="G4438" s="71">
        <v>25719</v>
      </c>
      <c r="H4438" s="73"/>
      <c r="I4438" s="75">
        <v>0.2</v>
      </c>
      <c r="J4438" s="77"/>
      <c r="K4438" s="66"/>
      <c r="L4438" s="66"/>
      <c r="M4438" s="79" t="str">
        <f>HYPERLINK("http://www.pristavka.com/catalog/tamashii_nations/BTM340/")</f>
        <v>http://www.pristavka.com/catalog/tamashii_nations/BTM340/</v>
      </c>
      <c r="N4438" s="71">
        <v>39599</v>
      </c>
      <c r="O4438" s="66" t="s">
        <v>27</v>
      </c>
      <c r="P4438" s="82" t="s">
        <v>16572</v>
      </c>
      <c r="Q4438" s="84" t="s">
        <v>1067</v>
      </c>
      <c r="R4438" s="84" t="s">
        <v>1068</v>
      </c>
      <c r="S4438" s="84">
        <v>0.08</v>
      </c>
      <c r="T4438" s="82" t="s">
        <v>16573</v>
      </c>
      <c r="U4438" s="84"/>
      <c r="V4438" s="54"/>
    </row>
    <row r="4439" spans="1:22" s="11" customFormat="1" ht="45" customHeight="1" x14ac:dyDescent="0.2">
      <c r="A4439" s="66" t="s">
        <v>16452</v>
      </c>
      <c r="B4439" s="66" t="s">
        <v>1707</v>
      </c>
      <c r="C4439" s="66" t="s">
        <v>16452</v>
      </c>
      <c r="D4439" s="66">
        <v>4573102649393</v>
      </c>
      <c r="E4439" s="68" t="s">
        <v>16574</v>
      </c>
      <c r="F4439" s="66" t="s">
        <v>16575</v>
      </c>
      <c r="G4439" s="71">
        <v>31899</v>
      </c>
      <c r="H4439" s="73"/>
      <c r="I4439" s="75">
        <v>0.2</v>
      </c>
      <c r="J4439" s="77"/>
      <c r="K4439" s="66"/>
      <c r="L4439" s="66"/>
      <c r="M4439" s="79" t="str">
        <f>HYPERLINK("http://www.pristavka.com/catalog/tamashii_nations/BTM382/")</f>
        <v>http://www.pristavka.com/catalog/tamashii_nations/BTM382/</v>
      </c>
      <c r="N4439" s="71">
        <v>49099</v>
      </c>
      <c r="O4439" s="66" t="s">
        <v>27</v>
      </c>
      <c r="P4439" s="82" t="s">
        <v>16576</v>
      </c>
      <c r="Q4439" s="84" t="s">
        <v>1067</v>
      </c>
      <c r="R4439" s="84" t="s">
        <v>1068</v>
      </c>
      <c r="S4439" s="84">
        <v>8.5000000000000006E-2</v>
      </c>
      <c r="T4439" s="82" t="s">
        <v>16530</v>
      </c>
      <c r="U4439" s="84"/>
      <c r="V4439" s="54"/>
    </row>
    <row r="4440" spans="1:22" s="11" customFormat="1" ht="45" customHeight="1" x14ac:dyDescent="0.2">
      <c r="A4440" s="66" t="s">
        <v>16452</v>
      </c>
      <c r="B4440" s="66" t="s">
        <v>1707</v>
      </c>
      <c r="C4440" s="66" t="s">
        <v>16452</v>
      </c>
      <c r="D4440" s="66">
        <v>4573102653666</v>
      </c>
      <c r="E4440" s="68" t="s">
        <v>16577</v>
      </c>
      <c r="F4440" s="66" t="s">
        <v>16578</v>
      </c>
      <c r="G4440" s="71">
        <v>41375</v>
      </c>
      <c r="H4440" s="73"/>
      <c r="I4440" s="75">
        <v>0.2</v>
      </c>
      <c r="J4440" s="77"/>
      <c r="K4440" s="66"/>
      <c r="L4440" s="66"/>
      <c r="M4440" s="79" t="str">
        <f>HYPERLINK("http://www.pristavka.com/catalog/tamashii_nations/BTM456/")</f>
        <v>http://www.pristavka.com/catalog/tamashii_nations/BTM456/</v>
      </c>
      <c r="N4440" s="71">
        <v>59199</v>
      </c>
      <c r="O4440" s="66" t="s">
        <v>27</v>
      </c>
      <c r="P4440" s="82" t="s">
        <v>16579</v>
      </c>
      <c r="Q4440" s="84" t="s">
        <v>1067</v>
      </c>
      <c r="R4440" s="84" t="s">
        <v>1068</v>
      </c>
      <c r="S4440" s="84">
        <v>0.16</v>
      </c>
      <c r="T4440" s="82" t="s">
        <v>16580</v>
      </c>
      <c r="U4440" s="84"/>
      <c r="V4440" s="54"/>
    </row>
    <row r="4441" spans="1:22" s="11" customFormat="1" ht="45" customHeight="1" x14ac:dyDescent="0.2">
      <c r="A4441" s="66" t="s">
        <v>16452</v>
      </c>
      <c r="B4441" s="66" t="s">
        <v>1707</v>
      </c>
      <c r="C4441" s="66" t="s">
        <v>16452</v>
      </c>
      <c r="D4441" s="66">
        <v>4573102633101</v>
      </c>
      <c r="E4441" s="68" t="s">
        <v>16581</v>
      </c>
      <c r="F4441" s="66" t="s">
        <v>16582</v>
      </c>
      <c r="G4441" s="71">
        <v>45443</v>
      </c>
      <c r="H4441" s="73"/>
      <c r="I4441" s="75">
        <v>0.2</v>
      </c>
      <c r="J4441" s="77"/>
      <c r="K4441" s="66"/>
      <c r="L4441" s="66"/>
      <c r="M4441" s="79" t="str">
        <f>HYPERLINK("http://www.pristavka.com/catalog/tamashii_nations/BTM327/")</f>
        <v>http://www.pristavka.com/catalog/tamashii_nations/BTM327/</v>
      </c>
      <c r="N4441" s="71">
        <v>64999</v>
      </c>
      <c r="O4441" s="66" t="s">
        <v>28</v>
      </c>
      <c r="P4441" s="82" t="s">
        <v>16583</v>
      </c>
      <c r="Q4441" s="84" t="s">
        <v>1321</v>
      </c>
      <c r="R4441" s="84" t="s">
        <v>1322</v>
      </c>
      <c r="S4441" s="84">
        <v>0.11799999999999999</v>
      </c>
      <c r="T4441" s="82" t="s">
        <v>16566</v>
      </c>
      <c r="U4441" s="84"/>
      <c r="V4441" s="54"/>
    </row>
    <row r="4442" spans="1:22" s="11" customFormat="1" ht="45" customHeight="1" x14ac:dyDescent="0.2">
      <c r="A4442" s="66" t="s">
        <v>16452</v>
      </c>
      <c r="B4442" s="66" t="s">
        <v>1707</v>
      </c>
      <c r="C4442" s="66" t="s">
        <v>16452</v>
      </c>
      <c r="D4442" s="66">
        <v>4543112896476</v>
      </c>
      <c r="E4442" s="68" t="s">
        <v>16584</v>
      </c>
      <c r="F4442" s="66" t="s">
        <v>16585</v>
      </c>
      <c r="G4442" s="71">
        <v>28122</v>
      </c>
      <c r="H4442" s="73"/>
      <c r="I4442" s="75">
        <v>0.2</v>
      </c>
      <c r="J4442" s="77"/>
      <c r="K4442" s="66"/>
      <c r="L4442" s="66"/>
      <c r="M4442" s="79" t="str">
        <f>HYPERLINK("http://www.pristavka.com/catalog/tamashii_nations/BTM379/")</f>
        <v>http://www.pristavka.com/catalog/tamashii_nations/BTM379/</v>
      </c>
      <c r="N4442" s="71">
        <v>43299</v>
      </c>
      <c r="O4442" s="66" t="s">
        <v>28</v>
      </c>
      <c r="P4442" s="82" t="s">
        <v>16586</v>
      </c>
      <c r="Q4442" s="84" t="s">
        <v>4884</v>
      </c>
      <c r="R4442" s="84" t="s">
        <v>1068</v>
      </c>
      <c r="S4442" s="84">
        <v>0.57499999999999996</v>
      </c>
      <c r="T4442" s="82" t="s">
        <v>16587</v>
      </c>
      <c r="U4442" s="84"/>
      <c r="V4442" s="54"/>
    </row>
    <row r="4443" spans="1:22" s="11" customFormat="1" ht="45" customHeight="1" x14ac:dyDescent="0.2">
      <c r="A4443" s="66" t="s">
        <v>16452</v>
      </c>
      <c r="B4443" s="66" t="s">
        <v>1707</v>
      </c>
      <c r="C4443" s="66" t="s">
        <v>16452</v>
      </c>
      <c r="D4443" s="66">
        <v>4573102668295</v>
      </c>
      <c r="E4443" s="68" t="s">
        <v>16588</v>
      </c>
      <c r="F4443" s="66" t="s">
        <v>16589</v>
      </c>
      <c r="G4443" s="71">
        <v>19882</v>
      </c>
      <c r="H4443" s="73"/>
      <c r="I4443" s="75">
        <v>0.2</v>
      </c>
      <c r="J4443" s="77"/>
      <c r="K4443" s="66"/>
      <c r="L4443" s="66"/>
      <c r="M4443" s="79" t="str">
        <f>HYPERLINK("http://www.pristavka.com/catalog/tamashii_nations/BTM471/")</f>
        <v>http://www.pristavka.com/catalog/tamashii_nations/BTM471/</v>
      </c>
      <c r="N4443" s="71">
        <v>30599</v>
      </c>
      <c r="O4443" s="66" t="s">
        <v>28</v>
      </c>
      <c r="P4443" s="82" t="s">
        <v>16590</v>
      </c>
      <c r="Q4443" s="84" t="s">
        <v>1068</v>
      </c>
      <c r="R4443" s="84" t="s">
        <v>1068</v>
      </c>
      <c r="S4443" s="84">
        <v>0.11</v>
      </c>
      <c r="T4443" s="82" t="s">
        <v>16591</v>
      </c>
      <c r="U4443" s="84"/>
      <c r="V4443" s="54"/>
    </row>
    <row r="4444" spans="1:22" s="11" customFormat="1" ht="45" customHeight="1" x14ac:dyDescent="0.2">
      <c r="A4444" s="66" t="s">
        <v>16452</v>
      </c>
      <c r="B4444" s="66" t="s">
        <v>1707</v>
      </c>
      <c r="C4444" s="66" t="s">
        <v>16452</v>
      </c>
      <c r="D4444" s="66">
        <v>4573102668318</v>
      </c>
      <c r="E4444" s="68" t="s">
        <v>16592</v>
      </c>
      <c r="F4444" s="66" t="s">
        <v>16593</v>
      </c>
      <c r="G4444" s="71">
        <v>19882</v>
      </c>
      <c r="H4444" s="73"/>
      <c r="I4444" s="75">
        <v>0.2</v>
      </c>
      <c r="J4444" s="77"/>
      <c r="K4444" s="66"/>
      <c r="L4444" s="66"/>
      <c r="M4444" s="79" t="str">
        <f>HYPERLINK("http://www.pristavka.com/catalog/tamashii_nations/BTM473/")</f>
        <v>http://www.pristavka.com/catalog/tamashii_nations/BTM473/</v>
      </c>
      <c r="N4444" s="71">
        <v>30599</v>
      </c>
      <c r="O4444" s="66" t="s">
        <v>28</v>
      </c>
      <c r="P4444" s="82" t="s">
        <v>16594</v>
      </c>
      <c r="Q4444" s="84" t="s">
        <v>1068</v>
      </c>
      <c r="R4444" s="84" t="s">
        <v>1068</v>
      </c>
      <c r="S4444" s="84">
        <v>0.10199999999999999</v>
      </c>
      <c r="T4444" s="82" t="s">
        <v>16591</v>
      </c>
      <c r="U4444" s="84"/>
      <c r="V4444" s="54"/>
    </row>
    <row r="4445" spans="1:22" s="11" customFormat="1" ht="45" customHeight="1" x14ac:dyDescent="0.2">
      <c r="A4445" s="66" t="s">
        <v>16452</v>
      </c>
      <c r="B4445" s="66" t="s">
        <v>1707</v>
      </c>
      <c r="C4445" s="66" t="s">
        <v>16452</v>
      </c>
      <c r="D4445" s="66">
        <v>4573102668301</v>
      </c>
      <c r="E4445" s="68" t="s">
        <v>16595</v>
      </c>
      <c r="F4445" s="66" t="s">
        <v>16596</v>
      </c>
      <c r="G4445" s="71">
        <v>19882</v>
      </c>
      <c r="H4445" s="73"/>
      <c r="I4445" s="75">
        <v>0.2</v>
      </c>
      <c r="J4445" s="77"/>
      <c r="K4445" s="66"/>
      <c r="L4445" s="66"/>
      <c r="M4445" s="79" t="str">
        <f>HYPERLINK("http://www.pristavka.com/catalog/tamashii_nations/BTM472/")</f>
        <v>http://www.pristavka.com/catalog/tamashii_nations/BTM472/</v>
      </c>
      <c r="N4445" s="71">
        <v>30599</v>
      </c>
      <c r="O4445" s="66" t="s">
        <v>28</v>
      </c>
      <c r="P4445" s="82" t="s">
        <v>16597</v>
      </c>
      <c r="Q4445" s="84" t="s">
        <v>1068</v>
      </c>
      <c r="R4445" s="84" t="s">
        <v>1068</v>
      </c>
      <c r="S4445" s="84">
        <v>0.108</v>
      </c>
      <c r="T4445" s="82" t="s">
        <v>16591</v>
      </c>
      <c r="U4445" s="84"/>
      <c r="V4445" s="54"/>
    </row>
    <row r="4446" spans="1:22" s="11" customFormat="1" ht="45" customHeight="1" x14ac:dyDescent="0.2">
      <c r="A4446" s="66" t="s">
        <v>16452</v>
      </c>
      <c r="B4446" s="66" t="s">
        <v>1707</v>
      </c>
      <c r="C4446" s="66" t="s">
        <v>16452</v>
      </c>
      <c r="D4446" s="66">
        <v>4573102649461</v>
      </c>
      <c r="E4446" s="68" t="s">
        <v>16598</v>
      </c>
      <c r="F4446" s="66" t="s">
        <v>16599</v>
      </c>
      <c r="G4446" s="71">
        <v>15075</v>
      </c>
      <c r="H4446" s="73"/>
      <c r="I4446" s="75">
        <v>0.2</v>
      </c>
      <c r="J4446" s="77"/>
      <c r="K4446" s="66"/>
      <c r="L4446" s="66"/>
      <c r="M4446" s="79" t="str">
        <f>HYPERLINK("http://www.pristavka.com/catalog/tamashii_nations/BTM369/")</f>
        <v>http://www.pristavka.com/catalog/tamashii_nations/BTM369/</v>
      </c>
      <c r="N4446" s="71">
        <v>23199</v>
      </c>
      <c r="O4446" s="66" t="s">
        <v>28</v>
      </c>
      <c r="P4446" s="82" t="s">
        <v>16600</v>
      </c>
      <c r="Q4446" s="84" t="s">
        <v>1091</v>
      </c>
      <c r="R4446" s="84" t="s">
        <v>1068</v>
      </c>
      <c r="S4446" s="84">
        <v>8.2000000000000003E-2</v>
      </c>
      <c r="T4446" s="82" t="s">
        <v>16465</v>
      </c>
      <c r="U4446" s="84"/>
      <c r="V4446" s="54"/>
    </row>
    <row r="4447" spans="1:22" s="11" customFormat="1" ht="45" customHeight="1" x14ac:dyDescent="0.2">
      <c r="A4447" s="66" t="s">
        <v>16452</v>
      </c>
      <c r="B4447" s="66" t="s">
        <v>1707</v>
      </c>
      <c r="C4447" s="66" t="s">
        <v>16452</v>
      </c>
      <c r="D4447" s="66">
        <v>4573102656643</v>
      </c>
      <c r="E4447" s="68" t="s">
        <v>16601</v>
      </c>
      <c r="F4447" s="66" t="s">
        <v>16602</v>
      </c>
      <c r="G4447" s="71">
        <v>49880</v>
      </c>
      <c r="H4447" s="73"/>
      <c r="I4447" s="75">
        <v>0.2</v>
      </c>
      <c r="J4447" s="77"/>
      <c r="K4447" s="66"/>
      <c r="L4447" s="66"/>
      <c r="M4447" s="79" t="str">
        <f>HYPERLINK("http://www.pristavka.com/catalog/tamashii_nations/BTM453/")</f>
        <v>http://www.pristavka.com/catalog/tamashii_nations/BTM453/</v>
      </c>
      <c r="N4447" s="71">
        <v>71299</v>
      </c>
      <c r="O4447" s="66" t="s">
        <v>28</v>
      </c>
      <c r="P4447" s="82" t="s">
        <v>16603</v>
      </c>
      <c r="Q4447" s="84" t="s">
        <v>1091</v>
      </c>
      <c r="R4447" s="84" t="s">
        <v>1068</v>
      </c>
      <c r="S4447" s="84">
        <v>0.92500000000000004</v>
      </c>
      <c r="T4447" s="82" t="s">
        <v>16604</v>
      </c>
      <c r="U4447" s="84"/>
      <c r="V4447" s="54"/>
    </row>
    <row r="4448" spans="1:22" s="11" customFormat="1" ht="45" customHeight="1" x14ac:dyDescent="0.2">
      <c r="A4448" s="66" t="s">
        <v>16452</v>
      </c>
      <c r="B4448" s="66" t="s">
        <v>1707</v>
      </c>
      <c r="C4448" s="66" t="s">
        <v>16452</v>
      </c>
      <c r="D4448" s="66">
        <v>4573102640291</v>
      </c>
      <c r="E4448" s="68" t="s">
        <v>16605</v>
      </c>
      <c r="F4448" s="66" t="s">
        <v>16606</v>
      </c>
      <c r="G4448" s="71">
        <v>59388</v>
      </c>
      <c r="H4448" s="73"/>
      <c r="I4448" s="75">
        <v>0.2</v>
      </c>
      <c r="J4448" s="77"/>
      <c r="K4448" s="66"/>
      <c r="L4448" s="66"/>
      <c r="M4448" s="79" t="str">
        <f>HYPERLINK("http://www.pristavka.com/catalog/tamashii_nations/BTM411/")</f>
        <v>http://www.pristavka.com/catalog/tamashii_nations/BTM411/</v>
      </c>
      <c r="N4448" s="71">
        <v>79199</v>
      </c>
      <c r="O4448" s="66" t="s">
        <v>28</v>
      </c>
      <c r="P4448" s="82" t="s">
        <v>16607</v>
      </c>
      <c r="Q4448" s="84" t="s">
        <v>1068</v>
      </c>
      <c r="R4448" s="84" t="s">
        <v>1068</v>
      </c>
      <c r="S4448" s="84">
        <v>0.245</v>
      </c>
      <c r="T4448" s="82" t="s">
        <v>16608</v>
      </c>
      <c r="U4448" s="84"/>
      <c r="V4448" s="54"/>
    </row>
    <row r="4449" spans="1:22" s="11" customFormat="1" ht="45" customHeight="1" x14ac:dyDescent="0.2">
      <c r="A4449" s="66" t="s">
        <v>16452</v>
      </c>
      <c r="B4449" s="66" t="s">
        <v>1707</v>
      </c>
      <c r="C4449" s="66" t="s">
        <v>16452</v>
      </c>
      <c r="D4449" s="66">
        <v>4573102661708</v>
      </c>
      <c r="E4449" s="68" t="s">
        <v>16609</v>
      </c>
      <c r="F4449" s="66" t="s">
        <v>16610</v>
      </c>
      <c r="G4449" s="71">
        <v>42485</v>
      </c>
      <c r="H4449" s="73"/>
      <c r="I4449" s="75">
        <v>0.2</v>
      </c>
      <c r="J4449" s="77"/>
      <c r="K4449" s="66"/>
      <c r="L4449" s="66"/>
      <c r="M4449" s="79" t="str">
        <f>HYPERLINK("http://www.pristavka.com/catalog/tamashii_nations/BTM469/")</f>
        <v>http://www.pristavka.com/catalog/tamashii_nations/BTM469/</v>
      </c>
      <c r="N4449" s="71">
        <v>60699</v>
      </c>
      <c r="O4449" s="66" t="s">
        <v>28</v>
      </c>
      <c r="P4449" s="82" t="s">
        <v>16611</v>
      </c>
      <c r="Q4449" s="84" t="s">
        <v>2972</v>
      </c>
      <c r="R4449" s="84" t="s">
        <v>1068</v>
      </c>
      <c r="S4449" s="84">
        <v>0.15</v>
      </c>
      <c r="T4449" s="82" t="s">
        <v>16612</v>
      </c>
      <c r="U4449" s="84"/>
      <c r="V4449" s="54"/>
    </row>
    <row r="4450" spans="1:22" s="11" customFormat="1" ht="45" customHeight="1" x14ac:dyDescent="0.2">
      <c r="A4450" s="66" t="s">
        <v>16452</v>
      </c>
      <c r="B4450" s="66" t="s">
        <v>1707</v>
      </c>
      <c r="C4450" s="66" t="s">
        <v>16452</v>
      </c>
      <c r="D4450" s="66">
        <v>4573102666222</v>
      </c>
      <c r="E4450" s="68" t="s">
        <v>16613</v>
      </c>
      <c r="F4450" s="66" t="s">
        <v>16614</v>
      </c>
      <c r="G4450" s="71">
        <v>44334</v>
      </c>
      <c r="H4450" s="73"/>
      <c r="I4450" s="75">
        <v>0.2</v>
      </c>
      <c r="J4450" s="77"/>
      <c r="K4450" s="66"/>
      <c r="L4450" s="66"/>
      <c r="M4450" s="79" t="str">
        <f>HYPERLINK("http://www.pristavka.com/catalog/tamashii_nations/BTM474/")</f>
        <v>http://www.pristavka.com/catalog/tamashii_nations/BTM474/</v>
      </c>
      <c r="N4450" s="71">
        <v>63399</v>
      </c>
      <c r="O4450" s="66" t="s">
        <v>27</v>
      </c>
      <c r="P4450" s="82" t="s">
        <v>16615</v>
      </c>
      <c r="Q4450" s="84" t="s">
        <v>1068</v>
      </c>
      <c r="R4450" s="84" t="s">
        <v>1068</v>
      </c>
      <c r="S4450" s="84">
        <v>0.19</v>
      </c>
      <c r="T4450" s="82" t="s">
        <v>16616</v>
      </c>
      <c r="U4450" s="84"/>
      <c r="V4450" s="54"/>
    </row>
    <row r="4451" spans="1:22" s="11" customFormat="1" ht="45" customHeight="1" x14ac:dyDescent="0.2">
      <c r="A4451" s="66" t="s">
        <v>16452</v>
      </c>
      <c r="B4451" s="66" t="s">
        <v>1707</v>
      </c>
      <c r="C4451" s="66" t="s">
        <v>16452</v>
      </c>
      <c r="D4451" s="66">
        <v>4573102661777</v>
      </c>
      <c r="E4451" s="68" t="s">
        <v>16617</v>
      </c>
      <c r="F4451" s="66" t="s">
        <v>16618</v>
      </c>
      <c r="G4451" s="71">
        <v>40636</v>
      </c>
      <c r="H4451" s="73"/>
      <c r="I4451" s="75">
        <v>0.2</v>
      </c>
      <c r="J4451" s="77"/>
      <c r="K4451" s="66"/>
      <c r="L4451" s="66"/>
      <c r="M4451" s="79" t="str">
        <f>HYPERLINK("http://www.pristavka.com/catalog/tamashii_nations/BTM467/")</f>
        <v>http://www.pristavka.com/catalog/tamashii_nations/BTM467/</v>
      </c>
      <c r="N4451" s="71">
        <v>58099</v>
      </c>
      <c r="O4451" s="66" t="s">
        <v>27</v>
      </c>
      <c r="P4451" s="82" t="s">
        <v>16619</v>
      </c>
      <c r="Q4451" s="84" t="s">
        <v>1068</v>
      </c>
      <c r="R4451" s="84" t="s">
        <v>1068</v>
      </c>
      <c r="S4451" s="84">
        <v>0.124</v>
      </c>
      <c r="T4451" s="82" t="s">
        <v>16526</v>
      </c>
      <c r="U4451" s="84"/>
      <c r="V4451" s="54"/>
    </row>
    <row r="4452" spans="1:22" s="11" customFormat="1" ht="45" customHeight="1" x14ac:dyDescent="0.2">
      <c r="A4452" s="66" t="s">
        <v>16452</v>
      </c>
      <c r="B4452" s="66" t="s">
        <v>1707</v>
      </c>
      <c r="C4452" s="66" t="s">
        <v>16452</v>
      </c>
      <c r="D4452" s="66">
        <v>4573102661760</v>
      </c>
      <c r="E4452" s="68" t="s">
        <v>16620</v>
      </c>
      <c r="F4452" s="66" t="s">
        <v>16621</v>
      </c>
      <c r="G4452" s="71">
        <v>34303</v>
      </c>
      <c r="H4452" s="73"/>
      <c r="I4452" s="75">
        <v>0.2</v>
      </c>
      <c r="J4452" s="77"/>
      <c r="K4452" s="66"/>
      <c r="L4452" s="66"/>
      <c r="M4452" s="79" t="str">
        <f>HYPERLINK("http://www.pristavka.com/catalog/tamashii_nations/BTM466/")</f>
        <v>http://www.pristavka.com/catalog/tamashii_nations/BTM466/</v>
      </c>
      <c r="N4452" s="71">
        <v>52799</v>
      </c>
      <c r="O4452" s="66" t="s">
        <v>27</v>
      </c>
      <c r="P4452" s="82" t="s">
        <v>16622</v>
      </c>
      <c r="Q4452" s="84" t="s">
        <v>1068</v>
      </c>
      <c r="R4452" s="84" t="s">
        <v>1068</v>
      </c>
      <c r="S4452" s="84">
        <v>0.184</v>
      </c>
      <c r="T4452" s="82" t="s">
        <v>16526</v>
      </c>
      <c r="U4452" s="84"/>
      <c r="V4452" s="54"/>
    </row>
    <row r="4453" spans="1:22" s="11" customFormat="1" ht="45" customHeight="1" x14ac:dyDescent="0.2">
      <c r="A4453" s="66" t="s">
        <v>16452</v>
      </c>
      <c r="B4453" s="66" t="s">
        <v>1707</v>
      </c>
      <c r="C4453" s="66" t="s">
        <v>16452</v>
      </c>
      <c r="D4453" s="66">
        <v>4573102661784</v>
      </c>
      <c r="E4453" s="68" t="s">
        <v>16623</v>
      </c>
      <c r="F4453" s="66" t="s">
        <v>16624</v>
      </c>
      <c r="G4453" s="71">
        <v>40636</v>
      </c>
      <c r="H4453" s="73"/>
      <c r="I4453" s="75">
        <v>0.2</v>
      </c>
      <c r="J4453" s="77"/>
      <c r="K4453" s="66"/>
      <c r="L4453" s="66"/>
      <c r="M4453" s="79" t="str">
        <f>HYPERLINK("http://www.pristavka.com/catalog/tamashii_nations/BTM468/")</f>
        <v>http://www.pristavka.com/catalog/tamashii_nations/BTM468/</v>
      </c>
      <c r="N4453" s="71">
        <v>58099</v>
      </c>
      <c r="O4453" s="66" t="s">
        <v>27</v>
      </c>
      <c r="P4453" s="82" t="s">
        <v>16625</v>
      </c>
      <c r="Q4453" s="84" t="s">
        <v>1068</v>
      </c>
      <c r="R4453" s="84" t="s">
        <v>1068</v>
      </c>
      <c r="S4453" s="84">
        <v>0.152</v>
      </c>
      <c r="T4453" s="82" t="s">
        <v>16526</v>
      </c>
      <c r="U4453" s="84"/>
      <c r="V4453" s="54"/>
    </row>
    <row r="4454" spans="1:22" s="11" customFormat="1" ht="45" customHeight="1" x14ac:dyDescent="0.2">
      <c r="A4454" s="66" t="s">
        <v>16452</v>
      </c>
      <c r="B4454" s="66" t="s">
        <v>1707</v>
      </c>
      <c r="C4454" s="66" t="s">
        <v>16452</v>
      </c>
      <c r="D4454" s="66">
        <v>4573102649430</v>
      </c>
      <c r="E4454" s="68" t="s">
        <v>16626</v>
      </c>
      <c r="F4454" s="66" t="s">
        <v>16627</v>
      </c>
      <c r="G4454" s="71">
        <v>13702</v>
      </c>
      <c r="H4454" s="73"/>
      <c r="I4454" s="75">
        <v>0.2</v>
      </c>
      <c r="J4454" s="77"/>
      <c r="K4454" s="66"/>
      <c r="L4454" s="66"/>
      <c r="M4454" s="79" t="str">
        <f>HYPERLINK("http://www.pristavka.com/catalog/tamashii_nations/BTM465/")</f>
        <v>http://www.pristavka.com/catalog/tamashii_nations/BTM465/</v>
      </c>
      <c r="N4454" s="71">
        <v>21099</v>
      </c>
      <c r="O4454" s="66" t="s">
        <v>28</v>
      </c>
      <c r="P4454" s="82" t="s">
        <v>16628</v>
      </c>
      <c r="Q4454" s="84" t="s">
        <v>1068</v>
      </c>
      <c r="R4454" s="84" t="s">
        <v>1068</v>
      </c>
      <c r="S4454" s="84">
        <v>0.10199999999999999</v>
      </c>
      <c r="T4454" s="82" t="s">
        <v>16465</v>
      </c>
      <c r="U4454" s="84"/>
      <c r="V4454" s="54"/>
    </row>
    <row r="4455" spans="1:22" s="11" customFormat="1" ht="45" customHeight="1" x14ac:dyDescent="0.2">
      <c r="A4455" s="66" t="s">
        <v>16452</v>
      </c>
      <c r="B4455" s="66" t="s">
        <v>1707</v>
      </c>
      <c r="C4455" s="66" t="s">
        <v>16452</v>
      </c>
      <c r="D4455" s="66">
        <v>4573102649423</v>
      </c>
      <c r="E4455" s="68" t="s">
        <v>16629</v>
      </c>
      <c r="F4455" s="66" t="s">
        <v>16630</v>
      </c>
      <c r="G4455" s="71">
        <v>13702</v>
      </c>
      <c r="H4455" s="73"/>
      <c r="I4455" s="75">
        <v>0.2</v>
      </c>
      <c r="J4455" s="77"/>
      <c r="K4455" s="66"/>
      <c r="L4455" s="66"/>
      <c r="M4455" s="79" t="str">
        <f>HYPERLINK("http://www.pristavka.com/catalog/tamashii_nations/BTM464/")</f>
        <v>http://www.pristavka.com/catalog/tamashii_nations/BTM464/</v>
      </c>
      <c r="N4455" s="71">
        <v>21099</v>
      </c>
      <c r="O4455" s="66" t="s">
        <v>28</v>
      </c>
      <c r="P4455" s="82" t="s">
        <v>16631</v>
      </c>
      <c r="Q4455" s="84" t="s">
        <v>1068</v>
      </c>
      <c r="R4455" s="84" t="s">
        <v>1068</v>
      </c>
      <c r="S4455" s="84">
        <v>9.6000000000000002E-2</v>
      </c>
      <c r="T4455" s="82" t="s">
        <v>16465</v>
      </c>
      <c r="U4455" s="84"/>
      <c r="V4455" s="54"/>
    </row>
    <row r="4456" spans="1:22" s="11" customFormat="1" ht="45" customHeight="1" x14ac:dyDescent="0.2">
      <c r="A4456" s="66" t="s">
        <v>16452</v>
      </c>
      <c r="B4456" s="66" t="s">
        <v>1707</v>
      </c>
      <c r="C4456" s="66" t="s">
        <v>16452</v>
      </c>
      <c r="D4456" s="66">
        <v>4573102664716</v>
      </c>
      <c r="E4456" s="68" t="s">
        <v>16632</v>
      </c>
      <c r="F4456" s="66" t="s">
        <v>16633</v>
      </c>
      <c r="G4456" s="71">
        <v>42485</v>
      </c>
      <c r="H4456" s="73"/>
      <c r="I4456" s="75">
        <v>0.2</v>
      </c>
      <c r="J4456" s="77"/>
      <c r="K4456" s="66"/>
      <c r="L4456" s="66"/>
      <c r="M4456" s="79" t="str">
        <f>HYPERLINK("http://www.pristavka.com/catalog/tamashii_nations/BTM477/")</f>
        <v>http://www.pristavka.com/catalog/tamashii_nations/BTM477/</v>
      </c>
      <c r="N4456" s="71">
        <v>60699</v>
      </c>
      <c r="O4456" s="66" t="s">
        <v>27</v>
      </c>
      <c r="P4456" s="82" t="s">
        <v>16634</v>
      </c>
      <c r="Q4456" s="84" t="s">
        <v>1068</v>
      </c>
      <c r="R4456" s="84" t="s">
        <v>1068</v>
      </c>
      <c r="S4456" s="84">
        <v>0.154</v>
      </c>
      <c r="T4456" s="82" t="s">
        <v>16612</v>
      </c>
      <c r="U4456" s="84"/>
      <c r="V4456" s="54"/>
    </row>
    <row r="4457" spans="1:22" s="11" customFormat="1" ht="45" customHeight="1" x14ac:dyDescent="0.2">
      <c r="A4457" s="66" t="s">
        <v>16635</v>
      </c>
      <c r="B4457" s="66" t="s">
        <v>1707</v>
      </c>
      <c r="C4457" s="66" t="s">
        <v>16635</v>
      </c>
      <c r="D4457" s="66">
        <v>850795008961</v>
      </c>
      <c r="E4457" s="68" t="s">
        <v>16636</v>
      </c>
      <c r="F4457" s="66" t="s">
        <v>16637</v>
      </c>
      <c r="G4457" s="71">
        <v>6492</v>
      </c>
      <c r="H4457" s="73"/>
      <c r="I4457" s="75">
        <v>0.2</v>
      </c>
      <c r="J4457" s="77"/>
      <c r="K4457" s="66"/>
      <c r="L4457" s="66"/>
      <c r="M4457" s="79" t="str">
        <f>HYPERLINK("http://www.pristavka.com/catalog/The Loyal Subjects/TLS9/")</f>
        <v>http://www.pristavka.com/catalog/The Loyal Subjects/TLS9/</v>
      </c>
      <c r="N4457" s="71">
        <v>9999</v>
      </c>
      <c r="O4457" s="66" t="s">
        <v>27</v>
      </c>
      <c r="P4457" s="82" t="s">
        <v>16638</v>
      </c>
      <c r="Q4457" s="84" t="s">
        <v>1594</v>
      </c>
      <c r="R4457" s="84" t="s">
        <v>1075</v>
      </c>
      <c r="S4457" s="84">
        <v>0.14799999999999999</v>
      </c>
      <c r="T4457" s="82" t="s">
        <v>16639</v>
      </c>
      <c r="U4457" s="84"/>
      <c r="V4457" s="54"/>
    </row>
    <row r="4458" spans="1:22" s="11" customFormat="1" ht="45" customHeight="1" x14ac:dyDescent="0.2">
      <c r="A4458" s="66" t="s">
        <v>16635</v>
      </c>
      <c r="B4458" s="66" t="s">
        <v>1707</v>
      </c>
      <c r="C4458" s="66" t="s">
        <v>16635</v>
      </c>
      <c r="D4458" s="66">
        <v>850795008749</v>
      </c>
      <c r="E4458" s="68" t="s">
        <v>16640</v>
      </c>
      <c r="F4458" s="66" t="s">
        <v>16641</v>
      </c>
      <c r="G4458" s="71">
        <v>6492</v>
      </c>
      <c r="H4458" s="73"/>
      <c r="I4458" s="75">
        <v>0.2</v>
      </c>
      <c r="J4458" s="77"/>
      <c r="K4458" s="66"/>
      <c r="L4458" s="66"/>
      <c r="M4458" s="79" t="str">
        <f>HYPERLINK("http://www.pristavka.com/catalog/The Loyal Subjects/TLS7/")</f>
        <v>http://www.pristavka.com/catalog/The Loyal Subjects/TLS7/</v>
      </c>
      <c r="N4458" s="71">
        <v>9999</v>
      </c>
      <c r="O4458" s="66" t="s">
        <v>27</v>
      </c>
      <c r="P4458" s="82" t="s">
        <v>16642</v>
      </c>
      <c r="Q4458" s="84" t="s">
        <v>3502</v>
      </c>
      <c r="R4458" s="84" t="s">
        <v>1303</v>
      </c>
      <c r="S4458" s="84">
        <v>0.183</v>
      </c>
      <c r="T4458" s="82" t="s">
        <v>16643</v>
      </c>
      <c r="U4458" s="84"/>
      <c r="V4458" s="54"/>
    </row>
    <row r="4459" spans="1:22" s="11" customFormat="1" ht="45" customHeight="1" x14ac:dyDescent="0.2">
      <c r="A4459" s="66" t="s">
        <v>16635</v>
      </c>
      <c r="B4459" s="66" t="s">
        <v>1707</v>
      </c>
      <c r="C4459" s="66" t="s">
        <v>16635</v>
      </c>
      <c r="D4459" s="66">
        <v>850795008725</v>
      </c>
      <c r="E4459" s="68" t="s">
        <v>16644</v>
      </c>
      <c r="F4459" s="66" t="s">
        <v>16645</v>
      </c>
      <c r="G4459" s="71">
        <v>6492</v>
      </c>
      <c r="H4459" s="73"/>
      <c r="I4459" s="75">
        <v>0.2</v>
      </c>
      <c r="J4459" s="77"/>
      <c r="K4459" s="66"/>
      <c r="L4459" s="66"/>
      <c r="M4459" s="79" t="str">
        <f>HYPERLINK("http://www.pristavka.com/catalog/The Loyal Subjects/TLS6/")</f>
        <v>http://www.pristavka.com/catalog/The Loyal Subjects/TLS6/</v>
      </c>
      <c r="N4459" s="71">
        <v>9999</v>
      </c>
      <c r="O4459" s="66" t="s">
        <v>28</v>
      </c>
      <c r="P4459" s="82" t="s">
        <v>16646</v>
      </c>
      <c r="Q4459" s="84" t="s">
        <v>3502</v>
      </c>
      <c r="R4459" s="84" t="s">
        <v>1303</v>
      </c>
      <c r="S4459" s="84">
        <v>0.16</v>
      </c>
      <c r="T4459" s="82" t="s">
        <v>16643</v>
      </c>
      <c r="U4459" s="84"/>
      <c r="V4459" s="54"/>
    </row>
    <row r="4460" spans="1:22" s="11" customFormat="1" ht="45" customHeight="1" x14ac:dyDescent="0.2">
      <c r="A4460" s="66" t="s">
        <v>16635</v>
      </c>
      <c r="B4460" s="66" t="s">
        <v>1707</v>
      </c>
      <c r="C4460" s="66" t="s">
        <v>16635</v>
      </c>
      <c r="D4460" s="66">
        <v>850018355339</v>
      </c>
      <c r="E4460" s="68" t="s">
        <v>16647</v>
      </c>
      <c r="F4460" s="66" t="s">
        <v>16648</v>
      </c>
      <c r="G4460" s="71">
        <v>9239</v>
      </c>
      <c r="H4460" s="73"/>
      <c r="I4460" s="75">
        <v>0.2</v>
      </c>
      <c r="J4460" s="77"/>
      <c r="K4460" s="66"/>
      <c r="L4460" s="66"/>
      <c r="M4460" s="79" t="str">
        <f>HYPERLINK("http://www.pristavka.com/catalog/The Loyal Subjects/TLS2/")</f>
        <v>http://www.pristavka.com/catalog/The Loyal Subjects/TLS2/</v>
      </c>
      <c r="N4460" s="71">
        <v>14299</v>
      </c>
      <c r="O4460" s="66" t="s">
        <v>27</v>
      </c>
      <c r="P4460" s="82" t="s">
        <v>16649</v>
      </c>
      <c r="Q4460" s="84" t="s">
        <v>1334</v>
      </c>
      <c r="R4460" s="84" t="s">
        <v>1068</v>
      </c>
      <c r="S4460" s="84">
        <v>0.16700000000000001</v>
      </c>
      <c r="T4460" s="82" t="s">
        <v>16639</v>
      </c>
      <c r="U4460" s="84"/>
      <c r="V4460" s="54"/>
    </row>
    <row r="4461" spans="1:22" s="11" customFormat="1" ht="45" customHeight="1" x14ac:dyDescent="0.2">
      <c r="A4461" s="66" t="s">
        <v>16635</v>
      </c>
      <c r="B4461" s="66" t="s">
        <v>1707</v>
      </c>
      <c r="C4461" s="66" t="s">
        <v>16635</v>
      </c>
      <c r="D4461" s="66">
        <v>6973214780348</v>
      </c>
      <c r="E4461" s="68" t="s">
        <v>16650</v>
      </c>
      <c r="F4461" s="66" t="s">
        <v>16651</v>
      </c>
      <c r="G4461" s="71">
        <v>9239</v>
      </c>
      <c r="H4461" s="73"/>
      <c r="I4461" s="75">
        <v>0.2</v>
      </c>
      <c r="J4461" s="77"/>
      <c r="K4461" s="66"/>
      <c r="L4461" s="66"/>
      <c r="M4461" s="79" t="str">
        <f>HYPERLINK("http://www.pristavka.com/catalog/The Loyal Subjects/TLS4/")</f>
        <v>http://www.pristavka.com/catalog/The Loyal Subjects/TLS4/</v>
      </c>
      <c r="N4461" s="71">
        <v>14299</v>
      </c>
      <c r="O4461" s="66" t="s">
        <v>27</v>
      </c>
      <c r="P4461" s="82" t="s">
        <v>16652</v>
      </c>
      <c r="Q4461" s="84" t="s">
        <v>1334</v>
      </c>
      <c r="R4461" s="84" t="s">
        <v>1068</v>
      </c>
      <c r="S4461" s="84">
        <v>0.14099999999999999</v>
      </c>
      <c r="T4461" s="82" t="s">
        <v>16643</v>
      </c>
      <c r="U4461" s="84"/>
      <c r="V4461" s="54"/>
    </row>
    <row r="4462" spans="1:22" s="11" customFormat="1" ht="45" customHeight="1" x14ac:dyDescent="0.2">
      <c r="A4462" s="66" t="s">
        <v>16635</v>
      </c>
      <c r="B4462" s="66" t="s">
        <v>1707</v>
      </c>
      <c r="C4462" s="66" t="s">
        <v>16635</v>
      </c>
      <c r="D4462" s="66">
        <v>850018355353</v>
      </c>
      <c r="E4462" s="68" t="s">
        <v>16653</v>
      </c>
      <c r="F4462" s="66" t="s">
        <v>16654</v>
      </c>
      <c r="G4462" s="71">
        <v>9239</v>
      </c>
      <c r="H4462" s="73"/>
      <c r="I4462" s="75">
        <v>0.2</v>
      </c>
      <c r="J4462" s="77"/>
      <c r="K4462" s="66"/>
      <c r="L4462" s="66"/>
      <c r="M4462" s="79" t="str">
        <f>HYPERLINK("http://www.pristavka.com/catalog/The Loyal Subjects/TLS3/")</f>
        <v>http://www.pristavka.com/catalog/The Loyal Subjects/TLS3/</v>
      </c>
      <c r="N4462" s="71">
        <v>14299</v>
      </c>
      <c r="O4462" s="66" t="s">
        <v>27</v>
      </c>
      <c r="P4462" s="82" t="s">
        <v>16655</v>
      </c>
      <c r="Q4462" s="84" t="s">
        <v>1334</v>
      </c>
      <c r="R4462" s="84" t="s">
        <v>1068</v>
      </c>
      <c r="S4462" s="84">
        <v>0.17</v>
      </c>
      <c r="T4462" s="82" t="s">
        <v>16639</v>
      </c>
      <c r="U4462" s="84"/>
      <c r="V4462" s="54"/>
    </row>
    <row r="4463" spans="1:22" s="11" customFormat="1" ht="45" customHeight="1" x14ac:dyDescent="0.2">
      <c r="A4463" s="66" t="s">
        <v>16635</v>
      </c>
      <c r="B4463" s="66" t="s">
        <v>1707</v>
      </c>
      <c r="C4463" s="66" t="s">
        <v>16635</v>
      </c>
      <c r="D4463" s="66">
        <v>850018355599</v>
      </c>
      <c r="E4463" s="68" t="s">
        <v>16656</v>
      </c>
      <c r="F4463" s="66" t="s">
        <v>16657</v>
      </c>
      <c r="G4463" s="71">
        <v>9239</v>
      </c>
      <c r="H4463" s="73"/>
      <c r="I4463" s="75">
        <v>0.2</v>
      </c>
      <c r="J4463" s="77"/>
      <c r="K4463" s="66"/>
      <c r="L4463" s="66"/>
      <c r="M4463" s="79" t="str">
        <f>HYPERLINK("http://www.pristavka.com/catalog/The Loyal Subjects/TLS27/")</f>
        <v>http://www.pristavka.com/catalog/The Loyal Subjects/TLS27/</v>
      </c>
      <c r="N4463" s="71">
        <v>14299</v>
      </c>
      <c r="O4463" s="66" t="s">
        <v>27</v>
      </c>
      <c r="P4463" s="82" t="s">
        <v>16658</v>
      </c>
      <c r="Q4463" s="84" t="s">
        <v>1297</v>
      </c>
      <c r="R4463" s="84" t="s">
        <v>1298</v>
      </c>
      <c r="S4463" s="84">
        <v>0.16</v>
      </c>
      <c r="T4463" s="82" t="s">
        <v>16639</v>
      </c>
      <c r="U4463" s="84"/>
      <c r="V4463" s="54"/>
    </row>
    <row r="4464" spans="1:22" s="11" customFormat="1" ht="45" customHeight="1" x14ac:dyDescent="0.2">
      <c r="A4464" s="66" t="s">
        <v>16635</v>
      </c>
      <c r="B4464" s="66" t="s">
        <v>1707</v>
      </c>
      <c r="C4464" s="66" t="s">
        <v>16635</v>
      </c>
      <c r="D4464" s="66">
        <v>810122580379</v>
      </c>
      <c r="E4464" s="68" t="s">
        <v>16659</v>
      </c>
      <c r="F4464" s="66" t="s">
        <v>16660</v>
      </c>
      <c r="G4464" s="71">
        <v>47661</v>
      </c>
      <c r="H4464" s="73"/>
      <c r="I4464" s="75">
        <v>0.2</v>
      </c>
      <c r="J4464" s="77"/>
      <c r="K4464" s="66"/>
      <c r="L4464" s="66"/>
      <c r="M4464" s="79" t="str">
        <f>HYPERLINK("http://www.pristavka.com/catalog/The Loyal Subjects/TLS29/")</f>
        <v>http://www.pristavka.com/catalog/The Loyal Subjects/TLS29/</v>
      </c>
      <c r="N4464" s="71">
        <v>68099</v>
      </c>
      <c r="O4464" s="66" t="s">
        <v>28</v>
      </c>
      <c r="P4464" s="82" t="s">
        <v>16661</v>
      </c>
      <c r="Q4464" s="84" t="s">
        <v>1297</v>
      </c>
      <c r="R4464" s="84" t="s">
        <v>1298</v>
      </c>
      <c r="S4464" s="84">
        <v>0.88300000000000001</v>
      </c>
      <c r="T4464" s="82" t="s">
        <v>16662</v>
      </c>
      <c r="U4464" s="84"/>
      <c r="V4464" s="54"/>
    </row>
    <row r="4465" spans="1:22" s="11" customFormat="1" ht="45" customHeight="1" x14ac:dyDescent="0.2">
      <c r="A4465" s="66" t="s">
        <v>16663</v>
      </c>
      <c r="B4465" s="66" t="s">
        <v>1707</v>
      </c>
      <c r="C4465" s="66" t="s">
        <v>16663</v>
      </c>
      <c r="D4465" s="66">
        <v>30616855460</v>
      </c>
      <c r="E4465" s="68" t="s">
        <v>16664</v>
      </c>
      <c r="F4465" s="66" t="s">
        <v>16665</v>
      </c>
      <c r="G4465" s="71">
        <v>15400</v>
      </c>
      <c r="H4465" s="73"/>
      <c r="I4465" s="75">
        <v>0.2</v>
      </c>
      <c r="J4465" s="77" t="s">
        <v>18277</v>
      </c>
      <c r="K4465" s="66"/>
      <c r="L4465" s="66"/>
      <c r="M4465" s="79" t="str">
        <f>HYPERLINK("http://www.pristavka.com/catalog/Youtooz/YTZ4/")</f>
        <v>http://www.pristavka.com/catalog/Youtooz/YTZ4/</v>
      </c>
      <c r="N4465" s="71">
        <v>22300</v>
      </c>
      <c r="O4465" s="66" t="s">
        <v>27</v>
      </c>
      <c r="P4465" s="82" t="s">
        <v>16666</v>
      </c>
      <c r="Q4465" s="84" t="s">
        <v>4158</v>
      </c>
      <c r="R4465" s="84" t="s">
        <v>1068</v>
      </c>
      <c r="S4465" s="84">
        <v>0.26200000000000001</v>
      </c>
      <c r="T4465" s="82" t="s">
        <v>16667</v>
      </c>
      <c r="U4465" s="84" t="s">
        <v>2255</v>
      </c>
      <c r="V4465" s="54"/>
    </row>
    <row r="4466" spans="1:22" s="11" customFormat="1" ht="45" customHeight="1" x14ac:dyDescent="0.2">
      <c r="A4466" s="66" t="s">
        <v>16663</v>
      </c>
      <c r="B4466" s="66" t="s">
        <v>1707</v>
      </c>
      <c r="C4466" s="66" t="s">
        <v>16663</v>
      </c>
      <c r="D4466" s="66">
        <v>30616855127</v>
      </c>
      <c r="E4466" s="68" t="s">
        <v>16668</v>
      </c>
      <c r="F4466" s="66" t="s">
        <v>16669</v>
      </c>
      <c r="G4466" s="71">
        <v>15400</v>
      </c>
      <c r="H4466" s="73"/>
      <c r="I4466" s="75">
        <v>0.2</v>
      </c>
      <c r="J4466" s="77" t="s">
        <v>18277</v>
      </c>
      <c r="K4466" s="66"/>
      <c r="L4466" s="66"/>
      <c r="M4466" s="79" t="str">
        <f>HYPERLINK("http://www.pristavka.com/catalog/Youtooz/YTZ25/")</f>
        <v>http://www.pristavka.com/catalog/Youtooz/YTZ25/</v>
      </c>
      <c r="N4466" s="71">
        <v>22300</v>
      </c>
      <c r="O4466" s="66" t="s">
        <v>27</v>
      </c>
      <c r="P4466" s="82" t="s">
        <v>16670</v>
      </c>
      <c r="Q4466" s="84" t="s">
        <v>4158</v>
      </c>
      <c r="R4466" s="84" t="s">
        <v>1068</v>
      </c>
      <c r="S4466" s="84">
        <v>0.222</v>
      </c>
      <c r="T4466" s="82" t="s">
        <v>4370</v>
      </c>
      <c r="U4466" s="84" t="s">
        <v>2255</v>
      </c>
      <c r="V4466" s="54"/>
    </row>
    <row r="4467" spans="1:22" s="11" customFormat="1" ht="45" customHeight="1" x14ac:dyDescent="0.2">
      <c r="A4467" s="66" t="s">
        <v>16663</v>
      </c>
      <c r="B4467" s="66" t="s">
        <v>1707</v>
      </c>
      <c r="C4467" s="66" t="s">
        <v>16663</v>
      </c>
      <c r="D4467" s="66">
        <v>30616855130</v>
      </c>
      <c r="E4467" s="68" t="s">
        <v>16671</v>
      </c>
      <c r="F4467" s="66" t="s">
        <v>16672</v>
      </c>
      <c r="G4467" s="71">
        <v>15400</v>
      </c>
      <c r="H4467" s="73"/>
      <c r="I4467" s="75">
        <v>0.2</v>
      </c>
      <c r="J4467" s="77" t="s">
        <v>18277</v>
      </c>
      <c r="K4467" s="66"/>
      <c r="L4467" s="66"/>
      <c r="M4467" s="79" t="str">
        <f>HYPERLINK("http://www.pristavka.com/catalog/Youtooz/YTZ28/")</f>
        <v>http://www.pristavka.com/catalog/Youtooz/YTZ28/</v>
      </c>
      <c r="N4467" s="71">
        <v>22300</v>
      </c>
      <c r="O4467" s="66" t="s">
        <v>27</v>
      </c>
      <c r="P4467" s="82" t="s">
        <v>16673</v>
      </c>
      <c r="Q4467" s="84" t="s">
        <v>4158</v>
      </c>
      <c r="R4467" s="84" t="s">
        <v>1068</v>
      </c>
      <c r="S4467" s="84">
        <v>0.20599999999999999</v>
      </c>
      <c r="T4467" s="82" t="s">
        <v>4370</v>
      </c>
      <c r="U4467" s="84" t="s">
        <v>2255</v>
      </c>
      <c r="V4467" s="54"/>
    </row>
    <row r="4468" spans="1:22" s="11" customFormat="1" ht="45" customHeight="1" x14ac:dyDescent="0.2">
      <c r="A4468" s="66" t="s">
        <v>16663</v>
      </c>
      <c r="B4468" s="66" t="s">
        <v>1707</v>
      </c>
      <c r="C4468" s="66" t="s">
        <v>16663</v>
      </c>
      <c r="D4468" s="66">
        <v>30616854292</v>
      </c>
      <c r="E4468" s="68" t="s">
        <v>16674</v>
      </c>
      <c r="F4468" s="66" t="s">
        <v>16675</v>
      </c>
      <c r="G4468" s="71">
        <v>0</v>
      </c>
      <c r="H4468" s="73"/>
      <c r="I4468" s="75">
        <v>0.2</v>
      </c>
      <c r="J4468" s="77"/>
      <c r="K4468" s="66"/>
      <c r="L4468" s="66"/>
      <c r="M4468" s="79" t="str">
        <f>HYPERLINK("http://www.pristavka.com/catalog/Youtooz/YTZ65/")</f>
        <v>http://www.pristavka.com/catalog/Youtooz/YTZ65/</v>
      </c>
      <c r="N4468" s="71"/>
      <c r="O4468" s="66" t="s">
        <v>27</v>
      </c>
      <c r="P4468" s="82" t="s">
        <v>16676</v>
      </c>
      <c r="Q4468" s="84" t="s">
        <v>16677</v>
      </c>
      <c r="R4468" s="84" t="s">
        <v>1632</v>
      </c>
      <c r="S4468" s="84">
        <v>0.23599999999999999</v>
      </c>
      <c r="T4468" s="82" t="s">
        <v>16678</v>
      </c>
      <c r="U4468" s="84" t="s">
        <v>2255</v>
      </c>
      <c r="V4468" s="54"/>
    </row>
    <row r="4469" spans="1:22" s="11" customFormat="1" ht="45" customHeight="1" x14ac:dyDescent="0.2">
      <c r="A4469" s="66" t="s">
        <v>16663</v>
      </c>
      <c r="B4469" s="66" t="s">
        <v>1707</v>
      </c>
      <c r="C4469" s="66" t="s">
        <v>16663</v>
      </c>
      <c r="D4469" s="66">
        <v>30616820069</v>
      </c>
      <c r="E4469" s="68" t="s">
        <v>16679</v>
      </c>
      <c r="F4469" s="66" t="s">
        <v>16680</v>
      </c>
      <c r="G4469" s="71">
        <v>15400</v>
      </c>
      <c r="H4469" s="73"/>
      <c r="I4469" s="75">
        <v>0.2</v>
      </c>
      <c r="J4469" s="77" t="s">
        <v>18277</v>
      </c>
      <c r="K4469" s="66"/>
      <c r="L4469" s="66"/>
      <c r="M4469" s="79" t="str">
        <f>HYPERLINK("http://www.pristavka.com/catalog/Youtooz/YTZ1/")</f>
        <v>http://www.pristavka.com/catalog/Youtooz/YTZ1/</v>
      </c>
      <c r="N4469" s="71">
        <v>22300</v>
      </c>
      <c r="O4469" s="66" t="s">
        <v>27</v>
      </c>
      <c r="P4469" s="82" t="s">
        <v>16681</v>
      </c>
      <c r="Q4469" s="84" t="s">
        <v>1211</v>
      </c>
      <c r="R4469" s="84" t="s">
        <v>1212</v>
      </c>
      <c r="S4469" s="84">
        <v>0.25</v>
      </c>
      <c r="T4469" s="82" t="s">
        <v>16667</v>
      </c>
      <c r="U4469" s="84" t="s">
        <v>2255</v>
      </c>
      <c r="V4469" s="54"/>
    </row>
    <row r="4470" spans="1:22" s="11" customFormat="1" ht="45" customHeight="1" x14ac:dyDescent="0.2">
      <c r="A4470" s="66" t="s">
        <v>16663</v>
      </c>
      <c r="B4470" s="66" t="s">
        <v>1707</v>
      </c>
      <c r="C4470" s="66" t="s">
        <v>16663</v>
      </c>
      <c r="D4470" s="66">
        <v>30616854106</v>
      </c>
      <c r="E4470" s="68" t="s">
        <v>16682</v>
      </c>
      <c r="F4470" s="66" t="s">
        <v>16683</v>
      </c>
      <c r="G4470" s="71">
        <v>15400</v>
      </c>
      <c r="H4470" s="73"/>
      <c r="I4470" s="75">
        <v>0.2</v>
      </c>
      <c r="J4470" s="77" t="s">
        <v>18277</v>
      </c>
      <c r="K4470" s="66"/>
      <c r="L4470" s="66"/>
      <c r="M4470" s="79" t="str">
        <f>HYPERLINK("http://www.pristavka.com/catalog/Youtooz/YTZ2/")</f>
        <v>http://www.pristavka.com/catalog/Youtooz/YTZ2/</v>
      </c>
      <c r="N4470" s="71">
        <v>22300</v>
      </c>
      <c r="O4470" s="66" t="s">
        <v>28</v>
      </c>
      <c r="P4470" s="82" t="s">
        <v>16684</v>
      </c>
      <c r="Q4470" s="84" t="s">
        <v>1211</v>
      </c>
      <c r="R4470" s="84" t="s">
        <v>1212</v>
      </c>
      <c r="S4470" s="84">
        <v>0.23599999999999999</v>
      </c>
      <c r="T4470" s="82" t="s">
        <v>16667</v>
      </c>
      <c r="U4470" s="84" t="s">
        <v>2255</v>
      </c>
      <c r="V4470" s="54"/>
    </row>
    <row r="4471" spans="1:22" s="11" customFormat="1" ht="45" customHeight="1" x14ac:dyDescent="0.2">
      <c r="A4471" s="66" t="s">
        <v>16663</v>
      </c>
      <c r="B4471" s="66" t="s">
        <v>1707</v>
      </c>
      <c r="C4471" s="66" t="s">
        <v>16663</v>
      </c>
      <c r="D4471" s="66">
        <v>30616855896</v>
      </c>
      <c r="E4471" s="68" t="s">
        <v>16685</v>
      </c>
      <c r="F4471" s="66" t="s">
        <v>16686</v>
      </c>
      <c r="G4471" s="71">
        <v>15400</v>
      </c>
      <c r="H4471" s="73"/>
      <c r="I4471" s="75">
        <v>0.2</v>
      </c>
      <c r="J4471" s="77" t="s">
        <v>18203</v>
      </c>
      <c r="K4471" s="66"/>
      <c r="L4471" s="66"/>
      <c r="M4471" s="79" t="str">
        <f>HYPERLINK("http://www.pristavka.com/catalog/Youtooz/YTZ16/")</f>
        <v>http://www.pristavka.com/catalog/Youtooz/YTZ16/</v>
      </c>
      <c r="N4471" s="71">
        <v>22300</v>
      </c>
      <c r="O4471" s="66" t="s">
        <v>27</v>
      </c>
      <c r="P4471" s="82" t="s">
        <v>16687</v>
      </c>
      <c r="Q4471" s="84" t="s">
        <v>1091</v>
      </c>
      <c r="R4471" s="84" t="s">
        <v>1068</v>
      </c>
      <c r="S4471" s="84">
        <v>0.222</v>
      </c>
      <c r="T4471" s="82" t="s">
        <v>4370</v>
      </c>
      <c r="U4471" s="84" t="s">
        <v>2255</v>
      </c>
      <c r="V4471" s="54"/>
    </row>
    <row r="4472" spans="1:22" s="11" customFormat="1" ht="45" customHeight="1" x14ac:dyDescent="0.2">
      <c r="A4472" s="66" t="s">
        <v>16663</v>
      </c>
      <c r="B4472" s="66" t="s">
        <v>1707</v>
      </c>
      <c r="C4472" s="66" t="s">
        <v>16663</v>
      </c>
      <c r="D4472" s="66">
        <v>30616854453</v>
      </c>
      <c r="E4472" s="68" t="s">
        <v>16688</v>
      </c>
      <c r="F4472" s="66" t="s">
        <v>16689</v>
      </c>
      <c r="G4472" s="71">
        <v>15400</v>
      </c>
      <c r="H4472" s="73"/>
      <c r="I4472" s="75">
        <v>0.2</v>
      </c>
      <c r="J4472" s="77" t="s">
        <v>18203</v>
      </c>
      <c r="K4472" s="66"/>
      <c r="L4472" s="66"/>
      <c r="M4472" s="79" t="str">
        <f>HYPERLINK("http://www.pristavka.com/catalog/Youtooz/YTZ38/")</f>
        <v>http://www.pristavka.com/catalog/Youtooz/YTZ38/</v>
      </c>
      <c r="N4472" s="71">
        <v>22300</v>
      </c>
      <c r="O4472" s="66" t="s">
        <v>27</v>
      </c>
      <c r="P4472" s="82" t="s">
        <v>16690</v>
      </c>
      <c r="Q4472" s="84" t="s">
        <v>1091</v>
      </c>
      <c r="R4472" s="84" t="s">
        <v>1068</v>
      </c>
      <c r="S4472" s="84">
        <v>0.22500000000000001</v>
      </c>
      <c r="T4472" s="82" t="s">
        <v>16691</v>
      </c>
      <c r="U4472" s="84" t="s">
        <v>2255</v>
      </c>
      <c r="V4472" s="54"/>
    </row>
    <row r="4473" spans="1:22" s="11" customFormat="1" ht="45" customHeight="1" x14ac:dyDescent="0.2">
      <c r="A4473" s="66" t="s">
        <v>16663</v>
      </c>
      <c r="B4473" s="66" t="s">
        <v>1707</v>
      </c>
      <c r="C4473" s="66" t="s">
        <v>16663</v>
      </c>
      <c r="D4473" s="66">
        <v>30616854853</v>
      </c>
      <c r="E4473" s="68" t="s">
        <v>16692</v>
      </c>
      <c r="F4473" s="66" t="s">
        <v>16693</v>
      </c>
      <c r="G4473" s="71">
        <v>0</v>
      </c>
      <c r="H4473" s="73"/>
      <c r="I4473" s="75">
        <v>0.2</v>
      </c>
      <c r="J4473" s="77"/>
      <c r="K4473" s="66"/>
      <c r="L4473" s="66"/>
      <c r="M4473" s="79" t="str">
        <f>HYPERLINK("http://www.pristavka.com/catalog/Youtooz/YTZ70/")</f>
        <v>http://www.pristavka.com/catalog/Youtooz/YTZ70/</v>
      </c>
      <c r="N4473" s="71"/>
      <c r="O4473" s="66" t="s">
        <v>27</v>
      </c>
      <c r="P4473" s="82" t="s">
        <v>16694</v>
      </c>
      <c r="Q4473" s="84" t="s">
        <v>3527</v>
      </c>
      <c r="R4473" s="84" t="s">
        <v>3512</v>
      </c>
      <c r="S4473" s="84">
        <v>0.26600000000000001</v>
      </c>
      <c r="T4473" s="82" t="s">
        <v>16678</v>
      </c>
      <c r="U4473" s="84" t="s">
        <v>2255</v>
      </c>
      <c r="V4473" s="54"/>
    </row>
    <row r="4474" spans="1:22" s="11" customFormat="1" ht="45" customHeight="1" x14ac:dyDescent="0.2">
      <c r="A4474" s="66" t="s">
        <v>16663</v>
      </c>
      <c r="B4474" s="66" t="s">
        <v>1707</v>
      </c>
      <c r="C4474" s="66" t="s">
        <v>16663</v>
      </c>
      <c r="D4474" s="66">
        <v>30616855988</v>
      </c>
      <c r="E4474" s="68" t="s">
        <v>16695</v>
      </c>
      <c r="F4474" s="66" t="s">
        <v>16696</v>
      </c>
      <c r="G4474" s="71">
        <v>15400</v>
      </c>
      <c r="H4474" s="73"/>
      <c r="I4474" s="75">
        <v>0.2</v>
      </c>
      <c r="J4474" s="77" t="s">
        <v>18278</v>
      </c>
      <c r="K4474" s="66"/>
      <c r="L4474" s="66"/>
      <c r="M4474" s="79" t="str">
        <f>HYPERLINK("http://www.pristavka.com/catalog/Youtooz/YTZ39/")</f>
        <v>http://www.pristavka.com/catalog/Youtooz/YTZ39/</v>
      </c>
      <c r="N4474" s="71">
        <v>22300</v>
      </c>
      <c r="O4474" s="66" t="s">
        <v>27</v>
      </c>
      <c r="P4474" s="82" t="s">
        <v>16697</v>
      </c>
      <c r="Q4474" s="84" t="s">
        <v>1545</v>
      </c>
      <c r="R4474" s="84" t="s">
        <v>1068</v>
      </c>
      <c r="S4474" s="84">
        <v>0.22</v>
      </c>
      <c r="T4474" s="82" t="s">
        <v>16691</v>
      </c>
      <c r="U4474" s="84" t="s">
        <v>2255</v>
      </c>
      <c r="V4474" s="54"/>
    </row>
    <row r="4475" spans="1:22" s="11" customFormat="1" ht="45" customHeight="1" x14ac:dyDescent="0.2">
      <c r="A4475" s="66" t="s">
        <v>16663</v>
      </c>
      <c r="B4475" s="66" t="s">
        <v>1707</v>
      </c>
      <c r="C4475" s="66" t="s">
        <v>16663</v>
      </c>
      <c r="D4475" s="66">
        <v>30616855984</v>
      </c>
      <c r="E4475" s="68" t="s">
        <v>16698</v>
      </c>
      <c r="F4475" s="66" t="s">
        <v>16699</v>
      </c>
      <c r="G4475" s="71">
        <v>15400</v>
      </c>
      <c r="H4475" s="73"/>
      <c r="I4475" s="75">
        <v>0.2</v>
      </c>
      <c r="J4475" s="77" t="s">
        <v>18278</v>
      </c>
      <c r="K4475" s="66"/>
      <c r="L4475" s="66"/>
      <c r="M4475" s="79" t="str">
        <f>HYPERLINK("http://www.pristavka.com/catalog/Youtooz/YTZ42/")</f>
        <v>http://www.pristavka.com/catalog/Youtooz/YTZ42/</v>
      </c>
      <c r="N4475" s="71">
        <v>22300</v>
      </c>
      <c r="O4475" s="66" t="s">
        <v>28</v>
      </c>
      <c r="P4475" s="82" t="s">
        <v>16700</v>
      </c>
      <c r="Q4475" s="84" t="s">
        <v>1545</v>
      </c>
      <c r="R4475" s="84" t="s">
        <v>1068</v>
      </c>
      <c r="S4475" s="84">
        <v>0.215</v>
      </c>
      <c r="T4475" s="82" t="s">
        <v>16691</v>
      </c>
      <c r="U4475" s="84" t="s">
        <v>2255</v>
      </c>
      <c r="V4475" s="54"/>
    </row>
    <row r="4476" spans="1:22" s="11" customFormat="1" ht="45" customHeight="1" x14ac:dyDescent="0.2">
      <c r="A4476" s="66" t="s">
        <v>16663</v>
      </c>
      <c r="B4476" s="66" t="s">
        <v>1707</v>
      </c>
      <c r="C4476" s="66" t="s">
        <v>16663</v>
      </c>
      <c r="D4476" s="66">
        <v>30616855985</v>
      </c>
      <c r="E4476" s="68" t="s">
        <v>16701</v>
      </c>
      <c r="F4476" s="66" t="s">
        <v>16702</v>
      </c>
      <c r="G4476" s="71">
        <v>15400</v>
      </c>
      <c r="H4476" s="73"/>
      <c r="I4476" s="75">
        <v>0.2</v>
      </c>
      <c r="J4476" s="77" t="s">
        <v>18278</v>
      </c>
      <c r="K4476" s="66"/>
      <c r="L4476" s="66"/>
      <c r="M4476" s="79" t="str">
        <f>HYPERLINK("http://www.pristavka.com/catalog/Youtooz/YTZ41/")</f>
        <v>http://www.pristavka.com/catalog/Youtooz/YTZ41/</v>
      </c>
      <c r="N4476" s="71">
        <v>22300</v>
      </c>
      <c r="O4476" s="66" t="s">
        <v>28</v>
      </c>
      <c r="P4476" s="82" t="s">
        <v>16703</v>
      </c>
      <c r="Q4476" s="84" t="s">
        <v>1545</v>
      </c>
      <c r="R4476" s="84" t="s">
        <v>1068</v>
      </c>
      <c r="S4476" s="84">
        <v>0.23499999999999999</v>
      </c>
      <c r="T4476" s="82" t="s">
        <v>16691</v>
      </c>
      <c r="U4476" s="84" t="s">
        <v>2255</v>
      </c>
      <c r="V4476" s="54"/>
    </row>
    <row r="4477" spans="1:22" s="11" customFormat="1" ht="45" customHeight="1" x14ac:dyDescent="0.2">
      <c r="A4477" s="66" t="s">
        <v>16663</v>
      </c>
      <c r="B4477" s="66" t="s">
        <v>1707</v>
      </c>
      <c r="C4477" s="66" t="s">
        <v>16663</v>
      </c>
      <c r="D4477" s="66">
        <v>30616855987</v>
      </c>
      <c r="E4477" s="68" t="s">
        <v>16704</v>
      </c>
      <c r="F4477" s="66" t="s">
        <v>16705</v>
      </c>
      <c r="G4477" s="71">
        <v>15400</v>
      </c>
      <c r="H4477" s="73"/>
      <c r="I4477" s="75">
        <v>0.2</v>
      </c>
      <c r="J4477" s="77" t="s">
        <v>18278</v>
      </c>
      <c r="K4477" s="66"/>
      <c r="L4477" s="66"/>
      <c r="M4477" s="79" t="str">
        <f>HYPERLINK("http://www.pristavka.com/catalog/Youtooz/YTZ40/")</f>
        <v>http://www.pristavka.com/catalog/Youtooz/YTZ40/</v>
      </c>
      <c r="N4477" s="71">
        <v>22300</v>
      </c>
      <c r="O4477" s="66" t="s">
        <v>27</v>
      </c>
      <c r="P4477" s="82" t="s">
        <v>16706</v>
      </c>
      <c r="Q4477" s="84" t="s">
        <v>1545</v>
      </c>
      <c r="R4477" s="84" t="s">
        <v>1068</v>
      </c>
      <c r="S4477" s="84">
        <v>0.22500000000000001</v>
      </c>
      <c r="T4477" s="82" t="s">
        <v>16691</v>
      </c>
      <c r="U4477" s="84" t="s">
        <v>2255</v>
      </c>
      <c r="V4477" s="54"/>
    </row>
    <row r="4478" spans="1:22" s="11" customFormat="1" ht="45" customHeight="1" x14ac:dyDescent="0.2">
      <c r="A4478" s="66" t="s">
        <v>16663</v>
      </c>
      <c r="B4478" s="66" t="s">
        <v>1707</v>
      </c>
      <c r="C4478" s="66" t="s">
        <v>16663</v>
      </c>
      <c r="D4478" s="66">
        <v>30616855986</v>
      </c>
      <c r="E4478" s="68" t="s">
        <v>16707</v>
      </c>
      <c r="F4478" s="66" t="s">
        <v>16708</v>
      </c>
      <c r="G4478" s="71">
        <v>15400</v>
      </c>
      <c r="H4478" s="73"/>
      <c r="I4478" s="75">
        <v>0.2</v>
      </c>
      <c r="J4478" s="77" t="s">
        <v>18278</v>
      </c>
      <c r="K4478" s="66"/>
      <c r="L4478" s="66"/>
      <c r="M4478" s="79" t="str">
        <f>HYPERLINK("http://www.pristavka.com/catalog/Youtooz/YTZ43/")</f>
        <v>http://www.pristavka.com/catalog/Youtooz/YTZ43/</v>
      </c>
      <c r="N4478" s="71">
        <v>22300</v>
      </c>
      <c r="O4478" s="66" t="s">
        <v>27</v>
      </c>
      <c r="P4478" s="82" t="s">
        <v>16709</v>
      </c>
      <c r="Q4478" s="84" t="s">
        <v>1545</v>
      </c>
      <c r="R4478" s="84" t="s">
        <v>1068</v>
      </c>
      <c r="S4478" s="84">
        <v>0.22500000000000001</v>
      </c>
      <c r="T4478" s="82" t="s">
        <v>16691</v>
      </c>
      <c r="U4478" s="84" t="s">
        <v>2255</v>
      </c>
      <c r="V4478" s="54"/>
    </row>
    <row r="4479" spans="1:22" s="11" customFormat="1" ht="45" customHeight="1" x14ac:dyDescent="0.2">
      <c r="A4479" s="66" t="s">
        <v>16663</v>
      </c>
      <c r="B4479" s="66" t="s">
        <v>1707</v>
      </c>
      <c r="C4479" s="66" t="s">
        <v>16663</v>
      </c>
      <c r="D4479" s="66">
        <v>30616855288</v>
      </c>
      <c r="E4479" s="68" t="s">
        <v>16710</v>
      </c>
      <c r="F4479" s="66" t="s">
        <v>16711</v>
      </c>
      <c r="G4479" s="71">
        <v>15400</v>
      </c>
      <c r="H4479" s="73"/>
      <c r="I4479" s="75">
        <v>0.2</v>
      </c>
      <c r="J4479" s="77" t="s">
        <v>18279</v>
      </c>
      <c r="K4479" s="66"/>
      <c r="L4479" s="66"/>
      <c r="M4479" s="79" t="str">
        <f>HYPERLINK("http://www.pristavka.com/catalog/Youtooz/YTZ8/")</f>
        <v>http://www.pristavka.com/catalog/Youtooz/YTZ8/</v>
      </c>
      <c r="N4479" s="71">
        <v>22300</v>
      </c>
      <c r="O4479" s="66" t="s">
        <v>27</v>
      </c>
      <c r="P4479" s="82" t="s">
        <v>16712</v>
      </c>
      <c r="Q4479" s="84" t="s">
        <v>1334</v>
      </c>
      <c r="R4479" s="84" t="s">
        <v>1068</v>
      </c>
      <c r="S4479" s="84">
        <v>0.21199999999999999</v>
      </c>
      <c r="T4479" s="82" t="s">
        <v>16667</v>
      </c>
      <c r="U4479" s="84" t="s">
        <v>2255</v>
      </c>
      <c r="V4479" s="54"/>
    </row>
    <row r="4480" spans="1:22" s="11" customFormat="1" ht="45" customHeight="1" x14ac:dyDescent="0.2">
      <c r="A4480" s="66" t="s">
        <v>16663</v>
      </c>
      <c r="B4480" s="66" t="s">
        <v>1707</v>
      </c>
      <c r="C4480" s="66" t="s">
        <v>16663</v>
      </c>
      <c r="D4480" s="66">
        <v>30616855277</v>
      </c>
      <c r="E4480" s="68" t="s">
        <v>16713</v>
      </c>
      <c r="F4480" s="66" t="s">
        <v>16714</v>
      </c>
      <c r="G4480" s="71">
        <v>15400</v>
      </c>
      <c r="H4480" s="73"/>
      <c r="I4480" s="75">
        <v>0.2</v>
      </c>
      <c r="J4480" s="77" t="s">
        <v>18203</v>
      </c>
      <c r="K4480" s="66"/>
      <c r="L4480" s="66"/>
      <c r="M4480" s="79" t="str">
        <f>HYPERLINK("http://www.pristavka.com/catalog/Youtooz/YTZ6/")</f>
        <v>http://www.pristavka.com/catalog/Youtooz/YTZ6/</v>
      </c>
      <c r="N4480" s="71">
        <v>22300</v>
      </c>
      <c r="O4480" s="66" t="s">
        <v>27</v>
      </c>
      <c r="P4480" s="82" t="s">
        <v>16715</v>
      </c>
      <c r="Q4480" s="84" t="s">
        <v>1334</v>
      </c>
      <c r="R4480" s="84" t="s">
        <v>1068</v>
      </c>
      <c r="S4480" s="84">
        <v>0.22500000000000001</v>
      </c>
      <c r="T4480" s="82" t="s">
        <v>16691</v>
      </c>
      <c r="U4480" s="84" t="s">
        <v>2255</v>
      </c>
      <c r="V4480" s="54"/>
    </row>
    <row r="4481" spans="1:22" s="11" customFormat="1" ht="45" customHeight="1" x14ac:dyDescent="0.2">
      <c r="A4481" s="66" t="s">
        <v>16663</v>
      </c>
      <c r="B4481" s="66" t="s">
        <v>1707</v>
      </c>
      <c r="C4481" s="66" t="s">
        <v>16663</v>
      </c>
      <c r="D4481" s="66">
        <v>30616855278</v>
      </c>
      <c r="E4481" s="68" t="s">
        <v>16716</v>
      </c>
      <c r="F4481" s="66" t="s">
        <v>16717</v>
      </c>
      <c r="G4481" s="71">
        <v>15400</v>
      </c>
      <c r="H4481" s="73"/>
      <c r="I4481" s="75">
        <v>0.2</v>
      </c>
      <c r="J4481" s="77" t="s">
        <v>18203</v>
      </c>
      <c r="K4481" s="66"/>
      <c r="L4481" s="66"/>
      <c r="M4481" s="79" t="str">
        <f>HYPERLINK("http://www.pristavka.com/catalog/Youtooz/YTZ7/")</f>
        <v>http://www.pristavka.com/catalog/Youtooz/YTZ7/</v>
      </c>
      <c r="N4481" s="71">
        <v>22300</v>
      </c>
      <c r="O4481" s="66" t="s">
        <v>28</v>
      </c>
      <c r="P4481" s="82" t="s">
        <v>16718</v>
      </c>
      <c r="Q4481" s="84" t="s">
        <v>1334</v>
      </c>
      <c r="R4481" s="84" t="s">
        <v>1068</v>
      </c>
      <c r="S4481" s="84">
        <v>0.214</v>
      </c>
      <c r="T4481" s="82" t="s">
        <v>16667</v>
      </c>
      <c r="U4481" s="84" t="s">
        <v>2255</v>
      </c>
      <c r="V4481" s="54"/>
    </row>
    <row r="4482" spans="1:22" s="11" customFormat="1" ht="45" customHeight="1" x14ac:dyDescent="0.2">
      <c r="A4482" s="66" t="s">
        <v>16663</v>
      </c>
      <c r="B4482" s="66" t="s">
        <v>1707</v>
      </c>
      <c r="C4482" s="66" t="s">
        <v>16663</v>
      </c>
      <c r="D4482" s="66">
        <v>30616855240</v>
      </c>
      <c r="E4482" s="68" t="s">
        <v>16719</v>
      </c>
      <c r="F4482" s="66" t="s">
        <v>16720</v>
      </c>
      <c r="G4482" s="71">
        <v>15400</v>
      </c>
      <c r="H4482" s="73"/>
      <c r="I4482" s="75">
        <v>0.2</v>
      </c>
      <c r="J4482" s="77" t="s">
        <v>18277</v>
      </c>
      <c r="K4482" s="66"/>
      <c r="L4482" s="66"/>
      <c r="M4482" s="79" t="str">
        <f>HYPERLINK("http://www.pristavka.com/catalog/Youtooz/YTZ18/")</f>
        <v>http://www.pristavka.com/catalog/Youtooz/YTZ18/</v>
      </c>
      <c r="N4482" s="71">
        <v>22300</v>
      </c>
      <c r="O4482" s="66" t="s">
        <v>28</v>
      </c>
      <c r="P4482" s="82" t="s">
        <v>16721</v>
      </c>
      <c r="Q4482" s="84" t="s">
        <v>1122</v>
      </c>
      <c r="R4482" s="84" t="s">
        <v>1068</v>
      </c>
      <c r="S4482" s="84">
        <v>0.222</v>
      </c>
      <c r="T4482" s="82" t="s">
        <v>4370</v>
      </c>
      <c r="U4482" s="84" t="s">
        <v>2255</v>
      </c>
      <c r="V4482" s="54"/>
    </row>
    <row r="4483" spans="1:22" s="11" customFormat="1" ht="45" customHeight="1" x14ac:dyDescent="0.2">
      <c r="A4483" s="66" t="s">
        <v>16663</v>
      </c>
      <c r="B4483" s="66" t="s">
        <v>1707</v>
      </c>
      <c r="C4483" s="66" t="s">
        <v>16663</v>
      </c>
      <c r="D4483" s="66">
        <v>30616855908</v>
      </c>
      <c r="E4483" s="68" t="s">
        <v>16722</v>
      </c>
      <c r="F4483" s="66" t="s">
        <v>16723</v>
      </c>
      <c r="G4483" s="71">
        <v>15400</v>
      </c>
      <c r="H4483" s="73"/>
      <c r="I4483" s="75">
        <v>0.2</v>
      </c>
      <c r="J4483" s="77" t="s">
        <v>18277</v>
      </c>
      <c r="K4483" s="66"/>
      <c r="L4483" s="66"/>
      <c r="M4483" s="79" t="str">
        <f>HYPERLINK("http://www.pristavka.com/catalog/Youtooz/YTZ21/")</f>
        <v>http://www.pristavka.com/catalog/Youtooz/YTZ21/</v>
      </c>
      <c r="N4483" s="71">
        <v>22300</v>
      </c>
      <c r="O4483" s="66" t="s">
        <v>27</v>
      </c>
      <c r="P4483" s="82" t="s">
        <v>16724</v>
      </c>
      <c r="Q4483" s="84" t="s">
        <v>1067</v>
      </c>
      <c r="R4483" s="84" t="s">
        <v>1068</v>
      </c>
      <c r="S4483" s="84">
        <v>0.23400000000000001</v>
      </c>
      <c r="T4483" s="82" t="s">
        <v>4370</v>
      </c>
      <c r="U4483" s="84" t="s">
        <v>2255</v>
      </c>
      <c r="V4483" s="54"/>
    </row>
    <row r="4484" spans="1:22" s="11" customFormat="1" ht="45" customHeight="1" x14ac:dyDescent="0.2">
      <c r="A4484" s="66" t="s">
        <v>16663</v>
      </c>
      <c r="B4484" s="66" t="s">
        <v>1707</v>
      </c>
      <c r="C4484" s="66" t="s">
        <v>16663</v>
      </c>
      <c r="D4484" s="66">
        <v>30616855910</v>
      </c>
      <c r="E4484" s="68" t="s">
        <v>16725</v>
      </c>
      <c r="F4484" s="66" t="s">
        <v>16726</v>
      </c>
      <c r="G4484" s="71">
        <v>15400</v>
      </c>
      <c r="H4484" s="73"/>
      <c r="I4484" s="75">
        <v>0.2</v>
      </c>
      <c r="J4484" s="77" t="s">
        <v>18277</v>
      </c>
      <c r="K4484" s="66"/>
      <c r="L4484" s="66"/>
      <c r="M4484" s="79" t="str">
        <f>HYPERLINK("http://www.pristavka.com/catalog/Youtooz/YTZ19/")</f>
        <v>http://www.pristavka.com/catalog/Youtooz/YTZ19/</v>
      </c>
      <c r="N4484" s="71">
        <v>22300</v>
      </c>
      <c r="O4484" s="66" t="s">
        <v>27</v>
      </c>
      <c r="P4484" s="82" t="s">
        <v>16727</v>
      </c>
      <c r="Q4484" s="84" t="s">
        <v>1067</v>
      </c>
      <c r="R4484" s="84" t="s">
        <v>1068</v>
      </c>
      <c r="S4484" s="84">
        <v>0.224</v>
      </c>
      <c r="T4484" s="82" t="s">
        <v>4370</v>
      </c>
      <c r="U4484" s="84" t="s">
        <v>2255</v>
      </c>
      <c r="V4484" s="54"/>
    </row>
    <row r="4485" spans="1:22" s="11" customFormat="1" ht="45" customHeight="1" x14ac:dyDescent="0.2">
      <c r="A4485" s="66" t="s">
        <v>16663</v>
      </c>
      <c r="B4485" s="66" t="s">
        <v>1707</v>
      </c>
      <c r="C4485" s="66" t="s">
        <v>16663</v>
      </c>
      <c r="D4485" s="66">
        <v>30616855568</v>
      </c>
      <c r="E4485" s="68" t="s">
        <v>16728</v>
      </c>
      <c r="F4485" s="66" t="s">
        <v>16729</v>
      </c>
      <c r="G4485" s="71">
        <v>15400</v>
      </c>
      <c r="H4485" s="73"/>
      <c r="I4485" s="75">
        <v>0.2</v>
      </c>
      <c r="J4485" s="77" t="s">
        <v>18279</v>
      </c>
      <c r="K4485" s="66"/>
      <c r="L4485" s="66"/>
      <c r="M4485" s="79" t="str">
        <f>HYPERLINK("http://www.pristavka.com/catalog/Youtooz/YTZ53/")</f>
        <v>http://www.pristavka.com/catalog/Youtooz/YTZ53/</v>
      </c>
      <c r="N4485" s="71">
        <v>22300</v>
      </c>
      <c r="O4485" s="66" t="s">
        <v>28</v>
      </c>
      <c r="P4485" s="82" t="s">
        <v>16730</v>
      </c>
      <c r="Q4485" s="84" t="s">
        <v>3471</v>
      </c>
      <c r="R4485" s="84" t="s">
        <v>3327</v>
      </c>
      <c r="S4485" s="84">
        <v>0.217</v>
      </c>
      <c r="T4485" s="82" t="s">
        <v>16731</v>
      </c>
      <c r="U4485" s="84" t="s">
        <v>2255</v>
      </c>
      <c r="V4485" s="54"/>
    </row>
    <row r="4486" spans="1:22" s="11" customFormat="1" ht="45" customHeight="1" x14ac:dyDescent="0.2">
      <c r="A4486" s="66" t="s">
        <v>16663</v>
      </c>
      <c r="B4486" s="66" t="s">
        <v>1707</v>
      </c>
      <c r="C4486" s="66" t="s">
        <v>16663</v>
      </c>
      <c r="D4486" s="66">
        <v>30616855570</v>
      </c>
      <c r="E4486" s="68" t="s">
        <v>16732</v>
      </c>
      <c r="F4486" s="66" t="s">
        <v>16733</v>
      </c>
      <c r="G4486" s="71">
        <v>15400</v>
      </c>
      <c r="H4486" s="73"/>
      <c r="I4486" s="75">
        <v>0.2</v>
      </c>
      <c r="J4486" s="77" t="s">
        <v>18279</v>
      </c>
      <c r="K4486" s="66"/>
      <c r="L4486" s="66"/>
      <c r="M4486" s="79" t="str">
        <f>HYPERLINK("http://www.pristavka.com/catalog/Youtooz/YTZ55/")</f>
        <v>http://www.pristavka.com/catalog/Youtooz/YTZ55/</v>
      </c>
      <c r="N4486" s="71">
        <v>22300</v>
      </c>
      <c r="O4486" s="66" t="s">
        <v>28</v>
      </c>
      <c r="P4486" s="82" t="s">
        <v>16734</v>
      </c>
      <c r="Q4486" s="84" t="s">
        <v>3471</v>
      </c>
      <c r="R4486" s="84" t="s">
        <v>3327</v>
      </c>
      <c r="S4486" s="84">
        <v>0.23</v>
      </c>
      <c r="T4486" s="82" t="s">
        <v>16731</v>
      </c>
      <c r="U4486" s="84" t="s">
        <v>2255</v>
      </c>
      <c r="V4486" s="54"/>
    </row>
    <row r="4487" spans="1:22" s="11" customFormat="1" ht="45" customHeight="1" x14ac:dyDescent="0.2">
      <c r="A4487" s="66" t="s">
        <v>16663</v>
      </c>
      <c r="B4487" s="66" t="s">
        <v>1707</v>
      </c>
      <c r="C4487" s="66" t="s">
        <v>16663</v>
      </c>
      <c r="D4487" s="66">
        <v>30616855569</v>
      </c>
      <c r="E4487" s="68" t="s">
        <v>16735</v>
      </c>
      <c r="F4487" s="66" t="s">
        <v>16736</v>
      </c>
      <c r="G4487" s="71">
        <v>15400</v>
      </c>
      <c r="H4487" s="73"/>
      <c r="I4487" s="75">
        <v>0.2</v>
      </c>
      <c r="J4487" s="77" t="s">
        <v>18279</v>
      </c>
      <c r="K4487" s="66"/>
      <c r="L4487" s="66"/>
      <c r="M4487" s="79" t="str">
        <f>HYPERLINK("http://www.pristavka.com/catalog/Youtooz/YTZ54/")</f>
        <v>http://www.pristavka.com/catalog/Youtooz/YTZ54/</v>
      </c>
      <c r="N4487" s="71">
        <v>22300</v>
      </c>
      <c r="O4487" s="66" t="s">
        <v>28</v>
      </c>
      <c r="P4487" s="82" t="s">
        <v>16737</v>
      </c>
      <c r="Q4487" s="84" t="s">
        <v>3471</v>
      </c>
      <c r="R4487" s="84" t="s">
        <v>3327</v>
      </c>
      <c r="S4487" s="84">
        <v>0.23799999999999999</v>
      </c>
      <c r="T4487" s="82" t="s">
        <v>16731</v>
      </c>
      <c r="U4487" s="84" t="s">
        <v>2255</v>
      </c>
      <c r="V4487" s="54"/>
    </row>
    <row r="4488" spans="1:22" s="11" customFormat="1" ht="45" customHeight="1" x14ac:dyDescent="0.2">
      <c r="A4488" s="66" t="s">
        <v>16663</v>
      </c>
      <c r="B4488" s="66" t="s">
        <v>1707</v>
      </c>
      <c r="C4488" s="66" t="s">
        <v>16663</v>
      </c>
      <c r="D4488" s="66">
        <v>30616855897</v>
      </c>
      <c r="E4488" s="68" t="s">
        <v>16738</v>
      </c>
      <c r="F4488" s="66" t="s">
        <v>16739</v>
      </c>
      <c r="G4488" s="71">
        <v>15400</v>
      </c>
      <c r="H4488" s="73"/>
      <c r="I4488" s="75">
        <v>0.2</v>
      </c>
      <c r="J4488" s="77" t="s">
        <v>18279</v>
      </c>
      <c r="K4488" s="66"/>
      <c r="L4488" s="66"/>
      <c r="M4488" s="79" t="str">
        <f>HYPERLINK("http://www.pristavka.com/catalog/Youtooz/YTZ23/")</f>
        <v>http://www.pristavka.com/catalog/Youtooz/YTZ23/</v>
      </c>
      <c r="N4488" s="71">
        <v>22300</v>
      </c>
      <c r="O4488" s="66" t="s">
        <v>28</v>
      </c>
      <c r="P4488" s="82" t="s">
        <v>16740</v>
      </c>
      <c r="Q4488" s="84" t="s">
        <v>9148</v>
      </c>
      <c r="R4488" s="84" t="s">
        <v>6171</v>
      </c>
      <c r="S4488" s="84">
        <v>0.218</v>
      </c>
      <c r="T4488" s="82" t="s">
        <v>4370</v>
      </c>
      <c r="U4488" s="84" t="s">
        <v>2255</v>
      </c>
      <c r="V4488" s="54"/>
    </row>
    <row r="4489" spans="1:22" s="11" customFormat="1" ht="45" customHeight="1" x14ac:dyDescent="0.2">
      <c r="A4489" s="66" t="s">
        <v>16663</v>
      </c>
      <c r="B4489" s="66" t="s">
        <v>1707</v>
      </c>
      <c r="C4489" s="66" t="s">
        <v>16663</v>
      </c>
      <c r="D4489" s="66">
        <v>30616855355</v>
      </c>
      <c r="E4489" s="68" t="s">
        <v>16741</v>
      </c>
      <c r="F4489" s="66" t="s">
        <v>16742</v>
      </c>
      <c r="G4489" s="71">
        <v>15400</v>
      </c>
      <c r="H4489" s="73"/>
      <c r="I4489" s="75">
        <v>0.2</v>
      </c>
      <c r="J4489" s="77" t="s">
        <v>18280</v>
      </c>
      <c r="K4489" s="66"/>
      <c r="L4489" s="66"/>
      <c r="M4489" s="79" t="str">
        <f>HYPERLINK("http://www.pristavka.com/catalog/Youtooz/YTZ24/")</f>
        <v>http://www.pristavka.com/catalog/Youtooz/YTZ24/</v>
      </c>
      <c r="N4489" s="71">
        <v>22300</v>
      </c>
      <c r="O4489" s="66" t="s">
        <v>27</v>
      </c>
      <c r="P4489" s="82" t="s">
        <v>16743</v>
      </c>
      <c r="Q4489" s="84" t="s">
        <v>1297</v>
      </c>
      <c r="R4489" s="84" t="s">
        <v>1298</v>
      </c>
      <c r="S4489" s="84">
        <v>0.26</v>
      </c>
      <c r="T4489" s="82" t="s">
        <v>4370</v>
      </c>
      <c r="U4489" s="84" t="s">
        <v>2255</v>
      </c>
      <c r="V4489" s="54"/>
    </row>
    <row r="4490" spans="1:22" s="11" customFormat="1" ht="45" customHeight="1" x14ac:dyDescent="0.2">
      <c r="A4490" s="66" t="s">
        <v>16663</v>
      </c>
      <c r="B4490" s="66" t="s">
        <v>1707</v>
      </c>
      <c r="C4490" s="66" t="s">
        <v>16663</v>
      </c>
      <c r="D4490" s="66">
        <v>30616855364</v>
      </c>
      <c r="E4490" s="68" t="s">
        <v>16744</v>
      </c>
      <c r="F4490" s="66" t="s">
        <v>16745</v>
      </c>
      <c r="G4490" s="71">
        <v>15400</v>
      </c>
      <c r="H4490" s="73"/>
      <c r="I4490" s="75">
        <v>0.2</v>
      </c>
      <c r="J4490" s="77" t="s">
        <v>18280</v>
      </c>
      <c r="K4490" s="66"/>
      <c r="L4490" s="66"/>
      <c r="M4490" s="79" t="str">
        <f>HYPERLINK("http://www.pristavka.com/catalog/Youtooz/YTZ11/")</f>
        <v>http://www.pristavka.com/catalog/Youtooz/YTZ11/</v>
      </c>
      <c r="N4490" s="71">
        <v>22300</v>
      </c>
      <c r="O4490" s="66" t="s">
        <v>27</v>
      </c>
      <c r="P4490" s="82" t="s">
        <v>16746</v>
      </c>
      <c r="Q4490" s="84" t="s">
        <v>1297</v>
      </c>
      <c r="R4490" s="84" t="s">
        <v>1298</v>
      </c>
      <c r="S4490" s="84">
        <v>0.25600000000000001</v>
      </c>
      <c r="T4490" s="82" t="s">
        <v>16667</v>
      </c>
      <c r="U4490" s="84" t="s">
        <v>2255</v>
      </c>
      <c r="V4490" s="54"/>
    </row>
    <row r="4491" spans="1:22" s="11" customFormat="1" ht="45" customHeight="1" x14ac:dyDescent="0.2">
      <c r="A4491" s="66" t="s">
        <v>16663</v>
      </c>
      <c r="B4491" s="66" t="s">
        <v>1707</v>
      </c>
      <c r="C4491" s="66" t="s">
        <v>16663</v>
      </c>
      <c r="D4491" s="66">
        <v>30616855357</v>
      </c>
      <c r="E4491" s="68" t="s">
        <v>16747</v>
      </c>
      <c r="F4491" s="66" t="s">
        <v>16748</v>
      </c>
      <c r="G4491" s="71">
        <v>15400</v>
      </c>
      <c r="H4491" s="73"/>
      <c r="I4491" s="75">
        <v>0.2</v>
      </c>
      <c r="J4491" s="77" t="s">
        <v>18280</v>
      </c>
      <c r="K4491" s="66"/>
      <c r="L4491" s="66"/>
      <c r="M4491" s="79" t="str">
        <f>HYPERLINK("http://www.pristavka.com/catalog/Youtooz/YTZ10/")</f>
        <v>http://www.pristavka.com/catalog/Youtooz/YTZ10/</v>
      </c>
      <c r="N4491" s="71">
        <v>22300</v>
      </c>
      <c r="O4491" s="66" t="s">
        <v>27</v>
      </c>
      <c r="P4491" s="82" t="s">
        <v>16749</v>
      </c>
      <c r="Q4491" s="84" t="s">
        <v>1297</v>
      </c>
      <c r="R4491" s="84" t="s">
        <v>1298</v>
      </c>
      <c r="S4491" s="84">
        <v>0.23</v>
      </c>
      <c r="T4491" s="82" t="s">
        <v>16667</v>
      </c>
      <c r="U4491" s="84" t="s">
        <v>2255</v>
      </c>
      <c r="V4491" s="54"/>
    </row>
    <row r="4492" spans="1:22" s="11" customFormat="1" ht="45" customHeight="1" x14ac:dyDescent="0.2">
      <c r="A4492" s="66" t="s">
        <v>16663</v>
      </c>
      <c r="B4492" s="66" t="s">
        <v>1707</v>
      </c>
      <c r="C4492" s="66" t="s">
        <v>16663</v>
      </c>
      <c r="D4492" s="66">
        <v>30616855447</v>
      </c>
      <c r="E4492" s="68" t="s">
        <v>16750</v>
      </c>
      <c r="F4492" s="66" t="s">
        <v>16751</v>
      </c>
      <c r="G4492" s="71">
        <v>15400</v>
      </c>
      <c r="H4492" s="73"/>
      <c r="I4492" s="75">
        <v>0.2</v>
      </c>
      <c r="J4492" s="77" t="s">
        <v>18280</v>
      </c>
      <c r="K4492" s="66"/>
      <c r="L4492" s="66"/>
      <c r="M4492" s="79" t="str">
        <f>HYPERLINK("http://www.pristavka.com/catalog/Youtooz/YTZ14/")</f>
        <v>http://www.pristavka.com/catalog/Youtooz/YTZ14/</v>
      </c>
      <c r="N4492" s="71">
        <v>22300</v>
      </c>
      <c r="O4492" s="66" t="s">
        <v>27</v>
      </c>
      <c r="P4492" s="82" t="s">
        <v>16752</v>
      </c>
      <c r="Q4492" s="84" t="s">
        <v>1297</v>
      </c>
      <c r="R4492" s="84" t="s">
        <v>1298</v>
      </c>
      <c r="S4492" s="84">
        <v>0.252</v>
      </c>
      <c r="T4492" s="82" t="s">
        <v>16667</v>
      </c>
      <c r="U4492" s="84" t="s">
        <v>2255</v>
      </c>
      <c r="V4492" s="54"/>
    </row>
    <row r="4493" spans="1:22" s="11" customFormat="1" ht="45" customHeight="1" x14ac:dyDescent="0.2">
      <c r="A4493" s="66" t="s">
        <v>16663</v>
      </c>
      <c r="B4493" s="66" t="s">
        <v>1707</v>
      </c>
      <c r="C4493" s="66" t="s">
        <v>16663</v>
      </c>
      <c r="D4493" s="66">
        <v>30616855386</v>
      </c>
      <c r="E4493" s="68" t="s">
        <v>16753</v>
      </c>
      <c r="F4493" s="66" t="s">
        <v>16754</v>
      </c>
      <c r="G4493" s="71">
        <v>15400</v>
      </c>
      <c r="H4493" s="73"/>
      <c r="I4493" s="75">
        <v>0.2</v>
      </c>
      <c r="J4493" s="77" t="s">
        <v>18203</v>
      </c>
      <c r="K4493" s="66"/>
      <c r="L4493" s="66"/>
      <c r="M4493" s="79" t="str">
        <f>HYPERLINK("http://www.pristavka.com/catalog/Youtooz/YTZ13/")</f>
        <v>http://www.pristavka.com/catalog/Youtooz/YTZ13/</v>
      </c>
      <c r="N4493" s="71">
        <v>22300</v>
      </c>
      <c r="O4493" s="66" t="s">
        <v>27</v>
      </c>
      <c r="P4493" s="82" t="s">
        <v>16755</v>
      </c>
      <c r="Q4493" s="84" t="s">
        <v>1256</v>
      </c>
      <c r="R4493" s="84" t="s">
        <v>1257</v>
      </c>
      <c r="S4493" s="84">
        <v>0.22800000000000001</v>
      </c>
      <c r="T4493" s="82" t="s">
        <v>16667</v>
      </c>
      <c r="U4493" s="84" t="s">
        <v>2255</v>
      </c>
      <c r="V4493" s="54"/>
    </row>
    <row r="4494" spans="1:22" s="11" customFormat="1" ht="45" customHeight="1" x14ac:dyDescent="0.2">
      <c r="A4494" s="66" t="s">
        <v>16663</v>
      </c>
      <c r="B4494" s="66" t="s">
        <v>1707</v>
      </c>
      <c r="C4494" s="66" t="s">
        <v>16663</v>
      </c>
      <c r="D4494" s="66">
        <v>30616855373</v>
      </c>
      <c r="E4494" s="68" t="s">
        <v>16756</v>
      </c>
      <c r="F4494" s="66" t="s">
        <v>16757</v>
      </c>
      <c r="G4494" s="71">
        <v>15400</v>
      </c>
      <c r="H4494" s="73"/>
      <c r="I4494" s="75">
        <v>0.2</v>
      </c>
      <c r="J4494" s="77" t="s">
        <v>18203</v>
      </c>
      <c r="K4494" s="66"/>
      <c r="L4494" s="66"/>
      <c r="M4494" s="79" t="str">
        <f>HYPERLINK("http://www.pristavka.com/catalog/Youtooz/YTZ20/")</f>
        <v>http://www.pristavka.com/catalog/Youtooz/YTZ20/</v>
      </c>
      <c r="N4494" s="71">
        <v>22300</v>
      </c>
      <c r="O4494" s="66" t="s">
        <v>27</v>
      </c>
      <c r="P4494" s="82" t="s">
        <v>16758</v>
      </c>
      <c r="Q4494" s="84" t="s">
        <v>1256</v>
      </c>
      <c r="R4494" s="84" t="s">
        <v>1257</v>
      </c>
      <c r="S4494" s="84">
        <v>0.246</v>
      </c>
      <c r="T4494" s="82" t="s">
        <v>4370</v>
      </c>
      <c r="U4494" s="84" t="s">
        <v>2255</v>
      </c>
      <c r="V4494" s="54"/>
    </row>
    <row r="4495" spans="1:22" s="11" customFormat="1" ht="45" customHeight="1" x14ac:dyDescent="0.2">
      <c r="A4495" s="66" t="s">
        <v>16759</v>
      </c>
      <c r="B4495" s="66" t="s">
        <v>1155</v>
      </c>
      <c r="C4495" s="66" t="s">
        <v>1842</v>
      </c>
      <c r="D4495" s="66" t="s">
        <v>16760</v>
      </c>
      <c r="E4495" s="68" t="s">
        <v>16761</v>
      </c>
      <c r="F4495" s="66" t="s">
        <v>16760</v>
      </c>
      <c r="G4495" s="71">
        <v>1199</v>
      </c>
      <c r="H4495" s="73"/>
      <c r="I4495" s="75">
        <v>0.2</v>
      </c>
      <c r="J4495" s="77"/>
      <c r="K4495" s="66"/>
      <c r="L4495" s="66"/>
      <c r="M4495" s="79" t="str">
        <f>HYPERLINK("http://www.pristavka.com/catalog/Artplays/ARTM542/")</f>
        <v>http://www.pristavka.com/catalog/Artplays/ARTM542/</v>
      </c>
      <c r="N4495" s="71">
        <v>1899</v>
      </c>
      <c r="O4495" s="66" t="s">
        <v>27</v>
      </c>
      <c r="P4495" s="82" t="s">
        <v>16762</v>
      </c>
      <c r="Q4495" s="84" t="s">
        <v>16759</v>
      </c>
      <c r="R4495" s="84" t="s">
        <v>1075</v>
      </c>
      <c r="S4495" s="84">
        <v>0.45400000000000001</v>
      </c>
      <c r="T4495" s="82" t="s">
        <v>16763</v>
      </c>
      <c r="U4495" s="84" t="s">
        <v>177</v>
      </c>
      <c r="V4495" s="54"/>
    </row>
    <row r="4496" spans="1:22" s="11" customFormat="1" ht="45" customHeight="1" x14ac:dyDescent="0.2">
      <c r="A4496" s="66" t="s">
        <v>16759</v>
      </c>
      <c r="B4496" s="66" t="s">
        <v>1155</v>
      </c>
      <c r="C4496" s="66" t="s">
        <v>1842</v>
      </c>
      <c r="D4496" s="66" t="s">
        <v>16764</v>
      </c>
      <c r="E4496" s="68" t="s">
        <v>16765</v>
      </c>
      <c r="F4496" s="66" t="s">
        <v>16764</v>
      </c>
      <c r="G4496" s="71">
        <v>1199</v>
      </c>
      <c r="H4496" s="73"/>
      <c r="I4496" s="75">
        <v>0.2</v>
      </c>
      <c r="J4496" s="77"/>
      <c r="K4496" s="66"/>
      <c r="L4496" s="66"/>
      <c r="M4496" s="79" t="str">
        <f>HYPERLINK("http://www.pristavka.com/catalog/Artplays/ARTM543/")</f>
        <v>http://www.pristavka.com/catalog/Artplays/ARTM543/</v>
      </c>
      <c r="N4496" s="71">
        <v>1899</v>
      </c>
      <c r="O4496" s="66" t="s">
        <v>27</v>
      </c>
      <c r="P4496" s="82" t="s">
        <v>16766</v>
      </c>
      <c r="Q4496" s="84" t="s">
        <v>16759</v>
      </c>
      <c r="R4496" s="84" t="s">
        <v>1075</v>
      </c>
      <c r="S4496" s="84">
        <v>0.45800000000000002</v>
      </c>
      <c r="T4496" s="82" t="s">
        <v>16763</v>
      </c>
      <c r="U4496" s="84" t="s">
        <v>177</v>
      </c>
      <c r="V4496" s="54"/>
    </row>
    <row r="4497" spans="1:22" s="11" customFormat="1" ht="45" customHeight="1" x14ac:dyDescent="0.2">
      <c r="A4497" s="66" t="s">
        <v>16759</v>
      </c>
      <c r="B4497" s="66" t="s">
        <v>1155</v>
      </c>
      <c r="C4497" s="66" t="s">
        <v>1842</v>
      </c>
      <c r="D4497" s="66" t="s">
        <v>16767</v>
      </c>
      <c r="E4497" s="68" t="s">
        <v>16768</v>
      </c>
      <c r="F4497" s="66" t="s">
        <v>16767</v>
      </c>
      <c r="G4497" s="71">
        <v>338</v>
      </c>
      <c r="H4497" s="73"/>
      <c r="I4497" s="75">
        <v>0.2</v>
      </c>
      <c r="J4497" s="77"/>
      <c r="K4497" s="66"/>
      <c r="L4497" s="66"/>
      <c r="M4497" s="79" t="str">
        <f>HYPERLINK("http://www.pristavka.com/catalog/Artplays/ARTM520/")</f>
        <v>http://www.pristavka.com/catalog/Artplays/ARTM520/</v>
      </c>
      <c r="N4497" s="71">
        <v>599</v>
      </c>
      <c r="O4497" s="66" t="s">
        <v>28</v>
      </c>
      <c r="P4497" s="82" t="s">
        <v>16769</v>
      </c>
      <c r="Q4497" s="84" t="s">
        <v>16759</v>
      </c>
      <c r="R4497" s="84" t="s">
        <v>1075</v>
      </c>
      <c r="S4497" s="84">
        <v>0.108</v>
      </c>
      <c r="T4497" s="82" t="s">
        <v>2134</v>
      </c>
      <c r="U4497" s="84" t="s">
        <v>177</v>
      </c>
      <c r="V4497" s="54"/>
    </row>
    <row r="4498" spans="1:22" s="11" customFormat="1" ht="45" customHeight="1" x14ac:dyDescent="0.2">
      <c r="A4498" s="66" t="s">
        <v>16759</v>
      </c>
      <c r="B4498" s="66" t="s">
        <v>1155</v>
      </c>
      <c r="C4498" s="66" t="s">
        <v>1842</v>
      </c>
      <c r="D4498" s="66" t="s">
        <v>16770</v>
      </c>
      <c r="E4498" s="68" t="s">
        <v>16771</v>
      </c>
      <c r="F4498" s="66" t="s">
        <v>16772</v>
      </c>
      <c r="G4498" s="71">
        <v>338</v>
      </c>
      <c r="H4498" s="73"/>
      <c r="I4498" s="75">
        <v>0.2</v>
      </c>
      <c r="J4498" s="77"/>
      <c r="K4498" s="66"/>
      <c r="L4498" s="66"/>
      <c r="M4498" s="79" t="str">
        <f>HYPERLINK("http://www.pristavka.com/catalog/Artplays/ARTM529/")</f>
        <v>http://www.pristavka.com/catalog/Artplays/ARTM529/</v>
      </c>
      <c r="N4498" s="71">
        <v>599</v>
      </c>
      <c r="O4498" s="66" t="s">
        <v>27</v>
      </c>
      <c r="P4498" s="82" t="s">
        <v>16773</v>
      </c>
      <c r="Q4498" s="84" t="s">
        <v>16759</v>
      </c>
      <c r="R4498" s="84" t="s">
        <v>1075</v>
      </c>
      <c r="S4498" s="84">
        <v>0.114</v>
      </c>
      <c r="T4498" s="82" t="s">
        <v>2144</v>
      </c>
      <c r="U4498" s="84" t="s">
        <v>177</v>
      </c>
      <c r="V4498" s="54"/>
    </row>
    <row r="4499" spans="1:22" s="11" customFormat="1" ht="45" customHeight="1" x14ac:dyDescent="0.2">
      <c r="A4499" s="66" t="s">
        <v>16759</v>
      </c>
      <c r="B4499" s="66" t="s">
        <v>1155</v>
      </c>
      <c r="C4499" s="66" t="s">
        <v>1842</v>
      </c>
      <c r="D4499" s="66" t="s">
        <v>16774</v>
      </c>
      <c r="E4499" s="68" t="s">
        <v>16775</v>
      </c>
      <c r="F4499" s="66" t="s">
        <v>16774</v>
      </c>
      <c r="G4499" s="71">
        <v>338</v>
      </c>
      <c r="H4499" s="73"/>
      <c r="I4499" s="75">
        <v>0.2</v>
      </c>
      <c r="J4499" s="77"/>
      <c r="K4499" s="66"/>
      <c r="L4499" s="66"/>
      <c r="M4499" s="79" t="str">
        <f>HYPERLINK("http://www.pristavka.com/catalog/Artplays/ARTM540/")</f>
        <v>http://www.pristavka.com/catalog/Artplays/ARTM540/</v>
      </c>
      <c r="N4499" s="71">
        <v>599</v>
      </c>
      <c r="O4499" s="66" t="s">
        <v>27</v>
      </c>
      <c r="P4499" s="82" t="s">
        <v>16776</v>
      </c>
      <c r="Q4499" s="84" t="s">
        <v>16759</v>
      </c>
      <c r="R4499" s="84" t="s">
        <v>1075</v>
      </c>
      <c r="S4499" s="84">
        <v>0.113</v>
      </c>
      <c r="T4499" s="82" t="s">
        <v>2144</v>
      </c>
      <c r="U4499" s="84" t="s">
        <v>177</v>
      </c>
      <c r="V4499" s="54"/>
    </row>
    <row r="4500" spans="1:22" s="11" customFormat="1" ht="45" customHeight="1" x14ac:dyDescent="0.2">
      <c r="A4500" s="66" t="s">
        <v>16759</v>
      </c>
      <c r="B4500" s="66" t="s">
        <v>1155</v>
      </c>
      <c r="C4500" s="66" t="s">
        <v>1842</v>
      </c>
      <c r="D4500" s="66" t="s">
        <v>16777</v>
      </c>
      <c r="E4500" s="68" t="s">
        <v>16778</v>
      </c>
      <c r="F4500" s="66" t="s">
        <v>16777</v>
      </c>
      <c r="G4500" s="71">
        <v>338</v>
      </c>
      <c r="H4500" s="73"/>
      <c r="I4500" s="75">
        <v>0.2</v>
      </c>
      <c r="J4500" s="77"/>
      <c r="K4500" s="66"/>
      <c r="L4500" s="66"/>
      <c r="M4500" s="79" t="str">
        <f>HYPERLINK("http://www.pristavka.com/catalog/Artplays/ARTM541/")</f>
        <v>http://www.pristavka.com/catalog/Artplays/ARTM541/</v>
      </c>
      <c r="N4500" s="71">
        <v>599</v>
      </c>
      <c r="O4500" s="66" t="s">
        <v>27</v>
      </c>
      <c r="P4500" s="82" t="s">
        <v>16779</v>
      </c>
      <c r="Q4500" s="84" t="s">
        <v>16759</v>
      </c>
      <c r="R4500" s="84" t="s">
        <v>1075</v>
      </c>
      <c r="S4500" s="84">
        <v>0.113</v>
      </c>
      <c r="T4500" s="82" t="s">
        <v>2144</v>
      </c>
      <c r="U4500" s="84" t="s">
        <v>177</v>
      </c>
      <c r="V4500" s="54"/>
    </row>
    <row r="4501" spans="1:22" s="11" customFormat="1" ht="45" customHeight="1" x14ac:dyDescent="0.2">
      <c r="A4501" s="66" t="s">
        <v>16759</v>
      </c>
      <c r="B4501" s="66" t="s">
        <v>1155</v>
      </c>
      <c r="C4501" s="66" t="s">
        <v>1842</v>
      </c>
      <c r="D4501" s="66" t="s">
        <v>16780</v>
      </c>
      <c r="E4501" s="68" t="s">
        <v>16781</v>
      </c>
      <c r="F4501" s="66" t="s">
        <v>16780</v>
      </c>
      <c r="G4501" s="71">
        <v>338</v>
      </c>
      <c r="H4501" s="73"/>
      <c r="I4501" s="75">
        <v>0.2</v>
      </c>
      <c r="J4501" s="77"/>
      <c r="K4501" s="66"/>
      <c r="L4501" s="66"/>
      <c r="M4501" s="79" t="str">
        <f>HYPERLINK("http://www.pristavka.com/catalog/Artplays/ARTM521/")</f>
        <v>http://www.pristavka.com/catalog/Artplays/ARTM521/</v>
      </c>
      <c r="N4501" s="71">
        <v>599</v>
      </c>
      <c r="O4501" s="66" t="s">
        <v>27</v>
      </c>
      <c r="P4501" s="82" t="s">
        <v>16782</v>
      </c>
      <c r="Q4501" s="84" t="s">
        <v>16759</v>
      </c>
      <c r="R4501" s="84" t="s">
        <v>1075</v>
      </c>
      <c r="S4501" s="84">
        <v>0.11</v>
      </c>
      <c r="T4501" s="82" t="s">
        <v>2144</v>
      </c>
      <c r="U4501" s="84" t="s">
        <v>177</v>
      </c>
      <c r="V4501" s="54"/>
    </row>
    <row r="4502" spans="1:22" s="11" customFormat="1" ht="45" customHeight="1" x14ac:dyDescent="0.2">
      <c r="A4502" s="66" t="s">
        <v>16759</v>
      </c>
      <c r="B4502" s="66" t="s">
        <v>1155</v>
      </c>
      <c r="C4502" s="66" t="s">
        <v>1842</v>
      </c>
      <c r="D4502" s="66" t="s">
        <v>16783</v>
      </c>
      <c r="E4502" s="68" t="s">
        <v>16784</v>
      </c>
      <c r="F4502" s="66" t="s">
        <v>16783</v>
      </c>
      <c r="G4502" s="71">
        <v>338</v>
      </c>
      <c r="H4502" s="73"/>
      <c r="I4502" s="75">
        <v>0.2</v>
      </c>
      <c r="J4502" s="77"/>
      <c r="K4502" s="66"/>
      <c r="L4502" s="66"/>
      <c r="M4502" s="79" t="str">
        <f>HYPERLINK("http://www.pristavka.com/catalog/Artplays/ARTM523/")</f>
        <v>http://www.pristavka.com/catalog/Artplays/ARTM523/</v>
      </c>
      <c r="N4502" s="71">
        <v>599</v>
      </c>
      <c r="O4502" s="66" t="s">
        <v>27</v>
      </c>
      <c r="P4502" s="82" t="s">
        <v>16785</v>
      </c>
      <c r="Q4502" s="84" t="s">
        <v>16759</v>
      </c>
      <c r="R4502" s="84" t="s">
        <v>1075</v>
      </c>
      <c r="S4502" s="84">
        <v>0.11</v>
      </c>
      <c r="T4502" s="82" t="s">
        <v>2144</v>
      </c>
      <c r="U4502" s="84" t="s">
        <v>177</v>
      </c>
      <c r="V4502" s="54"/>
    </row>
    <row r="4503" spans="1:22" s="11" customFormat="1" ht="45" customHeight="1" x14ac:dyDescent="0.2">
      <c r="A4503" s="66" t="s">
        <v>16759</v>
      </c>
      <c r="B4503" s="66" t="s">
        <v>1155</v>
      </c>
      <c r="C4503" s="66" t="s">
        <v>1842</v>
      </c>
      <c r="D4503" s="66" t="s">
        <v>16786</v>
      </c>
      <c r="E4503" s="68" t="s">
        <v>16787</v>
      </c>
      <c r="F4503" s="66" t="s">
        <v>16786</v>
      </c>
      <c r="G4503" s="71">
        <v>338</v>
      </c>
      <c r="H4503" s="73"/>
      <c r="I4503" s="75">
        <v>0.2</v>
      </c>
      <c r="J4503" s="77"/>
      <c r="K4503" s="66"/>
      <c r="L4503" s="66"/>
      <c r="M4503" s="79" t="str">
        <f>HYPERLINK("http://www.pristavka.com/catalog/Artplays/ARTM524/")</f>
        <v>http://www.pristavka.com/catalog/Artplays/ARTM524/</v>
      </c>
      <c r="N4503" s="71">
        <v>599</v>
      </c>
      <c r="O4503" s="66" t="s">
        <v>27</v>
      </c>
      <c r="P4503" s="82" t="s">
        <v>16788</v>
      </c>
      <c r="Q4503" s="84" t="s">
        <v>16759</v>
      </c>
      <c r="R4503" s="84" t="s">
        <v>1075</v>
      </c>
      <c r="S4503" s="84">
        <v>0.11</v>
      </c>
      <c r="T4503" s="82" t="s">
        <v>2144</v>
      </c>
      <c r="U4503" s="84" t="s">
        <v>177</v>
      </c>
      <c r="V4503" s="54"/>
    </row>
    <row r="4504" spans="1:22" s="11" customFormat="1" ht="45" customHeight="1" x14ac:dyDescent="0.2">
      <c r="A4504" s="66" t="s">
        <v>16759</v>
      </c>
      <c r="B4504" s="66" t="s">
        <v>1155</v>
      </c>
      <c r="C4504" s="66" t="s">
        <v>1842</v>
      </c>
      <c r="D4504" s="66" t="s">
        <v>16789</v>
      </c>
      <c r="E4504" s="68" t="s">
        <v>16790</v>
      </c>
      <c r="F4504" s="66" t="s">
        <v>16789</v>
      </c>
      <c r="G4504" s="71">
        <v>338</v>
      </c>
      <c r="H4504" s="73"/>
      <c r="I4504" s="75">
        <v>0.2</v>
      </c>
      <c r="J4504" s="77"/>
      <c r="K4504" s="66"/>
      <c r="L4504" s="66"/>
      <c r="M4504" s="79" t="str">
        <f>HYPERLINK("http://www.pristavka.com/catalog/Artplays/ARTM525/")</f>
        <v>http://www.pristavka.com/catalog/Artplays/ARTM525/</v>
      </c>
      <c r="N4504" s="71">
        <v>599</v>
      </c>
      <c r="O4504" s="66" t="s">
        <v>27</v>
      </c>
      <c r="P4504" s="82" t="s">
        <v>16791</v>
      </c>
      <c r="Q4504" s="84" t="s">
        <v>16759</v>
      </c>
      <c r="R4504" s="84" t="s">
        <v>1075</v>
      </c>
      <c r="S4504" s="84">
        <v>0.11</v>
      </c>
      <c r="T4504" s="82" t="s">
        <v>2144</v>
      </c>
      <c r="U4504" s="84" t="s">
        <v>177</v>
      </c>
      <c r="V4504" s="54"/>
    </row>
    <row r="4505" spans="1:22" s="11" customFormat="1" ht="45" customHeight="1" x14ac:dyDescent="0.2">
      <c r="A4505" s="66" t="s">
        <v>16759</v>
      </c>
      <c r="B4505" s="66" t="s">
        <v>1155</v>
      </c>
      <c r="C4505" s="66" t="s">
        <v>1842</v>
      </c>
      <c r="D4505" s="66" t="s">
        <v>16792</v>
      </c>
      <c r="E4505" s="68" t="s">
        <v>16793</v>
      </c>
      <c r="F4505" s="66" t="s">
        <v>16792</v>
      </c>
      <c r="G4505" s="71">
        <v>338</v>
      </c>
      <c r="H4505" s="73"/>
      <c r="I4505" s="75">
        <v>0.2</v>
      </c>
      <c r="J4505" s="77"/>
      <c r="K4505" s="66"/>
      <c r="L4505" s="66"/>
      <c r="M4505" s="79" t="str">
        <f>HYPERLINK("http://www.pristavka.com/catalog/Artplays/ARTM526/")</f>
        <v>http://www.pristavka.com/catalog/Artplays/ARTM526/</v>
      </c>
      <c r="N4505" s="71">
        <v>599</v>
      </c>
      <c r="O4505" s="66" t="s">
        <v>27</v>
      </c>
      <c r="P4505" s="82" t="s">
        <v>16794</v>
      </c>
      <c r="Q4505" s="84" t="s">
        <v>16759</v>
      </c>
      <c r="R4505" s="84" t="s">
        <v>1075</v>
      </c>
      <c r="S4505" s="84">
        <v>0.115</v>
      </c>
      <c r="T4505" s="82" t="s">
        <v>2144</v>
      </c>
      <c r="U4505" s="84" t="s">
        <v>177</v>
      </c>
      <c r="V4505" s="54"/>
    </row>
    <row r="4506" spans="1:22" s="11" customFormat="1" ht="45" customHeight="1" x14ac:dyDescent="0.2">
      <c r="A4506" s="66" t="s">
        <v>16759</v>
      </c>
      <c r="B4506" s="66" t="s">
        <v>1155</v>
      </c>
      <c r="C4506" s="66" t="s">
        <v>1842</v>
      </c>
      <c r="D4506" s="66" t="s">
        <v>16770</v>
      </c>
      <c r="E4506" s="68" t="s">
        <v>16795</v>
      </c>
      <c r="F4506" s="66" t="s">
        <v>16770</v>
      </c>
      <c r="G4506" s="71">
        <v>338</v>
      </c>
      <c r="H4506" s="73"/>
      <c r="I4506" s="75">
        <v>0.2</v>
      </c>
      <c r="J4506" s="77"/>
      <c r="K4506" s="66"/>
      <c r="L4506" s="66"/>
      <c r="M4506" s="79" t="str">
        <f>HYPERLINK("http://www.pristavka.com/catalog/Artplays/ARTM528/")</f>
        <v>http://www.pristavka.com/catalog/Artplays/ARTM528/</v>
      </c>
      <c r="N4506" s="71">
        <v>599</v>
      </c>
      <c r="O4506" s="66" t="s">
        <v>27</v>
      </c>
      <c r="P4506" s="82" t="s">
        <v>16796</v>
      </c>
      <c r="Q4506" s="84" t="s">
        <v>16759</v>
      </c>
      <c r="R4506" s="84" t="s">
        <v>1075</v>
      </c>
      <c r="S4506" s="84">
        <v>0.115</v>
      </c>
      <c r="T4506" s="82" t="s">
        <v>2144</v>
      </c>
      <c r="U4506" s="84" t="s">
        <v>177</v>
      </c>
      <c r="V4506" s="54"/>
    </row>
    <row r="4507" spans="1:22" s="11" customFormat="1" ht="45" customHeight="1" x14ac:dyDescent="0.2">
      <c r="A4507" s="66" t="s">
        <v>16797</v>
      </c>
      <c r="B4507" s="66" t="s">
        <v>1155</v>
      </c>
      <c r="C4507" s="66" t="s">
        <v>1842</v>
      </c>
      <c r="D4507" s="66" t="s">
        <v>16798</v>
      </c>
      <c r="E4507" s="68" t="s">
        <v>16799</v>
      </c>
      <c r="F4507" s="66" t="s">
        <v>16798</v>
      </c>
      <c r="G4507" s="71">
        <v>660</v>
      </c>
      <c r="H4507" s="73"/>
      <c r="I4507" s="75">
        <v>0.2</v>
      </c>
      <c r="J4507" s="77"/>
      <c r="K4507" s="66"/>
      <c r="L4507" s="66"/>
      <c r="M4507" s="79" t="str">
        <f>HYPERLINK("http://www.pristavka.com/catalog/Artplays/ARTM336/")</f>
        <v>http://www.pristavka.com/catalog/Artplays/ARTM336/</v>
      </c>
      <c r="N4507" s="71">
        <v>1399</v>
      </c>
      <c r="O4507" s="66" t="s">
        <v>27</v>
      </c>
      <c r="P4507" s="82" t="s">
        <v>16800</v>
      </c>
      <c r="Q4507" s="84" t="s">
        <v>1334</v>
      </c>
      <c r="R4507" s="84" t="s">
        <v>1068</v>
      </c>
      <c r="S4507" s="84">
        <v>2.1000000000000001E-2</v>
      </c>
      <c r="T4507" s="82" t="s">
        <v>1076</v>
      </c>
      <c r="U4507" s="84"/>
      <c r="V4507" s="54"/>
    </row>
    <row r="4508" spans="1:22" s="11" customFormat="1" ht="45" customHeight="1" x14ac:dyDescent="0.2">
      <c r="A4508" s="66" t="s">
        <v>16797</v>
      </c>
      <c r="B4508" s="66" t="s">
        <v>1155</v>
      </c>
      <c r="C4508" s="66" t="s">
        <v>1842</v>
      </c>
      <c r="D4508" s="66" t="s">
        <v>16801</v>
      </c>
      <c r="E4508" s="68" t="s">
        <v>16802</v>
      </c>
      <c r="F4508" s="66" t="s">
        <v>16801</v>
      </c>
      <c r="G4508" s="71">
        <v>660</v>
      </c>
      <c r="H4508" s="73"/>
      <c r="I4508" s="75">
        <v>0.2</v>
      </c>
      <c r="J4508" s="77"/>
      <c r="K4508" s="66"/>
      <c r="L4508" s="66"/>
      <c r="M4508" s="79" t="str">
        <f>HYPERLINK("http://www.pristavka.com/catalog/Artplays/ARTM337/")</f>
        <v>http://www.pristavka.com/catalog/Artplays/ARTM337/</v>
      </c>
      <c r="N4508" s="71">
        <v>1399</v>
      </c>
      <c r="O4508" s="66" t="s">
        <v>27</v>
      </c>
      <c r="P4508" s="82" t="s">
        <v>16803</v>
      </c>
      <c r="Q4508" s="84" t="s">
        <v>1334</v>
      </c>
      <c r="R4508" s="84" t="s">
        <v>1068</v>
      </c>
      <c r="S4508" s="84">
        <v>2.3E-2</v>
      </c>
      <c r="T4508" s="82" t="s">
        <v>1076</v>
      </c>
      <c r="U4508" s="84"/>
      <c r="V4508" s="54"/>
    </row>
    <row r="4509" spans="1:22" s="11" customFormat="1" ht="45" customHeight="1" x14ac:dyDescent="0.2">
      <c r="A4509" s="66" t="s">
        <v>16797</v>
      </c>
      <c r="B4509" s="66" t="s">
        <v>1155</v>
      </c>
      <c r="C4509" s="66" t="s">
        <v>1842</v>
      </c>
      <c r="D4509" s="66" t="s">
        <v>16804</v>
      </c>
      <c r="E4509" s="68" t="s">
        <v>16805</v>
      </c>
      <c r="F4509" s="66" t="s">
        <v>16804</v>
      </c>
      <c r="G4509" s="71">
        <v>660</v>
      </c>
      <c r="H4509" s="73"/>
      <c r="I4509" s="75">
        <v>0.2</v>
      </c>
      <c r="J4509" s="77"/>
      <c r="K4509" s="66"/>
      <c r="L4509" s="66"/>
      <c r="M4509" s="79" t="str">
        <f>HYPERLINK("http://www.pristavka.com/catalog/Artplays/ARTM338/")</f>
        <v>http://www.pristavka.com/catalog/Artplays/ARTM338/</v>
      </c>
      <c r="N4509" s="71">
        <v>1399</v>
      </c>
      <c r="O4509" s="66" t="s">
        <v>27</v>
      </c>
      <c r="P4509" s="82" t="s">
        <v>16806</v>
      </c>
      <c r="Q4509" s="84" t="s">
        <v>1334</v>
      </c>
      <c r="R4509" s="84" t="s">
        <v>1068</v>
      </c>
      <c r="S4509" s="84">
        <v>2.3E-2</v>
      </c>
      <c r="T4509" s="82" t="s">
        <v>1076</v>
      </c>
      <c r="U4509" s="84"/>
      <c r="V4509" s="54"/>
    </row>
    <row r="4510" spans="1:22" s="11" customFormat="1" ht="45" customHeight="1" x14ac:dyDescent="0.2">
      <c r="A4510" s="66" t="s">
        <v>16797</v>
      </c>
      <c r="B4510" s="66" t="s">
        <v>1155</v>
      </c>
      <c r="C4510" s="66" t="s">
        <v>1842</v>
      </c>
      <c r="D4510" s="66" t="s">
        <v>16807</v>
      </c>
      <c r="E4510" s="68" t="s">
        <v>16808</v>
      </c>
      <c r="F4510" s="66" t="s">
        <v>16807</v>
      </c>
      <c r="G4510" s="71">
        <v>1558</v>
      </c>
      <c r="H4510" s="73"/>
      <c r="I4510" s="75">
        <v>0.2</v>
      </c>
      <c r="J4510" s="77"/>
      <c r="K4510" s="66"/>
      <c r="L4510" s="66"/>
      <c r="M4510" s="79" t="str">
        <f>HYPERLINK("http://www.pristavka.com/catalog/Artplays/ARTM335/")</f>
        <v>http://www.pristavka.com/catalog/Artplays/ARTM335/</v>
      </c>
      <c r="N4510" s="71">
        <v>3199</v>
      </c>
      <c r="O4510" s="66" t="s">
        <v>27</v>
      </c>
      <c r="P4510" s="82" t="s">
        <v>16809</v>
      </c>
      <c r="Q4510" s="84" t="s">
        <v>1334</v>
      </c>
      <c r="R4510" s="84" t="s">
        <v>1068</v>
      </c>
      <c r="S4510" s="84">
        <v>6.7000000000000004E-2</v>
      </c>
      <c r="T4510" s="82" t="s">
        <v>16810</v>
      </c>
      <c r="U4510" s="84"/>
      <c r="V4510" s="54"/>
    </row>
    <row r="4511" spans="1:22" s="11" customFormat="1" ht="45" customHeight="1" x14ac:dyDescent="0.2">
      <c r="A4511" s="66" t="s">
        <v>16797</v>
      </c>
      <c r="B4511" s="66" t="s">
        <v>1155</v>
      </c>
      <c r="C4511" s="66" t="s">
        <v>1842</v>
      </c>
      <c r="D4511" s="66" t="s">
        <v>16811</v>
      </c>
      <c r="E4511" s="68" t="s">
        <v>16812</v>
      </c>
      <c r="F4511" s="66" t="s">
        <v>16811</v>
      </c>
      <c r="G4511" s="71">
        <v>924</v>
      </c>
      <c r="H4511" s="73"/>
      <c r="I4511" s="75">
        <v>0.2</v>
      </c>
      <c r="J4511" s="77"/>
      <c r="K4511" s="66"/>
      <c r="L4511" s="66"/>
      <c r="M4511" s="79" t="str">
        <f>HYPERLINK("http://www.pristavka.com/catalog/Artplays/ARTM332/")</f>
        <v>http://www.pristavka.com/catalog/Artplays/ARTM332/</v>
      </c>
      <c r="N4511" s="71">
        <v>1899</v>
      </c>
      <c r="O4511" s="66" t="s">
        <v>27</v>
      </c>
      <c r="P4511" s="82" t="s">
        <v>16813</v>
      </c>
      <c r="Q4511" s="84" t="s">
        <v>1334</v>
      </c>
      <c r="R4511" s="84" t="s">
        <v>1068</v>
      </c>
      <c r="S4511" s="84">
        <v>4.0000000000000001E-3</v>
      </c>
      <c r="T4511" s="82" t="s">
        <v>16814</v>
      </c>
      <c r="U4511" s="84" t="s">
        <v>177</v>
      </c>
      <c r="V4511" s="54"/>
    </row>
    <row r="4512" spans="1:22" s="11" customFormat="1" ht="45" customHeight="1" x14ac:dyDescent="0.2">
      <c r="A4512" s="66" t="s">
        <v>16797</v>
      </c>
      <c r="B4512" s="66" t="s">
        <v>1155</v>
      </c>
      <c r="C4512" s="66" t="s">
        <v>1842</v>
      </c>
      <c r="D4512" s="66" t="s">
        <v>16815</v>
      </c>
      <c r="E4512" s="68" t="s">
        <v>16816</v>
      </c>
      <c r="F4512" s="66" t="s">
        <v>16815</v>
      </c>
      <c r="G4512" s="71">
        <v>924</v>
      </c>
      <c r="H4512" s="73"/>
      <c r="I4512" s="75">
        <v>0.2</v>
      </c>
      <c r="J4512" s="77"/>
      <c r="K4512" s="66"/>
      <c r="L4512" s="66"/>
      <c r="M4512" s="79" t="str">
        <f>HYPERLINK("http://www.pristavka.com/catalog/Artplays/ARTM333/")</f>
        <v>http://www.pristavka.com/catalog/Artplays/ARTM333/</v>
      </c>
      <c r="N4512" s="71">
        <v>1899</v>
      </c>
      <c r="O4512" s="66" t="s">
        <v>27</v>
      </c>
      <c r="P4512" s="82" t="s">
        <v>16817</v>
      </c>
      <c r="Q4512" s="84" t="s">
        <v>1334</v>
      </c>
      <c r="R4512" s="84" t="s">
        <v>1068</v>
      </c>
      <c r="S4512" s="84">
        <v>4.0000000000000001E-3</v>
      </c>
      <c r="T4512" s="82" t="s">
        <v>16818</v>
      </c>
      <c r="U4512" s="84" t="s">
        <v>177</v>
      </c>
      <c r="V4512" s="54"/>
    </row>
    <row r="4513" spans="1:22" s="11" customFormat="1" ht="45" customHeight="1" x14ac:dyDescent="0.2">
      <c r="A4513" s="66" t="s">
        <v>16797</v>
      </c>
      <c r="B4513" s="66" t="s">
        <v>1155</v>
      </c>
      <c r="C4513" s="66" t="s">
        <v>1842</v>
      </c>
      <c r="D4513" s="66" t="s">
        <v>16819</v>
      </c>
      <c r="E4513" s="68" t="s">
        <v>16820</v>
      </c>
      <c r="F4513" s="66" t="s">
        <v>16819</v>
      </c>
      <c r="G4513" s="71">
        <v>924</v>
      </c>
      <c r="H4513" s="73"/>
      <c r="I4513" s="75">
        <v>0.2</v>
      </c>
      <c r="J4513" s="77"/>
      <c r="K4513" s="66"/>
      <c r="L4513" s="66"/>
      <c r="M4513" s="79" t="str">
        <f>HYPERLINK("http://www.pristavka.com/catalog/Artplays/ARTM334/")</f>
        <v>http://www.pristavka.com/catalog/Artplays/ARTM334/</v>
      </c>
      <c r="N4513" s="71">
        <v>1899</v>
      </c>
      <c r="O4513" s="66" t="s">
        <v>27</v>
      </c>
      <c r="P4513" s="82" t="s">
        <v>16821</v>
      </c>
      <c r="Q4513" s="84" t="s">
        <v>1334</v>
      </c>
      <c r="R4513" s="84" t="s">
        <v>1068</v>
      </c>
      <c r="S4513" s="84">
        <v>5.0000000000000001E-3</v>
      </c>
      <c r="T4513" s="82" t="s">
        <v>16818</v>
      </c>
      <c r="U4513" s="84" t="s">
        <v>177</v>
      </c>
      <c r="V4513" s="54"/>
    </row>
    <row r="4514" spans="1:22" s="11" customFormat="1" ht="45" customHeight="1" x14ac:dyDescent="0.2">
      <c r="A4514" s="66" t="s">
        <v>16797</v>
      </c>
      <c r="B4514" s="66" t="s">
        <v>1155</v>
      </c>
      <c r="C4514" s="66" t="s">
        <v>1842</v>
      </c>
      <c r="D4514" s="66" t="s">
        <v>16822</v>
      </c>
      <c r="E4514" s="68" t="s">
        <v>16823</v>
      </c>
      <c r="F4514" s="66" t="s">
        <v>16822</v>
      </c>
      <c r="G4514" s="71">
        <v>607</v>
      </c>
      <c r="H4514" s="73"/>
      <c r="I4514" s="75">
        <v>0.2</v>
      </c>
      <c r="J4514" s="77"/>
      <c r="K4514" s="66"/>
      <c r="L4514" s="66"/>
      <c r="M4514" s="79" t="str">
        <f>HYPERLINK("http://www.pristavka.com/catalog/Artplays/ARTM324/")</f>
        <v>http://www.pristavka.com/catalog/Artplays/ARTM324/</v>
      </c>
      <c r="N4514" s="71">
        <v>1299</v>
      </c>
      <c r="O4514" s="66" t="s">
        <v>27</v>
      </c>
      <c r="P4514" s="82" t="s">
        <v>16824</v>
      </c>
      <c r="Q4514" s="84" t="s">
        <v>1334</v>
      </c>
      <c r="R4514" s="84" t="s">
        <v>1068</v>
      </c>
      <c r="S4514" s="84">
        <v>5.1999999999999998E-2</v>
      </c>
      <c r="T4514" s="82" t="s">
        <v>16825</v>
      </c>
      <c r="U4514" s="84"/>
      <c r="V4514" s="54"/>
    </row>
    <row r="4515" spans="1:22" s="11" customFormat="1" ht="45" customHeight="1" x14ac:dyDescent="0.2">
      <c r="A4515" s="66" t="s">
        <v>16797</v>
      </c>
      <c r="B4515" s="66" t="s">
        <v>1155</v>
      </c>
      <c r="C4515" s="66" t="s">
        <v>1842</v>
      </c>
      <c r="D4515" s="66" t="s">
        <v>16826</v>
      </c>
      <c r="E4515" s="68" t="s">
        <v>16827</v>
      </c>
      <c r="F4515" s="66" t="s">
        <v>16826</v>
      </c>
      <c r="G4515" s="71">
        <v>1199</v>
      </c>
      <c r="H4515" s="73"/>
      <c r="I4515" s="75">
        <v>0.2</v>
      </c>
      <c r="J4515" s="77"/>
      <c r="K4515" s="66"/>
      <c r="L4515" s="66"/>
      <c r="M4515" s="79" t="str">
        <f>HYPERLINK("http://www.pristavka.com/catalog/Artplays/ARTM312/")</f>
        <v>http://www.pristavka.com/catalog/Artplays/ARTM312/</v>
      </c>
      <c r="N4515" s="71">
        <v>2099</v>
      </c>
      <c r="O4515" s="66" t="s">
        <v>27</v>
      </c>
      <c r="P4515" s="82" t="s">
        <v>16828</v>
      </c>
      <c r="Q4515" s="84" t="s">
        <v>1334</v>
      </c>
      <c r="R4515" s="84" t="s">
        <v>1068</v>
      </c>
      <c r="S4515" s="84">
        <v>0.35</v>
      </c>
      <c r="T4515" s="82" t="s">
        <v>1905</v>
      </c>
      <c r="U4515" s="84"/>
      <c r="V4515" s="54"/>
    </row>
    <row r="4516" spans="1:22" s="11" customFormat="1" ht="45" customHeight="1" x14ac:dyDescent="0.2">
      <c r="A4516" s="66" t="s">
        <v>16797</v>
      </c>
      <c r="B4516" s="66" t="s">
        <v>1155</v>
      </c>
      <c r="C4516" s="66" t="s">
        <v>1842</v>
      </c>
      <c r="D4516" s="66" t="s">
        <v>16829</v>
      </c>
      <c r="E4516" s="68" t="s">
        <v>16830</v>
      </c>
      <c r="F4516" s="66" t="s">
        <v>16829</v>
      </c>
      <c r="G4516" s="71">
        <v>1262</v>
      </c>
      <c r="H4516" s="73"/>
      <c r="I4516" s="75">
        <v>0.2</v>
      </c>
      <c r="J4516" s="77"/>
      <c r="K4516" s="66"/>
      <c r="L4516" s="66"/>
      <c r="M4516" s="79" t="str">
        <f>HYPERLINK("http://www.pristavka.com/catalog/Artplays/ARTM313/")</f>
        <v>http://www.pristavka.com/catalog/Artplays/ARTM313/</v>
      </c>
      <c r="N4516" s="71">
        <v>2199</v>
      </c>
      <c r="O4516" s="66" t="s">
        <v>27</v>
      </c>
      <c r="P4516" s="82" t="s">
        <v>16831</v>
      </c>
      <c r="Q4516" s="84" t="s">
        <v>1334</v>
      </c>
      <c r="R4516" s="84" t="s">
        <v>1068</v>
      </c>
      <c r="S4516" s="84">
        <v>0.35</v>
      </c>
      <c r="T4516" s="82" t="s">
        <v>1905</v>
      </c>
      <c r="U4516" s="84"/>
      <c r="V4516" s="54"/>
    </row>
    <row r="4517" spans="1:22" s="11" customFormat="1" ht="45" customHeight="1" x14ac:dyDescent="0.2">
      <c r="A4517" s="66" t="s">
        <v>16797</v>
      </c>
      <c r="B4517" s="66" t="s">
        <v>1155</v>
      </c>
      <c r="C4517" s="66" t="s">
        <v>1842</v>
      </c>
      <c r="D4517" s="66" t="s">
        <v>16832</v>
      </c>
      <c r="E4517" s="68" t="s">
        <v>16833</v>
      </c>
      <c r="F4517" s="66" t="s">
        <v>16832</v>
      </c>
      <c r="G4517" s="71">
        <v>1262</v>
      </c>
      <c r="H4517" s="73"/>
      <c r="I4517" s="75">
        <v>0.2</v>
      </c>
      <c r="J4517" s="77"/>
      <c r="K4517" s="66"/>
      <c r="L4517" s="66"/>
      <c r="M4517" s="79" t="str">
        <f>HYPERLINK("http://www.pristavka.com/catalog/Artplays/ARTM317/")</f>
        <v>http://www.pristavka.com/catalog/Artplays/ARTM317/</v>
      </c>
      <c r="N4517" s="71">
        <v>2199</v>
      </c>
      <c r="O4517" s="66" t="s">
        <v>27</v>
      </c>
      <c r="P4517" s="82" t="s">
        <v>16834</v>
      </c>
      <c r="Q4517" s="84" t="s">
        <v>1334</v>
      </c>
      <c r="R4517" s="84" t="s">
        <v>1068</v>
      </c>
      <c r="S4517" s="84">
        <v>0.35</v>
      </c>
      <c r="T4517" s="82" t="s">
        <v>1905</v>
      </c>
      <c r="U4517" s="84"/>
      <c r="V4517" s="54"/>
    </row>
    <row r="4518" spans="1:22" s="11" customFormat="1" ht="45" customHeight="1" x14ac:dyDescent="0.2">
      <c r="A4518" s="66" t="s">
        <v>16797</v>
      </c>
      <c r="B4518" s="66" t="s">
        <v>1155</v>
      </c>
      <c r="C4518" s="66" t="s">
        <v>1842</v>
      </c>
      <c r="D4518" s="66" t="s">
        <v>16835</v>
      </c>
      <c r="E4518" s="68" t="s">
        <v>16836</v>
      </c>
      <c r="F4518" s="66" t="s">
        <v>16835</v>
      </c>
      <c r="G4518" s="71">
        <v>713</v>
      </c>
      <c r="H4518" s="73"/>
      <c r="I4518" s="75">
        <v>0.2</v>
      </c>
      <c r="J4518" s="77"/>
      <c r="K4518" s="66"/>
      <c r="L4518" s="66"/>
      <c r="M4518" s="79" t="str">
        <f>HYPERLINK("http://www.pristavka.com/catalog/Artplays/ARTM303/")</f>
        <v>http://www.pristavka.com/catalog/Artplays/ARTM303/</v>
      </c>
      <c r="N4518" s="71">
        <v>1499</v>
      </c>
      <c r="O4518" s="66" t="s">
        <v>27</v>
      </c>
      <c r="P4518" s="82" t="s">
        <v>16837</v>
      </c>
      <c r="Q4518" s="84" t="s">
        <v>1334</v>
      </c>
      <c r="R4518" s="84" t="s">
        <v>1068</v>
      </c>
      <c r="S4518" s="84">
        <v>9.4E-2</v>
      </c>
      <c r="T4518" s="82" t="s">
        <v>16838</v>
      </c>
      <c r="U4518" s="84"/>
      <c r="V4518" s="54"/>
    </row>
    <row r="4519" spans="1:22" s="11" customFormat="1" ht="45" customHeight="1" x14ac:dyDescent="0.2">
      <c r="A4519" s="66" t="s">
        <v>16797</v>
      </c>
      <c r="B4519" s="66" t="s">
        <v>1155</v>
      </c>
      <c r="C4519" s="66" t="s">
        <v>1842</v>
      </c>
      <c r="D4519" s="66" t="s">
        <v>16839</v>
      </c>
      <c r="E4519" s="68" t="s">
        <v>16840</v>
      </c>
      <c r="F4519" s="66" t="s">
        <v>16839</v>
      </c>
      <c r="G4519" s="71">
        <v>1157</v>
      </c>
      <c r="H4519" s="73"/>
      <c r="I4519" s="75">
        <v>0.2</v>
      </c>
      <c r="J4519" s="77"/>
      <c r="K4519" s="66"/>
      <c r="L4519" s="66"/>
      <c r="M4519" s="79" t="str">
        <f>HYPERLINK("http://www.pristavka.com/catalog/Artplays/ARTM329/")</f>
        <v>http://www.pristavka.com/catalog/Artplays/ARTM329/</v>
      </c>
      <c r="N4519" s="71">
        <v>2199</v>
      </c>
      <c r="O4519" s="66" t="s">
        <v>27</v>
      </c>
      <c r="P4519" s="82" t="s">
        <v>16841</v>
      </c>
      <c r="Q4519" s="84" t="s">
        <v>1334</v>
      </c>
      <c r="R4519" s="84" t="s">
        <v>1068</v>
      </c>
      <c r="S4519" s="84">
        <v>7.0000000000000007E-2</v>
      </c>
      <c r="T4519" s="82" t="s">
        <v>16842</v>
      </c>
      <c r="U4519" s="84" t="s">
        <v>177</v>
      </c>
      <c r="V4519" s="54"/>
    </row>
    <row r="4520" spans="1:22" s="11" customFormat="1" ht="45" customHeight="1" x14ac:dyDescent="0.2">
      <c r="A4520" s="66" t="s">
        <v>16797</v>
      </c>
      <c r="B4520" s="66" t="s">
        <v>1155</v>
      </c>
      <c r="C4520" s="66" t="s">
        <v>1842</v>
      </c>
      <c r="D4520" s="66" t="s">
        <v>16843</v>
      </c>
      <c r="E4520" s="68" t="s">
        <v>16844</v>
      </c>
      <c r="F4520" s="66" t="s">
        <v>16843</v>
      </c>
      <c r="G4520" s="71">
        <v>1157</v>
      </c>
      <c r="H4520" s="73"/>
      <c r="I4520" s="75">
        <v>0.2</v>
      </c>
      <c r="J4520" s="77"/>
      <c r="K4520" s="66"/>
      <c r="L4520" s="66"/>
      <c r="M4520" s="79" t="str">
        <f>HYPERLINK("http://www.pristavka.com/catalog/Artplays/ARTM330/")</f>
        <v>http://www.pristavka.com/catalog/Artplays/ARTM330/</v>
      </c>
      <c r="N4520" s="71">
        <v>2199</v>
      </c>
      <c r="O4520" s="66" t="s">
        <v>27</v>
      </c>
      <c r="P4520" s="82" t="s">
        <v>16845</v>
      </c>
      <c r="Q4520" s="84" t="s">
        <v>1334</v>
      </c>
      <c r="R4520" s="84" t="s">
        <v>1068</v>
      </c>
      <c r="S4520" s="84">
        <v>7.0000000000000007E-2</v>
      </c>
      <c r="T4520" s="82" t="s">
        <v>16842</v>
      </c>
      <c r="U4520" s="84" t="s">
        <v>177</v>
      </c>
      <c r="V4520" s="54"/>
    </row>
    <row r="4521" spans="1:22" s="11" customFormat="1" ht="45" customHeight="1" x14ac:dyDescent="0.2">
      <c r="A4521" s="66" t="s">
        <v>16797</v>
      </c>
      <c r="B4521" s="66" t="s">
        <v>1155</v>
      </c>
      <c r="C4521" s="66" t="s">
        <v>1842</v>
      </c>
      <c r="D4521" s="66" t="s">
        <v>16846</v>
      </c>
      <c r="E4521" s="68" t="s">
        <v>16847</v>
      </c>
      <c r="F4521" s="66" t="s">
        <v>16846</v>
      </c>
      <c r="G4521" s="71">
        <v>1157</v>
      </c>
      <c r="H4521" s="73"/>
      <c r="I4521" s="75">
        <v>0.2</v>
      </c>
      <c r="J4521" s="77"/>
      <c r="K4521" s="66"/>
      <c r="L4521" s="66"/>
      <c r="M4521" s="79" t="str">
        <f>HYPERLINK("http://www.pristavka.com/catalog/Artplays/ARTM331/")</f>
        <v>http://www.pristavka.com/catalog/Artplays/ARTM331/</v>
      </c>
      <c r="N4521" s="71">
        <v>2199</v>
      </c>
      <c r="O4521" s="66" t="s">
        <v>27</v>
      </c>
      <c r="P4521" s="82" t="s">
        <v>16848</v>
      </c>
      <c r="Q4521" s="84" t="s">
        <v>1334</v>
      </c>
      <c r="R4521" s="84" t="s">
        <v>1068</v>
      </c>
      <c r="S4521" s="84">
        <v>7.0000000000000007E-2</v>
      </c>
      <c r="T4521" s="82" t="s">
        <v>16842</v>
      </c>
      <c r="U4521" s="84" t="s">
        <v>177</v>
      </c>
      <c r="V4521" s="54"/>
    </row>
    <row r="4522" spans="1:22" s="11" customFormat="1" ht="45" customHeight="1" x14ac:dyDescent="0.2">
      <c r="A4522" s="66" t="s">
        <v>16797</v>
      </c>
      <c r="B4522" s="66" t="s">
        <v>1155</v>
      </c>
      <c r="C4522" s="66" t="s">
        <v>1842</v>
      </c>
      <c r="D4522" s="66" t="s">
        <v>16849</v>
      </c>
      <c r="E4522" s="68" t="s">
        <v>16850</v>
      </c>
      <c r="F4522" s="66" t="s">
        <v>16849</v>
      </c>
      <c r="G4522" s="71">
        <v>396</v>
      </c>
      <c r="H4522" s="73"/>
      <c r="I4522" s="75">
        <v>0.2</v>
      </c>
      <c r="J4522" s="77"/>
      <c r="K4522" s="66"/>
      <c r="L4522" s="66"/>
      <c r="M4522" s="79" t="str">
        <f>HYPERLINK("http://www.pristavka.com/catalog/Artplays/ARTM327/")</f>
        <v>http://www.pristavka.com/catalog/Artplays/ARTM327/</v>
      </c>
      <c r="N4522" s="71">
        <v>799</v>
      </c>
      <c r="O4522" s="66" t="s">
        <v>27</v>
      </c>
      <c r="P4522" s="82" t="s">
        <v>16851</v>
      </c>
      <c r="Q4522" s="84" t="s">
        <v>1334</v>
      </c>
      <c r="R4522" s="84" t="s">
        <v>1068</v>
      </c>
      <c r="S4522" s="84">
        <v>1.0999999999999999E-2</v>
      </c>
      <c r="T4522" s="82" t="s">
        <v>16852</v>
      </c>
      <c r="U4522" s="84"/>
      <c r="V4522" s="54"/>
    </row>
    <row r="4523" spans="1:22" s="11" customFormat="1" ht="45" customHeight="1" x14ac:dyDescent="0.2">
      <c r="A4523" s="66" t="s">
        <v>16797</v>
      </c>
      <c r="B4523" s="66" t="s">
        <v>1155</v>
      </c>
      <c r="C4523" s="66" t="s">
        <v>1842</v>
      </c>
      <c r="D4523" s="66" t="s">
        <v>16853</v>
      </c>
      <c r="E4523" s="68" t="s">
        <v>16854</v>
      </c>
      <c r="F4523" s="66" t="s">
        <v>16853</v>
      </c>
      <c r="G4523" s="71">
        <v>396</v>
      </c>
      <c r="H4523" s="73"/>
      <c r="I4523" s="75">
        <v>0.2</v>
      </c>
      <c r="J4523" s="77"/>
      <c r="K4523" s="66"/>
      <c r="L4523" s="66"/>
      <c r="M4523" s="79" t="str">
        <f>HYPERLINK("http://www.pristavka.com/catalog/Artplays/ARTM328/")</f>
        <v>http://www.pristavka.com/catalog/Artplays/ARTM328/</v>
      </c>
      <c r="N4523" s="71">
        <v>799</v>
      </c>
      <c r="O4523" s="66" t="s">
        <v>27</v>
      </c>
      <c r="P4523" s="82" t="s">
        <v>16855</v>
      </c>
      <c r="Q4523" s="84" t="s">
        <v>1334</v>
      </c>
      <c r="R4523" s="84" t="s">
        <v>1068</v>
      </c>
      <c r="S4523" s="84">
        <v>1.0999999999999999E-2</v>
      </c>
      <c r="T4523" s="82" t="s">
        <v>16852</v>
      </c>
      <c r="U4523" s="84"/>
      <c r="V4523" s="54"/>
    </row>
    <row r="4524" spans="1:22" s="11" customFormat="1" ht="45" customHeight="1" x14ac:dyDescent="0.2">
      <c r="A4524" s="66" t="s">
        <v>16797</v>
      </c>
      <c r="B4524" s="66" t="s">
        <v>1155</v>
      </c>
      <c r="C4524" s="66" t="s">
        <v>1842</v>
      </c>
      <c r="D4524" s="66" t="s">
        <v>16856</v>
      </c>
      <c r="E4524" s="68" t="s">
        <v>16857</v>
      </c>
      <c r="F4524" s="66" t="s">
        <v>16856</v>
      </c>
      <c r="G4524" s="71">
        <v>1004</v>
      </c>
      <c r="H4524" s="73"/>
      <c r="I4524" s="75">
        <v>0.2</v>
      </c>
      <c r="J4524" s="77"/>
      <c r="K4524" s="66"/>
      <c r="L4524" s="66"/>
      <c r="M4524" s="79" t="str">
        <f>HYPERLINK("http://www.pristavka.com/catalog/Artplays/ARTM322/")</f>
        <v>http://www.pristavka.com/catalog/Artplays/ARTM322/</v>
      </c>
      <c r="N4524" s="71">
        <v>2099</v>
      </c>
      <c r="O4524" s="66" t="s">
        <v>27</v>
      </c>
      <c r="P4524" s="82" t="s">
        <v>16858</v>
      </c>
      <c r="Q4524" s="84" t="s">
        <v>1334</v>
      </c>
      <c r="R4524" s="84" t="s">
        <v>1068</v>
      </c>
      <c r="S4524" s="84">
        <v>8.4000000000000005E-2</v>
      </c>
      <c r="T4524" s="82" t="s">
        <v>16859</v>
      </c>
      <c r="U4524" s="84"/>
      <c r="V4524" s="54"/>
    </row>
    <row r="4525" spans="1:22" s="11" customFormat="1" ht="45" customHeight="1" x14ac:dyDescent="0.2">
      <c r="A4525" s="66" t="s">
        <v>16797</v>
      </c>
      <c r="B4525" s="66" t="s">
        <v>1155</v>
      </c>
      <c r="C4525" s="66" t="s">
        <v>1842</v>
      </c>
      <c r="D4525" s="66" t="s">
        <v>16860</v>
      </c>
      <c r="E4525" s="68" t="s">
        <v>16861</v>
      </c>
      <c r="F4525" s="66" t="s">
        <v>16860</v>
      </c>
      <c r="G4525" s="71">
        <v>1004</v>
      </c>
      <c r="H4525" s="73"/>
      <c r="I4525" s="75">
        <v>0.2</v>
      </c>
      <c r="J4525" s="77"/>
      <c r="K4525" s="66"/>
      <c r="L4525" s="66"/>
      <c r="M4525" s="79" t="str">
        <f>HYPERLINK("http://www.pristavka.com/catalog/Artplays/ARTM323/")</f>
        <v>http://www.pristavka.com/catalog/Artplays/ARTM323/</v>
      </c>
      <c r="N4525" s="71">
        <v>2099</v>
      </c>
      <c r="O4525" s="66" t="s">
        <v>27</v>
      </c>
      <c r="P4525" s="82" t="s">
        <v>16862</v>
      </c>
      <c r="Q4525" s="84" t="s">
        <v>1334</v>
      </c>
      <c r="R4525" s="84" t="s">
        <v>1068</v>
      </c>
      <c r="S4525" s="84">
        <v>8.5999999999999993E-2</v>
      </c>
      <c r="T4525" s="82" t="s">
        <v>16859</v>
      </c>
      <c r="U4525" s="84"/>
      <c r="V4525" s="54"/>
    </row>
    <row r="4526" spans="1:22" s="11" customFormat="1" ht="45" customHeight="1" x14ac:dyDescent="0.2">
      <c r="A4526" s="66" t="s">
        <v>16797</v>
      </c>
      <c r="B4526" s="66" t="s">
        <v>1155</v>
      </c>
      <c r="C4526" s="66" t="s">
        <v>1842</v>
      </c>
      <c r="D4526" s="66" t="s">
        <v>16863</v>
      </c>
      <c r="E4526" s="68" t="s">
        <v>16864</v>
      </c>
      <c r="F4526" s="66" t="s">
        <v>16863</v>
      </c>
      <c r="G4526" s="71">
        <v>449</v>
      </c>
      <c r="H4526" s="73"/>
      <c r="I4526" s="75">
        <v>0.2</v>
      </c>
      <c r="J4526" s="77"/>
      <c r="K4526" s="66"/>
      <c r="L4526" s="66"/>
      <c r="M4526" s="79" t="str">
        <f>HYPERLINK("http://www.pristavka.com/catalog/Artplays/ARTM305/")</f>
        <v>http://www.pristavka.com/catalog/Artplays/ARTM305/</v>
      </c>
      <c r="N4526" s="71">
        <v>899</v>
      </c>
      <c r="O4526" s="66" t="s">
        <v>27</v>
      </c>
      <c r="P4526" s="82" t="s">
        <v>16865</v>
      </c>
      <c r="Q4526" s="84" t="s">
        <v>1334</v>
      </c>
      <c r="R4526" s="84" t="s">
        <v>1068</v>
      </c>
      <c r="S4526" s="84">
        <v>4.3999999999999997E-2</v>
      </c>
      <c r="T4526" s="82" t="s">
        <v>16866</v>
      </c>
      <c r="U4526" s="84"/>
      <c r="V4526" s="54"/>
    </row>
    <row r="4527" spans="1:22" s="11" customFormat="1" ht="45" customHeight="1" x14ac:dyDescent="0.2">
      <c r="A4527" s="66" t="s">
        <v>16797</v>
      </c>
      <c r="B4527" s="66" t="s">
        <v>1155</v>
      </c>
      <c r="C4527" s="66" t="s">
        <v>1842</v>
      </c>
      <c r="D4527" s="66" t="s">
        <v>16867</v>
      </c>
      <c r="E4527" s="68" t="s">
        <v>16868</v>
      </c>
      <c r="F4527" s="66" t="s">
        <v>16867</v>
      </c>
      <c r="G4527" s="71">
        <v>449</v>
      </c>
      <c r="H4527" s="73"/>
      <c r="I4527" s="75">
        <v>0.2</v>
      </c>
      <c r="J4527" s="77"/>
      <c r="K4527" s="66"/>
      <c r="L4527" s="66"/>
      <c r="M4527" s="79" t="str">
        <f>HYPERLINK("http://www.pristavka.com/catalog/Artplays/ARTM306/")</f>
        <v>http://www.pristavka.com/catalog/Artplays/ARTM306/</v>
      </c>
      <c r="N4527" s="71">
        <v>899</v>
      </c>
      <c r="O4527" s="66" t="s">
        <v>27</v>
      </c>
      <c r="P4527" s="82" t="s">
        <v>16869</v>
      </c>
      <c r="Q4527" s="84" t="s">
        <v>1334</v>
      </c>
      <c r="R4527" s="84" t="s">
        <v>1068</v>
      </c>
      <c r="S4527" s="84">
        <v>4.3999999999999997E-2</v>
      </c>
      <c r="T4527" s="82" t="s">
        <v>16866</v>
      </c>
      <c r="U4527" s="84"/>
      <c r="V4527" s="54"/>
    </row>
    <row r="4528" spans="1:22" s="11" customFormat="1" ht="45" customHeight="1" x14ac:dyDescent="0.2">
      <c r="A4528" s="66" t="s">
        <v>16797</v>
      </c>
      <c r="B4528" s="66" t="s">
        <v>1155</v>
      </c>
      <c r="C4528" s="66" t="s">
        <v>1842</v>
      </c>
      <c r="D4528" s="66" t="s">
        <v>16870</v>
      </c>
      <c r="E4528" s="68" t="s">
        <v>16871</v>
      </c>
      <c r="F4528" s="66" t="s">
        <v>16870</v>
      </c>
      <c r="G4528" s="71">
        <v>449</v>
      </c>
      <c r="H4528" s="73"/>
      <c r="I4528" s="75">
        <v>0.2</v>
      </c>
      <c r="J4528" s="77"/>
      <c r="K4528" s="66"/>
      <c r="L4528" s="66"/>
      <c r="M4528" s="79" t="str">
        <f>HYPERLINK("http://www.pristavka.com/catalog/Artplays/ARTM307/")</f>
        <v>http://www.pristavka.com/catalog/Artplays/ARTM307/</v>
      </c>
      <c r="N4528" s="71">
        <v>899</v>
      </c>
      <c r="O4528" s="66" t="s">
        <v>27</v>
      </c>
      <c r="P4528" s="82" t="s">
        <v>16872</v>
      </c>
      <c r="Q4528" s="84" t="s">
        <v>1334</v>
      </c>
      <c r="R4528" s="84" t="s">
        <v>1068</v>
      </c>
      <c r="S4528" s="84">
        <v>4.3999999999999997E-2</v>
      </c>
      <c r="T4528" s="82" t="s">
        <v>16873</v>
      </c>
      <c r="U4528" s="84"/>
      <c r="V4528" s="54"/>
    </row>
    <row r="4529" spans="1:22" s="11" customFormat="1" ht="45" customHeight="1" x14ac:dyDescent="0.2">
      <c r="A4529" s="66" t="s">
        <v>16797</v>
      </c>
      <c r="B4529" s="66" t="s">
        <v>1155</v>
      </c>
      <c r="C4529" s="66" t="s">
        <v>1842</v>
      </c>
      <c r="D4529" s="66" t="s">
        <v>16874</v>
      </c>
      <c r="E4529" s="68" t="s">
        <v>16875</v>
      </c>
      <c r="F4529" s="66" t="s">
        <v>16874</v>
      </c>
      <c r="G4529" s="71">
        <v>449</v>
      </c>
      <c r="H4529" s="73"/>
      <c r="I4529" s="75">
        <v>0.2</v>
      </c>
      <c r="J4529" s="77"/>
      <c r="K4529" s="66"/>
      <c r="L4529" s="66"/>
      <c r="M4529" s="79" t="str">
        <f>HYPERLINK("http://www.pristavka.com/catalog/Artplays/ARTM308/")</f>
        <v>http://www.pristavka.com/catalog/Artplays/ARTM308/</v>
      </c>
      <c r="N4529" s="71">
        <v>899</v>
      </c>
      <c r="O4529" s="66" t="s">
        <v>27</v>
      </c>
      <c r="P4529" s="82" t="s">
        <v>16876</v>
      </c>
      <c r="Q4529" s="84" t="s">
        <v>1334</v>
      </c>
      <c r="R4529" s="84" t="s">
        <v>1068</v>
      </c>
      <c r="S4529" s="84">
        <v>4.2999999999999997E-2</v>
      </c>
      <c r="T4529" s="82" t="s">
        <v>16866</v>
      </c>
      <c r="U4529" s="84"/>
      <c r="V4529" s="54"/>
    </row>
    <row r="4530" spans="1:22" s="11" customFormat="1" ht="45" customHeight="1" x14ac:dyDescent="0.2">
      <c r="A4530" s="66" t="s">
        <v>16797</v>
      </c>
      <c r="B4530" s="66" t="s">
        <v>1155</v>
      </c>
      <c r="C4530" s="66" t="s">
        <v>1842</v>
      </c>
      <c r="D4530" s="66" t="s">
        <v>16877</v>
      </c>
      <c r="E4530" s="68" t="s">
        <v>16878</v>
      </c>
      <c r="F4530" s="66" t="s">
        <v>16877</v>
      </c>
      <c r="G4530" s="71">
        <v>449</v>
      </c>
      <c r="H4530" s="73"/>
      <c r="I4530" s="75">
        <v>0.2</v>
      </c>
      <c r="J4530" s="77"/>
      <c r="K4530" s="66"/>
      <c r="L4530" s="66"/>
      <c r="M4530" s="79" t="str">
        <f>HYPERLINK("http://www.pristavka.com/catalog/Artplays/ARTM309/")</f>
        <v>http://www.pristavka.com/catalog/Artplays/ARTM309/</v>
      </c>
      <c r="N4530" s="71">
        <v>899</v>
      </c>
      <c r="O4530" s="66" t="s">
        <v>27</v>
      </c>
      <c r="P4530" s="82" t="s">
        <v>16879</v>
      </c>
      <c r="Q4530" s="84" t="s">
        <v>1334</v>
      </c>
      <c r="R4530" s="84" t="s">
        <v>1068</v>
      </c>
      <c r="S4530" s="84">
        <v>4.2999999999999997E-2</v>
      </c>
      <c r="T4530" s="82" t="s">
        <v>16873</v>
      </c>
      <c r="U4530" s="84"/>
      <c r="V4530" s="54"/>
    </row>
    <row r="4531" spans="1:22" s="11" customFormat="1" ht="45" customHeight="1" x14ac:dyDescent="0.2">
      <c r="A4531" s="66" t="s">
        <v>16797</v>
      </c>
      <c r="B4531" s="66" t="s">
        <v>1155</v>
      </c>
      <c r="C4531" s="66" t="s">
        <v>1842</v>
      </c>
      <c r="D4531" s="66" t="s">
        <v>16880</v>
      </c>
      <c r="E4531" s="68" t="s">
        <v>16881</v>
      </c>
      <c r="F4531" s="66" t="s">
        <v>16880</v>
      </c>
      <c r="G4531" s="71">
        <v>1849</v>
      </c>
      <c r="H4531" s="73"/>
      <c r="I4531" s="75">
        <v>0.2</v>
      </c>
      <c r="J4531" s="77"/>
      <c r="K4531" s="66"/>
      <c r="L4531" s="66"/>
      <c r="M4531" s="79" t="str">
        <f>HYPERLINK("http://www.pristavka.com/catalog/Artplays/ARTM320/")</f>
        <v>http://www.pristavka.com/catalog/Artplays/ARTM320/</v>
      </c>
      <c r="N4531" s="71">
        <v>3699</v>
      </c>
      <c r="O4531" s="66" t="s">
        <v>27</v>
      </c>
      <c r="P4531" s="82" t="s">
        <v>16882</v>
      </c>
      <c r="Q4531" s="84" t="s">
        <v>1334</v>
      </c>
      <c r="R4531" s="84" t="s">
        <v>1068</v>
      </c>
      <c r="S4531" s="84">
        <v>8.5000000000000006E-2</v>
      </c>
      <c r="T4531" s="82" t="s">
        <v>16825</v>
      </c>
      <c r="U4531" s="84"/>
      <c r="V4531" s="54"/>
    </row>
    <row r="4532" spans="1:22" s="11" customFormat="1" ht="45" customHeight="1" x14ac:dyDescent="0.2">
      <c r="A4532" s="66" t="s">
        <v>16883</v>
      </c>
      <c r="B4532" s="66" t="s">
        <v>1155</v>
      </c>
      <c r="C4532" s="66" t="s">
        <v>1842</v>
      </c>
      <c r="D4532" s="66" t="s">
        <v>16884</v>
      </c>
      <c r="E4532" s="68" t="s">
        <v>16885</v>
      </c>
      <c r="F4532" s="66" t="s">
        <v>16884</v>
      </c>
      <c r="G4532" s="71">
        <v>3771</v>
      </c>
      <c r="H4532" s="73"/>
      <c r="I4532" s="75">
        <v>0.2</v>
      </c>
      <c r="J4532" s="77"/>
      <c r="K4532" s="66"/>
      <c r="L4532" s="66"/>
      <c r="M4532" s="79" t="str">
        <f>HYPERLINK("http://www.pristavka.com/catalog/Artplays/ARTM156/")</f>
        <v>http://www.pristavka.com/catalog/Artplays/ARTM156/</v>
      </c>
      <c r="N4532" s="71">
        <v>6299</v>
      </c>
      <c r="O4532" s="66" t="s">
        <v>27</v>
      </c>
      <c r="P4532" s="82" t="s">
        <v>16886</v>
      </c>
      <c r="Q4532" s="84"/>
      <c r="R4532" s="84"/>
      <c r="S4532" s="84">
        <v>0.22800000000000001</v>
      </c>
      <c r="T4532" s="82" t="s">
        <v>16887</v>
      </c>
      <c r="U4532" s="84" t="s">
        <v>177</v>
      </c>
      <c r="V4532" s="54"/>
    </row>
    <row r="4533" spans="1:22" s="11" customFormat="1" ht="45" customHeight="1" x14ac:dyDescent="0.2">
      <c r="A4533" s="66" t="s">
        <v>16883</v>
      </c>
      <c r="B4533" s="66" t="s">
        <v>1155</v>
      </c>
      <c r="C4533" s="66" t="s">
        <v>1842</v>
      </c>
      <c r="D4533" s="66" t="s">
        <v>16888</v>
      </c>
      <c r="E4533" s="68" t="s">
        <v>16889</v>
      </c>
      <c r="F4533" s="66" t="s">
        <v>16888</v>
      </c>
      <c r="G4533" s="71">
        <v>7258</v>
      </c>
      <c r="H4533" s="73"/>
      <c r="I4533" s="75">
        <v>0.2</v>
      </c>
      <c r="J4533" s="77"/>
      <c r="K4533" s="66"/>
      <c r="L4533" s="66"/>
      <c r="M4533" s="79" t="str">
        <f>HYPERLINK("http://www.pristavka.com/catalog/Artplays/ARTM158/")</f>
        <v>http://www.pristavka.com/catalog/Artplays/ARTM158/</v>
      </c>
      <c r="N4533" s="71">
        <v>12099</v>
      </c>
      <c r="O4533" s="66" t="s">
        <v>27</v>
      </c>
      <c r="P4533" s="82" t="s">
        <v>16890</v>
      </c>
      <c r="Q4533" s="84"/>
      <c r="R4533" s="84"/>
      <c r="S4533" s="84">
        <v>0.70099999999999996</v>
      </c>
      <c r="T4533" s="82" t="s">
        <v>16891</v>
      </c>
      <c r="U4533" s="84" t="s">
        <v>177</v>
      </c>
      <c r="V4533" s="54"/>
    </row>
    <row r="4534" spans="1:22" s="11" customFormat="1" ht="45" customHeight="1" x14ac:dyDescent="0.2">
      <c r="A4534" s="66" t="s">
        <v>16883</v>
      </c>
      <c r="B4534" s="66" t="s">
        <v>1155</v>
      </c>
      <c r="C4534" s="66" t="s">
        <v>1842</v>
      </c>
      <c r="D4534" s="66" t="s">
        <v>16892</v>
      </c>
      <c r="E4534" s="68" t="s">
        <v>16893</v>
      </c>
      <c r="F4534" s="66" t="s">
        <v>16892</v>
      </c>
      <c r="G4534" s="71">
        <v>7258</v>
      </c>
      <c r="H4534" s="73"/>
      <c r="I4534" s="75">
        <v>0.2</v>
      </c>
      <c r="J4534" s="77"/>
      <c r="K4534" s="66"/>
      <c r="L4534" s="66"/>
      <c r="M4534" s="79" t="str">
        <f>HYPERLINK("http://www.pristavka.com/catalog/Artplays/ARTM155/")</f>
        <v>http://www.pristavka.com/catalog/Artplays/ARTM155/</v>
      </c>
      <c r="N4534" s="71">
        <v>12099</v>
      </c>
      <c r="O4534" s="66" t="s">
        <v>27</v>
      </c>
      <c r="P4534" s="82" t="s">
        <v>16894</v>
      </c>
      <c r="Q4534" s="84"/>
      <c r="R4534" s="84"/>
      <c r="S4534" s="84">
        <v>0.70199999999999996</v>
      </c>
      <c r="T4534" s="82" t="s">
        <v>16895</v>
      </c>
      <c r="U4534" s="84" t="s">
        <v>177</v>
      </c>
      <c r="V4534" s="54"/>
    </row>
    <row r="4535" spans="1:22" s="11" customFormat="1" ht="45" customHeight="1" x14ac:dyDescent="0.2">
      <c r="A4535" s="66" t="s">
        <v>16883</v>
      </c>
      <c r="B4535" s="66" t="s">
        <v>1155</v>
      </c>
      <c r="C4535" s="66" t="s">
        <v>1842</v>
      </c>
      <c r="D4535" s="66" t="s">
        <v>16896</v>
      </c>
      <c r="E4535" s="68" t="s">
        <v>16897</v>
      </c>
      <c r="F4535" s="66" t="s">
        <v>16896</v>
      </c>
      <c r="G4535" s="71">
        <v>4722</v>
      </c>
      <c r="H4535" s="73"/>
      <c r="I4535" s="75">
        <v>0.2</v>
      </c>
      <c r="J4535" s="77"/>
      <c r="K4535" s="66"/>
      <c r="L4535" s="66"/>
      <c r="M4535" s="79" t="str">
        <f>HYPERLINK("http://www.pristavka.com/catalog/Artplays/ARTM295/")</f>
        <v>http://www.pristavka.com/catalog/Artplays/ARTM295/</v>
      </c>
      <c r="N4535" s="71">
        <v>7899</v>
      </c>
      <c r="O4535" s="66" t="s">
        <v>27</v>
      </c>
      <c r="P4535" s="82" t="s">
        <v>16898</v>
      </c>
      <c r="Q4535" s="84"/>
      <c r="R4535" s="84"/>
      <c r="S4535" s="84">
        <v>0.224</v>
      </c>
      <c r="T4535" s="82" t="s">
        <v>16899</v>
      </c>
      <c r="U4535" s="84"/>
      <c r="V4535" s="54"/>
    </row>
    <row r="4536" spans="1:22" s="11" customFormat="1" ht="45" customHeight="1" x14ac:dyDescent="0.2">
      <c r="A4536" s="66" t="s">
        <v>16883</v>
      </c>
      <c r="B4536" s="66" t="s">
        <v>1155</v>
      </c>
      <c r="C4536" s="66" t="s">
        <v>1842</v>
      </c>
      <c r="D4536" s="66" t="s">
        <v>16900</v>
      </c>
      <c r="E4536" s="68" t="s">
        <v>16901</v>
      </c>
      <c r="F4536" s="66" t="s">
        <v>16900</v>
      </c>
      <c r="G4536" s="71">
        <v>7892</v>
      </c>
      <c r="H4536" s="73"/>
      <c r="I4536" s="75">
        <v>0.2</v>
      </c>
      <c r="J4536" s="77"/>
      <c r="K4536" s="66"/>
      <c r="L4536" s="66"/>
      <c r="M4536" s="79" t="str">
        <f>HYPERLINK("http://www.pristavka.com/catalog/Artplays/ARTM294/")</f>
        <v>http://www.pristavka.com/catalog/Artplays/ARTM294/</v>
      </c>
      <c r="N4536" s="71">
        <v>13199</v>
      </c>
      <c r="O4536" s="66" t="s">
        <v>27</v>
      </c>
      <c r="P4536" s="82" t="s">
        <v>16902</v>
      </c>
      <c r="Q4536" s="84"/>
      <c r="R4536" s="84"/>
      <c r="S4536" s="84">
        <v>0.71499999999999997</v>
      </c>
      <c r="T4536" s="82" t="s">
        <v>16903</v>
      </c>
      <c r="U4536" s="84"/>
      <c r="V4536" s="54"/>
    </row>
    <row r="4537" spans="1:22" s="11" customFormat="1" ht="45" customHeight="1" x14ac:dyDescent="0.2">
      <c r="A4537" s="66" t="s">
        <v>16883</v>
      </c>
      <c r="B4537" s="66" t="s">
        <v>1155</v>
      </c>
      <c r="C4537" s="66" t="s">
        <v>1842</v>
      </c>
      <c r="D4537" s="66" t="s">
        <v>16904</v>
      </c>
      <c r="E4537" s="68" t="s">
        <v>16905</v>
      </c>
      <c r="F4537" s="66" t="s">
        <v>16904</v>
      </c>
      <c r="G4537" s="71">
        <v>7892</v>
      </c>
      <c r="H4537" s="73"/>
      <c r="I4537" s="75">
        <v>0.2</v>
      </c>
      <c r="J4537" s="77"/>
      <c r="K4537" s="66"/>
      <c r="L4537" s="66"/>
      <c r="M4537" s="79" t="str">
        <f>HYPERLINK("http://www.pristavka.com/catalog/Artplays/ARTM293/")</f>
        <v>http://www.pristavka.com/catalog/Artplays/ARTM293/</v>
      </c>
      <c r="N4537" s="71">
        <v>13199</v>
      </c>
      <c r="O4537" s="66" t="s">
        <v>27</v>
      </c>
      <c r="P4537" s="82" t="s">
        <v>16906</v>
      </c>
      <c r="Q4537" s="84"/>
      <c r="R4537" s="84"/>
      <c r="S4537" s="84">
        <v>0.69</v>
      </c>
      <c r="T4537" s="82" t="s">
        <v>16903</v>
      </c>
      <c r="U4537" s="84"/>
      <c r="V4537" s="54"/>
    </row>
    <row r="4538" spans="1:22" s="11" customFormat="1" ht="45" customHeight="1" x14ac:dyDescent="0.2">
      <c r="A4538" s="66" t="s">
        <v>16883</v>
      </c>
      <c r="B4538" s="66" t="s">
        <v>1155</v>
      </c>
      <c r="C4538" s="66" t="s">
        <v>1842</v>
      </c>
      <c r="D4538" s="66" t="s">
        <v>16907</v>
      </c>
      <c r="E4538" s="68" t="s">
        <v>16908</v>
      </c>
      <c r="F4538" s="66" t="s">
        <v>16907</v>
      </c>
      <c r="G4538" s="71">
        <v>7892</v>
      </c>
      <c r="H4538" s="73"/>
      <c r="I4538" s="75">
        <v>0.2</v>
      </c>
      <c r="J4538" s="77"/>
      <c r="K4538" s="66"/>
      <c r="L4538" s="66"/>
      <c r="M4538" s="79" t="str">
        <f>HYPERLINK("http://www.pristavka.com/catalog/Artplays/ARTM292/")</f>
        <v>http://www.pristavka.com/catalog/Artplays/ARTM292/</v>
      </c>
      <c r="N4538" s="71">
        <v>13199</v>
      </c>
      <c r="O4538" s="66" t="s">
        <v>27</v>
      </c>
      <c r="P4538" s="82" t="s">
        <v>16909</v>
      </c>
      <c r="Q4538" s="84"/>
      <c r="R4538" s="84"/>
      <c r="S4538" s="84">
        <v>0.7</v>
      </c>
      <c r="T4538" s="82" t="s">
        <v>16903</v>
      </c>
      <c r="U4538" s="84"/>
      <c r="V4538" s="54"/>
    </row>
    <row r="4539" spans="1:22" s="11" customFormat="1" ht="45" customHeight="1" x14ac:dyDescent="0.2">
      <c r="A4539" s="66" t="s">
        <v>16883</v>
      </c>
      <c r="B4539" s="66" t="s">
        <v>1155</v>
      </c>
      <c r="C4539" s="66" t="s">
        <v>1842</v>
      </c>
      <c r="D4539" s="66" t="s">
        <v>16910</v>
      </c>
      <c r="E4539" s="68" t="s">
        <v>16911</v>
      </c>
      <c r="F4539" s="66" t="s">
        <v>16910</v>
      </c>
      <c r="G4539" s="71">
        <v>6307</v>
      </c>
      <c r="H4539" s="73"/>
      <c r="I4539" s="75">
        <v>0.2</v>
      </c>
      <c r="J4539" s="77"/>
      <c r="K4539" s="66"/>
      <c r="L4539" s="66"/>
      <c r="M4539" s="79" t="str">
        <f>HYPERLINK("http://www.pristavka.com/catalog/Artplays/ARTM296/")</f>
        <v>http://www.pristavka.com/catalog/Artplays/ARTM296/</v>
      </c>
      <c r="N4539" s="71">
        <v>10599</v>
      </c>
      <c r="O4539" s="66" t="s">
        <v>27</v>
      </c>
      <c r="P4539" s="82" t="s">
        <v>16912</v>
      </c>
      <c r="Q4539" s="84"/>
      <c r="R4539" s="84"/>
      <c r="S4539" s="84">
        <v>0.28799999999999998</v>
      </c>
      <c r="T4539" s="82" t="s">
        <v>16913</v>
      </c>
      <c r="U4539" s="84"/>
      <c r="V4539" s="54"/>
    </row>
    <row r="4540" spans="1:22" s="45" customFormat="1" ht="45" customHeight="1" x14ac:dyDescent="0.2">
      <c r="A4540" s="67" t="s">
        <v>1155</v>
      </c>
      <c r="B4540" s="67" t="s">
        <v>26</v>
      </c>
      <c r="C4540" s="67" t="s">
        <v>26</v>
      </c>
      <c r="D4540" s="67" t="s">
        <v>26</v>
      </c>
      <c r="E4540" s="69" t="s">
        <v>16914</v>
      </c>
      <c r="F4540" s="67">
        <v>9785906097460</v>
      </c>
      <c r="G4540" s="72">
        <v>0</v>
      </c>
      <c r="H4540" s="74"/>
      <c r="I4540" s="67" t="s">
        <v>16915</v>
      </c>
      <c r="J4540" s="77"/>
      <c r="K4540" s="67" t="s">
        <v>61</v>
      </c>
      <c r="L4540" s="67"/>
      <c r="M4540" s="80"/>
      <c r="N4540" s="72"/>
      <c r="O4540" s="67" t="s">
        <v>28</v>
      </c>
      <c r="P4540" s="83" t="s">
        <v>16916</v>
      </c>
      <c r="Q4540" s="85"/>
      <c r="R4540" s="85"/>
      <c r="S4540" s="85">
        <v>0.63500000000000001</v>
      </c>
      <c r="T4540" s="83" t="s">
        <v>16917</v>
      </c>
      <c r="U4540" s="85"/>
      <c r="V4540" s="55"/>
    </row>
    <row r="4541" spans="1:22" s="45" customFormat="1" ht="45" customHeight="1" x14ac:dyDescent="0.2">
      <c r="A4541" s="67" t="s">
        <v>1155</v>
      </c>
      <c r="B4541" s="67" t="s">
        <v>26</v>
      </c>
      <c r="C4541" s="67" t="s">
        <v>26</v>
      </c>
      <c r="D4541" s="67" t="s">
        <v>26</v>
      </c>
      <c r="E4541" s="69" t="s">
        <v>16918</v>
      </c>
      <c r="F4541" s="67">
        <v>9785449108579</v>
      </c>
      <c r="G4541" s="72">
        <v>0</v>
      </c>
      <c r="H4541" s="74"/>
      <c r="I4541" s="67" t="s">
        <v>16915</v>
      </c>
      <c r="J4541" s="77"/>
      <c r="K4541" s="67" t="s">
        <v>61</v>
      </c>
      <c r="L4541" s="67"/>
      <c r="M4541" s="80"/>
      <c r="N4541" s="72"/>
      <c r="O4541" s="67" t="s">
        <v>27</v>
      </c>
      <c r="P4541" s="83" t="s">
        <v>16919</v>
      </c>
      <c r="Q4541" s="85"/>
      <c r="R4541" s="85"/>
      <c r="S4541" s="85">
        <v>0.8</v>
      </c>
      <c r="T4541" s="83" t="s">
        <v>16920</v>
      </c>
      <c r="U4541" s="85"/>
      <c r="V4541" s="55"/>
    </row>
    <row r="4542" spans="1:22" s="11" customFormat="1" ht="45" customHeight="1" x14ac:dyDescent="0.2">
      <c r="A4542" s="66" t="s">
        <v>16921</v>
      </c>
      <c r="B4542" s="66" t="s">
        <v>26</v>
      </c>
      <c r="C4542" s="66" t="s">
        <v>1842</v>
      </c>
      <c r="D4542" s="66">
        <v>2725</v>
      </c>
      <c r="E4542" s="68" t="s">
        <v>16922</v>
      </c>
      <c r="F4542" s="66">
        <v>2725</v>
      </c>
      <c r="G4542" s="71">
        <v>0</v>
      </c>
      <c r="H4542" s="73"/>
      <c r="I4542" s="75">
        <v>0.2</v>
      </c>
      <c r="J4542" s="77"/>
      <c r="K4542" s="66"/>
      <c r="L4542" s="66"/>
      <c r="M4542" s="79" t="str">
        <f>HYPERLINK("http://www.pristavka.com/catalog/Artplays/2725/")</f>
        <v>http://www.pristavka.com/catalog/Artplays/2725/</v>
      </c>
      <c r="N4542" s="71">
        <v>1399</v>
      </c>
      <c r="O4542" s="66" t="s">
        <v>27</v>
      </c>
      <c r="P4542" s="82" t="s">
        <v>16923</v>
      </c>
      <c r="Q4542" s="84"/>
      <c r="R4542" s="84"/>
      <c r="S4542" s="84">
        <v>0.26300000000000001</v>
      </c>
      <c r="T4542" s="82" t="s">
        <v>16924</v>
      </c>
      <c r="U4542" s="84" t="s">
        <v>177</v>
      </c>
      <c r="V4542" s="54"/>
    </row>
    <row r="4543" spans="1:22" s="11" customFormat="1" ht="45" customHeight="1" x14ac:dyDescent="0.2">
      <c r="A4543" s="66" t="s">
        <v>16921</v>
      </c>
      <c r="B4543" s="66" t="s">
        <v>26</v>
      </c>
      <c r="C4543" s="66" t="s">
        <v>1842</v>
      </c>
      <c r="D4543" s="66">
        <v>3217</v>
      </c>
      <c r="E4543" s="68" t="s">
        <v>16925</v>
      </c>
      <c r="F4543" s="66">
        <v>3217</v>
      </c>
      <c r="G4543" s="71">
        <v>0</v>
      </c>
      <c r="H4543" s="73"/>
      <c r="I4543" s="75">
        <v>0.2</v>
      </c>
      <c r="J4543" s="77"/>
      <c r="K4543" s="66"/>
      <c r="L4543" s="66"/>
      <c r="M4543" s="79" t="str">
        <f>HYPERLINK("http://www.pristavka.com/catalog/Artplays/3217/")</f>
        <v>http://www.pristavka.com/catalog/Artplays/3217/</v>
      </c>
      <c r="N4543" s="71">
        <v>499</v>
      </c>
      <c r="O4543" s="66" t="s">
        <v>28</v>
      </c>
      <c r="P4543" s="82" t="s">
        <v>16926</v>
      </c>
      <c r="Q4543" s="84"/>
      <c r="R4543" s="84"/>
      <c r="S4543" s="84">
        <v>0.111</v>
      </c>
      <c r="T4543" s="82" t="s">
        <v>2144</v>
      </c>
      <c r="U4543" s="84" t="s">
        <v>177</v>
      </c>
      <c r="V4543" s="54"/>
    </row>
    <row r="4544" spans="1:22" s="11" customFormat="1" ht="45" customHeight="1" x14ac:dyDescent="0.2">
      <c r="A4544" s="66" t="s">
        <v>16921</v>
      </c>
      <c r="B4544" s="66" t="s">
        <v>26</v>
      </c>
      <c r="C4544" s="66" t="s">
        <v>1842</v>
      </c>
      <c r="D4544" s="66" t="s">
        <v>16927</v>
      </c>
      <c r="E4544" s="68" t="s">
        <v>16928</v>
      </c>
      <c r="F4544" s="66" t="s">
        <v>16927</v>
      </c>
      <c r="G4544" s="71">
        <v>243</v>
      </c>
      <c r="H4544" s="73"/>
      <c r="I4544" s="75">
        <v>0.2</v>
      </c>
      <c r="J4544" s="77"/>
      <c r="K4544" s="66"/>
      <c r="L4544" s="66"/>
      <c r="M4544" s="79" t="str">
        <f>HYPERLINK("http://www.pristavka.com/catalog/Artplays/3101-48/")</f>
        <v>http://www.pristavka.com/catalog/Artplays/3101-48/</v>
      </c>
      <c r="N4544" s="71">
        <v>599</v>
      </c>
      <c r="O4544" s="66" t="s">
        <v>27</v>
      </c>
      <c r="P4544" s="82" t="s">
        <v>16929</v>
      </c>
      <c r="Q4544" s="84"/>
      <c r="R4544" s="84"/>
      <c r="S4544" s="84">
        <v>0.115</v>
      </c>
      <c r="T4544" s="82" t="s">
        <v>1986</v>
      </c>
      <c r="U4544" s="84" t="s">
        <v>177</v>
      </c>
      <c r="V4544" s="54"/>
    </row>
    <row r="4545" spans="1:22" s="45" customFormat="1" ht="45" customHeight="1" x14ac:dyDescent="0.2">
      <c r="A4545" s="67" t="s">
        <v>16921</v>
      </c>
      <c r="B4545" s="67" t="s">
        <v>26</v>
      </c>
      <c r="C4545" s="67" t="s">
        <v>1842</v>
      </c>
      <c r="D4545" s="67" t="s">
        <v>16930</v>
      </c>
      <c r="E4545" s="69" t="s">
        <v>16931</v>
      </c>
      <c r="F4545" s="67" t="s">
        <v>16930</v>
      </c>
      <c r="G4545" s="72">
        <v>0</v>
      </c>
      <c r="H4545" s="74"/>
      <c r="I4545" s="76">
        <v>0.2</v>
      </c>
      <c r="J4545" s="77"/>
      <c r="K4545" s="67" t="s">
        <v>61</v>
      </c>
      <c r="L4545" s="67"/>
      <c r="M4545" s="79" t="str">
        <f>HYPERLINK("http://www.pristavka.com/catalog/Artplays/3201-1/")</f>
        <v>http://www.pristavka.com/catalog/Artplays/3201-1/</v>
      </c>
      <c r="N4545" s="72"/>
      <c r="O4545" s="67" t="s">
        <v>27</v>
      </c>
      <c r="P4545" s="83" t="s">
        <v>16932</v>
      </c>
      <c r="Q4545" s="85"/>
      <c r="R4545" s="85"/>
      <c r="S4545" s="85">
        <v>0.44600000000000001</v>
      </c>
      <c r="T4545" s="83" t="s">
        <v>16933</v>
      </c>
      <c r="U4545" s="85" t="s">
        <v>177</v>
      </c>
      <c r="V4545" s="55"/>
    </row>
    <row r="4546" spans="1:22" s="45" customFormat="1" ht="45" customHeight="1" x14ac:dyDescent="0.2">
      <c r="A4546" s="67" t="s">
        <v>16921</v>
      </c>
      <c r="B4546" s="67" t="s">
        <v>26</v>
      </c>
      <c r="C4546" s="67" t="s">
        <v>1842</v>
      </c>
      <c r="D4546" s="67" t="s">
        <v>16934</v>
      </c>
      <c r="E4546" s="69" t="s">
        <v>16935</v>
      </c>
      <c r="F4546" s="67" t="s">
        <v>16934</v>
      </c>
      <c r="G4546" s="72">
        <v>0</v>
      </c>
      <c r="H4546" s="74"/>
      <c r="I4546" s="76">
        <v>0.2</v>
      </c>
      <c r="J4546" s="77"/>
      <c r="K4546" s="67" t="s">
        <v>61</v>
      </c>
      <c r="L4546" s="67"/>
      <c r="M4546" s="79" t="str">
        <f>HYPERLINK("http://www.pristavka.com/catalog/Artplays/3217-1/")</f>
        <v>http://www.pristavka.com/catalog/Artplays/3217-1/</v>
      </c>
      <c r="N4546" s="72"/>
      <c r="O4546" s="67" t="s">
        <v>27</v>
      </c>
      <c r="P4546" s="83" t="s">
        <v>16936</v>
      </c>
      <c r="Q4546" s="85"/>
      <c r="R4546" s="85"/>
      <c r="S4546" s="85">
        <v>0.442</v>
      </c>
      <c r="T4546" s="83" t="s">
        <v>16933</v>
      </c>
      <c r="U4546" s="85" t="s">
        <v>177</v>
      </c>
      <c r="V4546" s="55"/>
    </row>
    <row r="4547" spans="1:22" s="11" customFormat="1" ht="45" customHeight="1" x14ac:dyDescent="0.2">
      <c r="A4547" s="66" t="s">
        <v>16921</v>
      </c>
      <c r="B4547" s="66" t="s">
        <v>26</v>
      </c>
      <c r="C4547" s="66" t="s">
        <v>1842</v>
      </c>
      <c r="D4547" s="66">
        <v>3210</v>
      </c>
      <c r="E4547" s="68" t="s">
        <v>16937</v>
      </c>
      <c r="F4547" s="66">
        <v>3210</v>
      </c>
      <c r="G4547" s="71">
        <v>0</v>
      </c>
      <c r="H4547" s="73"/>
      <c r="I4547" s="75">
        <v>0.2</v>
      </c>
      <c r="J4547" s="77"/>
      <c r="K4547" s="66"/>
      <c r="L4547" s="66"/>
      <c r="M4547" s="79" t="str">
        <f>HYPERLINK("http://www.pristavka.com/catalog/Artplays/3210/")</f>
        <v>http://www.pristavka.com/catalog/Artplays/3210/</v>
      </c>
      <c r="N4547" s="71">
        <v>499</v>
      </c>
      <c r="O4547" s="66" t="s">
        <v>27</v>
      </c>
      <c r="P4547" s="82" t="s">
        <v>16938</v>
      </c>
      <c r="Q4547" s="84"/>
      <c r="R4547" s="84"/>
      <c r="S4547" s="84">
        <v>0.11</v>
      </c>
      <c r="T4547" s="82" t="s">
        <v>2144</v>
      </c>
      <c r="U4547" s="84" t="s">
        <v>177</v>
      </c>
      <c r="V4547" s="54"/>
    </row>
    <row r="4548" spans="1:22" s="11" customFormat="1" ht="45" customHeight="1" x14ac:dyDescent="0.2">
      <c r="A4548" s="66" t="s">
        <v>16921</v>
      </c>
      <c r="B4548" s="66" t="s">
        <v>26</v>
      </c>
      <c r="C4548" s="66" t="s">
        <v>1842</v>
      </c>
      <c r="D4548" s="66">
        <v>3201</v>
      </c>
      <c r="E4548" s="68" t="s">
        <v>16939</v>
      </c>
      <c r="F4548" s="66">
        <v>3201</v>
      </c>
      <c r="G4548" s="71">
        <v>0</v>
      </c>
      <c r="H4548" s="73"/>
      <c r="I4548" s="75">
        <v>0.2</v>
      </c>
      <c r="J4548" s="77"/>
      <c r="K4548" s="66"/>
      <c r="L4548" s="66"/>
      <c r="M4548" s="79" t="str">
        <f>HYPERLINK("http://www.pristavka.com/catalog/Artplays/3201/")</f>
        <v>http://www.pristavka.com/catalog/Artplays/3201/</v>
      </c>
      <c r="N4548" s="71">
        <v>499</v>
      </c>
      <c r="O4548" s="66" t="s">
        <v>27</v>
      </c>
      <c r="P4548" s="82" t="s">
        <v>16940</v>
      </c>
      <c r="Q4548" s="84"/>
      <c r="R4548" s="84"/>
      <c r="S4548" s="84">
        <v>0.112</v>
      </c>
      <c r="T4548" s="82" t="s">
        <v>2117</v>
      </c>
      <c r="U4548" s="84" t="s">
        <v>177</v>
      </c>
      <c r="V4548" s="54"/>
    </row>
    <row r="4550" spans="1:22" x14ac:dyDescent="0.2">
      <c r="A4550" s="2" t="s">
        <v>14</v>
      </c>
      <c r="B4550" s="2"/>
      <c r="C4550" s="2"/>
      <c r="D4550" s="2"/>
      <c r="E4550" s="2"/>
      <c r="F4550" s="2"/>
      <c r="G4550" s="2"/>
      <c r="H4550" s="2"/>
      <c r="I4550" s="47"/>
      <c r="J4550" s="47"/>
      <c r="K4550" s="47"/>
      <c r="L4550" s="47"/>
      <c r="M4550" s="47"/>
      <c r="N4550" s="47"/>
      <c r="O4550" s="47"/>
    </row>
    <row r="4551" spans="1:22" x14ac:dyDescent="0.2">
      <c r="A4551" s="2" t="s">
        <v>12</v>
      </c>
      <c r="B4551" s="2"/>
      <c r="C4551" s="2"/>
      <c r="D4551" s="2"/>
      <c r="E4551" s="2"/>
      <c r="F4551" s="2"/>
      <c r="G4551" s="2"/>
      <c r="H4551" s="2"/>
      <c r="I4551" s="47"/>
      <c r="J4551" s="47"/>
      <c r="K4551" s="47"/>
      <c r="L4551" s="47"/>
      <c r="M4551" s="47"/>
      <c r="N4551" s="47"/>
      <c r="O4551" s="47"/>
    </row>
    <row r="4552" spans="1:22" x14ac:dyDescent="0.2">
      <c r="A4552" s="2" t="s">
        <v>13</v>
      </c>
      <c r="B4552" s="2"/>
      <c r="C4552" s="2"/>
      <c r="D4552" s="2"/>
      <c r="E4552" s="2"/>
      <c r="F4552" s="2"/>
      <c r="G4552" s="2"/>
      <c r="H4552" s="2"/>
      <c r="I4552" s="47"/>
      <c r="J4552" s="47"/>
      <c r="K4552" s="47"/>
      <c r="L4552" s="47"/>
      <c r="M4552" s="47"/>
      <c r="N4552" s="47"/>
      <c r="O4552" s="47"/>
    </row>
    <row r="4553" spans="1:22" x14ac:dyDescent="0.2">
      <c r="A4553" s="2" t="s">
        <v>159</v>
      </c>
      <c r="B4553" s="2"/>
      <c r="C4553" s="2"/>
      <c r="D4553" s="2"/>
      <c r="E4553" s="2"/>
      <c r="F4553" s="2"/>
      <c r="G4553" s="2"/>
      <c r="H4553" s="2"/>
      <c r="I4553" s="47"/>
      <c r="J4553" s="47"/>
      <c r="K4553" s="47"/>
      <c r="L4553" s="47"/>
      <c r="M4553" s="47"/>
      <c r="N4553" s="47"/>
      <c r="O4553" s="47"/>
    </row>
    <row r="4554" spans="1:22" x14ac:dyDescent="0.2">
      <c r="A4554" s="2" t="s">
        <v>9</v>
      </c>
      <c r="B4554" s="2"/>
      <c r="C4554" s="2"/>
      <c r="D4554" s="2"/>
      <c r="E4554" s="2"/>
      <c r="F4554" s="2"/>
      <c r="G4554" s="2"/>
      <c r="H4554" s="2"/>
      <c r="I4554" s="47"/>
      <c r="J4554" s="47"/>
      <c r="K4554" s="47"/>
      <c r="L4554" s="47"/>
      <c r="M4554" s="47"/>
      <c r="N4554" s="47"/>
      <c r="O4554" s="47"/>
    </row>
    <row r="4555" spans="1:22" x14ac:dyDescent="0.2">
      <c r="A4555" s="2"/>
      <c r="B4555" s="2"/>
      <c r="C4555" s="2"/>
      <c r="D4555" s="2"/>
      <c r="E4555" s="2"/>
      <c r="F4555" s="2"/>
      <c r="G4555" s="2"/>
      <c r="H4555" s="2"/>
      <c r="I4555" s="47"/>
      <c r="J4555" s="47"/>
      <c r="K4555" s="47"/>
      <c r="L4555" s="47"/>
      <c r="M4555" s="47"/>
      <c r="N4555" s="47"/>
      <c r="O4555" s="47"/>
    </row>
    <row r="4556" spans="1:22" x14ac:dyDescent="0.2">
      <c r="A4556" s="2"/>
      <c r="B4556" s="2"/>
      <c r="C4556" s="2"/>
      <c r="D4556" s="2"/>
      <c r="E4556" s="2"/>
      <c r="F4556" s="2"/>
      <c r="G4556" s="2"/>
      <c r="H4556" s="2"/>
      <c r="I4556" s="47"/>
      <c r="J4556" s="47"/>
      <c r="K4556" s="47"/>
      <c r="L4556" s="47"/>
      <c r="M4556" s="47"/>
      <c r="N4556" s="47"/>
      <c r="O4556" s="47"/>
    </row>
    <row r="4557" spans="1:22" x14ac:dyDescent="0.2">
      <c r="A4557" s="2"/>
      <c r="B4557" s="2"/>
      <c r="C4557" s="2"/>
      <c r="D4557" s="2"/>
      <c r="E4557" s="2"/>
      <c r="F4557" s="2"/>
      <c r="G4557" s="2"/>
      <c r="H4557" s="2"/>
      <c r="I4557" s="47"/>
      <c r="J4557" s="47"/>
      <c r="K4557" s="47"/>
      <c r="L4557" s="47"/>
      <c r="M4557" s="47"/>
      <c r="N4557" s="47"/>
      <c r="O4557" s="47"/>
    </row>
  </sheetData>
  <autoFilter ref="A8:O4548" xr:uid="{00000000-0009-0000-0000-000003000000}"/>
  <pageMargins left="0.7" right="0.7" top="0.75" bottom="0.75" header="0.3" footer="0.3"/>
  <pageSetup paperSize="9" orientation="portrait" r:id="rId1"/>
  <drawing r:id="rId2"/>
  <legacyDrawing r:id="rId3"/>
  <mc:AlternateContent xmlns:mc="http://schemas.openxmlformats.org/markup-compatibility/2006">
    <mc:Choice Requires="x14">
      <controls>
        <mc:AlternateContent xmlns:mc="http://schemas.openxmlformats.org/markup-compatibility/2006">
          <mc:Choice Requires="x14">
            <control shapeId="8193" r:id="rId4" name="Button 1">
              <controlPr locked="0" defaultSize="0" autoFill="0" autoPict="0" macro="[0]!Clear">
                <anchor moveWithCells="1" sizeWithCells="1">
                  <from>
                    <xdr:col>6</xdr:col>
                    <xdr:colOff>30480</xdr:colOff>
                    <xdr:row>0</xdr:row>
                    <xdr:rowOff>99060</xdr:rowOff>
                  </from>
                  <to>
                    <xdr:col>7</xdr:col>
                    <xdr:colOff>502920</xdr:colOff>
                    <xdr:row>2</xdr:row>
                    <xdr:rowOff>99060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194" r:id="rId5" name="Button 2">
              <controlPr locked="0" defaultSize="0" autoFill="0" autoPict="0" macro="[0]!Clear">
                <anchor moveWithCells="1" sizeWithCells="1">
                  <from>
                    <xdr:col>6</xdr:col>
                    <xdr:colOff>30480</xdr:colOff>
                    <xdr:row>0</xdr:row>
                    <xdr:rowOff>99060</xdr:rowOff>
                  </from>
                  <to>
                    <xdr:col>7</xdr:col>
                    <xdr:colOff>502920</xdr:colOff>
                    <xdr:row>2</xdr:row>
                    <xdr:rowOff>99060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8195" r:id="rId6" name="Button 3">
              <controlPr locked="0" defaultSize="0" autoFill="0" autoPict="0" macro="[0]!Clear">
                <anchor moveWithCells="1" sizeWithCells="1">
                  <from>
                    <xdr:col>6</xdr:col>
                    <xdr:colOff>30480</xdr:colOff>
                    <xdr:row>0</xdr:row>
                    <xdr:rowOff>99060</xdr:rowOff>
                  </from>
                  <to>
                    <xdr:col>7</xdr:col>
                    <xdr:colOff>502920</xdr:colOff>
                    <xdr:row>2</xdr:row>
                    <xdr:rowOff>99060</xdr:rowOff>
                  </to>
                </anchor>
              </controlPr>
            </control>
          </mc:Choice>
        </mc:AlternateContent>
      </controls>
    </mc:Choice>
  </mc:AlternateContent>
</worksheet>
</file>

<file path=xl/worksheets/sheet4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sheetPr codeName="Лист5">
    <pageSetUpPr fitToPage="1"/>
  </sheetPr>
  <dimension ref="A1:V343"/>
  <sheetViews>
    <sheetView showGridLines="0" tabSelected="1" workbookViewId="0">
      <pane ySplit="8" topLeftCell="A9" activePane="bottomLeft" state="frozen"/>
      <selection pane="bottomLeft" activeCell="A5" sqref="A5"/>
    </sheetView>
  </sheetViews>
  <sheetFormatPr defaultColWidth="9.109375" defaultRowHeight="10.199999999999999" x14ac:dyDescent="0.2"/>
  <cols>
    <col min="1" max="1" width="12.33203125" style="12" customWidth="1"/>
    <col min="2" max="2" width="10" style="12" hidden="1" customWidth="1"/>
    <col min="3" max="4" width="15.44140625" style="12" hidden="1" customWidth="1"/>
    <col min="5" max="5" width="69.33203125" style="35" customWidth="1"/>
    <col min="6" max="6" width="9.109375" style="12" customWidth="1"/>
    <col min="7" max="7" width="9.109375" style="29" customWidth="1"/>
    <col min="8" max="8" width="7.6640625" style="32" customWidth="1"/>
    <col min="9" max="9" width="10" style="12" customWidth="1"/>
    <col min="10" max="10" width="12.6640625" style="43" customWidth="1"/>
    <col min="11" max="11" width="12.6640625" style="12" customWidth="1"/>
    <col min="12" max="12" width="31.44140625" style="12" hidden="1" customWidth="1"/>
    <col min="13" max="13" width="25.6640625" style="29" hidden="1" customWidth="1"/>
    <col min="14" max="14" width="12.6640625" style="12" customWidth="1"/>
    <col min="15" max="15" width="8.6640625" style="12" customWidth="1"/>
    <col min="16" max="16" width="12.6640625" style="47" customWidth="1"/>
    <col min="17" max="21" width="15.6640625" style="47" customWidth="1"/>
    <col min="22" max="22" width="9.109375" style="47"/>
    <col min="23" max="16384" width="9.109375" style="2"/>
  </cols>
  <sheetData>
    <row r="1" spans="1:22" ht="12.75" customHeight="1" x14ac:dyDescent="0.2"/>
    <row r="2" spans="1:22" s="1" customFormat="1" ht="12.75" customHeight="1" x14ac:dyDescent="0.25">
      <c r="A2" s="13"/>
      <c r="B2" s="13"/>
      <c r="C2" s="13"/>
      <c r="D2" s="13"/>
      <c r="E2" s="36"/>
      <c r="F2" s="17"/>
      <c r="G2" s="30"/>
      <c r="H2" s="33"/>
      <c r="I2" s="13"/>
      <c r="J2" s="43"/>
      <c r="K2" s="13"/>
      <c r="L2" s="12"/>
      <c r="M2" s="30"/>
      <c r="N2" s="13"/>
      <c r="O2" s="13"/>
      <c r="P2" s="51"/>
      <c r="Q2" s="51"/>
      <c r="R2" s="51"/>
      <c r="S2" s="51"/>
      <c r="T2" s="51"/>
      <c r="U2" s="51"/>
      <c r="V2" s="51"/>
    </row>
    <row r="3" spans="1:22" s="10" customFormat="1" ht="12.75" customHeight="1" x14ac:dyDescent="0.3">
      <c r="A3" s="12"/>
      <c r="B3" s="12"/>
      <c r="C3" s="12"/>
      <c r="D3" s="12"/>
      <c r="E3" s="35"/>
      <c r="F3" s="12"/>
      <c r="G3" s="29"/>
      <c r="H3" s="32"/>
      <c r="I3" s="12"/>
      <c r="J3" s="43"/>
      <c r="K3" s="12"/>
      <c r="L3" s="12"/>
      <c r="M3" s="29"/>
      <c r="N3" s="12"/>
      <c r="O3" s="12"/>
      <c r="P3" s="47"/>
      <c r="Q3" s="47"/>
      <c r="R3" s="47"/>
      <c r="S3" s="47"/>
      <c r="T3" s="47"/>
      <c r="U3" s="47"/>
      <c r="V3" s="47"/>
    </row>
    <row r="4" spans="1:22" s="10" customFormat="1" ht="12.75" customHeight="1" x14ac:dyDescent="0.3">
      <c r="A4" s="119" t="s">
        <v>8</v>
      </c>
      <c r="B4" s="120"/>
      <c r="C4" s="120"/>
      <c r="D4" s="120"/>
      <c r="E4" s="37"/>
      <c r="F4" s="19"/>
      <c r="G4" s="41"/>
      <c r="H4" s="7"/>
      <c r="I4" s="12"/>
      <c r="J4" s="43"/>
      <c r="K4" s="15"/>
      <c r="L4" s="12"/>
      <c r="M4" s="12"/>
      <c r="N4" s="12"/>
      <c r="O4" s="12"/>
      <c r="P4" s="47"/>
      <c r="Q4" s="47"/>
      <c r="R4" s="47"/>
      <c r="S4" s="47"/>
      <c r="T4" s="47"/>
      <c r="U4" s="47"/>
      <c r="V4" s="47"/>
    </row>
    <row r="5" spans="1:22" s="10" customFormat="1" ht="12.75" customHeight="1" x14ac:dyDescent="0.3">
      <c r="A5" s="12"/>
      <c r="B5" s="16"/>
      <c r="C5" s="12"/>
      <c r="D5" s="12"/>
      <c r="E5" s="37"/>
      <c r="F5" s="12"/>
      <c r="G5" s="42"/>
      <c r="H5" s="7"/>
      <c r="I5" s="12"/>
      <c r="J5" s="43"/>
      <c r="K5" s="15"/>
      <c r="L5" s="12"/>
      <c r="M5" s="12"/>
      <c r="N5" s="12"/>
      <c r="O5" s="12"/>
      <c r="P5" s="47"/>
      <c r="Q5" s="47"/>
      <c r="R5" s="47"/>
      <c r="S5" s="47"/>
      <c r="T5" s="47"/>
      <c r="U5" s="47"/>
      <c r="V5" s="47"/>
    </row>
    <row r="6" spans="1:22" s="10" customFormat="1" ht="12.75" customHeight="1" x14ac:dyDescent="0.3">
      <c r="A6" s="12"/>
      <c r="B6" s="12"/>
      <c r="C6" s="12"/>
      <c r="D6" s="12"/>
      <c r="E6" s="37"/>
      <c r="F6" s="20"/>
      <c r="G6" s="9"/>
      <c r="H6" s="8"/>
      <c r="I6" s="22"/>
      <c r="J6" s="44"/>
      <c r="K6" s="21"/>
      <c r="L6" s="12"/>
      <c r="M6" s="12"/>
      <c r="N6" s="12"/>
      <c r="O6" s="12"/>
      <c r="P6" s="47"/>
      <c r="Q6" s="47"/>
      <c r="R6" s="47"/>
      <c r="S6" s="47"/>
      <c r="T6" s="47"/>
      <c r="U6" s="47"/>
      <c r="V6" s="47"/>
    </row>
    <row r="7" spans="1:22" s="3" customFormat="1" ht="12.75" customHeight="1" x14ac:dyDescent="0.2">
      <c r="A7" s="14"/>
      <c r="B7" s="14"/>
      <c r="C7" s="14"/>
      <c r="D7" s="14"/>
      <c r="E7" s="38"/>
      <c r="F7" s="14"/>
      <c r="G7" s="31"/>
      <c r="H7" s="34"/>
      <c r="I7" s="14"/>
      <c r="J7" s="43"/>
      <c r="K7" s="14"/>
      <c r="L7" s="14"/>
      <c r="M7" s="31"/>
      <c r="N7" s="23"/>
      <c r="O7" s="14"/>
      <c r="P7" s="52"/>
      <c r="Q7" s="52"/>
      <c r="R7" s="52"/>
      <c r="S7" s="52"/>
      <c r="T7" s="52"/>
      <c r="U7" s="52"/>
      <c r="V7" s="52"/>
    </row>
    <row r="8" spans="1:22" s="4" customFormat="1" ht="24" customHeight="1" x14ac:dyDescent="0.2">
      <c r="A8" s="5" t="s">
        <v>3</v>
      </c>
      <c r="B8" s="5" t="s">
        <v>2</v>
      </c>
      <c r="C8" s="5" t="s">
        <v>11</v>
      </c>
      <c r="D8" s="5" t="s">
        <v>15</v>
      </c>
      <c r="E8" s="40" t="s">
        <v>10</v>
      </c>
      <c r="F8" s="5" t="s">
        <v>0</v>
      </c>
      <c r="G8" s="39" t="s">
        <v>19</v>
      </c>
      <c r="H8" s="6" t="s">
        <v>20</v>
      </c>
      <c r="I8" s="46" t="s">
        <v>18</v>
      </c>
      <c r="J8" s="48" t="s">
        <v>21</v>
      </c>
      <c r="K8" s="46" t="s">
        <v>1</v>
      </c>
      <c r="L8" s="46" t="s">
        <v>5</v>
      </c>
      <c r="M8" s="49" t="s">
        <v>7</v>
      </c>
      <c r="N8" s="46" t="s">
        <v>22</v>
      </c>
      <c r="O8" s="50" t="s">
        <v>6</v>
      </c>
      <c r="P8" s="50" t="s">
        <v>4</v>
      </c>
      <c r="Q8" s="53" t="s">
        <v>16</v>
      </c>
      <c r="R8" s="53" t="s">
        <v>17</v>
      </c>
      <c r="S8" s="53" t="s">
        <v>23</v>
      </c>
      <c r="T8" s="56" t="s">
        <v>24</v>
      </c>
      <c r="U8" s="56" t="s">
        <v>25</v>
      </c>
      <c r="V8" s="57"/>
    </row>
    <row r="9" spans="1:22" s="11" customFormat="1" ht="12" customHeight="1" x14ac:dyDescent="0.2">
      <c r="A9" s="66" t="s">
        <v>16941</v>
      </c>
      <c r="B9" s="66" t="s">
        <v>26</v>
      </c>
      <c r="C9" s="66" t="s">
        <v>16942</v>
      </c>
      <c r="D9" s="66" t="s">
        <v>26</v>
      </c>
      <c r="E9" s="109" t="s">
        <v>16943</v>
      </c>
      <c r="F9" s="66" t="s">
        <v>16944</v>
      </c>
      <c r="G9" s="70">
        <v>27361</v>
      </c>
      <c r="H9" s="73"/>
      <c r="I9" s="75">
        <v>0.2</v>
      </c>
      <c r="J9" s="77"/>
      <c r="K9" s="66"/>
      <c r="L9" s="66"/>
      <c r="M9" s="78" t="str">
        <f>HYPERLINK("http://www.pristavka.com/catalog/switch/NS381/")</f>
        <v>http://www.pristavka.com/catalog/switch/NS381/</v>
      </c>
      <c r="N9" s="71"/>
      <c r="O9" s="66" t="s">
        <v>28</v>
      </c>
      <c r="P9" s="81" t="s">
        <v>16945</v>
      </c>
      <c r="Q9" s="66"/>
      <c r="R9" s="66"/>
      <c r="S9" s="66">
        <v>0.06</v>
      </c>
      <c r="T9" s="82" t="s">
        <v>16946</v>
      </c>
      <c r="U9" s="84" t="s">
        <v>52</v>
      </c>
      <c r="V9" s="54"/>
    </row>
    <row r="10" spans="1:22" s="11" customFormat="1" ht="12" customHeight="1" x14ac:dyDescent="0.2">
      <c r="A10" s="66" t="s">
        <v>16941</v>
      </c>
      <c r="B10" s="66" t="s">
        <v>26</v>
      </c>
      <c r="C10" s="66" t="s">
        <v>16942</v>
      </c>
      <c r="D10" s="66" t="s">
        <v>26</v>
      </c>
      <c r="E10" s="109" t="s">
        <v>16947</v>
      </c>
      <c r="F10" s="66" t="s">
        <v>16948</v>
      </c>
      <c r="G10" s="71">
        <v>15024</v>
      </c>
      <c r="H10" s="73"/>
      <c r="I10" s="75">
        <v>0.2</v>
      </c>
      <c r="J10" s="77"/>
      <c r="K10" s="66"/>
      <c r="L10" s="66"/>
      <c r="M10" s="79" t="str">
        <f>HYPERLINK("http://www.pristavka.com/catalog/switch/NS373/")</f>
        <v>http://www.pristavka.com/catalog/switch/NS373/</v>
      </c>
      <c r="N10" s="71"/>
      <c r="O10" s="66" t="s">
        <v>27</v>
      </c>
      <c r="P10" s="82" t="s">
        <v>16949</v>
      </c>
      <c r="Q10" s="84"/>
      <c r="R10" s="84"/>
      <c r="S10" s="84">
        <v>5.1999999999999998E-2</v>
      </c>
      <c r="T10" s="82" t="s">
        <v>16950</v>
      </c>
      <c r="U10" s="84" t="s">
        <v>52</v>
      </c>
      <c r="V10" s="54"/>
    </row>
    <row r="11" spans="1:22" s="11" customFormat="1" ht="12" customHeight="1" x14ac:dyDescent="0.2">
      <c r="A11" s="66" t="s">
        <v>16941</v>
      </c>
      <c r="B11" s="66" t="s">
        <v>26</v>
      </c>
      <c r="C11" s="66" t="s">
        <v>16942</v>
      </c>
      <c r="D11" s="66" t="s">
        <v>26</v>
      </c>
      <c r="E11" s="109" t="s">
        <v>16951</v>
      </c>
      <c r="F11" s="66" t="s">
        <v>16952</v>
      </c>
      <c r="G11" s="71">
        <v>0</v>
      </c>
      <c r="H11" s="73"/>
      <c r="I11" s="75">
        <v>0.2</v>
      </c>
      <c r="J11" s="77"/>
      <c r="K11" s="66"/>
      <c r="L11" s="66"/>
      <c r="M11" s="79" t="str">
        <f>HYPERLINK("http://www.pristavka.com/catalog/switch/NS281/")</f>
        <v>http://www.pristavka.com/catalog/switch/NS281/</v>
      </c>
      <c r="N11" s="71"/>
      <c r="O11" s="66" t="s">
        <v>27</v>
      </c>
      <c r="P11" s="82" t="s">
        <v>16953</v>
      </c>
      <c r="Q11" s="84"/>
      <c r="R11" s="84"/>
      <c r="S11" s="84">
        <v>4.8000000000000001E-2</v>
      </c>
      <c r="T11" s="82" t="s">
        <v>16946</v>
      </c>
      <c r="U11" s="84" t="s">
        <v>177</v>
      </c>
      <c r="V11" s="54"/>
    </row>
    <row r="12" spans="1:22" s="11" customFormat="1" ht="12" customHeight="1" x14ac:dyDescent="0.2">
      <c r="A12" s="66" t="s">
        <v>16941</v>
      </c>
      <c r="B12" s="66" t="s">
        <v>26</v>
      </c>
      <c r="C12" s="66" t="s">
        <v>16942</v>
      </c>
      <c r="D12" s="66" t="s">
        <v>26</v>
      </c>
      <c r="E12" s="109" t="s">
        <v>16954</v>
      </c>
      <c r="F12" s="66" t="s">
        <v>16955</v>
      </c>
      <c r="G12" s="71">
        <v>0</v>
      </c>
      <c r="H12" s="73"/>
      <c r="I12" s="75">
        <v>0.2</v>
      </c>
      <c r="J12" s="77"/>
      <c r="K12" s="66"/>
      <c r="L12" s="66"/>
      <c r="M12" s="79" t="str">
        <f>HYPERLINK("http://www.pristavka.com/catalog/switch/NS395/")</f>
        <v>http://www.pristavka.com/catalog/switch/NS395/</v>
      </c>
      <c r="N12" s="71"/>
      <c r="O12" s="66" t="s">
        <v>27</v>
      </c>
      <c r="P12" s="82" t="s">
        <v>16956</v>
      </c>
      <c r="Q12" s="84"/>
      <c r="R12" s="84"/>
      <c r="S12" s="84">
        <v>0.05</v>
      </c>
      <c r="T12" s="82" t="s">
        <v>16950</v>
      </c>
      <c r="U12" s="84" t="s">
        <v>177</v>
      </c>
      <c r="V12" s="54"/>
    </row>
    <row r="13" spans="1:22" s="11" customFormat="1" ht="12" customHeight="1" x14ac:dyDescent="0.2">
      <c r="A13" s="66" t="s">
        <v>16941</v>
      </c>
      <c r="B13" s="66" t="s">
        <v>26</v>
      </c>
      <c r="C13" s="66" t="s">
        <v>16942</v>
      </c>
      <c r="D13" s="66" t="s">
        <v>26</v>
      </c>
      <c r="E13" s="109" t="s">
        <v>16957</v>
      </c>
      <c r="F13" s="66" t="s">
        <v>16958</v>
      </c>
      <c r="G13" s="71">
        <v>0</v>
      </c>
      <c r="H13" s="73"/>
      <c r="I13" s="75">
        <v>0.2</v>
      </c>
      <c r="J13" s="77"/>
      <c r="K13" s="66"/>
      <c r="L13" s="66"/>
      <c r="M13" s="79" t="str">
        <f>HYPERLINK("http://www.pristavka.com/catalog/switch/NS55/")</f>
        <v>http://www.pristavka.com/catalog/switch/NS55/</v>
      </c>
      <c r="N13" s="71"/>
      <c r="O13" s="66" t="s">
        <v>27</v>
      </c>
      <c r="P13" s="82" t="s">
        <v>16959</v>
      </c>
      <c r="Q13" s="84"/>
      <c r="R13" s="84"/>
      <c r="S13" s="84">
        <v>0.05</v>
      </c>
      <c r="T13" s="82" t="s">
        <v>16960</v>
      </c>
      <c r="U13" s="84" t="s">
        <v>177</v>
      </c>
      <c r="V13" s="54"/>
    </row>
    <row r="14" spans="1:22" s="11" customFormat="1" ht="12" customHeight="1" x14ac:dyDescent="0.2">
      <c r="A14" s="66" t="s">
        <v>16941</v>
      </c>
      <c r="B14" s="66" t="s">
        <v>26</v>
      </c>
      <c r="C14" s="66" t="s">
        <v>16942</v>
      </c>
      <c r="D14" s="66" t="s">
        <v>26</v>
      </c>
      <c r="E14" s="109" t="s">
        <v>16961</v>
      </c>
      <c r="F14" s="66" t="s">
        <v>16962</v>
      </c>
      <c r="G14" s="71">
        <v>0</v>
      </c>
      <c r="H14" s="73"/>
      <c r="I14" s="75">
        <v>0.2</v>
      </c>
      <c r="J14" s="77"/>
      <c r="K14" s="66"/>
      <c r="L14" s="66"/>
      <c r="M14" s="79" t="str">
        <f>HYPERLINK("http://www.pristavka.com/catalog/switch/NS349/")</f>
        <v>http://www.pristavka.com/catalog/switch/NS349/</v>
      </c>
      <c r="N14" s="71"/>
      <c r="O14" s="66" t="s">
        <v>27</v>
      </c>
      <c r="P14" s="82" t="s">
        <v>16963</v>
      </c>
      <c r="Q14" s="84"/>
      <c r="R14" s="84"/>
      <c r="S14" s="84">
        <v>5.1999999999999998E-2</v>
      </c>
      <c r="T14" s="82" t="s">
        <v>16964</v>
      </c>
      <c r="U14" s="84" t="s">
        <v>177</v>
      </c>
      <c r="V14" s="54"/>
    </row>
    <row r="15" spans="1:22" s="45" customFormat="1" ht="12" customHeight="1" x14ac:dyDescent="0.2">
      <c r="A15" s="67" t="s">
        <v>16941</v>
      </c>
      <c r="B15" s="67" t="s">
        <v>26</v>
      </c>
      <c r="C15" s="67" t="s">
        <v>16942</v>
      </c>
      <c r="D15" s="67" t="s">
        <v>26</v>
      </c>
      <c r="E15" s="110" t="s">
        <v>16965</v>
      </c>
      <c r="F15" s="67" t="s">
        <v>16966</v>
      </c>
      <c r="G15" s="72">
        <v>0</v>
      </c>
      <c r="H15" s="74"/>
      <c r="I15" s="76">
        <v>0.2</v>
      </c>
      <c r="J15" s="77"/>
      <c r="K15" s="67" t="s">
        <v>129</v>
      </c>
      <c r="L15" s="67"/>
      <c r="M15" s="79" t="str">
        <f>HYPERLINK("http://www.pristavka.com/catalog/switch/NS407/")</f>
        <v>http://www.pristavka.com/catalog/switch/NS407/</v>
      </c>
      <c r="N15" s="72"/>
      <c r="O15" s="67" t="s">
        <v>27</v>
      </c>
      <c r="P15" s="83" t="s">
        <v>16967</v>
      </c>
      <c r="Q15" s="85"/>
      <c r="R15" s="85"/>
      <c r="S15" s="85">
        <v>6.3E-2</v>
      </c>
      <c r="T15" s="83" t="s">
        <v>16950</v>
      </c>
      <c r="U15" s="85" t="s">
        <v>177</v>
      </c>
      <c r="V15" s="55"/>
    </row>
    <row r="16" spans="1:22" s="11" customFormat="1" ht="12" customHeight="1" x14ac:dyDescent="0.2">
      <c r="A16" s="66" t="s">
        <v>16941</v>
      </c>
      <c r="B16" s="66" t="s">
        <v>26</v>
      </c>
      <c r="C16" s="66" t="s">
        <v>16942</v>
      </c>
      <c r="D16" s="66" t="s">
        <v>26</v>
      </c>
      <c r="E16" s="109" t="s">
        <v>16968</v>
      </c>
      <c r="F16" s="66" t="s">
        <v>16969</v>
      </c>
      <c r="G16" s="71">
        <v>17085</v>
      </c>
      <c r="H16" s="73"/>
      <c r="I16" s="75">
        <v>0.2</v>
      </c>
      <c r="J16" s="77"/>
      <c r="K16" s="66"/>
      <c r="L16" s="66"/>
      <c r="M16" s="79" t="str">
        <f>HYPERLINK("http://www.pristavka.com/catalog/switch/NS354/")</f>
        <v>http://www.pristavka.com/catalog/switch/NS354/</v>
      </c>
      <c r="N16" s="71"/>
      <c r="O16" s="66" t="s">
        <v>27</v>
      </c>
      <c r="P16" s="82" t="s">
        <v>16970</v>
      </c>
      <c r="Q16" s="84"/>
      <c r="R16" s="84"/>
      <c r="S16" s="84">
        <v>5.1999999999999998E-2</v>
      </c>
      <c r="T16" s="82" t="s">
        <v>16950</v>
      </c>
      <c r="U16" s="84" t="s">
        <v>52</v>
      </c>
      <c r="V16" s="54"/>
    </row>
    <row r="17" spans="1:22" s="11" customFormat="1" ht="12" customHeight="1" x14ac:dyDescent="0.2">
      <c r="A17" s="66" t="s">
        <v>16941</v>
      </c>
      <c r="B17" s="66" t="s">
        <v>26</v>
      </c>
      <c r="C17" s="66" t="s">
        <v>16942</v>
      </c>
      <c r="D17" s="66" t="s">
        <v>26</v>
      </c>
      <c r="E17" s="109" t="s">
        <v>16971</v>
      </c>
      <c r="F17" s="66" t="s">
        <v>16972</v>
      </c>
      <c r="G17" s="71">
        <v>0</v>
      </c>
      <c r="H17" s="73"/>
      <c r="I17" s="75">
        <v>0.2</v>
      </c>
      <c r="J17" s="77"/>
      <c r="K17" s="66"/>
      <c r="L17" s="66"/>
      <c r="M17" s="79" t="str">
        <f>HYPERLINK("http://www.pristavka.com/catalog/switch/NS289/")</f>
        <v>http://www.pristavka.com/catalog/switch/NS289/</v>
      </c>
      <c r="N17" s="71"/>
      <c r="O17" s="66" t="s">
        <v>27</v>
      </c>
      <c r="P17" s="82" t="s">
        <v>16973</v>
      </c>
      <c r="Q17" s="84"/>
      <c r="R17" s="84"/>
      <c r="S17" s="84">
        <v>0.05</v>
      </c>
      <c r="T17" s="82" t="s">
        <v>16974</v>
      </c>
      <c r="U17" s="84" t="s">
        <v>52</v>
      </c>
      <c r="V17" s="54"/>
    </row>
    <row r="18" spans="1:22" s="11" customFormat="1" ht="12" customHeight="1" x14ac:dyDescent="0.2">
      <c r="A18" s="66" t="s">
        <v>16941</v>
      </c>
      <c r="B18" s="66" t="s">
        <v>26</v>
      </c>
      <c r="C18" s="66" t="s">
        <v>16942</v>
      </c>
      <c r="D18" s="66" t="s">
        <v>26</v>
      </c>
      <c r="E18" s="109" t="s">
        <v>16975</v>
      </c>
      <c r="F18" s="66" t="s">
        <v>16976</v>
      </c>
      <c r="G18" s="71">
        <v>0</v>
      </c>
      <c r="H18" s="73"/>
      <c r="I18" s="75">
        <v>0.2</v>
      </c>
      <c r="J18" s="77"/>
      <c r="K18" s="66"/>
      <c r="L18" s="66"/>
      <c r="M18" s="79" t="str">
        <f>HYPERLINK("http://www.pristavka.com/catalog/switch/NS350/")</f>
        <v>http://www.pristavka.com/catalog/switch/NS350/</v>
      </c>
      <c r="N18" s="71"/>
      <c r="O18" s="66" t="s">
        <v>28</v>
      </c>
      <c r="P18" s="82" t="s">
        <v>16977</v>
      </c>
      <c r="Q18" s="84"/>
      <c r="R18" s="84"/>
      <c r="S18" s="84">
        <v>5.1999999999999998E-2</v>
      </c>
      <c r="T18" s="82" t="s">
        <v>16946</v>
      </c>
      <c r="U18" s="84" t="s">
        <v>7499</v>
      </c>
      <c r="V18" s="54"/>
    </row>
    <row r="19" spans="1:22" s="11" customFormat="1" ht="12" customHeight="1" x14ac:dyDescent="0.2">
      <c r="A19" s="66" t="s">
        <v>16941</v>
      </c>
      <c r="B19" s="66" t="s">
        <v>26</v>
      </c>
      <c r="C19" s="66" t="s">
        <v>16942</v>
      </c>
      <c r="D19" s="66" t="s">
        <v>26</v>
      </c>
      <c r="E19" s="109" t="s">
        <v>16978</v>
      </c>
      <c r="F19" s="66" t="s">
        <v>16979</v>
      </c>
      <c r="G19" s="71">
        <v>0</v>
      </c>
      <c r="H19" s="73"/>
      <c r="I19" s="75">
        <v>0.2</v>
      </c>
      <c r="J19" s="77"/>
      <c r="K19" s="66"/>
      <c r="L19" s="66"/>
      <c r="M19" s="79" t="str">
        <f>HYPERLINK("http://www.pristavka.com/catalog/switch/NS339/")</f>
        <v>http://www.pristavka.com/catalog/switch/NS339/</v>
      </c>
      <c r="N19" s="71"/>
      <c r="O19" s="66" t="s">
        <v>27</v>
      </c>
      <c r="P19" s="82" t="s">
        <v>16980</v>
      </c>
      <c r="Q19" s="84"/>
      <c r="R19" s="84"/>
      <c r="S19" s="84">
        <v>7.4999999999999997E-2</v>
      </c>
      <c r="T19" s="82" t="s">
        <v>16946</v>
      </c>
      <c r="U19" s="84" t="s">
        <v>52</v>
      </c>
      <c r="V19" s="54"/>
    </row>
    <row r="20" spans="1:22" s="11" customFormat="1" ht="12" customHeight="1" x14ac:dyDescent="0.2">
      <c r="A20" s="66" t="s">
        <v>16941</v>
      </c>
      <c r="B20" s="66" t="s">
        <v>26</v>
      </c>
      <c r="C20" s="66" t="s">
        <v>16942</v>
      </c>
      <c r="D20" s="66" t="s">
        <v>26</v>
      </c>
      <c r="E20" s="109" t="s">
        <v>16981</v>
      </c>
      <c r="F20" s="66" t="s">
        <v>16982</v>
      </c>
      <c r="G20" s="71">
        <v>0</v>
      </c>
      <c r="H20" s="73"/>
      <c r="I20" s="75">
        <v>0.2</v>
      </c>
      <c r="J20" s="77"/>
      <c r="K20" s="66"/>
      <c r="L20" s="66"/>
      <c r="M20" s="79" t="str">
        <f>HYPERLINK("http://www.pristavka.com/catalog/switch/NS417/")</f>
        <v>http://www.pristavka.com/catalog/switch/NS417/</v>
      </c>
      <c r="N20" s="71"/>
      <c r="O20" s="66" t="s">
        <v>27</v>
      </c>
      <c r="P20" s="82" t="s">
        <v>16983</v>
      </c>
      <c r="Q20" s="84"/>
      <c r="R20" s="84"/>
      <c r="S20" s="84">
        <v>5.1999999999999998E-2</v>
      </c>
      <c r="T20" s="82" t="s">
        <v>16950</v>
      </c>
      <c r="U20" s="84" t="s">
        <v>177</v>
      </c>
      <c r="V20" s="54"/>
    </row>
    <row r="21" spans="1:22" s="11" customFormat="1" ht="12" customHeight="1" x14ac:dyDescent="0.2">
      <c r="A21" s="66" t="s">
        <v>16941</v>
      </c>
      <c r="B21" s="66" t="s">
        <v>26</v>
      </c>
      <c r="C21" s="66" t="s">
        <v>16942</v>
      </c>
      <c r="D21" s="66" t="s">
        <v>26</v>
      </c>
      <c r="E21" s="109" t="s">
        <v>16984</v>
      </c>
      <c r="F21" s="66" t="s">
        <v>16985</v>
      </c>
      <c r="G21" s="71">
        <v>0</v>
      </c>
      <c r="H21" s="73"/>
      <c r="I21" s="75">
        <v>0.2</v>
      </c>
      <c r="J21" s="77"/>
      <c r="K21" s="66"/>
      <c r="L21" s="66"/>
      <c r="M21" s="79" t="str">
        <f>HYPERLINK("http://www.pristavka.com/catalog/switch/NS405/")</f>
        <v>http://www.pristavka.com/catalog/switch/NS405/</v>
      </c>
      <c r="N21" s="71"/>
      <c r="O21" s="66" t="s">
        <v>27</v>
      </c>
      <c r="P21" s="82" t="s">
        <v>16986</v>
      </c>
      <c r="Q21" s="84"/>
      <c r="R21" s="84"/>
      <c r="S21" s="84">
        <v>7.2999999999999995E-2</v>
      </c>
      <c r="T21" s="82" t="s">
        <v>16950</v>
      </c>
      <c r="U21" s="84" t="s">
        <v>177</v>
      </c>
      <c r="V21" s="54"/>
    </row>
    <row r="22" spans="1:22" s="11" customFormat="1" ht="12" customHeight="1" x14ac:dyDescent="0.2">
      <c r="A22" s="66" t="s">
        <v>16941</v>
      </c>
      <c r="B22" s="66" t="s">
        <v>26</v>
      </c>
      <c r="C22" s="66" t="s">
        <v>16942</v>
      </c>
      <c r="D22" s="66" t="s">
        <v>26</v>
      </c>
      <c r="E22" s="109" t="s">
        <v>16987</v>
      </c>
      <c r="F22" s="66" t="s">
        <v>16988</v>
      </c>
      <c r="G22" s="71">
        <v>0</v>
      </c>
      <c r="H22" s="73"/>
      <c r="I22" s="75">
        <v>0.2</v>
      </c>
      <c r="J22" s="77"/>
      <c r="K22" s="66"/>
      <c r="L22" s="66"/>
      <c r="M22" s="79" t="str">
        <f>HYPERLINK("http://www.pristavka.com/catalog/switch/NS431/")</f>
        <v>http://www.pristavka.com/catalog/switch/NS431/</v>
      </c>
      <c r="N22" s="71"/>
      <c r="O22" s="66" t="s">
        <v>27</v>
      </c>
      <c r="P22" s="82" t="s">
        <v>16989</v>
      </c>
      <c r="Q22" s="84"/>
      <c r="R22" s="84"/>
      <c r="S22" s="84">
        <v>7.0000000000000007E-2</v>
      </c>
      <c r="T22" s="82" t="s">
        <v>16950</v>
      </c>
      <c r="U22" s="84" t="s">
        <v>52</v>
      </c>
      <c r="V22" s="54"/>
    </row>
    <row r="23" spans="1:22" s="11" customFormat="1" ht="12" customHeight="1" x14ac:dyDescent="0.2">
      <c r="A23" s="66" t="s">
        <v>16941</v>
      </c>
      <c r="B23" s="66" t="s">
        <v>26</v>
      </c>
      <c r="C23" s="66" t="s">
        <v>16942</v>
      </c>
      <c r="D23" s="66" t="s">
        <v>26</v>
      </c>
      <c r="E23" s="109" t="s">
        <v>16990</v>
      </c>
      <c r="F23" s="66" t="s">
        <v>16991</v>
      </c>
      <c r="G23" s="71">
        <v>0</v>
      </c>
      <c r="H23" s="73"/>
      <c r="I23" s="75">
        <v>0.2</v>
      </c>
      <c r="J23" s="77"/>
      <c r="K23" s="66"/>
      <c r="L23" s="66"/>
      <c r="M23" s="79" t="str">
        <f>HYPERLINK("http://www.pristavka.com/catalog/switch/NS430/")</f>
        <v>http://www.pristavka.com/catalog/switch/NS430/</v>
      </c>
      <c r="N23" s="71"/>
      <c r="O23" s="66" t="s">
        <v>27</v>
      </c>
      <c r="P23" s="82" t="s">
        <v>16992</v>
      </c>
      <c r="Q23" s="84"/>
      <c r="R23" s="84"/>
      <c r="S23" s="84">
        <v>5.8000000000000003E-2</v>
      </c>
      <c r="T23" s="82" t="s">
        <v>16946</v>
      </c>
      <c r="U23" s="84" t="s">
        <v>52</v>
      </c>
      <c r="V23" s="54"/>
    </row>
    <row r="24" spans="1:22" s="11" customFormat="1" ht="12" customHeight="1" x14ac:dyDescent="0.2">
      <c r="A24" s="66" t="s">
        <v>16941</v>
      </c>
      <c r="B24" s="66" t="s">
        <v>26</v>
      </c>
      <c r="C24" s="66" t="s">
        <v>16942</v>
      </c>
      <c r="D24" s="66" t="s">
        <v>26</v>
      </c>
      <c r="E24" s="109" t="s">
        <v>16993</v>
      </c>
      <c r="F24" s="66" t="s">
        <v>16994</v>
      </c>
      <c r="G24" s="71">
        <v>21930</v>
      </c>
      <c r="H24" s="73"/>
      <c r="I24" s="75">
        <v>0.2</v>
      </c>
      <c r="J24" s="77"/>
      <c r="K24" s="66"/>
      <c r="L24" s="66"/>
      <c r="M24" s="79" t="str">
        <f>HYPERLINK("http://www.pristavka.com/catalog/switch/NS380/")</f>
        <v>http://www.pristavka.com/catalog/switch/NS380/</v>
      </c>
      <c r="N24" s="71"/>
      <c r="O24" s="66" t="s">
        <v>28</v>
      </c>
      <c r="P24" s="82" t="s">
        <v>16995</v>
      </c>
      <c r="Q24" s="84"/>
      <c r="R24" s="84"/>
      <c r="S24" s="84">
        <v>5.1999999999999998E-2</v>
      </c>
      <c r="T24" s="82" t="s">
        <v>16950</v>
      </c>
      <c r="U24" s="84" t="s">
        <v>177</v>
      </c>
      <c r="V24" s="54"/>
    </row>
    <row r="25" spans="1:22" s="11" customFormat="1" ht="12" customHeight="1" x14ac:dyDescent="0.2">
      <c r="A25" s="66" t="s">
        <v>16941</v>
      </c>
      <c r="B25" s="66" t="s">
        <v>26</v>
      </c>
      <c r="C25" s="66" t="s">
        <v>16942</v>
      </c>
      <c r="D25" s="66" t="s">
        <v>26</v>
      </c>
      <c r="E25" s="109" t="s">
        <v>16996</v>
      </c>
      <c r="F25" s="66" t="s">
        <v>16997</v>
      </c>
      <c r="G25" s="71">
        <v>0</v>
      </c>
      <c r="H25" s="73"/>
      <c r="I25" s="75">
        <v>0.2</v>
      </c>
      <c r="J25" s="77"/>
      <c r="K25" s="66"/>
      <c r="L25" s="66"/>
      <c r="M25" s="79" t="str">
        <f>HYPERLINK("http://www.pristavka.com/catalog/switch/NS275/")</f>
        <v>http://www.pristavka.com/catalog/switch/NS275/</v>
      </c>
      <c r="N25" s="71"/>
      <c r="O25" s="66" t="s">
        <v>27</v>
      </c>
      <c r="P25" s="82" t="s">
        <v>16998</v>
      </c>
      <c r="Q25" s="84"/>
      <c r="R25" s="84"/>
      <c r="S25" s="84">
        <v>5.5E-2</v>
      </c>
      <c r="T25" s="82" t="s">
        <v>16950</v>
      </c>
      <c r="U25" s="84" t="s">
        <v>52</v>
      </c>
      <c r="V25" s="54"/>
    </row>
    <row r="26" spans="1:22" s="11" customFormat="1" ht="12" customHeight="1" x14ac:dyDescent="0.2">
      <c r="A26" s="66" t="s">
        <v>16941</v>
      </c>
      <c r="B26" s="66" t="s">
        <v>26</v>
      </c>
      <c r="C26" s="66" t="s">
        <v>16942</v>
      </c>
      <c r="D26" s="66" t="s">
        <v>26</v>
      </c>
      <c r="E26" s="109" t="s">
        <v>16999</v>
      </c>
      <c r="F26" s="66" t="s">
        <v>17000</v>
      </c>
      <c r="G26" s="71">
        <v>20920</v>
      </c>
      <c r="H26" s="73"/>
      <c r="I26" s="75">
        <v>0.2</v>
      </c>
      <c r="J26" s="77"/>
      <c r="K26" s="66"/>
      <c r="L26" s="66"/>
      <c r="M26" s="79" t="str">
        <f>HYPERLINK("http://www.pristavka.com/catalog/switch/NS227/")</f>
        <v>http://www.pristavka.com/catalog/switch/NS227/</v>
      </c>
      <c r="N26" s="71"/>
      <c r="O26" s="66" t="s">
        <v>27</v>
      </c>
      <c r="P26" s="82" t="s">
        <v>17001</v>
      </c>
      <c r="Q26" s="84"/>
      <c r="R26" s="84"/>
      <c r="S26" s="84">
        <v>5.1999999999999998E-2</v>
      </c>
      <c r="T26" s="82" t="s">
        <v>16950</v>
      </c>
      <c r="U26" s="84" t="s">
        <v>52</v>
      </c>
      <c r="V26" s="54"/>
    </row>
    <row r="27" spans="1:22" s="11" customFormat="1" ht="12" customHeight="1" x14ac:dyDescent="0.2">
      <c r="A27" s="66" t="s">
        <v>16941</v>
      </c>
      <c r="B27" s="66" t="s">
        <v>26</v>
      </c>
      <c r="C27" s="66" t="s">
        <v>16942</v>
      </c>
      <c r="D27" s="66" t="s">
        <v>26</v>
      </c>
      <c r="E27" s="109" t="s">
        <v>17002</v>
      </c>
      <c r="F27" s="66" t="s">
        <v>17003</v>
      </c>
      <c r="G27" s="71">
        <v>0</v>
      </c>
      <c r="H27" s="73"/>
      <c r="I27" s="75">
        <v>0.2</v>
      </c>
      <c r="J27" s="77"/>
      <c r="K27" s="66"/>
      <c r="L27" s="66"/>
      <c r="M27" s="79" t="str">
        <f>HYPERLINK("http://www.pristavka.com/catalog/switch/NS419/")</f>
        <v>http://www.pristavka.com/catalog/switch/NS419/</v>
      </c>
      <c r="N27" s="71"/>
      <c r="O27" s="66" t="s">
        <v>27</v>
      </c>
      <c r="P27" s="82" t="s">
        <v>17004</v>
      </c>
      <c r="Q27" s="84"/>
      <c r="R27" s="84"/>
      <c r="S27" s="84">
        <v>5.2999999999999999E-2</v>
      </c>
      <c r="T27" s="82" t="s">
        <v>16950</v>
      </c>
      <c r="U27" s="84" t="s">
        <v>177</v>
      </c>
      <c r="V27" s="54"/>
    </row>
    <row r="28" spans="1:22" s="11" customFormat="1" ht="12" customHeight="1" x14ac:dyDescent="0.2">
      <c r="A28" s="66" t="s">
        <v>16941</v>
      </c>
      <c r="B28" s="66" t="s">
        <v>26</v>
      </c>
      <c r="C28" s="66" t="s">
        <v>16942</v>
      </c>
      <c r="D28" s="66" t="s">
        <v>26</v>
      </c>
      <c r="E28" s="109" t="s">
        <v>17005</v>
      </c>
      <c r="F28" s="66" t="s">
        <v>17006</v>
      </c>
      <c r="G28" s="71">
        <v>0</v>
      </c>
      <c r="H28" s="73"/>
      <c r="I28" s="75">
        <v>0.2</v>
      </c>
      <c r="J28" s="77"/>
      <c r="K28" s="66"/>
      <c r="L28" s="66"/>
      <c r="M28" s="79" t="str">
        <f>HYPERLINK("http://www.pristavka.com/catalog/switch/NS345/")</f>
        <v>http://www.pristavka.com/catalog/switch/NS345/</v>
      </c>
      <c r="N28" s="71"/>
      <c r="O28" s="66" t="s">
        <v>27</v>
      </c>
      <c r="P28" s="82" t="s">
        <v>17007</v>
      </c>
      <c r="Q28" s="84"/>
      <c r="R28" s="84"/>
      <c r="S28" s="84">
        <v>6.7000000000000004E-2</v>
      </c>
      <c r="T28" s="82" t="s">
        <v>16950</v>
      </c>
      <c r="U28" s="84" t="s">
        <v>17008</v>
      </c>
      <c r="V28" s="54"/>
    </row>
    <row r="29" spans="1:22" s="11" customFormat="1" ht="12" customHeight="1" x14ac:dyDescent="0.2">
      <c r="A29" s="66" t="s">
        <v>17009</v>
      </c>
      <c r="B29" s="66" t="s">
        <v>26</v>
      </c>
      <c r="C29" s="66" t="s">
        <v>16942</v>
      </c>
      <c r="D29" s="66" t="s">
        <v>26</v>
      </c>
      <c r="E29" s="109" t="s">
        <v>17010</v>
      </c>
      <c r="F29" s="66" t="s">
        <v>17011</v>
      </c>
      <c r="G29" s="71">
        <v>0</v>
      </c>
      <c r="H29" s="73"/>
      <c r="I29" s="75">
        <v>0.2</v>
      </c>
      <c r="J29" s="77"/>
      <c r="K29" s="66"/>
      <c r="L29" s="66"/>
      <c r="M29" s="96"/>
      <c r="N29" s="71"/>
      <c r="O29" s="66" t="s">
        <v>28</v>
      </c>
      <c r="P29" s="82" t="s">
        <v>17012</v>
      </c>
      <c r="Q29" s="84"/>
      <c r="R29" s="84"/>
      <c r="S29" s="84">
        <v>0.06</v>
      </c>
      <c r="T29" s="82" t="s">
        <v>16946</v>
      </c>
      <c r="U29" s="84"/>
      <c r="V29" s="54"/>
    </row>
    <row r="30" spans="1:22" s="11" customFormat="1" ht="12" customHeight="1" x14ac:dyDescent="0.2">
      <c r="A30" s="66" t="s">
        <v>17009</v>
      </c>
      <c r="B30" s="66" t="s">
        <v>26</v>
      </c>
      <c r="C30" s="66" t="s">
        <v>16942</v>
      </c>
      <c r="D30" s="66" t="s">
        <v>26</v>
      </c>
      <c r="E30" s="109" t="s">
        <v>17013</v>
      </c>
      <c r="F30" s="66" t="s">
        <v>17014</v>
      </c>
      <c r="G30" s="71">
        <v>0</v>
      </c>
      <c r="H30" s="73"/>
      <c r="I30" s="75">
        <v>0.2</v>
      </c>
      <c r="J30" s="77"/>
      <c r="K30" s="66"/>
      <c r="L30" s="66"/>
      <c r="M30" s="96"/>
      <c r="N30" s="71"/>
      <c r="O30" s="66" t="s">
        <v>28</v>
      </c>
      <c r="P30" s="82" t="s">
        <v>17015</v>
      </c>
      <c r="Q30" s="84"/>
      <c r="R30" s="84"/>
      <c r="S30" s="84">
        <v>0.06</v>
      </c>
      <c r="T30" s="82" t="s">
        <v>16946</v>
      </c>
      <c r="U30" s="84"/>
      <c r="V30" s="54"/>
    </row>
    <row r="31" spans="1:22" s="11" customFormat="1" ht="12" customHeight="1" x14ac:dyDescent="0.2">
      <c r="A31" s="66" t="s">
        <v>17009</v>
      </c>
      <c r="B31" s="66" t="s">
        <v>26</v>
      </c>
      <c r="C31" s="66" t="s">
        <v>16942</v>
      </c>
      <c r="D31" s="66" t="s">
        <v>26</v>
      </c>
      <c r="E31" s="109" t="s">
        <v>17016</v>
      </c>
      <c r="F31" s="66" t="s">
        <v>17017</v>
      </c>
      <c r="G31" s="71">
        <v>0</v>
      </c>
      <c r="H31" s="73"/>
      <c r="I31" s="75">
        <v>0.2</v>
      </c>
      <c r="J31" s="77"/>
      <c r="K31" s="66"/>
      <c r="L31" s="66"/>
      <c r="M31" s="96"/>
      <c r="N31" s="71"/>
      <c r="O31" s="66" t="s">
        <v>28</v>
      </c>
      <c r="P31" s="82" t="s">
        <v>17018</v>
      </c>
      <c r="Q31" s="84"/>
      <c r="R31" s="84"/>
      <c r="S31" s="84">
        <v>0.06</v>
      </c>
      <c r="T31" s="82" t="s">
        <v>16946</v>
      </c>
      <c r="U31" s="84"/>
      <c r="V31" s="54"/>
    </row>
    <row r="32" spans="1:22" s="11" customFormat="1" ht="12" customHeight="1" x14ac:dyDescent="0.2">
      <c r="A32" s="66" t="s">
        <v>166</v>
      </c>
      <c r="B32" s="66" t="s">
        <v>26</v>
      </c>
      <c r="C32" s="66" t="s">
        <v>17019</v>
      </c>
      <c r="D32" s="66" t="s">
        <v>17020</v>
      </c>
      <c r="E32" s="109" t="s">
        <v>17021</v>
      </c>
      <c r="F32" s="66" t="s">
        <v>17022</v>
      </c>
      <c r="G32" s="71">
        <v>0</v>
      </c>
      <c r="H32" s="73"/>
      <c r="I32" s="75">
        <v>0.2</v>
      </c>
      <c r="J32" s="77"/>
      <c r="K32" s="66"/>
      <c r="L32" s="66"/>
      <c r="M32" s="96"/>
      <c r="N32" s="71"/>
      <c r="O32" s="66" t="s">
        <v>27</v>
      </c>
      <c r="P32" s="82" t="s">
        <v>17023</v>
      </c>
      <c r="Q32" s="84"/>
      <c r="R32" s="84"/>
      <c r="S32" s="84">
        <v>0.09</v>
      </c>
      <c r="T32" s="82" t="s">
        <v>17024</v>
      </c>
      <c r="U32" s="84" t="s">
        <v>7499</v>
      </c>
      <c r="V32" s="54"/>
    </row>
    <row r="33" spans="1:22" s="45" customFormat="1" ht="12" customHeight="1" x14ac:dyDescent="0.2">
      <c r="A33" s="67" t="s">
        <v>166</v>
      </c>
      <c r="B33" s="67" t="s">
        <v>26</v>
      </c>
      <c r="C33" s="67" t="s">
        <v>16942</v>
      </c>
      <c r="D33" s="67" t="s">
        <v>17025</v>
      </c>
      <c r="E33" s="110" t="s">
        <v>17026</v>
      </c>
      <c r="F33" s="67" t="s">
        <v>17027</v>
      </c>
      <c r="G33" s="72">
        <v>0</v>
      </c>
      <c r="H33" s="74"/>
      <c r="I33" s="76">
        <v>0.2</v>
      </c>
      <c r="J33" s="77"/>
      <c r="K33" s="67" t="s">
        <v>129</v>
      </c>
      <c r="L33" s="67"/>
      <c r="M33" s="79" t="str">
        <f>HYPERLINK("https://pristavka.com/catalog/games-playstation-4/PSIV1500/")</f>
        <v>https://pristavka.com/catalog/games-playstation-4/PSIV1500/</v>
      </c>
      <c r="N33" s="72"/>
      <c r="O33" s="67" t="s">
        <v>27</v>
      </c>
      <c r="P33" s="83" t="s">
        <v>17028</v>
      </c>
      <c r="Q33" s="85"/>
      <c r="R33" s="85"/>
      <c r="S33" s="85">
        <v>8.4000000000000005E-2</v>
      </c>
      <c r="T33" s="83" t="s">
        <v>17029</v>
      </c>
      <c r="U33" s="85" t="s">
        <v>7499</v>
      </c>
      <c r="V33" s="55"/>
    </row>
    <row r="34" spans="1:22" s="45" customFormat="1" ht="12" customHeight="1" x14ac:dyDescent="0.2">
      <c r="A34" s="67" t="s">
        <v>166</v>
      </c>
      <c r="B34" s="67" t="s">
        <v>26</v>
      </c>
      <c r="C34" s="67" t="s">
        <v>16942</v>
      </c>
      <c r="D34" s="67" t="s">
        <v>17025</v>
      </c>
      <c r="E34" s="110" t="s">
        <v>17030</v>
      </c>
      <c r="F34" s="67" t="s">
        <v>17031</v>
      </c>
      <c r="G34" s="72">
        <v>0</v>
      </c>
      <c r="H34" s="74"/>
      <c r="I34" s="76">
        <v>0.2</v>
      </c>
      <c r="J34" s="77"/>
      <c r="K34" s="67" t="s">
        <v>129</v>
      </c>
      <c r="L34" s="67"/>
      <c r="M34" s="79" t="str">
        <f>HYPERLINK("https://pristavka.com/catalog/games-playstation-4/PSIV1496/")</f>
        <v>https://pristavka.com/catalog/games-playstation-4/PSIV1496/</v>
      </c>
      <c r="N34" s="72"/>
      <c r="O34" s="67" t="s">
        <v>27</v>
      </c>
      <c r="P34" s="83" t="s">
        <v>17032</v>
      </c>
      <c r="Q34" s="85"/>
      <c r="R34" s="85"/>
      <c r="S34" s="85">
        <v>0.18</v>
      </c>
      <c r="T34" s="83" t="s">
        <v>17033</v>
      </c>
      <c r="U34" s="85" t="s">
        <v>7499</v>
      </c>
      <c r="V34" s="55"/>
    </row>
    <row r="35" spans="1:22" s="11" customFormat="1" ht="12" customHeight="1" x14ac:dyDescent="0.2">
      <c r="A35" s="66" t="s">
        <v>166</v>
      </c>
      <c r="B35" s="66" t="s">
        <v>26</v>
      </c>
      <c r="C35" s="66" t="s">
        <v>16942</v>
      </c>
      <c r="D35" s="66" t="s">
        <v>17034</v>
      </c>
      <c r="E35" s="109" t="s">
        <v>17035</v>
      </c>
      <c r="F35" s="66" t="s">
        <v>17036</v>
      </c>
      <c r="G35" s="71">
        <v>0</v>
      </c>
      <c r="H35" s="73"/>
      <c r="I35" s="75">
        <v>0.2</v>
      </c>
      <c r="J35" s="77"/>
      <c r="K35" s="66"/>
      <c r="L35" s="66"/>
      <c r="M35" s="96"/>
      <c r="N35" s="71"/>
      <c r="O35" s="66" t="s">
        <v>27</v>
      </c>
      <c r="P35" s="82" t="s">
        <v>17037</v>
      </c>
      <c r="Q35" s="84"/>
      <c r="R35" s="84"/>
      <c r="S35" s="84">
        <v>0.09</v>
      </c>
      <c r="T35" s="82" t="s">
        <v>17038</v>
      </c>
      <c r="U35" s="84" t="s">
        <v>7499</v>
      </c>
      <c r="V35" s="54"/>
    </row>
    <row r="36" spans="1:22" s="11" customFormat="1" ht="12" customHeight="1" x14ac:dyDescent="0.2">
      <c r="A36" s="66" t="s">
        <v>166</v>
      </c>
      <c r="B36" s="66" t="s">
        <v>26</v>
      </c>
      <c r="C36" s="66" t="s">
        <v>16942</v>
      </c>
      <c r="D36" s="66" t="s">
        <v>17039</v>
      </c>
      <c r="E36" s="109" t="s">
        <v>17040</v>
      </c>
      <c r="F36" s="66" t="s">
        <v>17041</v>
      </c>
      <c r="G36" s="71">
        <v>0</v>
      </c>
      <c r="H36" s="73"/>
      <c r="I36" s="75">
        <v>0.2</v>
      </c>
      <c r="J36" s="77"/>
      <c r="K36" s="66"/>
      <c r="L36" s="66"/>
      <c r="M36" s="79" t="str">
        <f>HYPERLINK("https://pristavka.com/catalog/games-playstation-4/PSIV1523/")</f>
        <v>https://pristavka.com/catalog/games-playstation-4/PSIV1523/</v>
      </c>
      <c r="N36" s="71"/>
      <c r="O36" s="66" t="s">
        <v>27</v>
      </c>
      <c r="P36" s="82" t="s">
        <v>17042</v>
      </c>
      <c r="Q36" s="84"/>
      <c r="R36" s="84"/>
      <c r="S36" s="84">
        <v>8.2000000000000003E-2</v>
      </c>
      <c r="T36" s="82" t="s">
        <v>17043</v>
      </c>
      <c r="U36" s="84" t="s">
        <v>7499</v>
      </c>
      <c r="V36" s="54"/>
    </row>
    <row r="37" spans="1:22" s="11" customFormat="1" ht="12" customHeight="1" x14ac:dyDescent="0.2">
      <c r="A37" s="66" t="s">
        <v>166</v>
      </c>
      <c r="B37" s="66" t="s">
        <v>26</v>
      </c>
      <c r="C37" s="66" t="s">
        <v>16942</v>
      </c>
      <c r="D37" s="66" t="s">
        <v>17044</v>
      </c>
      <c r="E37" s="109" t="s">
        <v>17045</v>
      </c>
      <c r="F37" s="66" t="s">
        <v>17046</v>
      </c>
      <c r="G37" s="71">
        <v>0</v>
      </c>
      <c r="H37" s="73"/>
      <c r="I37" s="75">
        <v>0.2</v>
      </c>
      <c r="J37" s="77"/>
      <c r="K37" s="66"/>
      <c r="L37" s="66"/>
      <c r="M37" s="79" t="str">
        <f>HYPERLINK("https://pristavka.com/catalog/games-playstation-4/PSIV1449/")</f>
        <v>https://pristavka.com/catalog/games-playstation-4/PSIV1449/</v>
      </c>
      <c r="N37" s="71"/>
      <c r="O37" s="66" t="s">
        <v>27</v>
      </c>
      <c r="P37" s="82" t="s">
        <v>17047</v>
      </c>
      <c r="Q37" s="84"/>
      <c r="R37" s="84"/>
      <c r="S37" s="84">
        <v>9.4E-2</v>
      </c>
      <c r="T37" s="82" t="s">
        <v>17029</v>
      </c>
      <c r="U37" s="84" t="s">
        <v>7499</v>
      </c>
      <c r="V37" s="54"/>
    </row>
    <row r="38" spans="1:22" s="11" customFormat="1" ht="12" customHeight="1" x14ac:dyDescent="0.2">
      <c r="A38" s="66" t="s">
        <v>166</v>
      </c>
      <c r="B38" s="66" t="s">
        <v>26</v>
      </c>
      <c r="C38" s="66" t="s">
        <v>16942</v>
      </c>
      <c r="D38" s="66" t="s">
        <v>17048</v>
      </c>
      <c r="E38" s="109" t="s">
        <v>17049</v>
      </c>
      <c r="F38" s="66" t="s">
        <v>17050</v>
      </c>
      <c r="G38" s="71">
        <v>0</v>
      </c>
      <c r="H38" s="73"/>
      <c r="I38" s="75">
        <v>0.2</v>
      </c>
      <c r="J38" s="77"/>
      <c r="K38" s="66"/>
      <c r="L38" s="66"/>
      <c r="M38" s="96"/>
      <c r="N38" s="71"/>
      <c r="O38" s="66" t="s">
        <v>27</v>
      </c>
      <c r="P38" s="82" t="s">
        <v>17051</v>
      </c>
      <c r="Q38" s="84"/>
      <c r="R38" s="84"/>
      <c r="S38" s="84">
        <v>8.6999999999999994E-2</v>
      </c>
      <c r="T38" s="82" t="s">
        <v>17038</v>
      </c>
      <c r="U38" s="84" t="s">
        <v>7499</v>
      </c>
      <c r="V38" s="54"/>
    </row>
    <row r="39" spans="1:22" s="11" customFormat="1" ht="12" customHeight="1" x14ac:dyDescent="0.2">
      <c r="A39" s="66" t="s">
        <v>166</v>
      </c>
      <c r="B39" s="66" t="s">
        <v>26</v>
      </c>
      <c r="C39" s="66" t="s">
        <v>16942</v>
      </c>
      <c r="D39" s="66" t="s">
        <v>17052</v>
      </c>
      <c r="E39" s="109" t="s">
        <v>17053</v>
      </c>
      <c r="F39" s="66" t="s">
        <v>17054</v>
      </c>
      <c r="G39" s="71">
        <v>0</v>
      </c>
      <c r="H39" s="73"/>
      <c r="I39" s="75">
        <v>0.2</v>
      </c>
      <c r="J39" s="77"/>
      <c r="K39" s="66"/>
      <c r="L39" s="66"/>
      <c r="M39" s="79" t="str">
        <f>HYPERLINK("https://pristavka.com/catalog/games-playstation-4/PSIV764/")</f>
        <v>https://pristavka.com/catalog/games-playstation-4/PSIV764/</v>
      </c>
      <c r="N39" s="71"/>
      <c r="O39" s="66" t="s">
        <v>27</v>
      </c>
      <c r="P39" s="82" t="s">
        <v>17055</v>
      </c>
      <c r="Q39" s="84"/>
      <c r="R39" s="84"/>
      <c r="S39" s="84">
        <v>8.4000000000000005E-2</v>
      </c>
      <c r="T39" s="82" t="s">
        <v>17043</v>
      </c>
      <c r="U39" s="84"/>
      <c r="V39" s="54"/>
    </row>
    <row r="40" spans="1:22" s="11" customFormat="1" ht="12" customHeight="1" x14ac:dyDescent="0.2">
      <c r="A40" s="66" t="s">
        <v>166</v>
      </c>
      <c r="B40" s="66" t="s">
        <v>26</v>
      </c>
      <c r="C40" s="66" t="s">
        <v>16942</v>
      </c>
      <c r="D40" s="66" t="s">
        <v>17056</v>
      </c>
      <c r="E40" s="109" t="s">
        <v>17057</v>
      </c>
      <c r="F40" s="66" t="s">
        <v>17058</v>
      </c>
      <c r="G40" s="71">
        <v>0</v>
      </c>
      <c r="H40" s="73"/>
      <c r="I40" s="75">
        <v>0.2</v>
      </c>
      <c r="J40" s="77"/>
      <c r="K40" s="66"/>
      <c r="L40" s="66"/>
      <c r="M40" s="79" t="str">
        <f>HYPERLINK("https://pristavka.com/catalog/games-playstation-4/PSIV765/")</f>
        <v>https://pristavka.com/catalog/games-playstation-4/PSIV765/</v>
      </c>
      <c r="N40" s="71"/>
      <c r="O40" s="66" t="s">
        <v>27</v>
      </c>
      <c r="P40" s="82" t="s">
        <v>17059</v>
      </c>
      <c r="Q40" s="84"/>
      <c r="R40" s="84"/>
      <c r="S40" s="84">
        <v>7.0000000000000007E-2</v>
      </c>
      <c r="T40" s="82" t="s">
        <v>17038</v>
      </c>
      <c r="U40" s="84" t="s">
        <v>7499</v>
      </c>
      <c r="V40" s="54"/>
    </row>
    <row r="41" spans="1:22" s="11" customFormat="1" ht="12" customHeight="1" x14ac:dyDescent="0.2">
      <c r="A41" s="66" t="s">
        <v>166</v>
      </c>
      <c r="B41" s="66" t="s">
        <v>26</v>
      </c>
      <c r="C41" s="66" t="s">
        <v>16942</v>
      </c>
      <c r="D41" s="66" t="s">
        <v>17060</v>
      </c>
      <c r="E41" s="109" t="s">
        <v>17061</v>
      </c>
      <c r="F41" s="66" t="s">
        <v>17062</v>
      </c>
      <c r="G41" s="71">
        <v>0</v>
      </c>
      <c r="H41" s="73"/>
      <c r="I41" s="75">
        <v>0.2</v>
      </c>
      <c r="J41" s="77"/>
      <c r="K41" s="66"/>
      <c r="L41" s="66"/>
      <c r="M41" s="79" t="str">
        <f>HYPERLINK("https://pristavka.com/catalog/games-playstation-4/PSIV766/")</f>
        <v>https://pristavka.com/catalog/games-playstation-4/PSIV766/</v>
      </c>
      <c r="N41" s="71"/>
      <c r="O41" s="66" t="s">
        <v>27</v>
      </c>
      <c r="P41" s="82" t="s">
        <v>17063</v>
      </c>
      <c r="Q41" s="84"/>
      <c r="R41" s="84"/>
      <c r="S41" s="84">
        <v>9.6000000000000002E-2</v>
      </c>
      <c r="T41" s="82" t="s">
        <v>17043</v>
      </c>
      <c r="U41" s="84" t="s">
        <v>52</v>
      </c>
      <c r="V41" s="54"/>
    </row>
    <row r="42" spans="1:22" s="11" customFormat="1" ht="12" customHeight="1" x14ac:dyDescent="0.2">
      <c r="A42" s="66" t="s">
        <v>166</v>
      </c>
      <c r="B42" s="66" t="s">
        <v>26</v>
      </c>
      <c r="C42" s="66" t="s">
        <v>16942</v>
      </c>
      <c r="D42" s="66" t="s">
        <v>17064</v>
      </c>
      <c r="E42" s="109" t="s">
        <v>17065</v>
      </c>
      <c r="F42" s="66" t="s">
        <v>17066</v>
      </c>
      <c r="G42" s="71">
        <v>0</v>
      </c>
      <c r="H42" s="73"/>
      <c r="I42" s="75">
        <v>0.2</v>
      </c>
      <c r="J42" s="77"/>
      <c r="K42" s="66"/>
      <c r="L42" s="66"/>
      <c r="M42" s="79" t="str">
        <f>HYPERLINK("https://pristavka.com/catalog/games-playstation-4/PSIV1161/")</f>
        <v>https://pristavka.com/catalog/games-playstation-4/PSIV1161/</v>
      </c>
      <c r="N42" s="71"/>
      <c r="O42" s="66" t="s">
        <v>27</v>
      </c>
      <c r="P42" s="82" t="s">
        <v>17067</v>
      </c>
      <c r="Q42" s="84"/>
      <c r="R42" s="84"/>
      <c r="S42" s="84">
        <v>0.106</v>
      </c>
      <c r="T42" s="82" t="s">
        <v>17038</v>
      </c>
      <c r="U42" s="84" t="s">
        <v>7499</v>
      </c>
      <c r="V42" s="54"/>
    </row>
    <row r="43" spans="1:22" s="11" customFormat="1" ht="12" customHeight="1" x14ac:dyDescent="0.2">
      <c r="A43" s="66" t="s">
        <v>166</v>
      </c>
      <c r="B43" s="66" t="s">
        <v>26</v>
      </c>
      <c r="C43" s="66" t="s">
        <v>16942</v>
      </c>
      <c r="D43" s="66" t="s">
        <v>17068</v>
      </c>
      <c r="E43" s="109" t="s">
        <v>17069</v>
      </c>
      <c r="F43" s="66" t="s">
        <v>17070</v>
      </c>
      <c r="G43" s="71">
        <v>0</v>
      </c>
      <c r="H43" s="73"/>
      <c r="I43" s="75">
        <v>0.2</v>
      </c>
      <c r="J43" s="77"/>
      <c r="K43" s="66"/>
      <c r="L43" s="66"/>
      <c r="M43" s="79" t="str">
        <f>HYPERLINK("https://pristavka.com/catalog/games-playstation-4/PSIV767/")</f>
        <v>https://pristavka.com/catalog/games-playstation-4/PSIV767/</v>
      </c>
      <c r="N43" s="71"/>
      <c r="O43" s="66" t="s">
        <v>27</v>
      </c>
      <c r="P43" s="82" t="s">
        <v>17071</v>
      </c>
      <c r="Q43" s="84"/>
      <c r="R43" s="84"/>
      <c r="S43" s="84">
        <v>9.0999999999999998E-2</v>
      </c>
      <c r="T43" s="82" t="s">
        <v>17043</v>
      </c>
      <c r="U43" s="84"/>
      <c r="V43" s="54"/>
    </row>
    <row r="44" spans="1:22" s="11" customFormat="1" ht="12" customHeight="1" x14ac:dyDescent="0.2">
      <c r="A44" s="66" t="s">
        <v>166</v>
      </c>
      <c r="B44" s="66" t="s">
        <v>26</v>
      </c>
      <c r="C44" s="66" t="s">
        <v>16942</v>
      </c>
      <c r="D44" s="66" t="s">
        <v>17072</v>
      </c>
      <c r="E44" s="109" t="s">
        <v>17073</v>
      </c>
      <c r="F44" s="66" t="s">
        <v>17074</v>
      </c>
      <c r="G44" s="71">
        <v>0</v>
      </c>
      <c r="H44" s="73"/>
      <c r="I44" s="75">
        <v>0.2</v>
      </c>
      <c r="J44" s="77"/>
      <c r="K44" s="66"/>
      <c r="L44" s="66"/>
      <c r="M44" s="79" t="str">
        <f>HYPERLINK("https://pristavka.com/catalog/games-playstation-4/PSIV1255/")</f>
        <v>https://pristavka.com/catalog/games-playstation-4/PSIV1255/</v>
      </c>
      <c r="N44" s="71"/>
      <c r="O44" s="66" t="s">
        <v>27</v>
      </c>
      <c r="P44" s="82" t="s">
        <v>17075</v>
      </c>
      <c r="Q44" s="84"/>
      <c r="R44" s="84"/>
      <c r="S44" s="84">
        <v>8.5999999999999993E-2</v>
      </c>
      <c r="T44" s="82" t="s">
        <v>17043</v>
      </c>
      <c r="U44" s="84" t="s">
        <v>7499</v>
      </c>
      <c r="V44" s="54"/>
    </row>
    <row r="45" spans="1:22" s="11" customFormat="1" ht="12" customHeight="1" x14ac:dyDescent="0.2">
      <c r="A45" s="66" t="s">
        <v>166</v>
      </c>
      <c r="B45" s="66" t="s">
        <v>26</v>
      </c>
      <c r="C45" s="66" t="s">
        <v>16942</v>
      </c>
      <c r="D45" s="66" t="s">
        <v>17076</v>
      </c>
      <c r="E45" s="109" t="s">
        <v>17077</v>
      </c>
      <c r="F45" s="66" t="s">
        <v>17078</v>
      </c>
      <c r="G45" s="71">
        <v>0</v>
      </c>
      <c r="H45" s="73"/>
      <c r="I45" s="75">
        <v>0.2</v>
      </c>
      <c r="J45" s="77"/>
      <c r="K45" s="66"/>
      <c r="L45" s="66"/>
      <c r="M45" s="79" t="str">
        <f>HYPERLINK("https://pristavka.com/catalog/games-playstation-4/PSIV1256/")</f>
        <v>https://pristavka.com/catalog/games-playstation-4/PSIV1256/</v>
      </c>
      <c r="N45" s="71"/>
      <c r="O45" s="66" t="s">
        <v>27</v>
      </c>
      <c r="P45" s="82" t="s">
        <v>17079</v>
      </c>
      <c r="Q45" s="84"/>
      <c r="R45" s="84"/>
      <c r="S45" s="84">
        <v>0.08</v>
      </c>
      <c r="T45" s="82" t="s">
        <v>17043</v>
      </c>
      <c r="U45" s="84" t="s">
        <v>7499</v>
      </c>
      <c r="V45" s="54"/>
    </row>
    <row r="46" spans="1:22" s="11" customFormat="1" ht="12" customHeight="1" x14ac:dyDescent="0.2">
      <c r="A46" s="66" t="s">
        <v>166</v>
      </c>
      <c r="B46" s="66" t="s">
        <v>26</v>
      </c>
      <c r="C46" s="66" t="s">
        <v>16942</v>
      </c>
      <c r="D46" s="66">
        <v>3307215977361</v>
      </c>
      <c r="E46" s="109" t="s">
        <v>17080</v>
      </c>
      <c r="F46" s="66" t="s">
        <v>17081</v>
      </c>
      <c r="G46" s="71">
        <v>0</v>
      </c>
      <c r="H46" s="73"/>
      <c r="I46" s="75">
        <v>0.2</v>
      </c>
      <c r="J46" s="77"/>
      <c r="K46" s="66"/>
      <c r="L46" s="66"/>
      <c r="M46" s="79" t="str">
        <f>HYPERLINK("https://pristavka.com/catalog/games-playstation-4/PSIV769/")</f>
        <v>https://pristavka.com/catalog/games-playstation-4/PSIV769/</v>
      </c>
      <c r="N46" s="71"/>
      <c r="O46" s="66" t="s">
        <v>27</v>
      </c>
      <c r="P46" s="82" t="s">
        <v>17082</v>
      </c>
      <c r="Q46" s="84"/>
      <c r="R46" s="84"/>
      <c r="S46" s="84">
        <v>0.09</v>
      </c>
      <c r="T46" s="82" t="s">
        <v>17024</v>
      </c>
      <c r="U46" s="84"/>
      <c r="V46" s="54"/>
    </row>
    <row r="47" spans="1:22" s="11" customFormat="1" ht="12" customHeight="1" x14ac:dyDescent="0.2">
      <c r="A47" s="66" t="s">
        <v>166</v>
      </c>
      <c r="B47" s="66" t="s">
        <v>26</v>
      </c>
      <c r="C47" s="66" t="s">
        <v>16942</v>
      </c>
      <c r="D47" s="66" t="s">
        <v>17083</v>
      </c>
      <c r="E47" s="109" t="s">
        <v>17084</v>
      </c>
      <c r="F47" s="66" t="s">
        <v>17085</v>
      </c>
      <c r="G47" s="71">
        <v>0</v>
      </c>
      <c r="H47" s="73"/>
      <c r="I47" s="75">
        <v>0.2</v>
      </c>
      <c r="J47" s="77"/>
      <c r="K47" s="66"/>
      <c r="L47" s="66"/>
      <c r="M47" s="79" t="str">
        <f>HYPERLINK("https://pristavka.com/catalog/games-playstation-4/PSIV770/")</f>
        <v>https://pristavka.com/catalog/games-playstation-4/PSIV770/</v>
      </c>
      <c r="N47" s="71"/>
      <c r="O47" s="66" t="s">
        <v>27</v>
      </c>
      <c r="P47" s="82" t="s">
        <v>17086</v>
      </c>
      <c r="Q47" s="84"/>
      <c r="R47" s="84"/>
      <c r="S47" s="84">
        <v>8.7999999999999995E-2</v>
      </c>
      <c r="T47" s="82" t="s">
        <v>17087</v>
      </c>
      <c r="U47" s="84"/>
      <c r="V47" s="54"/>
    </row>
    <row r="48" spans="1:22" s="11" customFormat="1" ht="12" customHeight="1" x14ac:dyDescent="0.2">
      <c r="A48" s="66" t="s">
        <v>166</v>
      </c>
      <c r="B48" s="66" t="s">
        <v>26</v>
      </c>
      <c r="C48" s="66" t="s">
        <v>16942</v>
      </c>
      <c r="D48" s="66" t="s">
        <v>17088</v>
      </c>
      <c r="E48" s="109" t="s">
        <v>17089</v>
      </c>
      <c r="F48" s="66" t="s">
        <v>17090</v>
      </c>
      <c r="G48" s="71">
        <v>0</v>
      </c>
      <c r="H48" s="73"/>
      <c r="I48" s="75">
        <v>0.2</v>
      </c>
      <c r="J48" s="77"/>
      <c r="K48" s="66"/>
      <c r="L48" s="66"/>
      <c r="M48" s="96"/>
      <c r="N48" s="71"/>
      <c r="O48" s="66" t="s">
        <v>28</v>
      </c>
      <c r="P48" s="82" t="s">
        <v>17091</v>
      </c>
      <c r="Q48" s="84"/>
      <c r="R48" s="84"/>
      <c r="S48" s="84">
        <v>7.9000000000000001E-2</v>
      </c>
      <c r="T48" s="82" t="s">
        <v>17029</v>
      </c>
      <c r="U48" s="84"/>
      <c r="V48" s="54"/>
    </row>
    <row r="49" spans="1:22" s="11" customFormat="1" ht="12" customHeight="1" x14ac:dyDescent="0.2">
      <c r="A49" s="66" t="s">
        <v>166</v>
      </c>
      <c r="B49" s="66" t="s">
        <v>26</v>
      </c>
      <c r="C49" s="66" t="s">
        <v>16942</v>
      </c>
      <c r="D49" s="66" t="s">
        <v>17092</v>
      </c>
      <c r="E49" s="109" t="s">
        <v>17093</v>
      </c>
      <c r="F49" s="66" t="s">
        <v>17094</v>
      </c>
      <c r="G49" s="71">
        <v>0</v>
      </c>
      <c r="H49" s="73"/>
      <c r="I49" s="75">
        <v>0.2</v>
      </c>
      <c r="J49" s="77"/>
      <c r="K49" s="66"/>
      <c r="L49" s="66"/>
      <c r="M49" s="79" t="str">
        <f>HYPERLINK("https://pristavka.com/catalog/games-playstation-4/PSIV1415/")</f>
        <v>https://pristavka.com/catalog/games-playstation-4/PSIV1415/</v>
      </c>
      <c r="N49" s="71"/>
      <c r="O49" s="66" t="s">
        <v>27</v>
      </c>
      <c r="P49" s="82" t="s">
        <v>17095</v>
      </c>
      <c r="Q49" s="84"/>
      <c r="R49" s="84"/>
      <c r="S49" s="84">
        <v>9.2999999999999999E-2</v>
      </c>
      <c r="T49" s="82" t="s">
        <v>17096</v>
      </c>
      <c r="U49" s="84" t="s">
        <v>7499</v>
      </c>
      <c r="V49" s="54"/>
    </row>
    <row r="50" spans="1:22" s="11" customFormat="1" ht="12" customHeight="1" x14ac:dyDescent="0.2">
      <c r="A50" s="66" t="s">
        <v>166</v>
      </c>
      <c r="B50" s="66" t="s">
        <v>26</v>
      </c>
      <c r="C50" s="66" t="s">
        <v>16942</v>
      </c>
      <c r="D50" s="66" t="s">
        <v>17097</v>
      </c>
      <c r="E50" s="109" t="s">
        <v>17098</v>
      </c>
      <c r="F50" s="66" t="s">
        <v>17099</v>
      </c>
      <c r="G50" s="71">
        <v>0</v>
      </c>
      <c r="H50" s="73"/>
      <c r="I50" s="75">
        <v>0.2</v>
      </c>
      <c r="J50" s="77"/>
      <c r="K50" s="66"/>
      <c r="L50" s="66"/>
      <c r="M50" s="79" t="str">
        <f>HYPERLINK("https://pristavka.com/catalog/games-playstation-4/PSIV771/")</f>
        <v>https://pristavka.com/catalog/games-playstation-4/PSIV771/</v>
      </c>
      <c r="N50" s="71"/>
      <c r="O50" s="66" t="s">
        <v>27</v>
      </c>
      <c r="P50" s="82" t="s">
        <v>17100</v>
      </c>
      <c r="Q50" s="84"/>
      <c r="R50" s="84"/>
      <c r="S50" s="84">
        <v>9.2999999999999999E-2</v>
      </c>
      <c r="T50" s="82" t="s">
        <v>17029</v>
      </c>
      <c r="U50" s="84"/>
      <c r="V50" s="54"/>
    </row>
    <row r="51" spans="1:22" s="11" customFormat="1" ht="12" customHeight="1" x14ac:dyDescent="0.2">
      <c r="A51" s="66" t="s">
        <v>166</v>
      </c>
      <c r="B51" s="66" t="s">
        <v>26</v>
      </c>
      <c r="C51" s="66" t="s">
        <v>16942</v>
      </c>
      <c r="D51" s="66" t="s">
        <v>26</v>
      </c>
      <c r="E51" s="109" t="s">
        <v>17101</v>
      </c>
      <c r="F51" s="66" t="s">
        <v>17102</v>
      </c>
      <c r="G51" s="71">
        <v>0</v>
      </c>
      <c r="H51" s="73"/>
      <c r="I51" s="75">
        <v>0.2</v>
      </c>
      <c r="J51" s="77"/>
      <c r="K51" s="66"/>
      <c r="L51" s="66"/>
      <c r="M51" s="79" t="str">
        <f>HYPERLINK("https://pristavka.com/catalog/games-playstation-4/PSIV1267/")</f>
        <v>https://pristavka.com/catalog/games-playstation-4/PSIV1267/</v>
      </c>
      <c r="N51" s="71"/>
      <c r="O51" s="66" t="s">
        <v>27</v>
      </c>
      <c r="P51" s="82" t="s">
        <v>17103</v>
      </c>
      <c r="Q51" s="84"/>
      <c r="R51" s="84"/>
      <c r="S51" s="84">
        <v>9.2999999999999999E-2</v>
      </c>
      <c r="T51" s="82" t="s">
        <v>17043</v>
      </c>
      <c r="U51" s="84" t="s">
        <v>7499</v>
      </c>
      <c r="V51" s="54"/>
    </row>
    <row r="52" spans="1:22" s="11" customFormat="1" ht="12" customHeight="1" x14ac:dyDescent="0.2">
      <c r="A52" s="66" t="s">
        <v>166</v>
      </c>
      <c r="B52" s="66" t="s">
        <v>26</v>
      </c>
      <c r="C52" s="66" t="s">
        <v>16942</v>
      </c>
      <c r="D52" s="66" t="s">
        <v>17104</v>
      </c>
      <c r="E52" s="109" t="s">
        <v>17105</v>
      </c>
      <c r="F52" s="66" t="s">
        <v>17106</v>
      </c>
      <c r="G52" s="71">
        <v>0</v>
      </c>
      <c r="H52" s="73"/>
      <c r="I52" s="75">
        <v>0.2</v>
      </c>
      <c r="J52" s="77"/>
      <c r="K52" s="66"/>
      <c r="L52" s="66"/>
      <c r="M52" s="79" t="str">
        <f>HYPERLINK("https://pristavka.com/catalog/games-playstation-4/PSIV1345/")</f>
        <v>https://pristavka.com/catalog/games-playstation-4/PSIV1345/</v>
      </c>
      <c r="N52" s="71"/>
      <c r="O52" s="66" t="s">
        <v>27</v>
      </c>
      <c r="P52" s="82" t="s">
        <v>17107</v>
      </c>
      <c r="Q52" s="84"/>
      <c r="R52" s="84"/>
      <c r="S52" s="84">
        <v>0.09</v>
      </c>
      <c r="T52" s="82" t="s">
        <v>17024</v>
      </c>
      <c r="U52" s="84" t="s">
        <v>52</v>
      </c>
      <c r="V52" s="54"/>
    </row>
    <row r="53" spans="1:22" s="11" customFormat="1" ht="12" customHeight="1" x14ac:dyDescent="0.2">
      <c r="A53" s="66" t="s">
        <v>166</v>
      </c>
      <c r="B53" s="66" t="s">
        <v>26</v>
      </c>
      <c r="C53" s="66" t="s">
        <v>16942</v>
      </c>
      <c r="D53" s="66" t="s">
        <v>17108</v>
      </c>
      <c r="E53" s="109" t="s">
        <v>17109</v>
      </c>
      <c r="F53" s="66" t="s">
        <v>17110</v>
      </c>
      <c r="G53" s="71">
        <v>0</v>
      </c>
      <c r="H53" s="73"/>
      <c r="I53" s="75">
        <v>0.2</v>
      </c>
      <c r="J53" s="77"/>
      <c r="K53" s="66"/>
      <c r="L53" s="66"/>
      <c r="M53" s="96"/>
      <c r="N53" s="71"/>
      <c r="O53" s="66" t="s">
        <v>27</v>
      </c>
      <c r="P53" s="82" t="s">
        <v>17111</v>
      </c>
      <c r="Q53" s="84"/>
      <c r="R53" s="84"/>
      <c r="S53" s="84">
        <v>0.09</v>
      </c>
      <c r="T53" s="82" t="s">
        <v>17043</v>
      </c>
      <c r="U53" s="84" t="s">
        <v>7499</v>
      </c>
      <c r="V53" s="54"/>
    </row>
    <row r="54" spans="1:22" s="45" customFormat="1" ht="12" customHeight="1" x14ac:dyDescent="0.2">
      <c r="A54" s="67" t="s">
        <v>166</v>
      </c>
      <c r="B54" s="67" t="s">
        <v>26</v>
      </c>
      <c r="C54" s="67" t="s">
        <v>16942</v>
      </c>
      <c r="D54" s="67" t="s">
        <v>17112</v>
      </c>
      <c r="E54" s="110" t="s">
        <v>17113</v>
      </c>
      <c r="F54" s="67" t="s">
        <v>17114</v>
      </c>
      <c r="G54" s="72">
        <v>0</v>
      </c>
      <c r="H54" s="74"/>
      <c r="I54" s="76">
        <v>0.2</v>
      </c>
      <c r="J54" s="77"/>
      <c r="K54" s="67" t="s">
        <v>129</v>
      </c>
      <c r="L54" s="67"/>
      <c r="M54" s="79" t="str">
        <f>HYPERLINK("https://pristavka.com/catalog/games-playstation-4/PSIV1187/")</f>
        <v>https://pristavka.com/catalog/games-playstation-4/PSIV1187/</v>
      </c>
      <c r="N54" s="72"/>
      <c r="O54" s="67" t="s">
        <v>27</v>
      </c>
      <c r="P54" s="83" t="s">
        <v>17115</v>
      </c>
      <c r="Q54" s="85"/>
      <c r="R54" s="85"/>
      <c r="S54" s="85">
        <v>0.17499999999999999</v>
      </c>
      <c r="T54" s="83" t="s">
        <v>17116</v>
      </c>
      <c r="U54" s="85" t="s">
        <v>17008</v>
      </c>
      <c r="V54" s="55"/>
    </row>
    <row r="55" spans="1:22" s="11" customFormat="1" ht="12" customHeight="1" x14ac:dyDescent="0.2">
      <c r="A55" s="66" t="s">
        <v>166</v>
      </c>
      <c r="B55" s="66" t="s">
        <v>26</v>
      </c>
      <c r="C55" s="66" t="s">
        <v>16942</v>
      </c>
      <c r="D55" s="66" t="s">
        <v>17117</v>
      </c>
      <c r="E55" s="109" t="s">
        <v>17118</v>
      </c>
      <c r="F55" s="66" t="s">
        <v>17119</v>
      </c>
      <c r="G55" s="71">
        <v>0</v>
      </c>
      <c r="H55" s="73"/>
      <c r="I55" s="75">
        <v>0.2</v>
      </c>
      <c r="J55" s="77"/>
      <c r="K55" s="66"/>
      <c r="L55" s="66"/>
      <c r="M55" s="79" t="str">
        <f>HYPERLINK("https://pristavka.com/catalog/games-playstation-4/PSIV1507/")</f>
        <v>https://pristavka.com/catalog/games-playstation-4/PSIV1507/</v>
      </c>
      <c r="N55" s="71"/>
      <c r="O55" s="66" t="s">
        <v>27</v>
      </c>
      <c r="P55" s="82" t="s">
        <v>17120</v>
      </c>
      <c r="Q55" s="84"/>
      <c r="R55" s="84"/>
      <c r="S55" s="84">
        <v>0.19</v>
      </c>
      <c r="T55" s="82" t="s">
        <v>17121</v>
      </c>
      <c r="U55" s="84" t="s">
        <v>7499</v>
      </c>
      <c r="V55" s="54"/>
    </row>
    <row r="56" spans="1:22" s="11" customFormat="1" ht="12" customHeight="1" x14ac:dyDescent="0.2">
      <c r="A56" s="66" t="s">
        <v>166</v>
      </c>
      <c r="B56" s="66" t="s">
        <v>26</v>
      </c>
      <c r="C56" s="66" t="s">
        <v>16942</v>
      </c>
      <c r="D56" s="66" t="s">
        <v>17122</v>
      </c>
      <c r="E56" s="109" t="s">
        <v>17123</v>
      </c>
      <c r="F56" s="66" t="s">
        <v>17124</v>
      </c>
      <c r="G56" s="71">
        <v>11031</v>
      </c>
      <c r="H56" s="73"/>
      <c r="I56" s="75">
        <v>0.2</v>
      </c>
      <c r="J56" s="77"/>
      <c r="K56" s="66"/>
      <c r="L56" s="66"/>
      <c r="M56" s="79" t="str">
        <f>HYPERLINK("https://pristavka.com/catalog/games-playstation-4/PSIV1268/")</f>
        <v>https://pristavka.com/catalog/games-playstation-4/PSIV1268/</v>
      </c>
      <c r="N56" s="71"/>
      <c r="O56" s="66" t="s">
        <v>27</v>
      </c>
      <c r="P56" s="82" t="s">
        <v>17125</v>
      </c>
      <c r="Q56" s="84"/>
      <c r="R56" s="84"/>
      <c r="S56" s="84">
        <v>8.2000000000000003E-2</v>
      </c>
      <c r="T56" s="82" t="s">
        <v>17043</v>
      </c>
      <c r="U56" s="84" t="s">
        <v>7499</v>
      </c>
      <c r="V56" s="54"/>
    </row>
    <row r="57" spans="1:22" s="11" customFormat="1" ht="12" customHeight="1" x14ac:dyDescent="0.2">
      <c r="A57" s="66" t="s">
        <v>166</v>
      </c>
      <c r="B57" s="66" t="s">
        <v>26</v>
      </c>
      <c r="C57" s="66" t="s">
        <v>16942</v>
      </c>
      <c r="D57" s="66" t="s">
        <v>17126</v>
      </c>
      <c r="E57" s="109" t="s">
        <v>17127</v>
      </c>
      <c r="F57" s="66" t="s">
        <v>17128</v>
      </c>
      <c r="G57" s="71">
        <v>0</v>
      </c>
      <c r="H57" s="73"/>
      <c r="I57" s="75">
        <v>0.2</v>
      </c>
      <c r="J57" s="77"/>
      <c r="K57" s="66"/>
      <c r="L57" s="66"/>
      <c r="M57" s="79" t="str">
        <f>HYPERLINK("https://pristavka.com/catalog/games-playstation-4/PSIV108/")</f>
        <v>https://pristavka.com/catalog/games-playstation-4/PSIV108/</v>
      </c>
      <c r="N57" s="71"/>
      <c r="O57" s="66" t="s">
        <v>27</v>
      </c>
      <c r="P57" s="82" t="s">
        <v>17129</v>
      </c>
      <c r="Q57" s="84"/>
      <c r="R57" s="84"/>
      <c r="S57" s="84">
        <v>7.3999999999999996E-2</v>
      </c>
      <c r="T57" s="82" t="s">
        <v>17038</v>
      </c>
      <c r="U57" s="84" t="s">
        <v>7499</v>
      </c>
      <c r="V57" s="54"/>
    </row>
    <row r="58" spans="1:22" s="11" customFormat="1" ht="12" customHeight="1" x14ac:dyDescent="0.2">
      <c r="A58" s="66" t="s">
        <v>166</v>
      </c>
      <c r="B58" s="66" t="s">
        <v>26</v>
      </c>
      <c r="C58" s="66" t="s">
        <v>16942</v>
      </c>
      <c r="D58" s="66" t="s">
        <v>26</v>
      </c>
      <c r="E58" s="109" t="s">
        <v>17130</v>
      </c>
      <c r="F58" s="66" t="s">
        <v>17131</v>
      </c>
      <c r="G58" s="71">
        <v>0</v>
      </c>
      <c r="H58" s="73"/>
      <c r="I58" s="75">
        <v>0.2</v>
      </c>
      <c r="J58" s="77"/>
      <c r="K58" s="66"/>
      <c r="L58" s="66"/>
      <c r="M58" s="79" t="str">
        <f>HYPERLINK("https://pristavka.com/catalog/games-playstation-4/PSIV1190/")</f>
        <v>https://pristavka.com/catalog/games-playstation-4/PSIV1190/</v>
      </c>
      <c r="N58" s="71"/>
      <c r="O58" s="66" t="s">
        <v>27</v>
      </c>
      <c r="P58" s="82" t="s">
        <v>17132</v>
      </c>
      <c r="Q58" s="84"/>
      <c r="R58" s="84"/>
      <c r="S58" s="84">
        <v>9.6000000000000002E-2</v>
      </c>
      <c r="T58" s="82" t="s">
        <v>17038</v>
      </c>
      <c r="U58" s="84" t="s">
        <v>7499</v>
      </c>
      <c r="V58" s="54"/>
    </row>
    <row r="59" spans="1:22" s="11" customFormat="1" ht="12" customHeight="1" x14ac:dyDescent="0.2">
      <c r="A59" s="66" t="s">
        <v>166</v>
      </c>
      <c r="B59" s="66" t="s">
        <v>26</v>
      </c>
      <c r="C59" s="66" t="s">
        <v>16942</v>
      </c>
      <c r="D59" s="66" t="s">
        <v>17133</v>
      </c>
      <c r="E59" s="109" t="s">
        <v>17134</v>
      </c>
      <c r="F59" s="66" t="s">
        <v>17135</v>
      </c>
      <c r="G59" s="71">
        <v>0</v>
      </c>
      <c r="H59" s="73"/>
      <c r="I59" s="75">
        <v>0.2</v>
      </c>
      <c r="J59" s="77"/>
      <c r="K59" s="66"/>
      <c r="L59" s="66"/>
      <c r="M59" s="79" t="str">
        <f>HYPERLINK("https://pristavka.com/catalog/games-playstation-4/PSIV1462/")</f>
        <v>https://pristavka.com/catalog/games-playstation-4/PSIV1462/</v>
      </c>
      <c r="N59" s="71"/>
      <c r="O59" s="66" t="s">
        <v>27</v>
      </c>
      <c r="P59" s="82" t="s">
        <v>17136</v>
      </c>
      <c r="Q59" s="84"/>
      <c r="R59" s="84"/>
      <c r="S59" s="84">
        <v>8.3000000000000004E-2</v>
      </c>
      <c r="T59" s="82" t="s">
        <v>17029</v>
      </c>
      <c r="U59" s="84"/>
      <c r="V59" s="54"/>
    </row>
    <row r="60" spans="1:22" s="11" customFormat="1" ht="12" customHeight="1" x14ac:dyDescent="0.2">
      <c r="A60" s="66" t="s">
        <v>166</v>
      </c>
      <c r="B60" s="66" t="s">
        <v>26</v>
      </c>
      <c r="C60" s="66" t="s">
        <v>16942</v>
      </c>
      <c r="D60" s="66" t="s">
        <v>17137</v>
      </c>
      <c r="E60" s="109" t="s">
        <v>17138</v>
      </c>
      <c r="F60" s="66" t="s">
        <v>17139</v>
      </c>
      <c r="G60" s="71">
        <v>0</v>
      </c>
      <c r="H60" s="73"/>
      <c r="I60" s="75">
        <v>0.2</v>
      </c>
      <c r="J60" s="77"/>
      <c r="K60" s="66"/>
      <c r="L60" s="66"/>
      <c r="M60" s="79" t="str">
        <f>HYPERLINK("https://pristavka.com/catalog/games-playstation-4/PSIV1269/")</f>
        <v>https://pristavka.com/catalog/games-playstation-4/PSIV1269/</v>
      </c>
      <c r="N60" s="71"/>
      <c r="O60" s="66" t="s">
        <v>28</v>
      </c>
      <c r="P60" s="82" t="s">
        <v>17140</v>
      </c>
      <c r="Q60" s="84"/>
      <c r="R60" s="84"/>
      <c r="S60" s="84">
        <v>7.9000000000000001E-2</v>
      </c>
      <c r="T60" s="82" t="s">
        <v>17029</v>
      </c>
      <c r="U60" s="84" t="s">
        <v>177</v>
      </c>
      <c r="V60" s="54"/>
    </row>
    <row r="61" spans="1:22" s="11" customFormat="1" ht="12" customHeight="1" x14ac:dyDescent="0.2">
      <c r="A61" s="66" t="s">
        <v>166</v>
      </c>
      <c r="B61" s="66" t="s">
        <v>26</v>
      </c>
      <c r="C61" s="66" t="s">
        <v>16942</v>
      </c>
      <c r="D61" s="66" t="s">
        <v>17141</v>
      </c>
      <c r="E61" s="109" t="s">
        <v>17142</v>
      </c>
      <c r="F61" s="66" t="s">
        <v>17143</v>
      </c>
      <c r="G61" s="71">
        <v>0</v>
      </c>
      <c r="H61" s="73"/>
      <c r="I61" s="75">
        <v>0.2</v>
      </c>
      <c r="J61" s="77"/>
      <c r="K61" s="66"/>
      <c r="L61" s="66"/>
      <c r="M61" s="79" t="str">
        <f>HYPERLINK("https://pristavka.com/catalog/games-playstation-4/PSIV901/")</f>
        <v>https://pristavka.com/catalog/games-playstation-4/PSIV901/</v>
      </c>
      <c r="N61" s="71"/>
      <c r="O61" s="66" t="s">
        <v>27</v>
      </c>
      <c r="P61" s="82" t="s">
        <v>17144</v>
      </c>
      <c r="Q61" s="84"/>
      <c r="R61" s="84"/>
      <c r="S61" s="84">
        <v>9.2999999999999999E-2</v>
      </c>
      <c r="T61" s="82" t="s">
        <v>17029</v>
      </c>
      <c r="U61" s="84"/>
      <c r="V61" s="54"/>
    </row>
    <row r="62" spans="1:22" s="11" customFormat="1" ht="12" customHeight="1" x14ac:dyDescent="0.2">
      <c r="A62" s="66" t="s">
        <v>166</v>
      </c>
      <c r="B62" s="66" t="s">
        <v>26</v>
      </c>
      <c r="C62" s="66" t="s">
        <v>16942</v>
      </c>
      <c r="D62" s="66" t="s">
        <v>17145</v>
      </c>
      <c r="E62" s="109" t="s">
        <v>17146</v>
      </c>
      <c r="F62" s="66" t="s">
        <v>17147</v>
      </c>
      <c r="G62" s="71">
        <v>0</v>
      </c>
      <c r="H62" s="73"/>
      <c r="I62" s="75">
        <v>0.2</v>
      </c>
      <c r="J62" s="77"/>
      <c r="K62" s="66"/>
      <c r="L62" s="66"/>
      <c r="M62" s="79" t="str">
        <f>HYPERLINK("https://pristavka.com/catalog/games-playstation-4/PSIV1308/")</f>
        <v>https://pristavka.com/catalog/games-playstation-4/PSIV1308/</v>
      </c>
      <c r="N62" s="71"/>
      <c r="O62" s="66" t="s">
        <v>27</v>
      </c>
      <c r="P62" s="82" t="s">
        <v>17148</v>
      </c>
      <c r="Q62" s="84"/>
      <c r="R62" s="84"/>
      <c r="S62" s="84">
        <v>0.08</v>
      </c>
      <c r="T62" s="82" t="s">
        <v>17038</v>
      </c>
      <c r="U62" s="84" t="s">
        <v>17008</v>
      </c>
      <c r="V62" s="54"/>
    </row>
    <row r="63" spans="1:22" s="11" customFormat="1" ht="12" customHeight="1" x14ac:dyDescent="0.2">
      <c r="A63" s="66" t="s">
        <v>166</v>
      </c>
      <c r="B63" s="66" t="s">
        <v>26</v>
      </c>
      <c r="C63" s="66" t="s">
        <v>16942</v>
      </c>
      <c r="D63" s="66" t="s">
        <v>17149</v>
      </c>
      <c r="E63" s="109" t="s">
        <v>17150</v>
      </c>
      <c r="F63" s="66" t="s">
        <v>17151</v>
      </c>
      <c r="G63" s="71">
        <v>0</v>
      </c>
      <c r="H63" s="73"/>
      <c r="I63" s="75">
        <v>0.2</v>
      </c>
      <c r="J63" s="77"/>
      <c r="K63" s="66"/>
      <c r="L63" s="66"/>
      <c r="M63" s="79" t="str">
        <f>HYPERLINK("https://pristavka.com/catalog/games-playstation-4/PSIV1335/")</f>
        <v>https://pristavka.com/catalog/games-playstation-4/PSIV1335/</v>
      </c>
      <c r="N63" s="71"/>
      <c r="O63" s="66" t="s">
        <v>27</v>
      </c>
      <c r="P63" s="82" t="s">
        <v>17152</v>
      </c>
      <c r="Q63" s="84"/>
      <c r="R63" s="84"/>
      <c r="S63" s="84">
        <v>8.2000000000000003E-2</v>
      </c>
      <c r="T63" s="82" t="s">
        <v>17038</v>
      </c>
      <c r="U63" s="84" t="s">
        <v>177</v>
      </c>
      <c r="V63" s="54"/>
    </row>
    <row r="64" spans="1:22" s="11" customFormat="1" ht="12" customHeight="1" x14ac:dyDescent="0.2">
      <c r="A64" s="66" t="s">
        <v>166</v>
      </c>
      <c r="B64" s="66" t="s">
        <v>26</v>
      </c>
      <c r="C64" s="66" t="s">
        <v>16942</v>
      </c>
      <c r="D64" s="66" t="s">
        <v>17153</v>
      </c>
      <c r="E64" s="109" t="s">
        <v>17154</v>
      </c>
      <c r="F64" s="66" t="s">
        <v>17155</v>
      </c>
      <c r="G64" s="71">
        <v>0</v>
      </c>
      <c r="H64" s="73"/>
      <c r="I64" s="75">
        <v>0.2</v>
      </c>
      <c r="J64" s="77"/>
      <c r="K64" s="66"/>
      <c r="L64" s="66"/>
      <c r="M64" s="79" t="str">
        <f>HYPERLINK("https://pristavka.com/catalog/games-playstation-4/PSIV776/")</f>
        <v>https://pristavka.com/catalog/games-playstation-4/PSIV776/</v>
      </c>
      <c r="N64" s="71"/>
      <c r="O64" s="66" t="s">
        <v>27</v>
      </c>
      <c r="P64" s="82" t="s">
        <v>17156</v>
      </c>
      <c r="Q64" s="84"/>
      <c r="R64" s="84"/>
      <c r="S64" s="84">
        <v>8.3000000000000004E-2</v>
      </c>
      <c r="T64" s="82" t="s">
        <v>17043</v>
      </c>
      <c r="U64" s="84" t="s">
        <v>177</v>
      </c>
      <c r="V64" s="54"/>
    </row>
    <row r="65" spans="1:22" s="11" customFormat="1" ht="12" customHeight="1" x14ac:dyDescent="0.2">
      <c r="A65" s="66" t="s">
        <v>166</v>
      </c>
      <c r="B65" s="66" t="s">
        <v>26</v>
      </c>
      <c r="C65" s="66" t="s">
        <v>16942</v>
      </c>
      <c r="D65" s="66" t="s">
        <v>17157</v>
      </c>
      <c r="E65" s="109" t="s">
        <v>17158</v>
      </c>
      <c r="F65" s="66" t="s">
        <v>17159</v>
      </c>
      <c r="G65" s="71">
        <v>0</v>
      </c>
      <c r="H65" s="73"/>
      <c r="I65" s="75">
        <v>0.2</v>
      </c>
      <c r="J65" s="77"/>
      <c r="K65" s="66"/>
      <c r="L65" s="66"/>
      <c r="M65" s="79" t="str">
        <f>HYPERLINK("https://pristavka.com/catalog/games-playstation-4/PSIV1476/")</f>
        <v>https://pristavka.com/catalog/games-playstation-4/PSIV1476/</v>
      </c>
      <c r="N65" s="71"/>
      <c r="O65" s="66" t="s">
        <v>27</v>
      </c>
      <c r="P65" s="82" t="s">
        <v>17160</v>
      </c>
      <c r="Q65" s="84"/>
      <c r="R65" s="84"/>
      <c r="S65" s="84">
        <v>8.2000000000000003E-2</v>
      </c>
      <c r="T65" s="82" t="s">
        <v>17043</v>
      </c>
      <c r="U65" s="84" t="s">
        <v>177</v>
      </c>
      <c r="V65" s="54"/>
    </row>
    <row r="66" spans="1:22" s="11" customFormat="1" ht="12" customHeight="1" x14ac:dyDescent="0.2">
      <c r="A66" s="66" t="s">
        <v>166</v>
      </c>
      <c r="B66" s="66" t="s">
        <v>26</v>
      </c>
      <c r="C66" s="66" t="s">
        <v>16942</v>
      </c>
      <c r="D66" s="66" t="s">
        <v>17161</v>
      </c>
      <c r="E66" s="109" t="s">
        <v>17162</v>
      </c>
      <c r="F66" s="66" t="s">
        <v>17163</v>
      </c>
      <c r="G66" s="71">
        <v>0</v>
      </c>
      <c r="H66" s="73"/>
      <c r="I66" s="75">
        <v>0.2</v>
      </c>
      <c r="J66" s="77"/>
      <c r="K66" s="66"/>
      <c r="L66" s="66"/>
      <c r="M66" s="79" t="str">
        <f>HYPERLINK("https://pristavka.com/catalog/games-playstation-4/PSIV1335/")</f>
        <v>https://pristavka.com/catalog/games-playstation-4/PSIV1335/</v>
      </c>
      <c r="N66" s="71"/>
      <c r="O66" s="66" t="s">
        <v>27</v>
      </c>
      <c r="P66" s="82" t="s">
        <v>17164</v>
      </c>
      <c r="Q66" s="84"/>
      <c r="R66" s="84"/>
      <c r="S66" s="84">
        <v>8.4000000000000005E-2</v>
      </c>
      <c r="T66" s="82" t="s">
        <v>17043</v>
      </c>
      <c r="U66" s="84"/>
      <c r="V66" s="54"/>
    </row>
    <row r="67" spans="1:22" s="11" customFormat="1" ht="12" customHeight="1" x14ac:dyDescent="0.2">
      <c r="A67" s="66" t="s">
        <v>166</v>
      </c>
      <c r="B67" s="66" t="s">
        <v>26</v>
      </c>
      <c r="C67" s="66" t="s">
        <v>16942</v>
      </c>
      <c r="D67" s="66" t="s">
        <v>17165</v>
      </c>
      <c r="E67" s="109" t="s">
        <v>17166</v>
      </c>
      <c r="F67" s="66" t="s">
        <v>17167</v>
      </c>
      <c r="G67" s="71">
        <v>21879</v>
      </c>
      <c r="H67" s="73"/>
      <c r="I67" s="75">
        <v>0.2</v>
      </c>
      <c r="J67" s="77"/>
      <c r="K67" s="66"/>
      <c r="L67" s="66"/>
      <c r="M67" s="79" t="str">
        <f>HYPERLINK("https://pristavka.com/catalog/games-playstation-4/PSIV1328/")</f>
        <v>https://pristavka.com/catalog/games-playstation-4/PSIV1328/</v>
      </c>
      <c r="N67" s="71"/>
      <c r="O67" s="66" t="s">
        <v>27</v>
      </c>
      <c r="P67" s="82" t="s">
        <v>17168</v>
      </c>
      <c r="Q67" s="84"/>
      <c r="R67" s="84"/>
      <c r="S67" s="84">
        <v>8.1000000000000003E-2</v>
      </c>
      <c r="T67" s="82" t="s">
        <v>17029</v>
      </c>
      <c r="U67" s="84" t="s">
        <v>17008</v>
      </c>
      <c r="V67" s="54"/>
    </row>
    <row r="68" spans="1:22" s="11" customFormat="1" ht="12" customHeight="1" x14ac:dyDescent="0.2">
      <c r="A68" s="66" t="s">
        <v>166</v>
      </c>
      <c r="B68" s="66" t="s">
        <v>26</v>
      </c>
      <c r="C68" s="66" t="s">
        <v>16942</v>
      </c>
      <c r="D68" s="66" t="s">
        <v>17169</v>
      </c>
      <c r="E68" s="109" t="s">
        <v>17170</v>
      </c>
      <c r="F68" s="66" t="s">
        <v>17171</v>
      </c>
      <c r="G68" s="71">
        <v>0</v>
      </c>
      <c r="H68" s="73"/>
      <c r="I68" s="75">
        <v>0.2</v>
      </c>
      <c r="J68" s="77"/>
      <c r="K68" s="66"/>
      <c r="L68" s="66"/>
      <c r="M68" s="79" t="str">
        <f>HYPERLINK("https://pristavka.com/catalog/games-playstation-4/PSIV1336/")</f>
        <v>https://pristavka.com/catalog/games-playstation-4/PSIV1336/</v>
      </c>
      <c r="N68" s="71"/>
      <c r="O68" s="66" t="s">
        <v>27</v>
      </c>
      <c r="P68" s="82" t="s">
        <v>17172</v>
      </c>
      <c r="Q68" s="84"/>
      <c r="R68" s="84"/>
      <c r="S68" s="84">
        <v>8.2000000000000003E-2</v>
      </c>
      <c r="T68" s="82" t="s">
        <v>17024</v>
      </c>
      <c r="U68" s="84" t="s">
        <v>17008</v>
      </c>
      <c r="V68" s="54"/>
    </row>
    <row r="69" spans="1:22" s="11" customFormat="1" ht="12" customHeight="1" x14ac:dyDescent="0.2">
      <c r="A69" s="66" t="s">
        <v>166</v>
      </c>
      <c r="B69" s="66" t="s">
        <v>26</v>
      </c>
      <c r="C69" s="66" t="s">
        <v>16942</v>
      </c>
      <c r="D69" s="66" t="s">
        <v>26</v>
      </c>
      <c r="E69" s="109" t="s">
        <v>17173</v>
      </c>
      <c r="F69" s="66" t="s">
        <v>17174</v>
      </c>
      <c r="G69" s="71">
        <v>0</v>
      </c>
      <c r="H69" s="73"/>
      <c r="I69" s="75">
        <v>0.2</v>
      </c>
      <c r="J69" s="77"/>
      <c r="K69" s="66"/>
      <c r="L69" s="66"/>
      <c r="M69" s="79" t="str">
        <f>HYPERLINK("https://pristavka.com/catalog/games-playstation-4/PSIV778/")</f>
        <v>https://pristavka.com/catalog/games-playstation-4/PSIV778/</v>
      </c>
      <c r="N69" s="71"/>
      <c r="O69" s="66" t="s">
        <v>27</v>
      </c>
      <c r="P69" s="82" t="s">
        <v>17175</v>
      </c>
      <c r="Q69" s="84"/>
      <c r="R69" s="84"/>
      <c r="S69" s="84">
        <v>8.3000000000000004E-2</v>
      </c>
      <c r="T69" s="82" t="s">
        <v>17029</v>
      </c>
      <c r="U69" s="84"/>
      <c r="V69" s="54"/>
    </row>
    <row r="70" spans="1:22" s="11" customFormat="1" ht="12" customHeight="1" x14ac:dyDescent="0.2">
      <c r="A70" s="66" t="s">
        <v>166</v>
      </c>
      <c r="B70" s="66" t="s">
        <v>26</v>
      </c>
      <c r="C70" s="66" t="s">
        <v>16942</v>
      </c>
      <c r="D70" s="66" t="s">
        <v>26</v>
      </c>
      <c r="E70" s="109" t="s">
        <v>17176</v>
      </c>
      <c r="F70" s="66" t="s">
        <v>17177</v>
      </c>
      <c r="G70" s="71">
        <v>0</v>
      </c>
      <c r="H70" s="73"/>
      <c r="I70" s="75">
        <v>0.2</v>
      </c>
      <c r="J70" s="77"/>
      <c r="K70" s="66"/>
      <c r="L70" s="66"/>
      <c r="M70" s="79" t="str">
        <f>HYPERLINK("https://pristavka.com/catalog/games-playstation-4/PSIV1193/")</f>
        <v>https://pristavka.com/catalog/games-playstation-4/PSIV1193/</v>
      </c>
      <c r="N70" s="71"/>
      <c r="O70" s="66" t="s">
        <v>27</v>
      </c>
      <c r="P70" s="82" t="s">
        <v>17178</v>
      </c>
      <c r="Q70" s="84"/>
      <c r="R70" s="84"/>
      <c r="S70" s="84">
        <v>8.1000000000000003E-2</v>
      </c>
      <c r="T70" s="82" t="s">
        <v>17024</v>
      </c>
      <c r="U70" s="84" t="s">
        <v>17008</v>
      </c>
      <c r="V70" s="54"/>
    </row>
    <row r="71" spans="1:22" s="11" customFormat="1" ht="12" customHeight="1" x14ac:dyDescent="0.2">
      <c r="A71" s="66" t="s">
        <v>166</v>
      </c>
      <c r="B71" s="66" t="s">
        <v>26</v>
      </c>
      <c r="C71" s="66" t="s">
        <v>16942</v>
      </c>
      <c r="D71" s="66" t="s">
        <v>17179</v>
      </c>
      <c r="E71" s="109" t="s">
        <v>17180</v>
      </c>
      <c r="F71" s="66" t="s">
        <v>17181</v>
      </c>
      <c r="G71" s="71">
        <v>0</v>
      </c>
      <c r="H71" s="73"/>
      <c r="I71" s="75">
        <v>0.2</v>
      </c>
      <c r="J71" s="77"/>
      <c r="K71" s="66"/>
      <c r="L71" s="66"/>
      <c r="M71" s="79" t="str">
        <f>HYPERLINK("https://pristavka.com/catalog/games-playstation-4/PSIV1314/")</f>
        <v>https://pristavka.com/catalog/games-playstation-4/PSIV1314/</v>
      </c>
      <c r="N71" s="71"/>
      <c r="O71" s="66" t="s">
        <v>27</v>
      </c>
      <c r="P71" s="82" t="s">
        <v>17182</v>
      </c>
      <c r="Q71" s="84"/>
      <c r="R71" s="84"/>
      <c r="S71" s="84">
        <v>8.4000000000000005E-2</v>
      </c>
      <c r="T71" s="82" t="s">
        <v>17043</v>
      </c>
      <c r="U71" s="84" t="s">
        <v>7499</v>
      </c>
      <c r="V71" s="54"/>
    </row>
    <row r="72" spans="1:22" s="11" customFormat="1" ht="12" customHeight="1" x14ac:dyDescent="0.2">
      <c r="A72" s="66" t="s">
        <v>166</v>
      </c>
      <c r="B72" s="66" t="s">
        <v>26</v>
      </c>
      <c r="C72" s="66" t="s">
        <v>16942</v>
      </c>
      <c r="D72" s="66" t="s">
        <v>26</v>
      </c>
      <c r="E72" s="109" t="s">
        <v>17183</v>
      </c>
      <c r="F72" s="66" t="s">
        <v>17184</v>
      </c>
      <c r="G72" s="71">
        <v>0</v>
      </c>
      <c r="H72" s="73"/>
      <c r="I72" s="75">
        <v>0.2</v>
      </c>
      <c r="J72" s="77"/>
      <c r="K72" s="66"/>
      <c r="L72" s="66"/>
      <c r="M72" s="96"/>
      <c r="N72" s="71"/>
      <c r="O72" s="66" t="s">
        <v>27</v>
      </c>
      <c r="P72" s="82" t="s">
        <v>17185</v>
      </c>
      <c r="Q72" s="84"/>
      <c r="R72" s="84"/>
      <c r="S72" s="84">
        <v>8.3000000000000004E-2</v>
      </c>
      <c r="T72" s="82" t="s">
        <v>17186</v>
      </c>
      <c r="U72" s="84" t="s">
        <v>7499</v>
      </c>
      <c r="V72" s="54"/>
    </row>
    <row r="73" spans="1:22" s="11" customFormat="1" ht="12" customHeight="1" x14ac:dyDescent="0.2">
      <c r="A73" s="66" t="s">
        <v>166</v>
      </c>
      <c r="B73" s="66" t="s">
        <v>26</v>
      </c>
      <c r="C73" s="66" t="s">
        <v>16942</v>
      </c>
      <c r="D73" s="66" t="s">
        <v>17048</v>
      </c>
      <c r="E73" s="109" t="s">
        <v>17187</v>
      </c>
      <c r="F73" s="66" t="s">
        <v>17188</v>
      </c>
      <c r="G73" s="71">
        <v>0</v>
      </c>
      <c r="H73" s="73"/>
      <c r="I73" s="75">
        <v>0.2</v>
      </c>
      <c r="J73" s="77"/>
      <c r="K73" s="66"/>
      <c r="L73" s="66"/>
      <c r="M73" s="79" t="str">
        <f>HYPERLINK("https://pristavka.com/catalog/games-playstation-4/PSIV1497/")</f>
        <v>https://pristavka.com/catalog/games-playstation-4/PSIV1497/</v>
      </c>
      <c r="N73" s="71"/>
      <c r="O73" s="66" t="s">
        <v>27</v>
      </c>
      <c r="P73" s="82" t="s">
        <v>17189</v>
      </c>
      <c r="Q73" s="84"/>
      <c r="R73" s="84"/>
      <c r="S73" s="84">
        <v>8.4000000000000005E-2</v>
      </c>
      <c r="T73" s="82" t="s">
        <v>17043</v>
      </c>
      <c r="U73" s="84" t="s">
        <v>7499</v>
      </c>
      <c r="V73" s="54"/>
    </row>
    <row r="74" spans="1:22" s="11" customFormat="1" ht="12" customHeight="1" x14ac:dyDescent="0.2">
      <c r="A74" s="66" t="s">
        <v>166</v>
      </c>
      <c r="B74" s="66" t="s">
        <v>26</v>
      </c>
      <c r="C74" s="66" t="s">
        <v>16942</v>
      </c>
      <c r="D74" s="66" t="s">
        <v>17190</v>
      </c>
      <c r="E74" s="109" t="s">
        <v>17191</v>
      </c>
      <c r="F74" s="66" t="s">
        <v>17192</v>
      </c>
      <c r="G74" s="71">
        <v>0</v>
      </c>
      <c r="H74" s="73"/>
      <c r="I74" s="75">
        <v>0.2</v>
      </c>
      <c r="J74" s="77"/>
      <c r="K74" s="66"/>
      <c r="L74" s="66"/>
      <c r="M74" s="79" t="str">
        <f>HYPERLINK("https://pristavka.com/catalog/games-playstation-4/PSIV780/")</f>
        <v>https://pristavka.com/catalog/games-playstation-4/PSIV780/</v>
      </c>
      <c r="N74" s="71"/>
      <c r="O74" s="66" t="s">
        <v>27</v>
      </c>
      <c r="P74" s="82" t="s">
        <v>17193</v>
      </c>
      <c r="Q74" s="84"/>
      <c r="R74" s="84"/>
      <c r="S74" s="84">
        <v>7.8E-2</v>
      </c>
      <c r="T74" s="82" t="s">
        <v>17038</v>
      </c>
      <c r="U74" s="84"/>
      <c r="V74" s="54"/>
    </row>
    <row r="75" spans="1:22" s="11" customFormat="1" ht="12" customHeight="1" x14ac:dyDescent="0.2">
      <c r="A75" s="66" t="s">
        <v>166</v>
      </c>
      <c r="B75" s="66" t="s">
        <v>26</v>
      </c>
      <c r="C75" s="66" t="s">
        <v>16942</v>
      </c>
      <c r="D75" s="66" t="s">
        <v>17194</v>
      </c>
      <c r="E75" s="109" t="s">
        <v>17195</v>
      </c>
      <c r="F75" s="66" t="s">
        <v>17196</v>
      </c>
      <c r="G75" s="71">
        <v>0</v>
      </c>
      <c r="H75" s="73"/>
      <c r="I75" s="75">
        <v>0.2</v>
      </c>
      <c r="J75" s="77"/>
      <c r="K75" s="66"/>
      <c r="L75" s="66"/>
      <c r="M75" s="79" t="str">
        <f>HYPERLINK("https://pristavka.com/catalog/games-playstation-4/PSIV1177/")</f>
        <v>https://pristavka.com/catalog/games-playstation-4/PSIV1177/</v>
      </c>
      <c r="N75" s="71"/>
      <c r="O75" s="66" t="s">
        <v>28</v>
      </c>
      <c r="P75" s="82" t="s">
        <v>17197</v>
      </c>
      <c r="Q75" s="84"/>
      <c r="R75" s="84"/>
      <c r="S75" s="84">
        <v>0.09</v>
      </c>
      <c r="T75" s="82" t="s">
        <v>17029</v>
      </c>
      <c r="U75" s="84" t="s">
        <v>17008</v>
      </c>
      <c r="V75" s="54"/>
    </row>
    <row r="76" spans="1:22" s="11" customFormat="1" ht="12" customHeight="1" x14ac:dyDescent="0.2">
      <c r="A76" s="66" t="s">
        <v>166</v>
      </c>
      <c r="B76" s="66" t="s">
        <v>26</v>
      </c>
      <c r="C76" s="66" t="s">
        <v>16942</v>
      </c>
      <c r="D76" s="66" t="s">
        <v>17198</v>
      </c>
      <c r="E76" s="109" t="s">
        <v>17199</v>
      </c>
      <c r="F76" s="66" t="s">
        <v>17200</v>
      </c>
      <c r="G76" s="71">
        <v>0</v>
      </c>
      <c r="H76" s="73"/>
      <c r="I76" s="75">
        <v>0.2</v>
      </c>
      <c r="J76" s="77"/>
      <c r="K76" s="66"/>
      <c r="L76" s="66"/>
      <c r="M76" s="79" t="str">
        <f>HYPERLINK("https://pristavka.com/catalog/games-playstation-4/PSIV1508/")</f>
        <v>https://pristavka.com/catalog/games-playstation-4/PSIV1508/</v>
      </c>
      <c r="N76" s="71"/>
      <c r="O76" s="66" t="s">
        <v>27</v>
      </c>
      <c r="P76" s="82" t="s">
        <v>17201</v>
      </c>
      <c r="Q76" s="84"/>
      <c r="R76" s="84"/>
      <c r="S76" s="84">
        <v>0.1</v>
      </c>
      <c r="T76" s="82" t="s">
        <v>17038</v>
      </c>
      <c r="U76" s="84" t="s">
        <v>17008</v>
      </c>
      <c r="V76" s="54"/>
    </row>
    <row r="77" spans="1:22" s="11" customFormat="1" ht="12" customHeight="1" x14ac:dyDescent="0.2">
      <c r="A77" s="66" t="s">
        <v>166</v>
      </c>
      <c r="B77" s="66" t="s">
        <v>26</v>
      </c>
      <c r="C77" s="66" t="s">
        <v>16942</v>
      </c>
      <c r="D77" s="66" t="s">
        <v>26</v>
      </c>
      <c r="E77" s="109" t="s">
        <v>17202</v>
      </c>
      <c r="F77" s="66" t="s">
        <v>17203</v>
      </c>
      <c r="G77" s="71">
        <v>0</v>
      </c>
      <c r="H77" s="73"/>
      <c r="I77" s="75">
        <v>0.2</v>
      </c>
      <c r="J77" s="77"/>
      <c r="K77" s="66"/>
      <c r="L77" s="66"/>
      <c r="M77" s="79" t="str">
        <f>HYPERLINK("https://pristavka.com/catalog/games-playstation-4/PSIV1514/")</f>
        <v>https://pristavka.com/catalog/games-playstation-4/PSIV1514/</v>
      </c>
      <c r="N77" s="71"/>
      <c r="O77" s="66" t="s">
        <v>27</v>
      </c>
      <c r="P77" s="82" t="s">
        <v>17204</v>
      </c>
      <c r="Q77" s="84"/>
      <c r="R77" s="84"/>
      <c r="S77" s="84">
        <v>0.09</v>
      </c>
      <c r="T77" s="82" t="s">
        <v>17038</v>
      </c>
      <c r="U77" s="84" t="s">
        <v>177</v>
      </c>
      <c r="V77" s="54"/>
    </row>
    <row r="78" spans="1:22" s="11" customFormat="1" ht="12" customHeight="1" x14ac:dyDescent="0.2">
      <c r="A78" s="66" t="s">
        <v>166</v>
      </c>
      <c r="B78" s="66" t="s">
        <v>26</v>
      </c>
      <c r="C78" s="66" t="s">
        <v>16942</v>
      </c>
      <c r="D78" s="66">
        <v>107538</v>
      </c>
      <c r="E78" s="109" t="s">
        <v>17205</v>
      </c>
      <c r="F78" s="66" t="s">
        <v>17206</v>
      </c>
      <c r="G78" s="71">
        <v>0</v>
      </c>
      <c r="H78" s="73"/>
      <c r="I78" s="75">
        <v>0.2</v>
      </c>
      <c r="J78" s="77"/>
      <c r="K78" s="66"/>
      <c r="L78" s="66"/>
      <c r="M78" s="79" t="str">
        <f>HYPERLINK("https://pristavka.com/catalog/games-playstation-4/PSIV822/")</f>
        <v>https://pristavka.com/catalog/games-playstation-4/PSIV822/</v>
      </c>
      <c r="N78" s="71"/>
      <c r="O78" s="66" t="s">
        <v>27</v>
      </c>
      <c r="P78" s="82" t="s">
        <v>17207</v>
      </c>
      <c r="Q78" s="84"/>
      <c r="R78" s="84"/>
      <c r="S78" s="84">
        <v>8.3000000000000004E-2</v>
      </c>
      <c r="T78" s="82" t="s">
        <v>17029</v>
      </c>
      <c r="U78" s="84"/>
      <c r="V78" s="54"/>
    </row>
    <row r="79" spans="1:22" s="11" customFormat="1" ht="12" customHeight="1" x14ac:dyDescent="0.2">
      <c r="A79" s="66" t="s">
        <v>166</v>
      </c>
      <c r="B79" s="66" t="s">
        <v>26</v>
      </c>
      <c r="C79" s="66" t="s">
        <v>16942</v>
      </c>
      <c r="D79" s="66" t="s">
        <v>17208</v>
      </c>
      <c r="E79" s="109" t="s">
        <v>17209</v>
      </c>
      <c r="F79" s="66" t="s">
        <v>17210</v>
      </c>
      <c r="G79" s="71">
        <v>0</v>
      </c>
      <c r="H79" s="73"/>
      <c r="I79" s="75">
        <v>0.2</v>
      </c>
      <c r="J79" s="77"/>
      <c r="K79" s="66"/>
      <c r="L79" s="66"/>
      <c r="M79" s="96"/>
      <c r="N79" s="71"/>
      <c r="O79" s="66" t="s">
        <v>27</v>
      </c>
      <c r="P79" s="82" t="s">
        <v>17211</v>
      </c>
      <c r="Q79" s="84"/>
      <c r="R79" s="84"/>
      <c r="S79" s="84">
        <v>0.08</v>
      </c>
      <c r="T79" s="82" t="s">
        <v>17038</v>
      </c>
      <c r="U79" s="84" t="s">
        <v>177</v>
      </c>
      <c r="V79" s="54"/>
    </row>
    <row r="80" spans="1:22" s="11" customFormat="1" ht="12" customHeight="1" x14ac:dyDescent="0.2">
      <c r="A80" s="66" t="s">
        <v>166</v>
      </c>
      <c r="B80" s="66" t="s">
        <v>26</v>
      </c>
      <c r="C80" s="66" t="s">
        <v>16942</v>
      </c>
      <c r="D80" s="66" t="s">
        <v>17212</v>
      </c>
      <c r="E80" s="109" t="s">
        <v>17213</v>
      </c>
      <c r="F80" s="66" t="s">
        <v>17214</v>
      </c>
      <c r="G80" s="71">
        <v>0</v>
      </c>
      <c r="H80" s="73"/>
      <c r="I80" s="75">
        <v>0.2</v>
      </c>
      <c r="J80" s="77"/>
      <c r="K80" s="66"/>
      <c r="L80" s="66"/>
      <c r="M80" s="79" t="str">
        <f>HYPERLINK("https://pristavka.com/catalog/games-playstation-4/PSIV1321/")</f>
        <v>https://pristavka.com/catalog/games-playstation-4/PSIV1321/</v>
      </c>
      <c r="N80" s="71"/>
      <c r="O80" s="66" t="s">
        <v>27</v>
      </c>
      <c r="P80" s="82" t="s">
        <v>17215</v>
      </c>
      <c r="Q80" s="84"/>
      <c r="R80" s="84"/>
      <c r="S80" s="84">
        <v>0.09</v>
      </c>
      <c r="T80" s="82" t="s">
        <v>17038</v>
      </c>
      <c r="U80" s="84" t="s">
        <v>177</v>
      </c>
      <c r="V80" s="54"/>
    </row>
    <row r="81" spans="1:22" s="11" customFormat="1" ht="12" customHeight="1" x14ac:dyDescent="0.2">
      <c r="A81" s="66" t="s">
        <v>166</v>
      </c>
      <c r="B81" s="66" t="s">
        <v>26</v>
      </c>
      <c r="C81" s="66" t="s">
        <v>16942</v>
      </c>
      <c r="D81" s="66" t="s">
        <v>17216</v>
      </c>
      <c r="E81" s="109" t="s">
        <v>17217</v>
      </c>
      <c r="F81" s="66" t="s">
        <v>17218</v>
      </c>
      <c r="G81" s="71">
        <v>0</v>
      </c>
      <c r="H81" s="73"/>
      <c r="I81" s="75">
        <v>0.2</v>
      </c>
      <c r="J81" s="77"/>
      <c r="K81" s="66"/>
      <c r="L81" s="66"/>
      <c r="M81" s="79" t="str">
        <f>HYPERLINK("https://pristavka.com/catalog/games-playstation-4/PSIV787/")</f>
        <v>https://pristavka.com/catalog/games-playstation-4/PSIV787/</v>
      </c>
      <c r="N81" s="71"/>
      <c r="O81" s="66" t="s">
        <v>27</v>
      </c>
      <c r="P81" s="82" t="s">
        <v>17219</v>
      </c>
      <c r="Q81" s="84"/>
      <c r="R81" s="84"/>
      <c r="S81" s="84">
        <v>0.1</v>
      </c>
      <c r="T81" s="82" t="s">
        <v>17038</v>
      </c>
      <c r="U81" s="84" t="s">
        <v>7499</v>
      </c>
      <c r="V81" s="54"/>
    </row>
    <row r="82" spans="1:22" s="11" customFormat="1" ht="12" customHeight="1" x14ac:dyDescent="0.2">
      <c r="A82" s="66" t="s">
        <v>166</v>
      </c>
      <c r="B82" s="66" t="s">
        <v>26</v>
      </c>
      <c r="C82" s="66" t="s">
        <v>16942</v>
      </c>
      <c r="D82" s="66" t="s">
        <v>17220</v>
      </c>
      <c r="E82" s="109" t="s">
        <v>17221</v>
      </c>
      <c r="F82" s="66" t="s">
        <v>17222</v>
      </c>
      <c r="G82" s="71">
        <v>0</v>
      </c>
      <c r="H82" s="73"/>
      <c r="I82" s="75">
        <v>0.2</v>
      </c>
      <c r="J82" s="77"/>
      <c r="K82" s="66"/>
      <c r="L82" s="66"/>
      <c r="M82" s="79" t="str">
        <f>HYPERLINK("https://pristavka.com/catalog/games-playstation-4/PSIV788/")</f>
        <v>https://pristavka.com/catalog/games-playstation-4/PSIV788/</v>
      </c>
      <c r="N82" s="71"/>
      <c r="O82" s="66" t="s">
        <v>27</v>
      </c>
      <c r="P82" s="82" t="s">
        <v>17223</v>
      </c>
      <c r="Q82" s="84"/>
      <c r="R82" s="84"/>
      <c r="S82" s="84">
        <v>0.09</v>
      </c>
      <c r="T82" s="82" t="s">
        <v>17024</v>
      </c>
      <c r="U82" s="84" t="s">
        <v>7499</v>
      </c>
      <c r="V82" s="54"/>
    </row>
    <row r="83" spans="1:22" s="11" customFormat="1" ht="12" customHeight="1" x14ac:dyDescent="0.2">
      <c r="A83" s="66" t="s">
        <v>166</v>
      </c>
      <c r="B83" s="66" t="s">
        <v>26</v>
      </c>
      <c r="C83" s="66" t="s">
        <v>16942</v>
      </c>
      <c r="D83" s="66" t="s">
        <v>17224</v>
      </c>
      <c r="E83" s="109" t="s">
        <v>17225</v>
      </c>
      <c r="F83" s="66" t="s">
        <v>17226</v>
      </c>
      <c r="G83" s="71">
        <v>0</v>
      </c>
      <c r="H83" s="73"/>
      <c r="I83" s="75">
        <v>0.2</v>
      </c>
      <c r="J83" s="77"/>
      <c r="K83" s="66"/>
      <c r="L83" s="66"/>
      <c r="M83" s="79" t="str">
        <f>HYPERLINK("https://pristavka.com/catalog/games-playstation-4/PSIV1156/")</f>
        <v>https://pristavka.com/catalog/games-playstation-4/PSIV1156/</v>
      </c>
      <c r="N83" s="71"/>
      <c r="O83" s="66" t="s">
        <v>27</v>
      </c>
      <c r="P83" s="82" t="s">
        <v>17227</v>
      </c>
      <c r="Q83" s="84"/>
      <c r="R83" s="84"/>
      <c r="S83" s="84">
        <v>0.09</v>
      </c>
      <c r="T83" s="82" t="s">
        <v>17038</v>
      </c>
      <c r="U83" s="84" t="s">
        <v>17008</v>
      </c>
      <c r="V83" s="54"/>
    </row>
    <row r="84" spans="1:22" s="11" customFormat="1" ht="12" customHeight="1" x14ac:dyDescent="0.2">
      <c r="A84" s="66" t="s">
        <v>166</v>
      </c>
      <c r="B84" s="66" t="s">
        <v>26</v>
      </c>
      <c r="C84" s="66" t="s">
        <v>16942</v>
      </c>
      <c r="D84" s="66" t="s">
        <v>17228</v>
      </c>
      <c r="E84" s="109" t="s">
        <v>17229</v>
      </c>
      <c r="F84" s="66" t="s">
        <v>17230</v>
      </c>
      <c r="G84" s="71">
        <v>0</v>
      </c>
      <c r="H84" s="73"/>
      <c r="I84" s="75">
        <v>0.2</v>
      </c>
      <c r="J84" s="77"/>
      <c r="K84" s="66"/>
      <c r="L84" s="66"/>
      <c r="M84" s="79" t="str">
        <f>HYPERLINK("https://pristavka.com/catalog/games-playstation-4/PSIV1445/")</f>
        <v>https://pristavka.com/catalog/games-playstation-4/PSIV1445/</v>
      </c>
      <c r="N84" s="71"/>
      <c r="O84" s="66" t="s">
        <v>27</v>
      </c>
      <c r="P84" s="82" t="s">
        <v>17231</v>
      </c>
      <c r="Q84" s="84"/>
      <c r="R84" s="84"/>
      <c r="S84" s="84">
        <v>9.6000000000000002E-2</v>
      </c>
      <c r="T84" s="82" t="s">
        <v>17038</v>
      </c>
      <c r="U84" s="84" t="s">
        <v>7499</v>
      </c>
      <c r="V84" s="54"/>
    </row>
    <row r="85" spans="1:22" s="11" customFormat="1" ht="12" customHeight="1" x14ac:dyDescent="0.2">
      <c r="A85" s="66" t="s">
        <v>166</v>
      </c>
      <c r="B85" s="66" t="s">
        <v>26</v>
      </c>
      <c r="C85" s="66" t="s">
        <v>16942</v>
      </c>
      <c r="D85" s="66" t="s">
        <v>26</v>
      </c>
      <c r="E85" s="109" t="s">
        <v>17232</v>
      </c>
      <c r="F85" s="66" t="s">
        <v>17233</v>
      </c>
      <c r="G85" s="71">
        <v>0</v>
      </c>
      <c r="H85" s="73"/>
      <c r="I85" s="75">
        <v>0.2</v>
      </c>
      <c r="J85" s="77"/>
      <c r="K85" s="66"/>
      <c r="L85" s="66"/>
      <c r="M85" s="96"/>
      <c r="N85" s="71"/>
      <c r="O85" s="66" t="s">
        <v>27</v>
      </c>
      <c r="P85" s="82" t="s">
        <v>17234</v>
      </c>
      <c r="Q85" s="84"/>
      <c r="R85" s="84"/>
      <c r="S85" s="84">
        <v>9.6000000000000002E-2</v>
      </c>
      <c r="T85" s="82" t="s">
        <v>17038</v>
      </c>
      <c r="U85" s="84" t="s">
        <v>7499</v>
      </c>
      <c r="V85" s="54"/>
    </row>
    <row r="86" spans="1:22" s="11" customFormat="1" ht="12" customHeight="1" x14ac:dyDescent="0.2">
      <c r="A86" s="66" t="s">
        <v>166</v>
      </c>
      <c r="B86" s="66" t="s">
        <v>26</v>
      </c>
      <c r="C86" s="66" t="s">
        <v>16942</v>
      </c>
      <c r="D86" s="66">
        <v>114529</v>
      </c>
      <c r="E86" s="109" t="s">
        <v>17235</v>
      </c>
      <c r="F86" s="66" t="s">
        <v>17236</v>
      </c>
      <c r="G86" s="71">
        <v>0</v>
      </c>
      <c r="H86" s="73"/>
      <c r="I86" s="75">
        <v>0.2</v>
      </c>
      <c r="J86" s="77"/>
      <c r="K86" s="66"/>
      <c r="L86" s="66"/>
      <c r="M86" s="79" t="str">
        <f>HYPERLINK("https://pristavka.com/catalog/games-playstation-4/PSIV1387/")</f>
        <v>https://pristavka.com/catalog/games-playstation-4/PSIV1387/</v>
      </c>
      <c r="N86" s="71"/>
      <c r="O86" s="66" t="s">
        <v>27</v>
      </c>
      <c r="P86" s="82" t="s">
        <v>17237</v>
      </c>
      <c r="Q86" s="84"/>
      <c r="R86" s="84"/>
      <c r="S86" s="84">
        <v>9.0999999999999998E-2</v>
      </c>
      <c r="T86" s="82" t="s">
        <v>17043</v>
      </c>
      <c r="U86" s="84" t="s">
        <v>17008</v>
      </c>
      <c r="V86" s="54"/>
    </row>
    <row r="87" spans="1:22" s="11" customFormat="1" ht="12" customHeight="1" x14ac:dyDescent="0.2">
      <c r="A87" s="66" t="s">
        <v>166</v>
      </c>
      <c r="B87" s="66" t="s">
        <v>26</v>
      </c>
      <c r="C87" s="66" t="s">
        <v>16942</v>
      </c>
      <c r="D87" s="66" t="s">
        <v>17238</v>
      </c>
      <c r="E87" s="109" t="s">
        <v>17239</v>
      </c>
      <c r="F87" s="66" t="s">
        <v>17240</v>
      </c>
      <c r="G87" s="71">
        <v>16575</v>
      </c>
      <c r="H87" s="73"/>
      <c r="I87" s="75">
        <v>0.2</v>
      </c>
      <c r="J87" s="77"/>
      <c r="K87" s="66"/>
      <c r="L87" s="66"/>
      <c r="M87" s="79" t="str">
        <f>HYPERLINK("https://pristavka.com/catalog/games-playstation-5/PSV871/")</f>
        <v>https://pristavka.com/catalog/games-playstation-5/PSV871/</v>
      </c>
      <c r="N87" s="71"/>
      <c r="O87" s="66" t="s">
        <v>27</v>
      </c>
      <c r="P87" s="82" t="s">
        <v>17241</v>
      </c>
      <c r="Q87" s="84"/>
      <c r="R87" s="84"/>
      <c r="S87" s="84">
        <v>8.2000000000000003E-2</v>
      </c>
      <c r="T87" s="82" t="s">
        <v>17024</v>
      </c>
      <c r="U87" s="84" t="s">
        <v>7499</v>
      </c>
      <c r="V87" s="54"/>
    </row>
    <row r="88" spans="1:22" s="11" customFormat="1" ht="12" customHeight="1" x14ac:dyDescent="0.2">
      <c r="A88" s="66" t="s">
        <v>166</v>
      </c>
      <c r="B88" s="66" t="s">
        <v>26</v>
      </c>
      <c r="C88" s="66" t="s">
        <v>16942</v>
      </c>
      <c r="D88" s="66" t="s">
        <v>17242</v>
      </c>
      <c r="E88" s="109" t="s">
        <v>17243</v>
      </c>
      <c r="F88" s="66" t="s">
        <v>17244</v>
      </c>
      <c r="G88" s="71">
        <v>0</v>
      </c>
      <c r="H88" s="73"/>
      <c r="I88" s="75">
        <v>0.2</v>
      </c>
      <c r="J88" s="77"/>
      <c r="K88" s="66"/>
      <c r="L88" s="66"/>
      <c r="M88" s="79" t="str">
        <f>HYPERLINK("https://pristavka.com/catalog/games-playstation-4/PSIV971/")</f>
        <v>https://pristavka.com/catalog/games-playstation-4/PSIV971/</v>
      </c>
      <c r="N88" s="71"/>
      <c r="O88" s="66" t="s">
        <v>27</v>
      </c>
      <c r="P88" s="82" t="s">
        <v>17245</v>
      </c>
      <c r="Q88" s="84"/>
      <c r="R88" s="84"/>
      <c r="S88" s="84">
        <v>8.4000000000000005E-2</v>
      </c>
      <c r="T88" s="82" t="s">
        <v>17186</v>
      </c>
      <c r="U88" s="84" t="s">
        <v>7499</v>
      </c>
      <c r="V88" s="54"/>
    </row>
    <row r="89" spans="1:22" s="11" customFormat="1" ht="12" customHeight="1" x14ac:dyDescent="0.2">
      <c r="A89" s="66" t="s">
        <v>166</v>
      </c>
      <c r="B89" s="66" t="s">
        <v>26</v>
      </c>
      <c r="C89" s="66" t="s">
        <v>16942</v>
      </c>
      <c r="D89" s="66">
        <v>225549</v>
      </c>
      <c r="E89" s="109" t="s">
        <v>17246</v>
      </c>
      <c r="F89" s="66" t="s">
        <v>17247</v>
      </c>
      <c r="G89" s="71">
        <v>0</v>
      </c>
      <c r="H89" s="73"/>
      <c r="I89" s="75">
        <v>0.2</v>
      </c>
      <c r="J89" s="77"/>
      <c r="K89" s="66"/>
      <c r="L89" s="66"/>
      <c r="M89" s="79" t="str">
        <f>HYPERLINK("https://pristavka.com/catalog/games-playstation-4/PSIV790/")</f>
        <v>https://pristavka.com/catalog/games-playstation-4/PSIV790/</v>
      </c>
      <c r="N89" s="71"/>
      <c r="O89" s="66" t="s">
        <v>27</v>
      </c>
      <c r="P89" s="82" t="s">
        <v>17248</v>
      </c>
      <c r="Q89" s="84"/>
      <c r="R89" s="84"/>
      <c r="S89" s="84">
        <v>8.5000000000000006E-2</v>
      </c>
      <c r="T89" s="82" t="s">
        <v>17029</v>
      </c>
      <c r="U89" s="84"/>
      <c r="V89" s="54"/>
    </row>
    <row r="90" spans="1:22" s="11" customFormat="1" ht="12" customHeight="1" x14ac:dyDescent="0.2">
      <c r="A90" s="66" t="s">
        <v>166</v>
      </c>
      <c r="B90" s="66" t="s">
        <v>26</v>
      </c>
      <c r="C90" s="66" t="s">
        <v>16942</v>
      </c>
      <c r="D90" s="66" t="s">
        <v>17249</v>
      </c>
      <c r="E90" s="109" t="s">
        <v>17250</v>
      </c>
      <c r="F90" s="66" t="s">
        <v>17251</v>
      </c>
      <c r="G90" s="71">
        <v>0</v>
      </c>
      <c r="H90" s="73"/>
      <c r="I90" s="75">
        <v>0.2</v>
      </c>
      <c r="J90" s="77"/>
      <c r="K90" s="66"/>
      <c r="L90" s="66"/>
      <c r="M90" s="79" t="str">
        <f>HYPERLINK("https://pristavka.com/catalog/games-playstation-5/PSV165/")</f>
        <v>https://pristavka.com/catalog/games-playstation-5/PSV165/</v>
      </c>
      <c r="N90" s="71"/>
      <c r="O90" s="66" t="s">
        <v>28</v>
      </c>
      <c r="P90" s="82" t="s">
        <v>17252</v>
      </c>
      <c r="Q90" s="84"/>
      <c r="R90" s="84"/>
      <c r="S90" s="84">
        <v>0.08</v>
      </c>
      <c r="T90" s="82" t="s">
        <v>17043</v>
      </c>
      <c r="U90" s="84" t="s">
        <v>7499</v>
      </c>
      <c r="V90" s="54"/>
    </row>
    <row r="91" spans="1:22" s="11" customFormat="1" ht="12" customHeight="1" x14ac:dyDescent="0.2">
      <c r="A91" s="66" t="s">
        <v>166</v>
      </c>
      <c r="B91" s="66" t="s">
        <v>26</v>
      </c>
      <c r="C91" s="66" t="s">
        <v>16942</v>
      </c>
      <c r="D91" s="66" t="s">
        <v>17253</v>
      </c>
      <c r="E91" s="109" t="s">
        <v>17254</v>
      </c>
      <c r="F91" s="66" t="s">
        <v>17255</v>
      </c>
      <c r="G91" s="71">
        <v>0</v>
      </c>
      <c r="H91" s="73"/>
      <c r="I91" s="75">
        <v>0.2</v>
      </c>
      <c r="J91" s="77"/>
      <c r="K91" s="66"/>
      <c r="L91" s="66"/>
      <c r="M91" s="79" t="str">
        <f>HYPERLINK("https://pristavka.com/catalog/games-playstation-4/PSIV1326/")</f>
        <v>https://pristavka.com/catalog/games-playstation-4/PSIV1326/</v>
      </c>
      <c r="N91" s="71"/>
      <c r="O91" s="66" t="s">
        <v>27</v>
      </c>
      <c r="P91" s="82" t="s">
        <v>17256</v>
      </c>
      <c r="Q91" s="84"/>
      <c r="R91" s="84"/>
      <c r="S91" s="84">
        <v>0.11700000000000001</v>
      </c>
      <c r="T91" s="82" t="s">
        <v>17024</v>
      </c>
      <c r="U91" s="84" t="s">
        <v>7499</v>
      </c>
      <c r="V91" s="54"/>
    </row>
    <row r="92" spans="1:22" s="11" customFormat="1" ht="12" customHeight="1" x14ac:dyDescent="0.2">
      <c r="A92" s="66" t="s">
        <v>166</v>
      </c>
      <c r="B92" s="66" t="s">
        <v>26</v>
      </c>
      <c r="C92" s="66" t="s">
        <v>16942</v>
      </c>
      <c r="D92" s="66" t="s">
        <v>17257</v>
      </c>
      <c r="E92" s="109" t="s">
        <v>17258</v>
      </c>
      <c r="F92" s="66" t="s">
        <v>17259</v>
      </c>
      <c r="G92" s="71">
        <v>21261</v>
      </c>
      <c r="H92" s="73"/>
      <c r="I92" s="75">
        <v>0.2</v>
      </c>
      <c r="J92" s="77"/>
      <c r="K92" s="66"/>
      <c r="L92" s="66"/>
      <c r="M92" s="79" t="str">
        <f>HYPERLINK("https://pristavka.com/catalog/games-playstation-4/PSIV1367/")</f>
        <v>https://pristavka.com/catalog/games-playstation-4/PSIV1367/</v>
      </c>
      <c r="N92" s="71"/>
      <c r="O92" s="66" t="s">
        <v>27</v>
      </c>
      <c r="P92" s="82" t="s">
        <v>17260</v>
      </c>
      <c r="Q92" s="84"/>
      <c r="R92" s="84"/>
      <c r="S92" s="84">
        <v>8.3000000000000004E-2</v>
      </c>
      <c r="T92" s="82" t="s">
        <v>17024</v>
      </c>
      <c r="U92" s="84" t="s">
        <v>7499</v>
      </c>
      <c r="V92" s="54"/>
    </row>
    <row r="93" spans="1:22" s="11" customFormat="1" ht="12" customHeight="1" x14ac:dyDescent="0.2">
      <c r="A93" s="66" t="s">
        <v>166</v>
      </c>
      <c r="B93" s="66" t="s">
        <v>26</v>
      </c>
      <c r="C93" s="66" t="s">
        <v>16942</v>
      </c>
      <c r="D93" s="66" t="s">
        <v>17261</v>
      </c>
      <c r="E93" s="109" t="s">
        <v>17262</v>
      </c>
      <c r="F93" s="66" t="s">
        <v>17263</v>
      </c>
      <c r="G93" s="71">
        <v>0</v>
      </c>
      <c r="H93" s="73"/>
      <c r="I93" s="75">
        <v>0.2</v>
      </c>
      <c r="J93" s="77"/>
      <c r="K93" s="66"/>
      <c r="L93" s="66"/>
      <c r="M93" s="79" t="str">
        <f>HYPERLINK("https://pristavka.com/catalog/games-playstation-4/PSIV791/")</f>
        <v>https://pristavka.com/catalog/games-playstation-4/PSIV791/</v>
      </c>
      <c r="N93" s="71"/>
      <c r="O93" s="66" t="s">
        <v>27</v>
      </c>
      <c r="P93" s="82" t="s">
        <v>17264</v>
      </c>
      <c r="Q93" s="84"/>
      <c r="R93" s="84"/>
      <c r="S93" s="84">
        <v>0.114</v>
      </c>
      <c r="T93" s="82" t="s">
        <v>17024</v>
      </c>
      <c r="U93" s="84" t="s">
        <v>177</v>
      </c>
      <c r="V93" s="54"/>
    </row>
    <row r="94" spans="1:22" s="11" customFormat="1" ht="12" customHeight="1" x14ac:dyDescent="0.2">
      <c r="A94" s="66" t="s">
        <v>166</v>
      </c>
      <c r="B94" s="66" t="s">
        <v>26</v>
      </c>
      <c r="C94" s="66" t="s">
        <v>16942</v>
      </c>
      <c r="D94" s="66" t="s">
        <v>17220</v>
      </c>
      <c r="E94" s="109" t="s">
        <v>17265</v>
      </c>
      <c r="F94" s="66" t="s">
        <v>17266</v>
      </c>
      <c r="G94" s="71">
        <v>0</v>
      </c>
      <c r="H94" s="73"/>
      <c r="I94" s="75">
        <v>0.2</v>
      </c>
      <c r="J94" s="77"/>
      <c r="K94" s="66"/>
      <c r="L94" s="66"/>
      <c r="M94" s="79" t="str">
        <f>HYPERLINK("https://pristavka.com/catalog/games-playstation-4/PSIV793/")</f>
        <v>https://pristavka.com/catalog/games-playstation-4/PSIV793/</v>
      </c>
      <c r="N94" s="71"/>
      <c r="O94" s="66" t="s">
        <v>27</v>
      </c>
      <c r="P94" s="82" t="s">
        <v>17267</v>
      </c>
      <c r="Q94" s="84"/>
      <c r="R94" s="84"/>
      <c r="S94" s="84">
        <v>0.124</v>
      </c>
      <c r="T94" s="82" t="s">
        <v>17038</v>
      </c>
      <c r="U94" s="84" t="s">
        <v>7499</v>
      </c>
      <c r="V94" s="54"/>
    </row>
    <row r="95" spans="1:22" s="11" customFormat="1" ht="12" customHeight="1" x14ac:dyDescent="0.2">
      <c r="A95" s="66" t="s">
        <v>166</v>
      </c>
      <c r="B95" s="66" t="s">
        <v>26</v>
      </c>
      <c r="C95" s="66" t="s">
        <v>16942</v>
      </c>
      <c r="D95" s="66" t="s">
        <v>17268</v>
      </c>
      <c r="E95" s="109" t="s">
        <v>17269</v>
      </c>
      <c r="F95" s="66" t="s">
        <v>17270</v>
      </c>
      <c r="G95" s="71">
        <v>0</v>
      </c>
      <c r="H95" s="73"/>
      <c r="I95" s="75">
        <v>0.2</v>
      </c>
      <c r="J95" s="77"/>
      <c r="K95" s="66"/>
      <c r="L95" s="66"/>
      <c r="M95" s="79" t="str">
        <f>HYPERLINK("https://pristavka.com/catalog/games-playstation-4/PSIV794/")</f>
        <v>https://pristavka.com/catalog/games-playstation-4/PSIV794/</v>
      </c>
      <c r="N95" s="71"/>
      <c r="O95" s="66" t="s">
        <v>27</v>
      </c>
      <c r="P95" s="82" t="s">
        <v>17271</v>
      </c>
      <c r="Q95" s="84"/>
      <c r="R95" s="84"/>
      <c r="S95" s="84">
        <v>0.08</v>
      </c>
      <c r="T95" s="82" t="s">
        <v>17043</v>
      </c>
      <c r="U95" s="84" t="s">
        <v>7499</v>
      </c>
      <c r="V95" s="54"/>
    </row>
    <row r="96" spans="1:22" s="11" customFormat="1" ht="12" customHeight="1" x14ac:dyDescent="0.2">
      <c r="A96" s="66" t="s">
        <v>166</v>
      </c>
      <c r="B96" s="66" t="s">
        <v>26</v>
      </c>
      <c r="C96" s="66" t="s">
        <v>16942</v>
      </c>
      <c r="D96" s="66" t="s">
        <v>17272</v>
      </c>
      <c r="E96" s="109" t="s">
        <v>17273</v>
      </c>
      <c r="F96" s="66" t="s">
        <v>17274</v>
      </c>
      <c r="G96" s="71">
        <v>0</v>
      </c>
      <c r="H96" s="73"/>
      <c r="I96" s="75">
        <v>0.2</v>
      </c>
      <c r="J96" s="77"/>
      <c r="K96" s="66"/>
      <c r="L96" s="66"/>
      <c r="M96" s="79" t="str">
        <f>HYPERLINK("https://pristavka.com/catalog/games-playstation-4/PSIV1438/")</f>
        <v>https://pristavka.com/catalog/games-playstation-4/PSIV1438/</v>
      </c>
      <c r="N96" s="71"/>
      <c r="O96" s="66" t="s">
        <v>27</v>
      </c>
      <c r="P96" s="82" t="s">
        <v>17275</v>
      </c>
      <c r="Q96" s="84"/>
      <c r="R96" s="84"/>
      <c r="S96" s="84">
        <v>0.108</v>
      </c>
      <c r="T96" s="82" t="s">
        <v>17029</v>
      </c>
      <c r="U96" s="84" t="s">
        <v>52</v>
      </c>
      <c r="V96" s="54"/>
    </row>
    <row r="97" spans="1:22" s="11" customFormat="1" ht="12" customHeight="1" x14ac:dyDescent="0.2">
      <c r="A97" s="66" t="s">
        <v>166</v>
      </c>
      <c r="B97" s="66" t="s">
        <v>26</v>
      </c>
      <c r="C97" s="66" t="s">
        <v>16942</v>
      </c>
      <c r="D97" s="66" t="s">
        <v>17276</v>
      </c>
      <c r="E97" s="109" t="s">
        <v>17277</v>
      </c>
      <c r="F97" s="66" t="s">
        <v>17278</v>
      </c>
      <c r="G97" s="71">
        <v>20655</v>
      </c>
      <c r="H97" s="73"/>
      <c r="I97" s="75">
        <v>0.2</v>
      </c>
      <c r="J97" s="77"/>
      <c r="K97" s="66"/>
      <c r="L97" s="66"/>
      <c r="M97" s="79" t="str">
        <f>HYPERLINK("https://pristavka.com/catalog/games-playstation-4/PSIV889/")</f>
        <v>https://pristavka.com/catalog/games-playstation-4/PSIV889/</v>
      </c>
      <c r="N97" s="71"/>
      <c r="O97" s="66" t="s">
        <v>27</v>
      </c>
      <c r="P97" s="82" t="s">
        <v>17279</v>
      </c>
      <c r="Q97" s="84"/>
      <c r="R97" s="84"/>
      <c r="S97" s="84">
        <v>0.115</v>
      </c>
      <c r="T97" s="82" t="s">
        <v>17186</v>
      </c>
      <c r="U97" s="84" t="s">
        <v>17008</v>
      </c>
      <c r="V97" s="54"/>
    </row>
    <row r="98" spans="1:22" s="11" customFormat="1" ht="12" customHeight="1" x14ac:dyDescent="0.2">
      <c r="A98" s="66" t="s">
        <v>166</v>
      </c>
      <c r="B98" s="66" t="s">
        <v>26</v>
      </c>
      <c r="C98" s="66" t="s">
        <v>16942</v>
      </c>
      <c r="D98" s="66" t="s">
        <v>17280</v>
      </c>
      <c r="E98" s="109" t="s">
        <v>17281</v>
      </c>
      <c r="F98" s="66" t="s">
        <v>17282</v>
      </c>
      <c r="G98" s="71">
        <v>0</v>
      </c>
      <c r="H98" s="73"/>
      <c r="I98" s="75">
        <v>0.2</v>
      </c>
      <c r="J98" s="77"/>
      <c r="K98" s="66"/>
      <c r="L98" s="66"/>
      <c r="M98" s="79" t="str">
        <f>HYPERLINK("https://pristavka.com/catalog/games-playstation-4/PSIV1159/")</f>
        <v>https://pristavka.com/catalog/games-playstation-4/PSIV1159/</v>
      </c>
      <c r="N98" s="71"/>
      <c r="O98" s="66" t="s">
        <v>28</v>
      </c>
      <c r="P98" s="82" t="s">
        <v>17283</v>
      </c>
      <c r="Q98" s="84"/>
      <c r="R98" s="84"/>
      <c r="S98" s="84">
        <v>0.113</v>
      </c>
      <c r="T98" s="82" t="s">
        <v>17186</v>
      </c>
      <c r="U98" s="84" t="s">
        <v>52</v>
      </c>
      <c r="V98" s="54"/>
    </row>
    <row r="99" spans="1:22" s="11" customFormat="1" ht="12" customHeight="1" x14ac:dyDescent="0.2">
      <c r="A99" s="66" t="s">
        <v>166</v>
      </c>
      <c r="B99" s="66" t="s">
        <v>26</v>
      </c>
      <c r="C99" s="66" t="s">
        <v>16942</v>
      </c>
      <c r="D99" s="66" t="s">
        <v>17284</v>
      </c>
      <c r="E99" s="109" t="s">
        <v>17285</v>
      </c>
      <c r="F99" s="66" t="s">
        <v>17286</v>
      </c>
      <c r="G99" s="71">
        <v>0</v>
      </c>
      <c r="H99" s="73"/>
      <c r="I99" s="75">
        <v>0.2</v>
      </c>
      <c r="J99" s="77"/>
      <c r="K99" s="66"/>
      <c r="L99" s="66"/>
      <c r="M99" s="79" t="str">
        <f>HYPERLINK("https://pristavka.com/catalog/games-playstation-4/PSIV1506/")</f>
        <v>https://pristavka.com/catalog/games-playstation-4/PSIV1506/</v>
      </c>
      <c r="N99" s="71"/>
      <c r="O99" s="66" t="s">
        <v>27</v>
      </c>
      <c r="P99" s="82" t="s">
        <v>17287</v>
      </c>
      <c r="Q99" s="84"/>
      <c r="R99" s="84"/>
      <c r="S99" s="84">
        <v>0.12</v>
      </c>
      <c r="T99" s="82" t="s">
        <v>17038</v>
      </c>
      <c r="U99" s="84" t="s">
        <v>177</v>
      </c>
      <c r="V99" s="54"/>
    </row>
    <row r="100" spans="1:22" s="11" customFormat="1" ht="12" customHeight="1" x14ac:dyDescent="0.2">
      <c r="A100" s="66" t="s">
        <v>166</v>
      </c>
      <c r="B100" s="66" t="s">
        <v>26</v>
      </c>
      <c r="C100" s="66" t="s">
        <v>16942</v>
      </c>
      <c r="D100" s="66" t="s">
        <v>17288</v>
      </c>
      <c r="E100" s="109" t="s">
        <v>17289</v>
      </c>
      <c r="F100" s="66" t="s">
        <v>17290</v>
      </c>
      <c r="G100" s="71">
        <v>0</v>
      </c>
      <c r="H100" s="73"/>
      <c r="I100" s="75">
        <v>0.2</v>
      </c>
      <c r="J100" s="77"/>
      <c r="K100" s="66"/>
      <c r="L100" s="66"/>
      <c r="M100" s="79" t="str">
        <f>HYPERLINK("https://pristavka.com/catalog/games-playstation-4/PSIV1449/")</f>
        <v>https://pristavka.com/catalog/games-playstation-4/PSIV1449/</v>
      </c>
      <c r="N100" s="71"/>
      <c r="O100" s="66" t="s">
        <v>28</v>
      </c>
      <c r="P100" s="82" t="s">
        <v>17291</v>
      </c>
      <c r="Q100" s="84"/>
      <c r="R100" s="84"/>
      <c r="S100" s="84">
        <v>7.9000000000000001E-2</v>
      </c>
      <c r="T100" s="82" t="s">
        <v>17029</v>
      </c>
      <c r="U100" s="84" t="s">
        <v>17008</v>
      </c>
      <c r="V100" s="54"/>
    </row>
    <row r="101" spans="1:22" s="11" customFormat="1" ht="12" customHeight="1" x14ac:dyDescent="0.2">
      <c r="A101" s="66" t="s">
        <v>166</v>
      </c>
      <c r="B101" s="66" t="s">
        <v>26</v>
      </c>
      <c r="C101" s="66" t="s">
        <v>16942</v>
      </c>
      <c r="D101" s="66" t="s">
        <v>17292</v>
      </c>
      <c r="E101" s="109" t="s">
        <v>17293</v>
      </c>
      <c r="F101" s="66" t="s">
        <v>17294</v>
      </c>
      <c r="G101" s="71">
        <v>0</v>
      </c>
      <c r="H101" s="73"/>
      <c r="I101" s="75">
        <v>0.2</v>
      </c>
      <c r="J101" s="77"/>
      <c r="K101" s="66"/>
      <c r="L101" s="66"/>
      <c r="M101" s="79" t="str">
        <f>HYPERLINK("https://pristavka.com/catalog/games-playstation-4/PSIV797/")</f>
        <v>https://pristavka.com/catalog/games-playstation-4/PSIV797/</v>
      </c>
      <c r="N101" s="71"/>
      <c r="O101" s="66" t="s">
        <v>27</v>
      </c>
      <c r="P101" s="82" t="s">
        <v>17295</v>
      </c>
      <c r="Q101" s="84"/>
      <c r="R101" s="84"/>
      <c r="S101" s="84">
        <v>0.09</v>
      </c>
      <c r="T101" s="82" t="s">
        <v>17043</v>
      </c>
      <c r="U101" s="84" t="s">
        <v>52</v>
      </c>
      <c r="V101" s="54"/>
    </row>
    <row r="102" spans="1:22" s="11" customFormat="1" ht="12" customHeight="1" x14ac:dyDescent="0.2">
      <c r="A102" s="66" t="s">
        <v>166</v>
      </c>
      <c r="B102" s="66" t="s">
        <v>26</v>
      </c>
      <c r="C102" s="66" t="s">
        <v>16942</v>
      </c>
      <c r="D102" s="66" t="s">
        <v>17296</v>
      </c>
      <c r="E102" s="109" t="s">
        <v>17297</v>
      </c>
      <c r="F102" s="66" t="s">
        <v>17298</v>
      </c>
      <c r="G102" s="71">
        <v>0</v>
      </c>
      <c r="H102" s="73"/>
      <c r="I102" s="75">
        <v>0.2</v>
      </c>
      <c r="J102" s="77"/>
      <c r="K102" s="66"/>
      <c r="L102" s="66"/>
      <c r="M102" s="79" t="str">
        <f>HYPERLINK("https://pristavka.com/catalog/games-playstation-4/PSIV1275/")</f>
        <v>https://pristavka.com/catalog/games-playstation-4/PSIV1275/</v>
      </c>
      <c r="N102" s="71"/>
      <c r="O102" s="66" t="s">
        <v>27</v>
      </c>
      <c r="P102" s="82" t="s">
        <v>17299</v>
      </c>
      <c r="Q102" s="84"/>
      <c r="R102" s="84"/>
      <c r="S102" s="84">
        <v>8.8999999999999996E-2</v>
      </c>
      <c r="T102" s="82" t="s">
        <v>17024</v>
      </c>
      <c r="U102" s="84" t="s">
        <v>177</v>
      </c>
      <c r="V102" s="54"/>
    </row>
    <row r="103" spans="1:22" s="11" customFormat="1" ht="12" customHeight="1" x14ac:dyDescent="0.2">
      <c r="A103" s="66" t="s">
        <v>166</v>
      </c>
      <c r="B103" s="66" t="s">
        <v>26</v>
      </c>
      <c r="C103" s="66" t="s">
        <v>16942</v>
      </c>
      <c r="D103" s="66" t="s">
        <v>26</v>
      </c>
      <c r="E103" s="109" t="s">
        <v>17300</v>
      </c>
      <c r="F103" s="66" t="s">
        <v>17301</v>
      </c>
      <c r="G103" s="71">
        <v>0</v>
      </c>
      <c r="H103" s="73"/>
      <c r="I103" s="75">
        <v>0.2</v>
      </c>
      <c r="J103" s="77"/>
      <c r="K103" s="66"/>
      <c r="L103" s="66"/>
      <c r="M103" s="96"/>
      <c r="N103" s="71"/>
      <c r="O103" s="66" t="s">
        <v>27</v>
      </c>
      <c r="P103" s="82" t="s">
        <v>17302</v>
      </c>
      <c r="Q103" s="84"/>
      <c r="R103" s="84"/>
      <c r="S103" s="84">
        <v>8.2000000000000003E-2</v>
      </c>
      <c r="T103" s="82" t="s">
        <v>17043</v>
      </c>
      <c r="U103" s="84" t="s">
        <v>17008</v>
      </c>
      <c r="V103" s="54"/>
    </row>
    <row r="104" spans="1:22" s="11" customFormat="1" ht="12" customHeight="1" x14ac:dyDescent="0.2">
      <c r="A104" s="66" t="s">
        <v>166</v>
      </c>
      <c r="B104" s="66" t="s">
        <v>26</v>
      </c>
      <c r="C104" s="66" t="s">
        <v>16942</v>
      </c>
      <c r="D104" s="66" t="s">
        <v>17303</v>
      </c>
      <c r="E104" s="109" t="s">
        <v>17304</v>
      </c>
      <c r="F104" s="66" t="s">
        <v>17305</v>
      </c>
      <c r="G104" s="71">
        <v>0</v>
      </c>
      <c r="H104" s="73"/>
      <c r="I104" s="75">
        <v>0.2</v>
      </c>
      <c r="J104" s="77"/>
      <c r="K104" s="66"/>
      <c r="L104" s="66"/>
      <c r="M104" s="79" t="str">
        <f>HYPERLINK("https://pristavka.com/catalog/games-playstation-4/PSIV1307/")</f>
        <v>https://pristavka.com/catalog/games-playstation-4/PSIV1307/</v>
      </c>
      <c r="N104" s="71"/>
      <c r="O104" s="66" t="s">
        <v>28</v>
      </c>
      <c r="P104" s="82" t="s">
        <v>17306</v>
      </c>
      <c r="Q104" s="84"/>
      <c r="R104" s="84"/>
      <c r="S104" s="84">
        <v>0.08</v>
      </c>
      <c r="T104" s="82" t="s">
        <v>17043</v>
      </c>
      <c r="U104" s="84" t="s">
        <v>7499</v>
      </c>
      <c r="V104" s="54"/>
    </row>
    <row r="105" spans="1:22" s="11" customFormat="1" ht="12" customHeight="1" x14ac:dyDescent="0.2">
      <c r="A105" s="66" t="s">
        <v>166</v>
      </c>
      <c r="B105" s="66" t="s">
        <v>26</v>
      </c>
      <c r="C105" s="66" t="s">
        <v>16942</v>
      </c>
      <c r="D105" s="66">
        <v>226012</v>
      </c>
      <c r="E105" s="109" t="s">
        <v>17307</v>
      </c>
      <c r="F105" s="66" t="s">
        <v>17308</v>
      </c>
      <c r="G105" s="71">
        <v>0</v>
      </c>
      <c r="H105" s="73"/>
      <c r="I105" s="75">
        <v>0.2</v>
      </c>
      <c r="J105" s="77"/>
      <c r="K105" s="66"/>
      <c r="L105" s="66"/>
      <c r="M105" s="79" t="str">
        <f>HYPERLINK("https://pristavka.com/catalog/games-playstation-4/PSIV798/")</f>
        <v>https://pristavka.com/catalog/games-playstation-4/PSIV798/</v>
      </c>
      <c r="N105" s="71"/>
      <c r="O105" s="66" t="s">
        <v>27</v>
      </c>
      <c r="P105" s="82" t="s">
        <v>17309</v>
      </c>
      <c r="Q105" s="84"/>
      <c r="R105" s="84"/>
      <c r="S105" s="84">
        <v>8.1000000000000003E-2</v>
      </c>
      <c r="T105" s="82" t="s">
        <v>17024</v>
      </c>
      <c r="U105" s="84"/>
      <c r="V105" s="54"/>
    </row>
    <row r="106" spans="1:22" s="11" customFormat="1" ht="12" customHeight="1" x14ac:dyDescent="0.2">
      <c r="A106" s="66" t="s">
        <v>166</v>
      </c>
      <c r="B106" s="66" t="s">
        <v>26</v>
      </c>
      <c r="C106" s="66" t="s">
        <v>16942</v>
      </c>
      <c r="D106" s="66" t="s">
        <v>17310</v>
      </c>
      <c r="E106" s="109" t="s">
        <v>17311</v>
      </c>
      <c r="F106" s="66" t="s">
        <v>17312</v>
      </c>
      <c r="G106" s="71">
        <v>0</v>
      </c>
      <c r="H106" s="73"/>
      <c r="I106" s="75">
        <v>0.2</v>
      </c>
      <c r="J106" s="77"/>
      <c r="K106" s="66"/>
      <c r="L106" s="66"/>
      <c r="M106" s="79" t="str">
        <f>HYPERLINK("https://pristavka.com/catalog/games-playstation-4/PSIV1246/")</f>
        <v>https://pristavka.com/catalog/games-playstation-4/PSIV1246/</v>
      </c>
      <c r="N106" s="71"/>
      <c r="O106" s="66" t="s">
        <v>27</v>
      </c>
      <c r="P106" s="82" t="s">
        <v>17313</v>
      </c>
      <c r="Q106" s="84"/>
      <c r="R106" s="84"/>
      <c r="S106" s="84">
        <v>8.5000000000000006E-2</v>
      </c>
      <c r="T106" s="82" t="s">
        <v>17043</v>
      </c>
      <c r="U106" s="84" t="s">
        <v>52</v>
      </c>
      <c r="V106" s="54"/>
    </row>
    <row r="107" spans="1:22" s="11" customFormat="1" ht="12" customHeight="1" x14ac:dyDescent="0.2">
      <c r="A107" s="66" t="s">
        <v>166</v>
      </c>
      <c r="B107" s="66" t="s">
        <v>26</v>
      </c>
      <c r="C107" s="66" t="s">
        <v>16942</v>
      </c>
      <c r="D107" s="66" t="s">
        <v>26</v>
      </c>
      <c r="E107" s="109" t="s">
        <v>17314</v>
      </c>
      <c r="F107" s="66" t="s">
        <v>17315</v>
      </c>
      <c r="G107" s="71">
        <v>0</v>
      </c>
      <c r="H107" s="73"/>
      <c r="I107" s="75">
        <v>0.2</v>
      </c>
      <c r="J107" s="77"/>
      <c r="K107" s="66"/>
      <c r="L107" s="66"/>
      <c r="M107" s="79" t="str">
        <f>HYPERLINK("https://pristavka.com/catalog/games-playstation-4/PSIV993/")</f>
        <v>https://pristavka.com/catalog/games-playstation-4/PSIV993/</v>
      </c>
      <c r="N107" s="71"/>
      <c r="O107" s="66" t="s">
        <v>27</v>
      </c>
      <c r="P107" s="82" t="s">
        <v>17316</v>
      </c>
      <c r="Q107" s="84"/>
      <c r="R107" s="84"/>
      <c r="S107" s="84">
        <v>8.5000000000000006E-2</v>
      </c>
      <c r="T107" s="82" t="s">
        <v>17024</v>
      </c>
      <c r="U107" s="84"/>
      <c r="V107" s="54"/>
    </row>
    <row r="108" spans="1:22" s="11" customFormat="1" ht="12" customHeight="1" x14ac:dyDescent="0.2">
      <c r="A108" s="66" t="s">
        <v>166</v>
      </c>
      <c r="B108" s="66" t="s">
        <v>26</v>
      </c>
      <c r="C108" s="66" t="s">
        <v>16942</v>
      </c>
      <c r="D108" s="66" t="s">
        <v>17317</v>
      </c>
      <c r="E108" s="109" t="s">
        <v>17318</v>
      </c>
      <c r="F108" s="66" t="s">
        <v>17319</v>
      </c>
      <c r="G108" s="71">
        <v>0</v>
      </c>
      <c r="H108" s="73"/>
      <c r="I108" s="75">
        <v>0.2</v>
      </c>
      <c r="J108" s="77"/>
      <c r="K108" s="66"/>
      <c r="L108" s="66"/>
      <c r="M108" s="96"/>
      <c r="N108" s="71"/>
      <c r="O108" s="66" t="s">
        <v>27</v>
      </c>
      <c r="P108" s="82" t="s">
        <v>17320</v>
      </c>
      <c r="Q108" s="84"/>
      <c r="R108" s="84"/>
      <c r="S108" s="84">
        <v>7.8E-2</v>
      </c>
      <c r="T108" s="82" t="s">
        <v>17038</v>
      </c>
      <c r="U108" s="84" t="s">
        <v>7499</v>
      </c>
      <c r="V108" s="54"/>
    </row>
    <row r="109" spans="1:22" s="11" customFormat="1" ht="12" customHeight="1" x14ac:dyDescent="0.2">
      <c r="A109" s="66" t="s">
        <v>166</v>
      </c>
      <c r="B109" s="66" t="s">
        <v>26</v>
      </c>
      <c r="C109" s="66" t="s">
        <v>16942</v>
      </c>
      <c r="D109" s="66" t="s">
        <v>17321</v>
      </c>
      <c r="E109" s="109" t="s">
        <v>17322</v>
      </c>
      <c r="F109" s="66" t="s">
        <v>17323</v>
      </c>
      <c r="G109" s="71">
        <v>0</v>
      </c>
      <c r="H109" s="73"/>
      <c r="I109" s="75">
        <v>0.2</v>
      </c>
      <c r="J109" s="77"/>
      <c r="K109" s="66"/>
      <c r="L109" s="66"/>
      <c r="M109" s="79" t="str">
        <f>HYPERLINK("https://pristavka.com/catalog/games-playstation-4/PSIV1501/")</f>
        <v>https://pristavka.com/catalog/games-playstation-4/PSIV1501/</v>
      </c>
      <c r="N109" s="71"/>
      <c r="O109" s="66" t="s">
        <v>28</v>
      </c>
      <c r="P109" s="82" t="s">
        <v>17324</v>
      </c>
      <c r="Q109" s="84"/>
      <c r="R109" s="84"/>
      <c r="S109" s="84">
        <v>7.9000000000000001E-2</v>
      </c>
      <c r="T109" s="82" t="s">
        <v>17029</v>
      </c>
      <c r="U109" s="84" t="s">
        <v>52</v>
      </c>
      <c r="V109" s="54"/>
    </row>
    <row r="110" spans="1:22" s="11" customFormat="1" ht="12" customHeight="1" x14ac:dyDescent="0.2">
      <c r="A110" s="66" t="s">
        <v>166</v>
      </c>
      <c r="B110" s="66" t="s">
        <v>26</v>
      </c>
      <c r="C110" s="66" t="s">
        <v>16942</v>
      </c>
      <c r="D110" s="66" t="s">
        <v>17325</v>
      </c>
      <c r="E110" s="109" t="s">
        <v>17326</v>
      </c>
      <c r="F110" s="66" t="s">
        <v>17327</v>
      </c>
      <c r="G110" s="71">
        <v>0</v>
      </c>
      <c r="H110" s="73"/>
      <c r="I110" s="75">
        <v>0.2</v>
      </c>
      <c r="J110" s="77"/>
      <c r="K110" s="66"/>
      <c r="L110" s="66"/>
      <c r="M110" s="79" t="str">
        <f>HYPERLINK("https://pristavka.com/catalog/games-playstation-4/PSIV1437/")</f>
        <v>https://pristavka.com/catalog/games-playstation-4/PSIV1437/</v>
      </c>
      <c r="N110" s="71"/>
      <c r="O110" s="66" t="s">
        <v>27</v>
      </c>
      <c r="P110" s="82" t="s">
        <v>17328</v>
      </c>
      <c r="Q110" s="84"/>
      <c r="R110" s="84"/>
      <c r="S110" s="84">
        <v>8.1000000000000003E-2</v>
      </c>
      <c r="T110" s="82" t="s">
        <v>17024</v>
      </c>
      <c r="U110" s="84" t="s">
        <v>52</v>
      </c>
      <c r="V110" s="54"/>
    </row>
    <row r="111" spans="1:22" s="11" customFormat="1" ht="12" customHeight="1" x14ac:dyDescent="0.2">
      <c r="A111" s="66" t="s">
        <v>166</v>
      </c>
      <c r="B111" s="66" t="s">
        <v>26</v>
      </c>
      <c r="C111" s="66" t="s">
        <v>16942</v>
      </c>
      <c r="D111" s="66" t="s">
        <v>17329</v>
      </c>
      <c r="E111" s="109" t="s">
        <v>17330</v>
      </c>
      <c r="F111" s="66" t="s">
        <v>17331</v>
      </c>
      <c r="G111" s="71">
        <v>0</v>
      </c>
      <c r="H111" s="73"/>
      <c r="I111" s="75">
        <v>0.2</v>
      </c>
      <c r="J111" s="77"/>
      <c r="K111" s="66"/>
      <c r="L111" s="66"/>
      <c r="M111" s="79" t="str">
        <f>HYPERLINK("https://pristavka.com/catalog/games-playstation-4/PSIV802/")</f>
        <v>https://pristavka.com/catalog/games-playstation-4/PSIV802/</v>
      </c>
      <c r="N111" s="71"/>
      <c r="O111" s="66" t="s">
        <v>27</v>
      </c>
      <c r="P111" s="82" t="s">
        <v>17332</v>
      </c>
      <c r="Q111" s="84"/>
      <c r="R111" s="84"/>
      <c r="S111" s="84">
        <v>0.09</v>
      </c>
      <c r="T111" s="82" t="s">
        <v>17087</v>
      </c>
      <c r="U111" s="84" t="s">
        <v>177</v>
      </c>
      <c r="V111" s="54"/>
    </row>
    <row r="112" spans="1:22" s="11" customFormat="1" ht="12" customHeight="1" x14ac:dyDescent="0.2">
      <c r="A112" s="66" t="s">
        <v>166</v>
      </c>
      <c r="B112" s="66" t="s">
        <v>26</v>
      </c>
      <c r="C112" s="66" t="s">
        <v>16942</v>
      </c>
      <c r="D112" s="66" t="s">
        <v>17333</v>
      </c>
      <c r="E112" s="109" t="s">
        <v>17334</v>
      </c>
      <c r="F112" s="66" t="s">
        <v>17335</v>
      </c>
      <c r="G112" s="71">
        <v>0</v>
      </c>
      <c r="H112" s="73"/>
      <c r="I112" s="75">
        <v>0.2</v>
      </c>
      <c r="J112" s="77"/>
      <c r="K112" s="66"/>
      <c r="L112" s="66"/>
      <c r="M112" s="96"/>
      <c r="N112" s="71"/>
      <c r="O112" s="66" t="s">
        <v>27</v>
      </c>
      <c r="P112" s="82" t="s">
        <v>17336</v>
      </c>
      <c r="Q112" s="84"/>
      <c r="R112" s="84"/>
      <c r="S112" s="84">
        <v>9.2999999999999999E-2</v>
      </c>
      <c r="T112" s="82" t="s">
        <v>17043</v>
      </c>
      <c r="U112" s="84" t="s">
        <v>177</v>
      </c>
      <c r="V112" s="54"/>
    </row>
    <row r="113" spans="1:22" s="11" customFormat="1" ht="12" customHeight="1" x14ac:dyDescent="0.2">
      <c r="A113" s="66" t="s">
        <v>166</v>
      </c>
      <c r="B113" s="66" t="s">
        <v>26</v>
      </c>
      <c r="C113" s="66" t="s">
        <v>16942</v>
      </c>
      <c r="D113" s="66" t="s">
        <v>17337</v>
      </c>
      <c r="E113" s="109" t="s">
        <v>17338</v>
      </c>
      <c r="F113" s="66" t="s">
        <v>17339</v>
      </c>
      <c r="G113" s="71">
        <v>0</v>
      </c>
      <c r="H113" s="73"/>
      <c r="I113" s="75">
        <v>0.2</v>
      </c>
      <c r="J113" s="77"/>
      <c r="K113" s="66"/>
      <c r="L113" s="66"/>
      <c r="M113" s="79" t="str">
        <f>HYPERLINK("https://pristavka.com/catalog/games-playstation-4/PSIV805/")</f>
        <v>https://pristavka.com/catalog/games-playstation-4/PSIV805/</v>
      </c>
      <c r="N113" s="71"/>
      <c r="O113" s="66" t="s">
        <v>28</v>
      </c>
      <c r="P113" s="82" t="s">
        <v>17340</v>
      </c>
      <c r="Q113" s="84"/>
      <c r="R113" s="84"/>
      <c r="S113" s="84">
        <v>9.2999999999999999E-2</v>
      </c>
      <c r="T113" s="82" t="s">
        <v>17043</v>
      </c>
      <c r="U113" s="84" t="s">
        <v>52</v>
      </c>
      <c r="V113" s="54"/>
    </row>
    <row r="114" spans="1:22" s="11" customFormat="1" ht="12" customHeight="1" x14ac:dyDescent="0.2">
      <c r="A114" s="66" t="s">
        <v>166</v>
      </c>
      <c r="B114" s="66" t="s">
        <v>26</v>
      </c>
      <c r="C114" s="66" t="s">
        <v>16942</v>
      </c>
      <c r="D114" s="66" t="s">
        <v>17341</v>
      </c>
      <c r="E114" s="109" t="s">
        <v>17342</v>
      </c>
      <c r="F114" s="66" t="s">
        <v>17343</v>
      </c>
      <c r="G114" s="71">
        <v>0</v>
      </c>
      <c r="H114" s="73"/>
      <c r="I114" s="75">
        <v>0.2</v>
      </c>
      <c r="J114" s="77"/>
      <c r="K114" s="66"/>
      <c r="L114" s="66"/>
      <c r="M114" s="79" t="str">
        <f>HYPERLINK("https://pristavka.com/catalog/games-playstation-4/PSIV807/")</f>
        <v>https://pristavka.com/catalog/games-playstation-4/PSIV807/</v>
      </c>
      <c r="N114" s="71"/>
      <c r="O114" s="66" t="s">
        <v>27</v>
      </c>
      <c r="P114" s="82" t="s">
        <v>17344</v>
      </c>
      <c r="Q114" s="84"/>
      <c r="R114" s="84"/>
      <c r="S114" s="84">
        <v>9.5000000000000001E-2</v>
      </c>
      <c r="T114" s="82" t="s">
        <v>17024</v>
      </c>
      <c r="U114" s="84" t="s">
        <v>177</v>
      </c>
      <c r="V114" s="54"/>
    </row>
    <row r="115" spans="1:22" s="11" customFormat="1" ht="12" customHeight="1" x14ac:dyDescent="0.2">
      <c r="A115" s="66" t="s">
        <v>166</v>
      </c>
      <c r="B115" s="66" t="s">
        <v>26</v>
      </c>
      <c r="C115" s="66" t="s">
        <v>16942</v>
      </c>
      <c r="D115" s="66" t="s">
        <v>17345</v>
      </c>
      <c r="E115" s="109" t="s">
        <v>17346</v>
      </c>
      <c r="F115" s="66" t="s">
        <v>17347</v>
      </c>
      <c r="G115" s="71">
        <v>0</v>
      </c>
      <c r="H115" s="73"/>
      <c r="I115" s="75">
        <v>0.2</v>
      </c>
      <c r="J115" s="77"/>
      <c r="K115" s="66"/>
      <c r="L115" s="66"/>
      <c r="M115" s="79" t="str">
        <f>HYPERLINK("https://pristavka.com/catalog/games-playstation-4/PSIV808/")</f>
        <v>https://pristavka.com/catalog/games-playstation-4/PSIV808/</v>
      </c>
      <c r="N115" s="71"/>
      <c r="O115" s="66" t="s">
        <v>27</v>
      </c>
      <c r="P115" s="82" t="s">
        <v>17348</v>
      </c>
      <c r="Q115" s="84"/>
      <c r="R115" s="84"/>
      <c r="S115" s="84">
        <v>8.2000000000000003E-2</v>
      </c>
      <c r="T115" s="82" t="s">
        <v>17038</v>
      </c>
      <c r="U115" s="84" t="s">
        <v>177</v>
      </c>
      <c r="V115" s="54"/>
    </row>
    <row r="116" spans="1:22" s="11" customFormat="1" ht="12" customHeight="1" x14ac:dyDescent="0.2">
      <c r="A116" s="66" t="s">
        <v>166</v>
      </c>
      <c r="B116" s="66" t="s">
        <v>26</v>
      </c>
      <c r="C116" s="66" t="s">
        <v>16942</v>
      </c>
      <c r="D116" s="66" t="s">
        <v>17349</v>
      </c>
      <c r="E116" s="109" t="s">
        <v>17350</v>
      </c>
      <c r="F116" s="66" t="s">
        <v>17351</v>
      </c>
      <c r="G116" s="71">
        <v>0</v>
      </c>
      <c r="H116" s="73"/>
      <c r="I116" s="75">
        <v>0.2</v>
      </c>
      <c r="J116" s="77"/>
      <c r="K116" s="66"/>
      <c r="L116" s="66"/>
      <c r="M116" s="79" t="str">
        <f>HYPERLINK("https://pristavka.com/catalog/games-playstation-4/PSIV809/")</f>
        <v>https://pristavka.com/catalog/games-playstation-4/PSIV809/</v>
      </c>
      <c r="N116" s="71"/>
      <c r="O116" s="66" t="s">
        <v>27</v>
      </c>
      <c r="P116" s="82" t="s">
        <v>17352</v>
      </c>
      <c r="Q116" s="84"/>
      <c r="R116" s="84"/>
      <c r="S116" s="84">
        <v>8.2000000000000003E-2</v>
      </c>
      <c r="T116" s="82" t="s">
        <v>17038</v>
      </c>
      <c r="U116" s="84" t="s">
        <v>177</v>
      </c>
      <c r="V116" s="54"/>
    </row>
    <row r="117" spans="1:22" s="11" customFormat="1" ht="12" customHeight="1" x14ac:dyDescent="0.2">
      <c r="A117" s="66" t="s">
        <v>166</v>
      </c>
      <c r="B117" s="66" t="s">
        <v>26</v>
      </c>
      <c r="C117" s="66" t="s">
        <v>16942</v>
      </c>
      <c r="D117" s="66" t="s">
        <v>17353</v>
      </c>
      <c r="E117" s="109" t="s">
        <v>17354</v>
      </c>
      <c r="F117" s="66" t="s">
        <v>17355</v>
      </c>
      <c r="G117" s="71">
        <v>0</v>
      </c>
      <c r="H117" s="73"/>
      <c r="I117" s="75">
        <v>0.2</v>
      </c>
      <c r="J117" s="77"/>
      <c r="K117" s="66"/>
      <c r="L117" s="66"/>
      <c r="M117" s="96"/>
      <c r="N117" s="71"/>
      <c r="O117" s="66" t="s">
        <v>27</v>
      </c>
      <c r="P117" s="82" t="s">
        <v>17356</v>
      </c>
      <c r="Q117" s="84"/>
      <c r="R117" s="84"/>
      <c r="S117" s="84">
        <v>9.1999999999999998E-2</v>
      </c>
      <c r="T117" s="82" t="s">
        <v>17087</v>
      </c>
      <c r="U117" s="84" t="s">
        <v>177</v>
      </c>
      <c r="V117" s="54"/>
    </row>
    <row r="118" spans="1:22" s="11" customFormat="1" ht="12" customHeight="1" x14ac:dyDescent="0.2">
      <c r="A118" s="66" t="s">
        <v>166</v>
      </c>
      <c r="B118" s="66" t="s">
        <v>26</v>
      </c>
      <c r="C118" s="66" t="s">
        <v>16942</v>
      </c>
      <c r="D118" s="66" t="s">
        <v>17357</v>
      </c>
      <c r="E118" s="109" t="s">
        <v>17358</v>
      </c>
      <c r="F118" s="66" t="s">
        <v>17359</v>
      </c>
      <c r="G118" s="71">
        <v>0</v>
      </c>
      <c r="H118" s="73"/>
      <c r="I118" s="75">
        <v>0.2</v>
      </c>
      <c r="J118" s="77"/>
      <c r="K118" s="66"/>
      <c r="L118" s="66"/>
      <c r="M118" s="79" t="str">
        <f>HYPERLINK("https://pristavka.com/catalog/games-playstation-4/PSIV811/")</f>
        <v>https://pristavka.com/catalog/games-playstation-4/PSIV811/</v>
      </c>
      <c r="N118" s="71"/>
      <c r="O118" s="66" t="s">
        <v>27</v>
      </c>
      <c r="P118" s="82" t="s">
        <v>17360</v>
      </c>
      <c r="Q118" s="84"/>
      <c r="R118" s="84"/>
      <c r="S118" s="84">
        <v>8.5000000000000006E-2</v>
      </c>
      <c r="T118" s="82" t="s">
        <v>17024</v>
      </c>
      <c r="U118" s="84" t="s">
        <v>177</v>
      </c>
      <c r="V118" s="54"/>
    </row>
    <row r="119" spans="1:22" s="45" customFormat="1" ht="12" customHeight="1" x14ac:dyDescent="0.2">
      <c r="A119" s="67" t="s">
        <v>166</v>
      </c>
      <c r="B119" s="67" t="s">
        <v>26</v>
      </c>
      <c r="C119" s="67" t="s">
        <v>16942</v>
      </c>
      <c r="D119" s="67" t="s">
        <v>17361</v>
      </c>
      <c r="E119" s="110" t="s">
        <v>17362</v>
      </c>
      <c r="F119" s="67" t="s">
        <v>17363</v>
      </c>
      <c r="G119" s="72">
        <v>0</v>
      </c>
      <c r="H119" s="74"/>
      <c r="I119" s="76">
        <v>0.2</v>
      </c>
      <c r="J119" s="77"/>
      <c r="K119" s="67" t="s">
        <v>129</v>
      </c>
      <c r="L119" s="67"/>
      <c r="M119" s="79" t="str">
        <f>HYPERLINK("https://pristavka.com/catalog/games-playstation-4/PSIV1246/")</f>
        <v>https://pristavka.com/catalog/games-playstation-4/PSIV1246/</v>
      </c>
      <c r="N119" s="72"/>
      <c r="O119" s="67" t="s">
        <v>27</v>
      </c>
      <c r="P119" s="83" t="s">
        <v>17364</v>
      </c>
      <c r="Q119" s="85"/>
      <c r="R119" s="85"/>
      <c r="S119" s="85">
        <v>0.09</v>
      </c>
      <c r="T119" s="83" t="s">
        <v>17038</v>
      </c>
      <c r="U119" s="85" t="s">
        <v>52</v>
      </c>
      <c r="V119" s="55"/>
    </row>
    <row r="120" spans="1:22" s="11" customFormat="1" ht="12" customHeight="1" x14ac:dyDescent="0.2">
      <c r="A120" s="66" t="s">
        <v>166</v>
      </c>
      <c r="B120" s="66" t="s">
        <v>26</v>
      </c>
      <c r="C120" s="66" t="s">
        <v>16942</v>
      </c>
      <c r="D120" s="66" t="s">
        <v>17365</v>
      </c>
      <c r="E120" s="109" t="s">
        <v>17366</v>
      </c>
      <c r="F120" s="66" t="s">
        <v>17367</v>
      </c>
      <c r="G120" s="71">
        <v>0</v>
      </c>
      <c r="H120" s="73"/>
      <c r="I120" s="75">
        <v>0.2</v>
      </c>
      <c r="J120" s="77"/>
      <c r="K120" s="66"/>
      <c r="L120" s="66"/>
      <c r="M120" s="79" t="str">
        <f>HYPERLINK("https://pristavka.com/catalog/games-playstation-4/PSIV817/")</f>
        <v>https://pristavka.com/catalog/games-playstation-4/PSIV817/</v>
      </c>
      <c r="N120" s="71"/>
      <c r="O120" s="66" t="s">
        <v>27</v>
      </c>
      <c r="P120" s="82" t="s">
        <v>17368</v>
      </c>
      <c r="Q120" s="84"/>
      <c r="R120" s="84"/>
      <c r="S120" s="84">
        <v>8.5000000000000006E-2</v>
      </c>
      <c r="T120" s="82" t="s">
        <v>17043</v>
      </c>
      <c r="U120" s="84"/>
      <c r="V120" s="54"/>
    </row>
    <row r="121" spans="1:22" s="11" customFormat="1" ht="12" customHeight="1" x14ac:dyDescent="0.2">
      <c r="A121" s="66" t="s">
        <v>166</v>
      </c>
      <c r="B121" s="66" t="s">
        <v>26</v>
      </c>
      <c r="C121" s="66" t="s">
        <v>16942</v>
      </c>
      <c r="D121" s="66" t="s">
        <v>17369</v>
      </c>
      <c r="E121" s="109" t="s">
        <v>17370</v>
      </c>
      <c r="F121" s="66" t="s">
        <v>17371</v>
      </c>
      <c r="G121" s="71">
        <v>0</v>
      </c>
      <c r="H121" s="73"/>
      <c r="I121" s="75">
        <v>0.2</v>
      </c>
      <c r="J121" s="77"/>
      <c r="K121" s="66"/>
      <c r="L121" s="66"/>
      <c r="M121" s="79" t="str">
        <f>HYPERLINK("https://pristavka.com/catalog/games-playstation-4/PSIV816/")</f>
        <v>https://pristavka.com/catalog/games-playstation-4/PSIV816/</v>
      </c>
      <c r="N121" s="71"/>
      <c r="O121" s="66" t="s">
        <v>27</v>
      </c>
      <c r="P121" s="82" t="s">
        <v>17372</v>
      </c>
      <c r="Q121" s="84"/>
      <c r="R121" s="84"/>
      <c r="S121" s="84">
        <v>9.6000000000000002E-2</v>
      </c>
      <c r="T121" s="82" t="s">
        <v>17038</v>
      </c>
      <c r="U121" s="84" t="s">
        <v>17008</v>
      </c>
      <c r="V121" s="54"/>
    </row>
    <row r="122" spans="1:22" s="11" customFormat="1" ht="12" customHeight="1" x14ac:dyDescent="0.2">
      <c r="A122" s="66" t="s">
        <v>166</v>
      </c>
      <c r="B122" s="66" t="s">
        <v>26</v>
      </c>
      <c r="C122" s="66" t="s">
        <v>16942</v>
      </c>
      <c r="D122" s="66" t="s">
        <v>17373</v>
      </c>
      <c r="E122" s="109" t="s">
        <v>17374</v>
      </c>
      <c r="F122" s="66" t="s">
        <v>17375</v>
      </c>
      <c r="G122" s="71">
        <v>0</v>
      </c>
      <c r="H122" s="73"/>
      <c r="I122" s="75">
        <v>0.2</v>
      </c>
      <c r="J122" s="77"/>
      <c r="K122" s="66"/>
      <c r="L122" s="66"/>
      <c r="M122" s="96"/>
      <c r="N122" s="71"/>
      <c r="O122" s="66" t="s">
        <v>27</v>
      </c>
      <c r="P122" s="82" t="s">
        <v>17376</v>
      </c>
      <c r="Q122" s="84"/>
      <c r="R122" s="84"/>
      <c r="S122" s="84">
        <v>0.126</v>
      </c>
      <c r="T122" s="82" t="s">
        <v>17038</v>
      </c>
      <c r="U122" s="84"/>
      <c r="V122" s="54"/>
    </row>
    <row r="123" spans="1:22" s="11" customFormat="1" ht="12" customHeight="1" x14ac:dyDescent="0.2">
      <c r="A123" s="66" t="s">
        <v>166</v>
      </c>
      <c r="B123" s="66" t="s">
        <v>26</v>
      </c>
      <c r="C123" s="66" t="s">
        <v>16942</v>
      </c>
      <c r="D123" s="66" t="s">
        <v>17377</v>
      </c>
      <c r="E123" s="109" t="s">
        <v>17378</v>
      </c>
      <c r="F123" s="66" t="s">
        <v>17379</v>
      </c>
      <c r="G123" s="71">
        <v>0</v>
      </c>
      <c r="H123" s="73"/>
      <c r="I123" s="75">
        <v>0.2</v>
      </c>
      <c r="J123" s="77"/>
      <c r="K123" s="66"/>
      <c r="L123" s="66"/>
      <c r="M123" s="96"/>
      <c r="N123" s="71"/>
      <c r="O123" s="66" t="s">
        <v>27</v>
      </c>
      <c r="P123" s="82" t="s">
        <v>17380</v>
      </c>
      <c r="Q123" s="84"/>
      <c r="R123" s="84"/>
      <c r="S123" s="84">
        <v>0.23599999999999999</v>
      </c>
      <c r="T123" s="82" t="s">
        <v>17381</v>
      </c>
      <c r="U123" s="84" t="s">
        <v>17008</v>
      </c>
      <c r="V123" s="54"/>
    </row>
    <row r="124" spans="1:22" s="45" customFormat="1" ht="12" customHeight="1" x14ac:dyDescent="0.2">
      <c r="A124" s="67" t="s">
        <v>166</v>
      </c>
      <c r="B124" s="67" t="s">
        <v>26</v>
      </c>
      <c r="C124" s="67" t="s">
        <v>16942</v>
      </c>
      <c r="D124" s="67">
        <v>227098</v>
      </c>
      <c r="E124" s="110" t="s">
        <v>17382</v>
      </c>
      <c r="F124" s="67" t="s">
        <v>17383</v>
      </c>
      <c r="G124" s="72">
        <v>0</v>
      </c>
      <c r="H124" s="74"/>
      <c r="I124" s="76">
        <v>0.2</v>
      </c>
      <c r="J124" s="77"/>
      <c r="K124" s="67" t="s">
        <v>129</v>
      </c>
      <c r="L124" s="67"/>
      <c r="M124" s="79" t="str">
        <f>HYPERLINK("https://pristavka.com/catalog/games-playstation-4/PSIV819/")</f>
        <v>https://pristavka.com/catalog/games-playstation-4/PSIV819/</v>
      </c>
      <c r="N124" s="72"/>
      <c r="O124" s="67" t="s">
        <v>27</v>
      </c>
      <c r="P124" s="83" t="s">
        <v>17384</v>
      </c>
      <c r="Q124" s="85"/>
      <c r="R124" s="85"/>
      <c r="S124" s="85">
        <v>0.128</v>
      </c>
      <c r="T124" s="83" t="s">
        <v>17038</v>
      </c>
      <c r="U124" s="85"/>
      <c r="V124" s="55"/>
    </row>
    <row r="125" spans="1:22" s="11" customFormat="1" ht="12" customHeight="1" x14ac:dyDescent="0.2">
      <c r="A125" s="66" t="s">
        <v>166</v>
      </c>
      <c r="B125" s="66" t="s">
        <v>26</v>
      </c>
      <c r="C125" s="66" t="s">
        <v>16942</v>
      </c>
      <c r="D125" s="66" t="s">
        <v>17385</v>
      </c>
      <c r="E125" s="109" t="s">
        <v>17386</v>
      </c>
      <c r="F125" s="66" t="s">
        <v>17387</v>
      </c>
      <c r="G125" s="71">
        <v>0</v>
      </c>
      <c r="H125" s="73"/>
      <c r="I125" s="75">
        <v>0.2</v>
      </c>
      <c r="J125" s="77"/>
      <c r="K125" s="66"/>
      <c r="L125" s="66"/>
      <c r="M125" s="96"/>
      <c r="N125" s="71"/>
      <c r="O125" s="66" t="s">
        <v>28</v>
      </c>
      <c r="P125" s="82" t="s">
        <v>17388</v>
      </c>
      <c r="Q125" s="84"/>
      <c r="R125" s="84"/>
      <c r="S125" s="84">
        <v>0.08</v>
      </c>
      <c r="T125" s="82" t="s">
        <v>17024</v>
      </c>
      <c r="U125" s="84" t="s">
        <v>52</v>
      </c>
      <c r="V125" s="54"/>
    </row>
    <row r="126" spans="1:22" s="11" customFormat="1" ht="12" customHeight="1" x14ac:dyDescent="0.2">
      <c r="A126" s="66" t="s">
        <v>166</v>
      </c>
      <c r="B126" s="66" t="s">
        <v>26</v>
      </c>
      <c r="C126" s="66" t="s">
        <v>16942</v>
      </c>
      <c r="D126" s="66" t="s">
        <v>17389</v>
      </c>
      <c r="E126" s="109" t="s">
        <v>17390</v>
      </c>
      <c r="F126" s="66" t="s">
        <v>17391</v>
      </c>
      <c r="G126" s="71">
        <v>0</v>
      </c>
      <c r="H126" s="73"/>
      <c r="I126" s="75">
        <v>0.2</v>
      </c>
      <c r="J126" s="77"/>
      <c r="K126" s="66"/>
      <c r="L126" s="66"/>
      <c r="M126" s="79" t="str">
        <f>HYPERLINK("https://pristavka.com/catalog/games-playstation-4/PSIV1006/")</f>
        <v>https://pristavka.com/catalog/games-playstation-4/PSIV1006/</v>
      </c>
      <c r="N126" s="71"/>
      <c r="O126" s="66" t="s">
        <v>27</v>
      </c>
      <c r="P126" s="82" t="s">
        <v>17392</v>
      </c>
      <c r="Q126" s="84"/>
      <c r="R126" s="84"/>
      <c r="S126" s="84">
        <v>0.08</v>
      </c>
      <c r="T126" s="82" t="s">
        <v>17038</v>
      </c>
      <c r="U126" s="84"/>
      <c r="V126" s="54"/>
    </row>
    <row r="127" spans="1:22" s="11" customFormat="1" ht="12" customHeight="1" x14ac:dyDescent="0.2">
      <c r="A127" s="66" t="s">
        <v>166</v>
      </c>
      <c r="B127" s="66" t="s">
        <v>26</v>
      </c>
      <c r="C127" s="66" t="s">
        <v>16942</v>
      </c>
      <c r="D127" s="66" t="s">
        <v>17393</v>
      </c>
      <c r="E127" s="109" t="s">
        <v>17394</v>
      </c>
      <c r="F127" s="66" t="s">
        <v>17395</v>
      </c>
      <c r="G127" s="71">
        <v>0</v>
      </c>
      <c r="H127" s="73"/>
      <c r="I127" s="75">
        <v>0.2</v>
      </c>
      <c r="J127" s="77"/>
      <c r="K127" s="66"/>
      <c r="L127" s="66"/>
      <c r="M127" s="79" t="str">
        <f>HYPERLINK("https://pristavka.com/catalog/games-playstation-4/PSIV821/")</f>
        <v>https://pristavka.com/catalog/games-playstation-4/PSIV821/</v>
      </c>
      <c r="N127" s="71"/>
      <c r="O127" s="66" t="s">
        <v>27</v>
      </c>
      <c r="P127" s="82" t="s">
        <v>17396</v>
      </c>
      <c r="Q127" s="84"/>
      <c r="R127" s="84"/>
      <c r="S127" s="84">
        <v>7.9000000000000001E-2</v>
      </c>
      <c r="T127" s="82" t="s">
        <v>17029</v>
      </c>
      <c r="U127" s="84" t="s">
        <v>7499</v>
      </c>
      <c r="V127" s="54"/>
    </row>
    <row r="128" spans="1:22" s="11" customFormat="1" ht="12" customHeight="1" x14ac:dyDescent="0.2">
      <c r="A128" s="66" t="s">
        <v>166</v>
      </c>
      <c r="B128" s="66" t="s">
        <v>26</v>
      </c>
      <c r="C128" s="66" t="s">
        <v>16942</v>
      </c>
      <c r="D128" s="66" t="s">
        <v>17397</v>
      </c>
      <c r="E128" s="109" t="s">
        <v>17398</v>
      </c>
      <c r="F128" s="66" t="s">
        <v>17399</v>
      </c>
      <c r="G128" s="71">
        <v>0</v>
      </c>
      <c r="H128" s="73"/>
      <c r="I128" s="75">
        <v>0.2</v>
      </c>
      <c r="J128" s="77"/>
      <c r="K128" s="66"/>
      <c r="L128" s="66"/>
      <c r="M128" s="79" t="str">
        <f>HYPERLINK("https://pristavka.com/catalog/games-playstation-4/PSIV1446/")</f>
        <v>https://pristavka.com/catalog/games-playstation-4/PSIV1446/</v>
      </c>
      <c r="N128" s="71"/>
      <c r="O128" s="66" t="s">
        <v>27</v>
      </c>
      <c r="P128" s="82" t="s">
        <v>17400</v>
      </c>
      <c r="Q128" s="84"/>
      <c r="R128" s="84"/>
      <c r="S128" s="84">
        <v>7.1999999999999995E-2</v>
      </c>
      <c r="T128" s="82" t="s">
        <v>17038</v>
      </c>
      <c r="U128" s="84" t="s">
        <v>7499</v>
      </c>
      <c r="V128" s="54"/>
    </row>
    <row r="129" spans="1:22" s="11" customFormat="1" ht="12" customHeight="1" x14ac:dyDescent="0.2">
      <c r="A129" s="66" t="s">
        <v>166</v>
      </c>
      <c r="B129" s="66" t="s">
        <v>26</v>
      </c>
      <c r="C129" s="66" t="s">
        <v>16942</v>
      </c>
      <c r="D129" s="66" t="s">
        <v>17401</v>
      </c>
      <c r="E129" s="109" t="s">
        <v>17402</v>
      </c>
      <c r="F129" s="66" t="s">
        <v>17403</v>
      </c>
      <c r="G129" s="71">
        <v>0</v>
      </c>
      <c r="H129" s="73"/>
      <c r="I129" s="75">
        <v>0.2</v>
      </c>
      <c r="J129" s="77"/>
      <c r="K129" s="66"/>
      <c r="L129" s="66"/>
      <c r="M129" s="79" t="str">
        <f>HYPERLINK("https://pristavka.com/catalog/games-playstation-4/PSIV1493/")</f>
        <v>https://pristavka.com/catalog/games-playstation-4/PSIV1493/</v>
      </c>
      <c r="N129" s="71"/>
      <c r="O129" s="66" t="s">
        <v>27</v>
      </c>
      <c r="P129" s="82" t="s">
        <v>17404</v>
      </c>
      <c r="Q129" s="84"/>
      <c r="R129" s="84"/>
      <c r="S129" s="84">
        <v>8.4000000000000005E-2</v>
      </c>
      <c r="T129" s="82" t="s">
        <v>17043</v>
      </c>
      <c r="U129" s="84" t="s">
        <v>177</v>
      </c>
      <c r="V129" s="54"/>
    </row>
    <row r="130" spans="1:22" s="11" customFormat="1" ht="12" customHeight="1" x14ac:dyDescent="0.2">
      <c r="A130" s="66" t="s">
        <v>166</v>
      </c>
      <c r="B130" s="66" t="s">
        <v>26</v>
      </c>
      <c r="C130" s="66" t="s">
        <v>16942</v>
      </c>
      <c r="D130" s="66" t="s">
        <v>17405</v>
      </c>
      <c r="E130" s="109" t="s">
        <v>17406</v>
      </c>
      <c r="F130" s="66" t="s">
        <v>17407</v>
      </c>
      <c r="G130" s="71">
        <v>0</v>
      </c>
      <c r="H130" s="73"/>
      <c r="I130" s="75">
        <v>0.2</v>
      </c>
      <c r="J130" s="77"/>
      <c r="K130" s="66"/>
      <c r="L130" s="66"/>
      <c r="M130" s="79" t="str">
        <f>HYPERLINK("https://pristavka.com/catalog/games-playstation-4/PSIV1448/")</f>
        <v>https://pristavka.com/catalog/games-playstation-4/PSIV1448/</v>
      </c>
      <c r="N130" s="71"/>
      <c r="O130" s="66" t="s">
        <v>27</v>
      </c>
      <c r="P130" s="82" t="s">
        <v>17408</v>
      </c>
      <c r="Q130" s="84"/>
      <c r="R130" s="84"/>
      <c r="S130" s="84">
        <v>8.8999999999999996E-2</v>
      </c>
      <c r="T130" s="82" t="s">
        <v>17038</v>
      </c>
      <c r="U130" s="84"/>
      <c r="V130" s="54"/>
    </row>
    <row r="131" spans="1:22" s="11" customFormat="1" ht="12" customHeight="1" x14ac:dyDescent="0.2">
      <c r="A131" s="66" t="s">
        <v>166</v>
      </c>
      <c r="B131" s="66" t="s">
        <v>26</v>
      </c>
      <c r="C131" s="66" t="s">
        <v>16942</v>
      </c>
      <c r="D131" s="66" t="s">
        <v>17409</v>
      </c>
      <c r="E131" s="109" t="s">
        <v>17410</v>
      </c>
      <c r="F131" s="66" t="s">
        <v>17411</v>
      </c>
      <c r="G131" s="71">
        <v>0</v>
      </c>
      <c r="H131" s="73"/>
      <c r="I131" s="75">
        <v>0.2</v>
      </c>
      <c r="J131" s="77"/>
      <c r="K131" s="66"/>
      <c r="L131" s="66"/>
      <c r="M131" s="79" t="str">
        <f>HYPERLINK("https://pristavka.com/catalog/games-playstation-4/PSIV1236/")</f>
        <v>https://pristavka.com/catalog/games-playstation-4/PSIV1236/</v>
      </c>
      <c r="N131" s="71"/>
      <c r="O131" s="66" t="s">
        <v>28</v>
      </c>
      <c r="P131" s="82" t="s">
        <v>17412</v>
      </c>
      <c r="Q131" s="84"/>
      <c r="R131" s="84"/>
      <c r="S131" s="84">
        <v>0.10100000000000001</v>
      </c>
      <c r="T131" s="82" t="s">
        <v>17024</v>
      </c>
      <c r="U131" s="84" t="s">
        <v>177</v>
      </c>
      <c r="V131" s="54"/>
    </row>
    <row r="132" spans="1:22" s="11" customFormat="1" ht="12" customHeight="1" x14ac:dyDescent="0.2">
      <c r="A132" s="66" t="s">
        <v>166</v>
      </c>
      <c r="B132" s="66" t="s">
        <v>26</v>
      </c>
      <c r="C132" s="66" t="s">
        <v>16942</v>
      </c>
      <c r="D132" s="66" t="s">
        <v>17413</v>
      </c>
      <c r="E132" s="109" t="s">
        <v>17414</v>
      </c>
      <c r="F132" s="66" t="s">
        <v>17415</v>
      </c>
      <c r="G132" s="71">
        <v>0</v>
      </c>
      <c r="H132" s="73"/>
      <c r="I132" s="75">
        <v>0.2</v>
      </c>
      <c r="J132" s="77"/>
      <c r="K132" s="66"/>
      <c r="L132" s="66"/>
      <c r="M132" s="79" t="str">
        <f>HYPERLINK("https://pristavka.com/catalog/games-playstation-4/PSIV1237/")</f>
        <v>https://pristavka.com/catalog/games-playstation-4/PSIV1237/</v>
      </c>
      <c r="N132" s="71"/>
      <c r="O132" s="66" t="s">
        <v>27</v>
      </c>
      <c r="P132" s="82" t="s">
        <v>17416</v>
      </c>
      <c r="Q132" s="84"/>
      <c r="R132" s="84"/>
      <c r="S132" s="84">
        <v>0.08</v>
      </c>
      <c r="T132" s="82" t="s">
        <v>17038</v>
      </c>
      <c r="U132" s="84" t="s">
        <v>177</v>
      </c>
      <c r="V132" s="54"/>
    </row>
    <row r="133" spans="1:22" s="11" customFormat="1" ht="12" customHeight="1" x14ac:dyDescent="0.2">
      <c r="A133" s="66" t="s">
        <v>166</v>
      </c>
      <c r="B133" s="66" t="s">
        <v>26</v>
      </c>
      <c r="C133" s="66" t="s">
        <v>16942</v>
      </c>
      <c r="D133" s="66" t="s">
        <v>17417</v>
      </c>
      <c r="E133" s="109" t="s">
        <v>17418</v>
      </c>
      <c r="F133" s="66" t="s">
        <v>17419</v>
      </c>
      <c r="G133" s="71">
        <v>0</v>
      </c>
      <c r="H133" s="73"/>
      <c r="I133" s="75">
        <v>0.2</v>
      </c>
      <c r="J133" s="77"/>
      <c r="K133" s="66"/>
      <c r="L133" s="66"/>
      <c r="M133" s="79" t="str">
        <f>HYPERLINK("https://pristavka.com/catalog/games-playstation-4/PSIV1511/")</f>
        <v>https://pristavka.com/catalog/games-playstation-4/PSIV1511/</v>
      </c>
      <c r="N133" s="71"/>
      <c r="O133" s="66" t="s">
        <v>28</v>
      </c>
      <c r="P133" s="82" t="s">
        <v>17420</v>
      </c>
      <c r="Q133" s="84"/>
      <c r="R133" s="84"/>
      <c r="S133" s="84">
        <v>0.08</v>
      </c>
      <c r="T133" s="82" t="s">
        <v>17024</v>
      </c>
      <c r="U133" s="84" t="s">
        <v>7499</v>
      </c>
      <c r="V133" s="54"/>
    </row>
    <row r="134" spans="1:22" s="11" customFormat="1" ht="12" customHeight="1" x14ac:dyDescent="0.2">
      <c r="A134" s="66" t="s">
        <v>166</v>
      </c>
      <c r="B134" s="66" t="s">
        <v>26</v>
      </c>
      <c r="C134" s="66" t="s">
        <v>16942</v>
      </c>
      <c r="D134" s="66" t="s">
        <v>17421</v>
      </c>
      <c r="E134" s="109" t="s">
        <v>17422</v>
      </c>
      <c r="F134" s="66" t="s">
        <v>17423</v>
      </c>
      <c r="G134" s="71">
        <v>0</v>
      </c>
      <c r="H134" s="73"/>
      <c r="I134" s="75">
        <v>0.2</v>
      </c>
      <c r="J134" s="77"/>
      <c r="K134" s="66"/>
      <c r="L134" s="66"/>
      <c r="M134" s="79" t="str">
        <f>HYPERLINK("https://pristavka.com/catalog/games-playstation-4/PSIV1174/")</f>
        <v>https://pristavka.com/catalog/games-playstation-4/PSIV1174/</v>
      </c>
      <c r="N134" s="71"/>
      <c r="O134" s="66" t="s">
        <v>27</v>
      </c>
      <c r="P134" s="82" t="s">
        <v>17424</v>
      </c>
      <c r="Q134" s="84"/>
      <c r="R134" s="84"/>
      <c r="S134" s="84">
        <v>0.11700000000000001</v>
      </c>
      <c r="T134" s="82" t="s">
        <v>17186</v>
      </c>
      <c r="U134" s="84" t="s">
        <v>7499</v>
      </c>
      <c r="V134" s="54"/>
    </row>
    <row r="135" spans="1:22" s="11" customFormat="1" ht="12" customHeight="1" x14ac:dyDescent="0.2">
      <c r="A135" s="66" t="s">
        <v>166</v>
      </c>
      <c r="B135" s="66" t="s">
        <v>26</v>
      </c>
      <c r="C135" s="66" t="s">
        <v>16942</v>
      </c>
      <c r="D135" s="66" t="s">
        <v>17425</v>
      </c>
      <c r="E135" s="109" t="s">
        <v>17426</v>
      </c>
      <c r="F135" s="66" t="s">
        <v>17427</v>
      </c>
      <c r="G135" s="71">
        <v>0</v>
      </c>
      <c r="H135" s="73"/>
      <c r="I135" s="75">
        <v>0.2</v>
      </c>
      <c r="J135" s="77"/>
      <c r="K135" s="66"/>
      <c r="L135" s="66"/>
      <c r="M135" s="79" t="str">
        <f>HYPERLINK("https://pristavka.com/catalog/games-playstation-4/PSIV733/")</f>
        <v>https://pristavka.com/catalog/games-playstation-4/PSIV733/</v>
      </c>
      <c r="N135" s="71"/>
      <c r="O135" s="66" t="s">
        <v>27</v>
      </c>
      <c r="P135" s="82" t="s">
        <v>17428</v>
      </c>
      <c r="Q135" s="84"/>
      <c r="R135" s="84"/>
      <c r="S135" s="84">
        <v>7.8E-2</v>
      </c>
      <c r="T135" s="82" t="s">
        <v>17038</v>
      </c>
      <c r="U135" s="84" t="s">
        <v>7499</v>
      </c>
      <c r="V135" s="54"/>
    </row>
    <row r="136" spans="1:22" s="11" customFormat="1" ht="12" customHeight="1" x14ac:dyDescent="0.2">
      <c r="A136" s="66" t="s">
        <v>166</v>
      </c>
      <c r="B136" s="66" t="s">
        <v>26</v>
      </c>
      <c r="C136" s="66" t="s">
        <v>16942</v>
      </c>
      <c r="D136" s="66" t="s">
        <v>17429</v>
      </c>
      <c r="E136" s="109" t="s">
        <v>17430</v>
      </c>
      <c r="F136" s="66" t="s">
        <v>17431</v>
      </c>
      <c r="G136" s="71">
        <v>0</v>
      </c>
      <c r="H136" s="73"/>
      <c r="I136" s="75">
        <v>0.2</v>
      </c>
      <c r="J136" s="77"/>
      <c r="K136" s="66"/>
      <c r="L136" s="66"/>
      <c r="M136" s="79" t="str">
        <f>HYPERLINK("https://pristavka.com/catalog/games-playstation-4/PSIV262/")</f>
        <v>https://pristavka.com/catalog/games-playstation-4/PSIV262/</v>
      </c>
      <c r="N136" s="71"/>
      <c r="O136" s="66" t="s">
        <v>28</v>
      </c>
      <c r="P136" s="82" t="s">
        <v>17432</v>
      </c>
      <c r="Q136" s="84"/>
      <c r="R136" s="84"/>
      <c r="S136" s="84">
        <v>8.2000000000000003E-2</v>
      </c>
      <c r="T136" s="82" t="s">
        <v>17038</v>
      </c>
      <c r="U136" s="84" t="s">
        <v>7499</v>
      </c>
      <c r="V136" s="54"/>
    </row>
    <row r="137" spans="1:22" s="11" customFormat="1" ht="12" customHeight="1" x14ac:dyDescent="0.2">
      <c r="A137" s="66" t="s">
        <v>166</v>
      </c>
      <c r="B137" s="66" t="s">
        <v>26</v>
      </c>
      <c r="C137" s="66" t="s">
        <v>16942</v>
      </c>
      <c r="D137" s="66" t="s">
        <v>26</v>
      </c>
      <c r="E137" s="109" t="s">
        <v>17433</v>
      </c>
      <c r="F137" s="66" t="s">
        <v>17434</v>
      </c>
      <c r="G137" s="71">
        <v>0</v>
      </c>
      <c r="H137" s="73"/>
      <c r="I137" s="75">
        <v>0.2</v>
      </c>
      <c r="J137" s="77"/>
      <c r="K137" s="66"/>
      <c r="L137" s="66"/>
      <c r="M137" s="79" t="str">
        <f>HYPERLINK("https://pristavka.com/catalog/games-playstation-4/PSIV1519/")</f>
        <v>https://pristavka.com/catalog/games-playstation-4/PSIV1519/</v>
      </c>
      <c r="N137" s="71"/>
      <c r="O137" s="66" t="s">
        <v>27</v>
      </c>
      <c r="P137" s="82" t="s">
        <v>17435</v>
      </c>
      <c r="Q137" s="84"/>
      <c r="R137" s="84"/>
      <c r="S137" s="84">
        <v>0.08</v>
      </c>
      <c r="T137" s="82" t="s">
        <v>17186</v>
      </c>
      <c r="U137" s="84"/>
      <c r="V137" s="54"/>
    </row>
    <row r="138" spans="1:22" s="11" customFormat="1" ht="12" customHeight="1" x14ac:dyDescent="0.2">
      <c r="A138" s="66" t="s">
        <v>166</v>
      </c>
      <c r="B138" s="66" t="s">
        <v>26</v>
      </c>
      <c r="C138" s="66" t="s">
        <v>16942</v>
      </c>
      <c r="D138" s="66" t="s">
        <v>17436</v>
      </c>
      <c r="E138" s="109" t="s">
        <v>17437</v>
      </c>
      <c r="F138" s="66" t="s">
        <v>17438</v>
      </c>
      <c r="G138" s="71">
        <v>0</v>
      </c>
      <c r="H138" s="73"/>
      <c r="I138" s="75">
        <v>0.2</v>
      </c>
      <c r="J138" s="77"/>
      <c r="K138" s="66"/>
      <c r="L138" s="66"/>
      <c r="M138" s="79" t="str">
        <f>HYPERLINK("https://pristavka.com/catalog/games-playstation-4/PSIV1026/")</f>
        <v>https://pristavka.com/catalog/games-playstation-4/PSIV1026/</v>
      </c>
      <c r="N138" s="71"/>
      <c r="O138" s="66" t="s">
        <v>28</v>
      </c>
      <c r="P138" s="82" t="s">
        <v>17439</v>
      </c>
      <c r="Q138" s="84"/>
      <c r="R138" s="84"/>
      <c r="S138" s="84">
        <v>5.8000000000000003E-2</v>
      </c>
      <c r="T138" s="82" t="s">
        <v>17024</v>
      </c>
      <c r="U138" s="84" t="s">
        <v>52</v>
      </c>
      <c r="V138" s="54"/>
    </row>
    <row r="139" spans="1:22" s="11" customFormat="1" ht="12" customHeight="1" x14ac:dyDescent="0.2">
      <c r="A139" s="66" t="s">
        <v>166</v>
      </c>
      <c r="B139" s="66" t="s">
        <v>26</v>
      </c>
      <c r="C139" s="66" t="s">
        <v>16942</v>
      </c>
      <c r="D139" s="66" t="s">
        <v>26</v>
      </c>
      <c r="E139" s="109" t="s">
        <v>17440</v>
      </c>
      <c r="F139" s="66" t="s">
        <v>17441</v>
      </c>
      <c r="G139" s="71">
        <v>0</v>
      </c>
      <c r="H139" s="73"/>
      <c r="I139" s="75">
        <v>0.2</v>
      </c>
      <c r="J139" s="77"/>
      <c r="K139" s="66"/>
      <c r="L139" s="66"/>
      <c r="M139" s="79" t="str">
        <f>HYPERLINK("https://pristavka.com/catalog/games-playstation-4/PSIV1510/")</f>
        <v>https://pristavka.com/catalog/games-playstation-4/PSIV1510/</v>
      </c>
      <c r="N139" s="71"/>
      <c r="O139" s="66" t="s">
        <v>27</v>
      </c>
      <c r="P139" s="82" t="s">
        <v>17442</v>
      </c>
      <c r="Q139" s="84"/>
      <c r="R139" s="84"/>
      <c r="S139" s="84">
        <v>0.09</v>
      </c>
      <c r="T139" s="82" t="s">
        <v>17038</v>
      </c>
      <c r="U139" s="84" t="s">
        <v>177</v>
      </c>
      <c r="V139" s="54"/>
    </row>
    <row r="140" spans="1:22" s="11" customFormat="1" ht="12" customHeight="1" x14ac:dyDescent="0.2">
      <c r="A140" s="66" t="s">
        <v>166</v>
      </c>
      <c r="B140" s="66" t="s">
        <v>26</v>
      </c>
      <c r="C140" s="66" t="s">
        <v>16942</v>
      </c>
      <c r="D140" s="66" t="s">
        <v>17443</v>
      </c>
      <c r="E140" s="109" t="s">
        <v>17444</v>
      </c>
      <c r="F140" s="66" t="s">
        <v>17445</v>
      </c>
      <c r="G140" s="71">
        <v>0</v>
      </c>
      <c r="H140" s="73"/>
      <c r="I140" s="75">
        <v>0.2</v>
      </c>
      <c r="J140" s="77"/>
      <c r="K140" s="66"/>
      <c r="L140" s="66"/>
      <c r="M140" s="79" t="str">
        <f>HYPERLINK("https://pristavka.com/catalog/games-playstation-4/PSIV1281/")</f>
        <v>https://pristavka.com/catalog/games-playstation-4/PSIV1281/</v>
      </c>
      <c r="N140" s="71"/>
      <c r="O140" s="66" t="s">
        <v>27</v>
      </c>
      <c r="P140" s="82" t="s">
        <v>17446</v>
      </c>
      <c r="Q140" s="84"/>
      <c r="R140" s="84"/>
      <c r="S140" s="84">
        <v>8.2000000000000003E-2</v>
      </c>
      <c r="T140" s="82" t="s">
        <v>17038</v>
      </c>
      <c r="U140" s="84" t="s">
        <v>52</v>
      </c>
      <c r="V140" s="54"/>
    </row>
    <row r="141" spans="1:22" s="11" customFormat="1" ht="12" customHeight="1" x14ac:dyDescent="0.2">
      <c r="A141" s="66" t="s">
        <v>166</v>
      </c>
      <c r="B141" s="66" t="s">
        <v>26</v>
      </c>
      <c r="C141" s="66" t="s">
        <v>16942</v>
      </c>
      <c r="D141" s="66">
        <v>219615</v>
      </c>
      <c r="E141" s="109" t="s">
        <v>17447</v>
      </c>
      <c r="F141" s="66" t="s">
        <v>17448</v>
      </c>
      <c r="G141" s="71">
        <v>0</v>
      </c>
      <c r="H141" s="73"/>
      <c r="I141" s="75">
        <v>0.2</v>
      </c>
      <c r="J141" s="77"/>
      <c r="K141" s="66"/>
      <c r="L141" s="66"/>
      <c r="M141" s="79" t="str">
        <f>HYPERLINK("https://pristavka.com/catalog/games-playstation-4/PSIV1389/")</f>
        <v>https://pristavka.com/catalog/games-playstation-4/PSIV1389/</v>
      </c>
      <c r="N141" s="71"/>
      <c r="O141" s="66" t="s">
        <v>27</v>
      </c>
      <c r="P141" s="82" t="s">
        <v>17449</v>
      </c>
      <c r="Q141" s="84"/>
      <c r="R141" s="84"/>
      <c r="S141" s="84">
        <v>0.08</v>
      </c>
      <c r="T141" s="82" t="s">
        <v>17043</v>
      </c>
      <c r="U141" s="84"/>
      <c r="V141" s="54"/>
    </row>
    <row r="142" spans="1:22" s="45" customFormat="1" ht="12" customHeight="1" x14ac:dyDescent="0.2">
      <c r="A142" s="67" t="s">
        <v>166</v>
      </c>
      <c r="B142" s="67" t="s">
        <v>26</v>
      </c>
      <c r="C142" s="67" t="s">
        <v>16942</v>
      </c>
      <c r="D142" s="67" t="s">
        <v>17450</v>
      </c>
      <c r="E142" s="110" t="s">
        <v>17451</v>
      </c>
      <c r="F142" s="67" t="s">
        <v>17452</v>
      </c>
      <c r="G142" s="72">
        <v>0</v>
      </c>
      <c r="H142" s="74"/>
      <c r="I142" s="76">
        <v>0.2</v>
      </c>
      <c r="J142" s="77"/>
      <c r="K142" s="67" t="s">
        <v>129</v>
      </c>
      <c r="L142" s="67"/>
      <c r="M142" s="79" t="str">
        <f>HYPERLINK("https://pristavka.com/catalog/games-playstation-4/PSIV1483/")</f>
        <v>https://pristavka.com/catalog/games-playstation-4/PSIV1483/</v>
      </c>
      <c r="N142" s="72"/>
      <c r="O142" s="67" t="s">
        <v>27</v>
      </c>
      <c r="P142" s="83" t="s">
        <v>17453</v>
      </c>
      <c r="Q142" s="85"/>
      <c r="R142" s="85"/>
      <c r="S142" s="85">
        <v>9.9000000000000005E-2</v>
      </c>
      <c r="T142" s="83" t="s">
        <v>17029</v>
      </c>
      <c r="U142" s="85" t="s">
        <v>177</v>
      </c>
      <c r="V142" s="55"/>
    </row>
    <row r="143" spans="1:22" s="11" customFormat="1" ht="12" customHeight="1" x14ac:dyDescent="0.2">
      <c r="A143" s="66" t="s">
        <v>166</v>
      </c>
      <c r="B143" s="66" t="s">
        <v>26</v>
      </c>
      <c r="C143" s="66" t="s">
        <v>16942</v>
      </c>
      <c r="D143" s="66" t="s">
        <v>17454</v>
      </c>
      <c r="E143" s="109" t="s">
        <v>17455</v>
      </c>
      <c r="F143" s="66" t="s">
        <v>17456</v>
      </c>
      <c r="G143" s="71">
        <v>10332</v>
      </c>
      <c r="H143" s="73"/>
      <c r="I143" s="75">
        <v>0.2</v>
      </c>
      <c r="J143" s="77"/>
      <c r="K143" s="66"/>
      <c r="L143" s="66"/>
      <c r="M143" s="79" t="str">
        <f>HYPERLINK("https://pristavka.com/catalog/games-playstation-4/PSIV824/")</f>
        <v>https://pristavka.com/catalog/games-playstation-4/PSIV824/</v>
      </c>
      <c r="N143" s="71"/>
      <c r="O143" s="66" t="s">
        <v>28</v>
      </c>
      <c r="P143" s="82" t="s">
        <v>17457</v>
      </c>
      <c r="Q143" s="84"/>
      <c r="R143" s="84"/>
      <c r="S143" s="84">
        <v>8.6999999999999994E-2</v>
      </c>
      <c r="T143" s="82" t="s">
        <v>17029</v>
      </c>
      <c r="U143" s="84" t="s">
        <v>7499</v>
      </c>
      <c r="V143" s="54"/>
    </row>
    <row r="144" spans="1:22" s="11" customFormat="1" ht="12" customHeight="1" x14ac:dyDescent="0.2">
      <c r="A144" s="66" t="s">
        <v>166</v>
      </c>
      <c r="B144" s="66" t="s">
        <v>26</v>
      </c>
      <c r="C144" s="66" t="s">
        <v>16942</v>
      </c>
      <c r="D144" s="66" t="s">
        <v>26</v>
      </c>
      <c r="E144" s="109" t="s">
        <v>17458</v>
      </c>
      <c r="F144" s="66" t="s">
        <v>17459</v>
      </c>
      <c r="G144" s="71">
        <v>0</v>
      </c>
      <c r="H144" s="73"/>
      <c r="I144" s="75">
        <v>0.2</v>
      </c>
      <c r="J144" s="77"/>
      <c r="K144" s="66"/>
      <c r="L144" s="66"/>
      <c r="M144" s="96"/>
      <c r="N144" s="71"/>
      <c r="O144" s="66" t="s">
        <v>27</v>
      </c>
      <c r="P144" s="82" t="s">
        <v>17460</v>
      </c>
      <c r="Q144" s="84"/>
      <c r="R144" s="84"/>
      <c r="S144" s="84">
        <v>8.2000000000000003E-2</v>
      </c>
      <c r="T144" s="82" t="s">
        <v>17043</v>
      </c>
      <c r="U144" s="84" t="s">
        <v>7499</v>
      </c>
      <c r="V144" s="54"/>
    </row>
    <row r="145" spans="1:22" s="11" customFormat="1" ht="12" customHeight="1" x14ac:dyDescent="0.2">
      <c r="A145" s="66" t="s">
        <v>166</v>
      </c>
      <c r="B145" s="66" t="s">
        <v>26</v>
      </c>
      <c r="C145" s="66" t="s">
        <v>16942</v>
      </c>
      <c r="D145" s="66" t="s">
        <v>26</v>
      </c>
      <c r="E145" s="109" t="s">
        <v>17461</v>
      </c>
      <c r="F145" s="66" t="s">
        <v>17462</v>
      </c>
      <c r="G145" s="71">
        <v>0</v>
      </c>
      <c r="H145" s="73"/>
      <c r="I145" s="75">
        <v>0.2</v>
      </c>
      <c r="J145" s="77"/>
      <c r="K145" s="66"/>
      <c r="L145" s="66"/>
      <c r="M145" s="79" t="str">
        <f>HYPERLINK("https://pristavka.com/catalog/games-playstation-4/PSIV1157/")</f>
        <v>https://pristavka.com/catalog/games-playstation-4/PSIV1157/</v>
      </c>
      <c r="N145" s="71"/>
      <c r="O145" s="66" t="s">
        <v>27</v>
      </c>
      <c r="P145" s="82" t="s">
        <v>17463</v>
      </c>
      <c r="Q145" s="84"/>
      <c r="R145" s="84"/>
      <c r="S145" s="84">
        <v>0.08</v>
      </c>
      <c r="T145" s="82" t="s">
        <v>17043</v>
      </c>
      <c r="U145" s="84"/>
      <c r="V145" s="54"/>
    </row>
    <row r="146" spans="1:22" s="11" customFormat="1" ht="12" customHeight="1" x14ac:dyDescent="0.2">
      <c r="A146" s="66" t="s">
        <v>166</v>
      </c>
      <c r="B146" s="66" t="s">
        <v>26</v>
      </c>
      <c r="C146" s="66" t="s">
        <v>16942</v>
      </c>
      <c r="D146" s="66" t="s">
        <v>17464</v>
      </c>
      <c r="E146" s="109" t="s">
        <v>17465</v>
      </c>
      <c r="F146" s="66" t="s">
        <v>17466</v>
      </c>
      <c r="G146" s="71">
        <v>0</v>
      </c>
      <c r="H146" s="73"/>
      <c r="I146" s="75">
        <v>0.2</v>
      </c>
      <c r="J146" s="77"/>
      <c r="K146" s="66"/>
      <c r="L146" s="66"/>
      <c r="M146" s="79" t="str">
        <f>HYPERLINK("https://pristavka.com/catalog/games-playstation-4/PSIV1502/")</f>
        <v>https://pristavka.com/catalog/games-playstation-4/PSIV1502/</v>
      </c>
      <c r="N146" s="71"/>
      <c r="O146" s="66" t="s">
        <v>27</v>
      </c>
      <c r="P146" s="82" t="s">
        <v>17467</v>
      </c>
      <c r="Q146" s="84"/>
      <c r="R146" s="84"/>
      <c r="S146" s="84">
        <v>8.6999999999999994E-2</v>
      </c>
      <c r="T146" s="82" t="s">
        <v>17186</v>
      </c>
      <c r="U146" s="84" t="s">
        <v>17008</v>
      </c>
      <c r="V146" s="54"/>
    </row>
    <row r="147" spans="1:22" s="11" customFormat="1" ht="12" customHeight="1" x14ac:dyDescent="0.2">
      <c r="A147" s="66" t="s">
        <v>166</v>
      </c>
      <c r="B147" s="66" t="s">
        <v>26</v>
      </c>
      <c r="C147" s="66" t="s">
        <v>16942</v>
      </c>
      <c r="D147" s="66" t="s">
        <v>17468</v>
      </c>
      <c r="E147" s="109" t="s">
        <v>17469</v>
      </c>
      <c r="F147" s="66" t="s">
        <v>17470</v>
      </c>
      <c r="G147" s="71">
        <v>0</v>
      </c>
      <c r="H147" s="73"/>
      <c r="I147" s="75">
        <v>0.2</v>
      </c>
      <c r="J147" s="77"/>
      <c r="K147" s="66"/>
      <c r="L147" s="66"/>
      <c r="M147" s="79" t="str">
        <f>HYPERLINK("https://pristavka.com/catalog/games-playstation-4/PSIV827/")</f>
        <v>https://pristavka.com/catalog/games-playstation-4/PSIV827/</v>
      </c>
      <c r="N147" s="71"/>
      <c r="O147" s="66" t="s">
        <v>27</v>
      </c>
      <c r="P147" s="82" t="s">
        <v>17471</v>
      </c>
      <c r="Q147" s="84"/>
      <c r="R147" s="84"/>
      <c r="S147" s="84">
        <v>7.9000000000000001E-2</v>
      </c>
      <c r="T147" s="82" t="s">
        <v>17024</v>
      </c>
      <c r="U147" s="84" t="s">
        <v>177</v>
      </c>
      <c r="V147" s="54"/>
    </row>
    <row r="148" spans="1:22" s="11" customFormat="1" ht="12" customHeight="1" x14ac:dyDescent="0.2">
      <c r="A148" s="66" t="s">
        <v>166</v>
      </c>
      <c r="B148" s="66" t="s">
        <v>26</v>
      </c>
      <c r="C148" s="66" t="s">
        <v>16942</v>
      </c>
      <c r="D148" s="66" t="s">
        <v>17472</v>
      </c>
      <c r="E148" s="109" t="s">
        <v>17473</v>
      </c>
      <c r="F148" s="66" t="s">
        <v>17474</v>
      </c>
      <c r="G148" s="71">
        <v>0</v>
      </c>
      <c r="H148" s="73"/>
      <c r="I148" s="75">
        <v>0.2</v>
      </c>
      <c r="J148" s="77"/>
      <c r="K148" s="66"/>
      <c r="L148" s="66"/>
      <c r="M148" s="79" t="str">
        <f>HYPERLINK("https://pristavka.com/catalog/games-playstation-4/PSIV1043/")</f>
        <v>https://pristavka.com/catalog/games-playstation-4/PSIV1043/</v>
      </c>
      <c r="N148" s="71"/>
      <c r="O148" s="66" t="s">
        <v>27</v>
      </c>
      <c r="P148" s="82" t="s">
        <v>17475</v>
      </c>
      <c r="Q148" s="84"/>
      <c r="R148" s="84"/>
      <c r="S148" s="84">
        <v>8.6999999999999994E-2</v>
      </c>
      <c r="T148" s="82" t="s">
        <v>17186</v>
      </c>
      <c r="U148" s="84"/>
      <c r="V148" s="54"/>
    </row>
    <row r="149" spans="1:22" s="11" customFormat="1" ht="12" customHeight="1" x14ac:dyDescent="0.2">
      <c r="A149" s="66" t="s">
        <v>166</v>
      </c>
      <c r="B149" s="66" t="s">
        <v>26</v>
      </c>
      <c r="C149" s="66" t="s">
        <v>16942</v>
      </c>
      <c r="D149" s="66" t="s">
        <v>17476</v>
      </c>
      <c r="E149" s="109" t="s">
        <v>17477</v>
      </c>
      <c r="F149" s="66" t="s">
        <v>17478</v>
      </c>
      <c r="G149" s="71">
        <v>0</v>
      </c>
      <c r="H149" s="73"/>
      <c r="I149" s="75">
        <v>0.2</v>
      </c>
      <c r="J149" s="77"/>
      <c r="K149" s="66"/>
      <c r="L149" s="66"/>
      <c r="M149" s="79" t="str">
        <f>HYPERLINK("https://pristavka.com/catalog/games-playstation-4/PSIV1457/")</f>
        <v>https://pristavka.com/catalog/games-playstation-4/PSIV1457/</v>
      </c>
      <c r="N149" s="71"/>
      <c r="O149" s="66" t="s">
        <v>27</v>
      </c>
      <c r="P149" s="82" t="s">
        <v>17479</v>
      </c>
      <c r="Q149" s="84"/>
      <c r="R149" s="84"/>
      <c r="S149" s="84">
        <v>9.2999999999999999E-2</v>
      </c>
      <c r="T149" s="82" t="s">
        <v>17024</v>
      </c>
      <c r="U149" s="84" t="s">
        <v>52</v>
      </c>
      <c r="V149" s="54"/>
    </row>
    <row r="150" spans="1:22" s="11" customFormat="1" ht="12" customHeight="1" x14ac:dyDescent="0.2">
      <c r="A150" s="66" t="s">
        <v>166</v>
      </c>
      <c r="B150" s="66" t="s">
        <v>26</v>
      </c>
      <c r="C150" s="66" t="s">
        <v>16942</v>
      </c>
      <c r="D150" s="66" t="s">
        <v>17480</v>
      </c>
      <c r="E150" s="109" t="s">
        <v>17481</v>
      </c>
      <c r="F150" s="66" t="s">
        <v>17482</v>
      </c>
      <c r="G150" s="71">
        <v>0</v>
      </c>
      <c r="H150" s="73"/>
      <c r="I150" s="75">
        <v>0.2</v>
      </c>
      <c r="J150" s="77"/>
      <c r="K150" s="66"/>
      <c r="L150" s="66"/>
      <c r="M150" s="79" t="str">
        <f>HYPERLINK("https://pristavka.com/catalog/games-playstation-4/PSIV1057/")</f>
        <v>https://pristavka.com/catalog/games-playstation-4/PSIV1057/</v>
      </c>
      <c r="N150" s="71"/>
      <c r="O150" s="66" t="s">
        <v>28</v>
      </c>
      <c r="P150" s="82" t="s">
        <v>17483</v>
      </c>
      <c r="Q150" s="84"/>
      <c r="R150" s="84"/>
      <c r="S150" s="84">
        <v>8.8999999999999996E-2</v>
      </c>
      <c r="T150" s="82" t="s">
        <v>17024</v>
      </c>
      <c r="U150" s="84" t="s">
        <v>177</v>
      </c>
      <c r="V150" s="54"/>
    </row>
    <row r="151" spans="1:22" s="11" customFormat="1" ht="12" customHeight="1" x14ac:dyDescent="0.2">
      <c r="A151" s="66" t="s">
        <v>166</v>
      </c>
      <c r="B151" s="66" t="s">
        <v>26</v>
      </c>
      <c r="C151" s="66" t="s">
        <v>16942</v>
      </c>
      <c r="D151" s="66" t="s">
        <v>17484</v>
      </c>
      <c r="E151" s="109" t="s">
        <v>17485</v>
      </c>
      <c r="F151" s="66" t="s">
        <v>17486</v>
      </c>
      <c r="G151" s="71">
        <v>0</v>
      </c>
      <c r="H151" s="73"/>
      <c r="I151" s="75">
        <v>0.2</v>
      </c>
      <c r="J151" s="77"/>
      <c r="K151" s="66"/>
      <c r="L151" s="66"/>
      <c r="M151" s="79" t="str">
        <f>HYPERLINK("https://pristavka.com/catalog/games-playstation-4/PSIV830/")</f>
        <v>https://pristavka.com/catalog/games-playstation-4/PSIV830/</v>
      </c>
      <c r="N151" s="71"/>
      <c r="O151" s="66" t="s">
        <v>27</v>
      </c>
      <c r="P151" s="82" t="s">
        <v>17487</v>
      </c>
      <c r="Q151" s="84"/>
      <c r="R151" s="84"/>
      <c r="S151" s="84">
        <v>8.2000000000000003E-2</v>
      </c>
      <c r="T151" s="82" t="s">
        <v>17043</v>
      </c>
      <c r="U151" s="84" t="s">
        <v>52</v>
      </c>
      <c r="V151" s="54"/>
    </row>
    <row r="152" spans="1:22" s="11" customFormat="1" ht="12" customHeight="1" x14ac:dyDescent="0.2">
      <c r="A152" s="66" t="s">
        <v>166</v>
      </c>
      <c r="B152" s="66" t="s">
        <v>26</v>
      </c>
      <c r="C152" s="66" t="s">
        <v>16942</v>
      </c>
      <c r="D152" s="66" t="s">
        <v>17488</v>
      </c>
      <c r="E152" s="109" t="s">
        <v>17489</v>
      </c>
      <c r="F152" s="66" t="s">
        <v>17490</v>
      </c>
      <c r="G152" s="71">
        <v>7216</v>
      </c>
      <c r="H152" s="73"/>
      <c r="I152" s="75">
        <v>0.2</v>
      </c>
      <c r="J152" s="77"/>
      <c r="K152" s="66"/>
      <c r="L152" s="66"/>
      <c r="M152" s="79" t="str">
        <f>HYPERLINK("https://pristavka.com/catalog/games-playstation-4/PSIV1204/")</f>
        <v>https://pristavka.com/catalog/games-playstation-4/PSIV1204/</v>
      </c>
      <c r="N152" s="71"/>
      <c r="O152" s="66" t="s">
        <v>27</v>
      </c>
      <c r="P152" s="82" t="s">
        <v>17491</v>
      </c>
      <c r="Q152" s="84"/>
      <c r="R152" s="84"/>
      <c r="S152" s="84">
        <v>8.4000000000000005E-2</v>
      </c>
      <c r="T152" s="82" t="s">
        <v>17029</v>
      </c>
      <c r="U152" s="84" t="s">
        <v>177</v>
      </c>
      <c r="V152" s="54"/>
    </row>
    <row r="153" spans="1:22" s="11" customFormat="1" ht="12" customHeight="1" x14ac:dyDescent="0.2">
      <c r="A153" s="66" t="s">
        <v>166</v>
      </c>
      <c r="B153" s="66" t="s">
        <v>26</v>
      </c>
      <c r="C153" s="66" t="s">
        <v>16942</v>
      </c>
      <c r="D153" s="66" t="s">
        <v>17492</v>
      </c>
      <c r="E153" s="109" t="s">
        <v>17493</v>
      </c>
      <c r="F153" s="66" t="s">
        <v>17494</v>
      </c>
      <c r="G153" s="71">
        <v>0</v>
      </c>
      <c r="H153" s="73"/>
      <c r="I153" s="75">
        <v>0.2</v>
      </c>
      <c r="J153" s="77"/>
      <c r="K153" s="66"/>
      <c r="L153" s="66"/>
      <c r="M153" s="79" t="str">
        <f>HYPERLINK("https://pristavka.com/catalog/games-playstation-4/PSIV1473/")</f>
        <v>https://pristavka.com/catalog/games-playstation-4/PSIV1473/</v>
      </c>
      <c r="N153" s="71"/>
      <c r="O153" s="66" t="s">
        <v>27</v>
      </c>
      <c r="P153" s="82" t="s">
        <v>17495</v>
      </c>
      <c r="Q153" s="84"/>
      <c r="R153" s="84"/>
      <c r="S153" s="84">
        <v>7.9000000000000001E-2</v>
      </c>
      <c r="T153" s="82" t="s">
        <v>17024</v>
      </c>
      <c r="U153" s="84" t="s">
        <v>7499</v>
      </c>
      <c r="V153" s="54"/>
    </row>
    <row r="154" spans="1:22" s="11" customFormat="1" ht="12" customHeight="1" x14ac:dyDescent="0.2">
      <c r="A154" s="66" t="s">
        <v>166</v>
      </c>
      <c r="B154" s="66" t="s">
        <v>26</v>
      </c>
      <c r="C154" s="66" t="s">
        <v>16942</v>
      </c>
      <c r="D154" s="66" t="s">
        <v>17496</v>
      </c>
      <c r="E154" s="109" t="s">
        <v>17497</v>
      </c>
      <c r="F154" s="66" t="s">
        <v>17498</v>
      </c>
      <c r="G154" s="71">
        <v>12240</v>
      </c>
      <c r="H154" s="73"/>
      <c r="I154" s="75">
        <v>0.2</v>
      </c>
      <c r="J154" s="77"/>
      <c r="K154" s="66"/>
      <c r="L154" s="66"/>
      <c r="M154" s="79" t="str">
        <f>HYPERLINK("https://pristavka.com/catalog/games-playstation-4/PSIV1247/")</f>
        <v>https://pristavka.com/catalog/games-playstation-4/PSIV1247/</v>
      </c>
      <c r="N154" s="71"/>
      <c r="O154" s="66" t="s">
        <v>27</v>
      </c>
      <c r="P154" s="82" t="s">
        <v>17499</v>
      </c>
      <c r="Q154" s="84"/>
      <c r="R154" s="84"/>
      <c r="S154" s="84">
        <v>0.13300000000000001</v>
      </c>
      <c r="T154" s="82" t="s">
        <v>17043</v>
      </c>
      <c r="U154" s="84" t="s">
        <v>7499</v>
      </c>
      <c r="V154" s="54"/>
    </row>
    <row r="155" spans="1:22" s="11" customFormat="1" ht="12" customHeight="1" x14ac:dyDescent="0.2">
      <c r="A155" s="66" t="s">
        <v>166</v>
      </c>
      <c r="B155" s="66" t="s">
        <v>26</v>
      </c>
      <c r="C155" s="66" t="s">
        <v>16942</v>
      </c>
      <c r="D155" s="66">
        <v>223229</v>
      </c>
      <c r="E155" s="109" t="s">
        <v>17500</v>
      </c>
      <c r="F155" s="66" t="s">
        <v>17501</v>
      </c>
      <c r="G155" s="71">
        <v>0</v>
      </c>
      <c r="H155" s="73"/>
      <c r="I155" s="75">
        <v>0.2</v>
      </c>
      <c r="J155" s="77"/>
      <c r="K155" s="66"/>
      <c r="L155" s="66"/>
      <c r="M155" s="79" t="str">
        <f>HYPERLINK("https://pristavka.com/catalog/games-playstation-4/PSIV832/")</f>
        <v>https://pristavka.com/catalog/games-playstation-4/PSIV832/</v>
      </c>
      <c r="N155" s="71"/>
      <c r="O155" s="66" t="s">
        <v>27</v>
      </c>
      <c r="P155" s="82" t="s">
        <v>17502</v>
      </c>
      <c r="Q155" s="84"/>
      <c r="R155" s="84"/>
      <c r="S155" s="84">
        <v>0.08</v>
      </c>
      <c r="T155" s="82" t="s">
        <v>17038</v>
      </c>
      <c r="U155" s="84" t="s">
        <v>7499</v>
      </c>
      <c r="V155" s="54"/>
    </row>
    <row r="156" spans="1:22" s="11" customFormat="1" ht="12" customHeight="1" x14ac:dyDescent="0.2">
      <c r="A156" s="66" t="s">
        <v>166</v>
      </c>
      <c r="B156" s="66" t="s">
        <v>26</v>
      </c>
      <c r="C156" s="66" t="s">
        <v>16942</v>
      </c>
      <c r="D156" s="66" t="s">
        <v>26</v>
      </c>
      <c r="E156" s="109" t="s">
        <v>17503</v>
      </c>
      <c r="F156" s="66" t="s">
        <v>17504</v>
      </c>
      <c r="G156" s="71">
        <v>0</v>
      </c>
      <c r="H156" s="73"/>
      <c r="I156" s="75">
        <v>0.2</v>
      </c>
      <c r="J156" s="77"/>
      <c r="K156" s="66"/>
      <c r="L156" s="66"/>
      <c r="M156" s="79" t="str">
        <f>HYPERLINK("https://pristavka.com/catalog/games-playstation-4/PSIV1285/")</f>
        <v>https://pristavka.com/catalog/games-playstation-4/PSIV1285/</v>
      </c>
      <c r="N156" s="71"/>
      <c r="O156" s="66" t="s">
        <v>27</v>
      </c>
      <c r="P156" s="82" t="s">
        <v>17505</v>
      </c>
      <c r="Q156" s="84"/>
      <c r="R156" s="84"/>
      <c r="S156" s="84">
        <v>0.08</v>
      </c>
      <c r="T156" s="82" t="s">
        <v>17038</v>
      </c>
      <c r="U156" s="84" t="s">
        <v>7499</v>
      </c>
      <c r="V156" s="54"/>
    </row>
    <row r="157" spans="1:22" s="45" customFormat="1" ht="12" customHeight="1" x14ac:dyDescent="0.2">
      <c r="A157" s="67" t="s">
        <v>166</v>
      </c>
      <c r="B157" s="67" t="s">
        <v>26</v>
      </c>
      <c r="C157" s="67" t="s">
        <v>16942</v>
      </c>
      <c r="D157" s="67" t="s">
        <v>17506</v>
      </c>
      <c r="E157" s="110" t="s">
        <v>17507</v>
      </c>
      <c r="F157" s="67" t="s">
        <v>17508</v>
      </c>
      <c r="G157" s="72">
        <v>0</v>
      </c>
      <c r="H157" s="74"/>
      <c r="I157" s="76">
        <v>0.2</v>
      </c>
      <c r="J157" s="77"/>
      <c r="K157" s="67" t="s">
        <v>129</v>
      </c>
      <c r="L157" s="67"/>
      <c r="M157" s="79" t="str">
        <f>HYPERLINK("https://pristavka.com/catalog/games-playstation-4/PSIV1488/")</f>
        <v>https://pristavka.com/catalog/games-playstation-4/PSIV1488/</v>
      </c>
      <c r="N157" s="72"/>
      <c r="O157" s="67" t="s">
        <v>27</v>
      </c>
      <c r="P157" s="83" t="s">
        <v>17509</v>
      </c>
      <c r="Q157" s="85"/>
      <c r="R157" s="85"/>
      <c r="S157" s="85">
        <v>8.3000000000000004E-2</v>
      </c>
      <c r="T157" s="83" t="s">
        <v>17510</v>
      </c>
      <c r="U157" s="85" t="s">
        <v>17008</v>
      </c>
      <c r="V157" s="55"/>
    </row>
    <row r="158" spans="1:22" s="11" customFormat="1" ht="12" customHeight="1" x14ac:dyDescent="0.2">
      <c r="A158" s="66" t="s">
        <v>166</v>
      </c>
      <c r="B158" s="66" t="s">
        <v>26</v>
      </c>
      <c r="C158" s="66" t="s">
        <v>16942</v>
      </c>
      <c r="D158" s="66" t="s">
        <v>26</v>
      </c>
      <c r="E158" s="109" t="s">
        <v>17511</v>
      </c>
      <c r="F158" s="66" t="s">
        <v>17512</v>
      </c>
      <c r="G158" s="71">
        <v>0</v>
      </c>
      <c r="H158" s="73"/>
      <c r="I158" s="75">
        <v>0.2</v>
      </c>
      <c r="J158" s="77"/>
      <c r="K158" s="66"/>
      <c r="L158" s="66"/>
      <c r="M158" s="79" t="str">
        <f>HYPERLINK("https://pristavka.com/catalog/games-playstation-4/PSIV1175/")</f>
        <v>https://pristavka.com/catalog/games-playstation-4/PSIV1175/</v>
      </c>
      <c r="N158" s="71"/>
      <c r="O158" s="66" t="s">
        <v>27</v>
      </c>
      <c r="P158" s="82" t="s">
        <v>17513</v>
      </c>
      <c r="Q158" s="84"/>
      <c r="R158" s="84"/>
      <c r="S158" s="84">
        <v>0.08</v>
      </c>
      <c r="T158" s="82" t="s">
        <v>17043</v>
      </c>
      <c r="U158" s="84" t="s">
        <v>7499</v>
      </c>
      <c r="V158" s="54"/>
    </row>
    <row r="159" spans="1:22" s="11" customFormat="1" ht="12" customHeight="1" x14ac:dyDescent="0.2">
      <c r="A159" s="66" t="s">
        <v>166</v>
      </c>
      <c r="B159" s="66" t="s">
        <v>26</v>
      </c>
      <c r="C159" s="66" t="s">
        <v>16942</v>
      </c>
      <c r="D159" s="66" t="s">
        <v>26</v>
      </c>
      <c r="E159" s="109" t="s">
        <v>17514</v>
      </c>
      <c r="F159" s="66" t="s">
        <v>17515</v>
      </c>
      <c r="G159" s="71">
        <v>0</v>
      </c>
      <c r="H159" s="73"/>
      <c r="I159" s="75">
        <v>0.2</v>
      </c>
      <c r="J159" s="77"/>
      <c r="K159" s="66"/>
      <c r="L159" s="66"/>
      <c r="M159" s="79" t="str">
        <f>HYPERLINK("https://pristavka.com/catalog/games-playstation-4/PSIV1207/")</f>
        <v>https://pristavka.com/catalog/games-playstation-4/PSIV1207/</v>
      </c>
      <c r="N159" s="71"/>
      <c r="O159" s="66" t="s">
        <v>27</v>
      </c>
      <c r="P159" s="82" t="s">
        <v>17516</v>
      </c>
      <c r="Q159" s="84"/>
      <c r="R159" s="84"/>
      <c r="S159" s="84">
        <v>0.09</v>
      </c>
      <c r="T159" s="82" t="s">
        <v>17024</v>
      </c>
      <c r="U159" s="84" t="s">
        <v>7499</v>
      </c>
      <c r="V159" s="54"/>
    </row>
    <row r="160" spans="1:22" s="11" customFormat="1" ht="12" customHeight="1" x14ac:dyDescent="0.2">
      <c r="A160" s="66" t="s">
        <v>166</v>
      </c>
      <c r="B160" s="66" t="s">
        <v>26</v>
      </c>
      <c r="C160" s="66" t="s">
        <v>16942</v>
      </c>
      <c r="D160" s="66" t="s">
        <v>17517</v>
      </c>
      <c r="E160" s="109" t="s">
        <v>17518</v>
      </c>
      <c r="F160" s="66" t="s">
        <v>17519</v>
      </c>
      <c r="G160" s="71">
        <v>0</v>
      </c>
      <c r="H160" s="73"/>
      <c r="I160" s="75">
        <v>0.2</v>
      </c>
      <c r="J160" s="77"/>
      <c r="K160" s="66"/>
      <c r="L160" s="66"/>
      <c r="M160" s="79" t="str">
        <f>HYPERLINK("https://pristavka.com/catalog/games-playstation-4/PSIV1336/")</f>
        <v>https://pristavka.com/catalog/games-playstation-4/PSIV1336/</v>
      </c>
      <c r="N160" s="71"/>
      <c r="O160" s="66" t="s">
        <v>27</v>
      </c>
      <c r="P160" s="82" t="s">
        <v>17520</v>
      </c>
      <c r="Q160" s="84"/>
      <c r="R160" s="84"/>
      <c r="S160" s="84">
        <v>8.3000000000000004E-2</v>
      </c>
      <c r="T160" s="82" t="s">
        <v>17029</v>
      </c>
      <c r="U160" s="84" t="s">
        <v>17008</v>
      </c>
      <c r="V160" s="54"/>
    </row>
    <row r="161" spans="1:22" s="11" customFormat="1" ht="12" customHeight="1" x14ac:dyDescent="0.2">
      <c r="A161" s="66" t="s">
        <v>166</v>
      </c>
      <c r="B161" s="66" t="s">
        <v>26</v>
      </c>
      <c r="C161" s="66" t="s">
        <v>16942</v>
      </c>
      <c r="D161" s="66" t="s">
        <v>17044</v>
      </c>
      <c r="E161" s="109" t="s">
        <v>17521</v>
      </c>
      <c r="F161" s="66" t="s">
        <v>17522</v>
      </c>
      <c r="G161" s="71">
        <v>0</v>
      </c>
      <c r="H161" s="73"/>
      <c r="I161" s="75">
        <v>0.2</v>
      </c>
      <c r="J161" s="77"/>
      <c r="K161" s="66"/>
      <c r="L161" s="66"/>
      <c r="M161" s="79" t="str">
        <f>HYPERLINK("https://pristavka.com/catalog/games-playstation-4/PSIV1525/")</f>
        <v>https://pristavka.com/catalog/games-playstation-4/PSIV1525/</v>
      </c>
      <c r="N161" s="71"/>
      <c r="O161" s="66" t="s">
        <v>27</v>
      </c>
      <c r="P161" s="82" t="s">
        <v>17523</v>
      </c>
      <c r="Q161" s="84"/>
      <c r="R161" s="84"/>
      <c r="S161" s="84">
        <v>7.9000000000000001E-2</v>
      </c>
      <c r="T161" s="82" t="s">
        <v>17029</v>
      </c>
      <c r="U161" s="84" t="s">
        <v>7499</v>
      </c>
      <c r="V161" s="54"/>
    </row>
    <row r="162" spans="1:22" s="11" customFormat="1" ht="12" customHeight="1" x14ac:dyDescent="0.2">
      <c r="A162" s="66" t="s">
        <v>166</v>
      </c>
      <c r="B162" s="66" t="s">
        <v>26</v>
      </c>
      <c r="C162" s="66" t="s">
        <v>16942</v>
      </c>
      <c r="D162" s="66">
        <v>5021290074453</v>
      </c>
      <c r="E162" s="109" t="s">
        <v>17524</v>
      </c>
      <c r="F162" s="66" t="s">
        <v>17525</v>
      </c>
      <c r="G162" s="71">
        <v>6069</v>
      </c>
      <c r="H162" s="73"/>
      <c r="I162" s="75">
        <v>0.2</v>
      </c>
      <c r="J162" s="77"/>
      <c r="K162" s="66"/>
      <c r="L162" s="66"/>
      <c r="M162" s="79" t="str">
        <f>HYPERLINK("https://pristavka.com/catalog/games-playstation-4/PSIV1248/")</f>
        <v>https://pristavka.com/catalog/games-playstation-4/PSIV1248/</v>
      </c>
      <c r="N162" s="71"/>
      <c r="O162" s="66" t="s">
        <v>27</v>
      </c>
      <c r="P162" s="82" t="s">
        <v>17526</v>
      </c>
      <c r="Q162" s="84"/>
      <c r="R162" s="84"/>
      <c r="S162" s="84">
        <v>8.5999999999999993E-2</v>
      </c>
      <c r="T162" s="82" t="s">
        <v>17043</v>
      </c>
      <c r="U162" s="84" t="s">
        <v>7499</v>
      </c>
      <c r="V162" s="54"/>
    </row>
    <row r="163" spans="1:22" s="11" customFormat="1" ht="12" customHeight="1" x14ac:dyDescent="0.2">
      <c r="A163" s="66" t="s">
        <v>166</v>
      </c>
      <c r="B163" s="66" t="s">
        <v>26</v>
      </c>
      <c r="C163" s="66" t="s">
        <v>16942</v>
      </c>
      <c r="D163" s="66" t="s">
        <v>26</v>
      </c>
      <c r="E163" s="109" t="s">
        <v>17527</v>
      </c>
      <c r="F163" s="66" t="s">
        <v>17528</v>
      </c>
      <c r="G163" s="71">
        <v>0</v>
      </c>
      <c r="H163" s="73"/>
      <c r="I163" s="75">
        <v>0.2</v>
      </c>
      <c r="J163" s="77"/>
      <c r="K163" s="66"/>
      <c r="L163" s="66"/>
      <c r="M163" s="79" t="str">
        <f>HYPERLINK("https://pristavka.com/catalog/games-playstation-4/PSIV1520/")</f>
        <v>https://pristavka.com/catalog/games-playstation-4/PSIV1520/</v>
      </c>
      <c r="N163" s="71"/>
      <c r="O163" s="66" t="s">
        <v>27</v>
      </c>
      <c r="P163" s="82" t="s">
        <v>17529</v>
      </c>
      <c r="Q163" s="84"/>
      <c r="R163" s="84"/>
      <c r="S163" s="84">
        <v>8.4000000000000005E-2</v>
      </c>
      <c r="T163" s="82" t="s">
        <v>17038</v>
      </c>
      <c r="U163" s="84" t="s">
        <v>17008</v>
      </c>
      <c r="V163" s="54"/>
    </row>
    <row r="164" spans="1:22" s="11" customFormat="1" ht="12" customHeight="1" x14ac:dyDescent="0.2">
      <c r="A164" s="66" t="s">
        <v>166</v>
      </c>
      <c r="B164" s="66" t="s">
        <v>26</v>
      </c>
      <c r="C164" s="66" t="s">
        <v>16942</v>
      </c>
      <c r="D164" s="66" t="s">
        <v>17530</v>
      </c>
      <c r="E164" s="109" t="s">
        <v>17531</v>
      </c>
      <c r="F164" s="66" t="s">
        <v>17532</v>
      </c>
      <c r="G164" s="71">
        <v>0</v>
      </c>
      <c r="H164" s="73"/>
      <c r="I164" s="75">
        <v>0.2</v>
      </c>
      <c r="J164" s="77"/>
      <c r="K164" s="66"/>
      <c r="L164" s="66"/>
      <c r="M164" s="79" t="str">
        <f>HYPERLINK("https://pristavka.com/catalog/games-playstation-4/PSIV1478/")</f>
        <v>https://pristavka.com/catalog/games-playstation-4/PSIV1478/</v>
      </c>
      <c r="N164" s="71"/>
      <c r="O164" s="66" t="s">
        <v>27</v>
      </c>
      <c r="P164" s="82" t="s">
        <v>17533</v>
      </c>
      <c r="Q164" s="84"/>
      <c r="R164" s="84"/>
      <c r="S164" s="84">
        <v>8.5000000000000006E-2</v>
      </c>
      <c r="T164" s="82" t="s">
        <v>17029</v>
      </c>
      <c r="U164" s="84" t="s">
        <v>7499</v>
      </c>
      <c r="V164" s="54"/>
    </row>
    <row r="165" spans="1:22" s="11" customFormat="1" ht="12" customHeight="1" x14ac:dyDescent="0.2">
      <c r="A165" s="66" t="s">
        <v>166</v>
      </c>
      <c r="B165" s="66" t="s">
        <v>26</v>
      </c>
      <c r="C165" s="66" t="s">
        <v>16942</v>
      </c>
      <c r="D165" s="66" t="s">
        <v>17534</v>
      </c>
      <c r="E165" s="109" t="s">
        <v>17535</v>
      </c>
      <c r="F165" s="66" t="s">
        <v>17536</v>
      </c>
      <c r="G165" s="71">
        <v>4217</v>
      </c>
      <c r="H165" s="73"/>
      <c r="I165" s="75">
        <v>0.2</v>
      </c>
      <c r="J165" s="77"/>
      <c r="K165" s="66"/>
      <c r="L165" s="66"/>
      <c r="M165" s="79" t="str">
        <f>HYPERLINK("https://pristavka.com/catalog/games-playstation-4/PSIV1072/")</f>
        <v>https://pristavka.com/catalog/games-playstation-4/PSIV1072/</v>
      </c>
      <c r="N165" s="71"/>
      <c r="O165" s="66" t="s">
        <v>27</v>
      </c>
      <c r="P165" s="82" t="s">
        <v>17537</v>
      </c>
      <c r="Q165" s="84"/>
      <c r="R165" s="84"/>
      <c r="S165" s="84">
        <v>8.8999999999999996E-2</v>
      </c>
      <c r="T165" s="82" t="s">
        <v>17024</v>
      </c>
      <c r="U165" s="84" t="s">
        <v>52</v>
      </c>
      <c r="V165" s="54"/>
    </row>
    <row r="166" spans="1:22" s="11" customFormat="1" ht="12" customHeight="1" x14ac:dyDescent="0.2">
      <c r="A166" s="66" t="s">
        <v>166</v>
      </c>
      <c r="B166" s="66" t="s">
        <v>26</v>
      </c>
      <c r="C166" s="66" t="s">
        <v>16942</v>
      </c>
      <c r="D166" s="66" t="s">
        <v>17538</v>
      </c>
      <c r="E166" s="109" t="s">
        <v>17539</v>
      </c>
      <c r="F166" s="66" t="s">
        <v>17540</v>
      </c>
      <c r="G166" s="71">
        <v>3162</v>
      </c>
      <c r="H166" s="73"/>
      <c r="I166" s="75">
        <v>0.2</v>
      </c>
      <c r="J166" s="77"/>
      <c r="K166" s="66"/>
      <c r="L166" s="66"/>
      <c r="M166" s="79" t="str">
        <f>HYPERLINK("https://pristavka.com/catalog/games-playstation-4/PSIV1211/")</f>
        <v>https://pristavka.com/catalog/games-playstation-4/PSIV1211/</v>
      </c>
      <c r="N166" s="71"/>
      <c r="O166" s="66" t="s">
        <v>28</v>
      </c>
      <c r="P166" s="82" t="s">
        <v>17541</v>
      </c>
      <c r="Q166" s="84"/>
      <c r="R166" s="84"/>
      <c r="S166" s="84">
        <v>0.09</v>
      </c>
      <c r="T166" s="82" t="s">
        <v>17024</v>
      </c>
      <c r="U166" s="84" t="s">
        <v>52</v>
      </c>
      <c r="V166" s="54"/>
    </row>
    <row r="167" spans="1:22" s="45" customFormat="1" ht="12" customHeight="1" x14ac:dyDescent="0.2">
      <c r="A167" s="67" t="s">
        <v>166</v>
      </c>
      <c r="B167" s="67" t="s">
        <v>26</v>
      </c>
      <c r="C167" s="67" t="s">
        <v>16942</v>
      </c>
      <c r="D167" s="67" t="s">
        <v>17542</v>
      </c>
      <c r="E167" s="110" t="s">
        <v>17543</v>
      </c>
      <c r="F167" s="67" t="s">
        <v>17544</v>
      </c>
      <c r="G167" s="72">
        <v>0</v>
      </c>
      <c r="H167" s="74"/>
      <c r="I167" s="76">
        <v>0.2</v>
      </c>
      <c r="J167" s="77"/>
      <c r="K167" s="67" t="s">
        <v>129</v>
      </c>
      <c r="L167" s="67"/>
      <c r="M167" s="79" t="str">
        <f>HYPERLINK("https://pristavka.com/catalog/games-playstation-4/PSIV1481/")</f>
        <v>https://pristavka.com/catalog/games-playstation-4/PSIV1481/</v>
      </c>
      <c r="N167" s="72"/>
      <c r="O167" s="67" t="s">
        <v>28</v>
      </c>
      <c r="P167" s="83" t="s">
        <v>17545</v>
      </c>
      <c r="Q167" s="85"/>
      <c r="R167" s="85"/>
      <c r="S167" s="85">
        <v>8.7999999999999995E-2</v>
      </c>
      <c r="T167" s="83" t="s">
        <v>17038</v>
      </c>
      <c r="U167" s="85" t="s">
        <v>177</v>
      </c>
      <c r="V167" s="55"/>
    </row>
    <row r="168" spans="1:22" s="11" customFormat="1" ht="12" customHeight="1" x14ac:dyDescent="0.2">
      <c r="A168" s="66" t="s">
        <v>166</v>
      </c>
      <c r="B168" s="66" t="s">
        <v>26</v>
      </c>
      <c r="C168" s="66" t="s">
        <v>16942</v>
      </c>
      <c r="D168" s="66" t="s">
        <v>17546</v>
      </c>
      <c r="E168" s="109" t="s">
        <v>17547</v>
      </c>
      <c r="F168" s="66" t="s">
        <v>17548</v>
      </c>
      <c r="G168" s="71">
        <v>0</v>
      </c>
      <c r="H168" s="73"/>
      <c r="I168" s="75">
        <v>0.2</v>
      </c>
      <c r="J168" s="77"/>
      <c r="K168" s="66"/>
      <c r="L168" s="66"/>
      <c r="M168" s="96"/>
      <c r="N168" s="71"/>
      <c r="O168" s="66" t="s">
        <v>28</v>
      </c>
      <c r="P168" s="82" t="s">
        <v>17549</v>
      </c>
      <c r="Q168" s="84"/>
      <c r="R168" s="84"/>
      <c r="S168" s="84">
        <v>8.5999999999999993E-2</v>
      </c>
      <c r="T168" s="82" t="s">
        <v>17043</v>
      </c>
      <c r="U168" s="84" t="s">
        <v>7499</v>
      </c>
      <c r="V168" s="54"/>
    </row>
    <row r="169" spans="1:22" s="11" customFormat="1" ht="12" customHeight="1" x14ac:dyDescent="0.2">
      <c r="A169" s="66" t="s">
        <v>166</v>
      </c>
      <c r="B169" s="66" t="s">
        <v>26</v>
      </c>
      <c r="C169" s="66" t="s">
        <v>16942</v>
      </c>
      <c r="D169" s="66" t="s">
        <v>17550</v>
      </c>
      <c r="E169" s="109" t="s">
        <v>17551</v>
      </c>
      <c r="F169" s="66" t="s">
        <v>17552</v>
      </c>
      <c r="G169" s="71">
        <v>0</v>
      </c>
      <c r="H169" s="73"/>
      <c r="I169" s="75">
        <v>0.2</v>
      </c>
      <c r="J169" s="77"/>
      <c r="K169" s="66"/>
      <c r="L169" s="66"/>
      <c r="M169" s="79" t="str">
        <f>HYPERLINK("https://pristavka.com/catalog/games-playstation-4/PSIV1287/")</f>
        <v>https://pristavka.com/catalog/games-playstation-4/PSIV1287/</v>
      </c>
      <c r="N169" s="71"/>
      <c r="O169" s="66" t="s">
        <v>27</v>
      </c>
      <c r="P169" s="82" t="s">
        <v>17553</v>
      </c>
      <c r="Q169" s="84"/>
      <c r="R169" s="84"/>
      <c r="S169" s="84">
        <v>8.3000000000000004E-2</v>
      </c>
      <c r="T169" s="82" t="s">
        <v>17024</v>
      </c>
      <c r="U169" s="84"/>
      <c r="V169" s="54"/>
    </row>
    <row r="170" spans="1:22" s="11" customFormat="1" ht="12" customHeight="1" x14ac:dyDescent="0.2">
      <c r="A170" s="66" t="s">
        <v>166</v>
      </c>
      <c r="B170" s="66" t="s">
        <v>26</v>
      </c>
      <c r="C170" s="66" t="s">
        <v>16942</v>
      </c>
      <c r="D170" s="66">
        <v>107879</v>
      </c>
      <c r="E170" s="109" t="s">
        <v>17554</v>
      </c>
      <c r="F170" s="66" t="s">
        <v>17555</v>
      </c>
      <c r="G170" s="71">
        <v>0</v>
      </c>
      <c r="H170" s="73"/>
      <c r="I170" s="75">
        <v>0.2</v>
      </c>
      <c r="J170" s="77"/>
      <c r="K170" s="66"/>
      <c r="L170" s="66"/>
      <c r="M170" s="79" t="str">
        <f>HYPERLINK("https://pristavka.com/catalog/games-playstation-4/PSIV839/")</f>
        <v>https://pristavka.com/catalog/games-playstation-4/PSIV839/</v>
      </c>
      <c r="N170" s="71"/>
      <c r="O170" s="66" t="s">
        <v>27</v>
      </c>
      <c r="P170" s="82" t="s">
        <v>17556</v>
      </c>
      <c r="Q170" s="84"/>
      <c r="R170" s="84"/>
      <c r="S170" s="84">
        <v>8.6999999999999994E-2</v>
      </c>
      <c r="T170" s="82" t="s">
        <v>17043</v>
      </c>
      <c r="U170" s="84"/>
      <c r="V170" s="54"/>
    </row>
    <row r="171" spans="1:22" s="11" customFormat="1" ht="12" customHeight="1" x14ac:dyDescent="0.2">
      <c r="A171" s="66" t="s">
        <v>166</v>
      </c>
      <c r="B171" s="66" t="s">
        <v>26</v>
      </c>
      <c r="C171" s="66" t="s">
        <v>16942</v>
      </c>
      <c r="D171" s="66" t="s">
        <v>17557</v>
      </c>
      <c r="E171" s="109" t="s">
        <v>17558</v>
      </c>
      <c r="F171" s="66" t="s">
        <v>17559</v>
      </c>
      <c r="G171" s="71">
        <v>0</v>
      </c>
      <c r="H171" s="73"/>
      <c r="I171" s="75">
        <v>0.2</v>
      </c>
      <c r="J171" s="77"/>
      <c r="K171" s="66"/>
      <c r="L171" s="66"/>
      <c r="M171" s="96"/>
      <c r="N171" s="71"/>
      <c r="O171" s="66" t="s">
        <v>27</v>
      </c>
      <c r="P171" s="82" t="s">
        <v>17560</v>
      </c>
      <c r="Q171" s="84"/>
      <c r="R171" s="84"/>
      <c r="S171" s="84">
        <v>8.5000000000000006E-2</v>
      </c>
      <c r="T171" s="82" t="s">
        <v>17029</v>
      </c>
      <c r="U171" s="84" t="s">
        <v>177</v>
      </c>
      <c r="V171" s="54"/>
    </row>
    <row r="172" spans="1:22" s="11" customFormat="1" ht="12" customHeight="1" x14ac:dyDescent="0.2">
      <c r="A172" s="66" t="s">
        <v>166</v>
      </c>
      <c r="B172" s="66" t="s">
        <v>26</v>
      </c>
      <c r="C172" s="66" t="s">
        <v>16942</v>
      </c>
      <c r="D172" s="66" t="s">
        <v>17561</v>
      </c>
      <c r="E172" s="109" t="s">
        <v>17562</v>
      </c>
      <c r="F172" s="66" t="s">
        <v>17563</v>
      </c>
      <c r="G172" s="71">
        <v>0</v>
      </c>
      <c r="H172" s="73"/>
      <c r="I172" s="75">
        <v>0.2</v>
      </c>
      <c r="J172" s="77"/>
      <c r="K172" s="66"/>
      <c r="L172" s="66"/>
      <c r="M172" s="96"/>
      <c r="N172" s="71"/>
      <c r="O172" s="66" t="s">
        <v>27</v>
      </c>
      <c r="P172" s="82" t="s">
        <v>17564</v>
      </c>
      <c r="Q172" s="84"/>
      <c r="R172" s="84"/>
      <c r="S172" s="84">
        <v>0.17399999999999999</v>
      </c>
      <c r="T172" s="82" t="s">
        <v>17038</v>
      </c>
      <c r="U172" s="84" t="s">
        <v>52</v>
      </c>
      <c r="V172" s="54"/>
    </row>
    <row r="173" spans="1:22" s="11" customFormat="1" ht="12" customHeight="1" x14ac:dyDescent="0.2">
      <c r="A173" s="66" t="s">
        <v>166</v>
      </c>
      <c r="B173" s="66" t="s">
        <v>26</v>
      </c>
      <c r="C173" s="66" t="s">
        <v>16942</v>
      </c>
      <c r="D173" s="66" t="s">
        <v>17557</v>
      </c>
      <c r="E173" s="109" t="s">
        <v>17565</v>
      </c>
      <c r="F173" s="66" t="s">
        <v>17566</v>
      </c>
      <c r="G173" s="71">
        <v>0</v>
      </c>
      <c r="H173" s="73"/>
      <c r="I173" s="75">
        <v>0.2</v>
      </c>
      <c r="J173" s="77"/>
      <c r="K173" s="66"/>
      <c r="L173" s="66"/>
      <c r="M173" s="96"/>
      <c r="N173" s="71"/>
      <c r="O173" s="66" t="s">
        <v>27</v>
      </c>
      <c r="P173" s="82" t="s">
        <v>17567</v>
      </c>
      <c r="Q173" s="84"/>
      <c r="R173" s="84"/>
      <c r="S173" s="84">
        <v>0.17699999999999999</v>
      </c>
      <c r="T173" s="82" t="s">
        <v>17568</v>
      </c>
      <c r="U173" s="84" t="s">
        <v>177</v>
      </c>
      <c r="V173" s="54"/>
    </row>
    <row r="174" spans="1:22" s="11" customFormat="1" ht="12" customHeight="1" x14ac:dyDescent="0.2">
      <c r="A174" s="66" t="s">
        <v>166</v>
      </c>
      <c r="B174" s="66" t="s">
        <v>26</v>
      </c>
      <c r="C174" s="66" t="s">
        <v>16942</v>
      </c>
      <c r="D174" s="66" t="s">
        <v>26</v>
      </c>
      <c r="E174" s="109" t="s">
        <v>17569</v>
      </c>
      <c r="F174" s="66" t="s">
        <v>17570</v>
      </c>
      <c r="G174" s="71">
        <v>18615</v>
      </c>
      <c r="H174" s="73"/>
      <c r="I174" s="75">
        <v>0.2</v>
      </c>
      <c r="J174" s="77"/>
      <c r="K174" s="66"/>
      <c r="L174" s="66"/>
      <c r="M174" s="96"/>
      <c r="N174" s="71"/>
      <c r="O174" s="66" t="s">
        <v>27</v>
      </c>
      <c r="P174" s="82" t="s">
        <v>17571</v>
      </c>
      <c r="Q174" s="84"/>
      <c r="R174" s="84"/>
      <c r="S174" s="84">
        <v>0.08</v>
      </c>
      <c r="T174" s="82" t="s">
        <v>17038</v>
      </c>
      <c r="U174" s="84"/>
      <c r="V174" s="54"/>
    </row>
    <row r="175" spans="1:22" s="11" customFormat="1" ht="12" customHeight="1" x14ac:dyDescent="0.2">
      <c r="A175" s="66" t="s">
        <v>166</v>
      </c>
      <c r="B175" s="66" t="s">
        <v>26</v>
      </c>
      <c r="C175" s="66" t="s">
        <v>16942</v>
      </c>
      <c r="D175" s="66" t="s">
        <v>17572</v>
      </c>
      <c r="E175" s="109" t="s">
        <v>17573</v>
      </c>
      <c r="F175" s="66" t="s">
        <v>17574</v>
      </c>
      <c r="G175" s="71">
        <v>0</v>
      </c>
      <c r="H175" s="73"/>
      <c r="I175" s="75">
        <v>0.2</v>
      </c>
      <c r="J175" s="77"/>
      <c r="K175" s="66"/>
      <c r="L175" s="66"/>
      <c r="M175" s="96"/>
      <c r="N175" s="71"/>
      <c r="O175" s="66" t="s">
        <v>27</v>
      </c>
      <c r="P175" s="82" t="s">
        <v>17575</v>
      </c>
      <c r="Q175" s="84"/>
      <c r="R175" s="84"/>
      <c r="S175" s="84">
        <v>0.09</v>
      </c>
      <c r="T175" s="82" t="s">
        <v>17038</v>
      </c>
      <c r="U175" s="84" t="s">
        <v>52</v>
      </c>
      <c r="V175" s="54"/>
    </row>
    <row r="176" spans="1:22" s="11" customFormat="1" ht="12" customHeight="1" x14ac:dyDescent="0.2">
      <c r="A176" s="66" t="s">
        <v>166</v>
      </c>
      <c r="B176" s="66" t="s">
        <v>26</v>
      </c>
      <c r="C176" s="66" t="s">
        <v>16942</v>
      </c>
      <c r="D176" s="66" t="s">
        <v>17576</v>
      </c>
      <c r="E176" s="109" t="s">
        <v>17577</v>
      </c>
      <c r="F176" s="66" t="s">
        <v>17578</v>
      </c>
      <c r="G176" s="71">
        <v>0</v>
      </c>
      <c r="H176" s="73"/>
      <c r="I176" s="75">
        <v>0.2</v>
      </c>
      <c r="J176" s="77"/>
      <c r="K176" s="66"/>
      <c r="L176" s="66"/>
      <c r="M176" s="79" t="str">
        <f>HYPERLINK("https://pristavka.com/catalog/games-playstation-4/PSIV844/")</f>
        <v>https://pristavka.com/catalog/games-playstation-4/PSIV844/</v>
      </c>
      <c r="N176" s="71"/>
      <c r="O176" s="66" t="s">
        <v>27</v>
      </c>
      <c r="P176" s="82" t="s">
        <v>17579</v>
      </c>
      <c r="Q176" s="84"/>
      <c r="R176" s="84"/>
      <c r="S176" s="84">
        <v>0.09</v>
      </c>
      <c r="T176" s="82" t="s">
        <v>17024</v>
      </c>
      <c r="U176" s="84"/>
      <c r="V176" s="54"/>
    </row>
    <row r="177" spans="1:22" s="11" customFormat="1" ht="12" customHeight="1" x14ac:dyDescent="0.2">
      <c r="A177" s="66" t="s">
        <v>166</v>
      </c>
      <c r="B177" s="66" t="s">
        <v>26</v>
      </c>
      <c r="C177" s="66" t="s">
        <v>16942</v>
      </c>
      <c r="D177" s="66" t="s">
        <v>17580</v>
      </c>
      <c r="E177" s="109" t="s">
        <v>17581</v>
      </c>
      <c r="F177" s="66" t="s">
        <v>17582</v>
      </c>
      <c r="G177" s="71">
        <v>0</v>
      </c>
      <c r="H177" s="73"/>
      <c r="I177" s="75">
        <v>0.2</v>
      </c>
      <c r="J177" s="77"/>
      <c r="K177" s="66"/>
      <c r="L177" s="66"/>
      <c r="M177" s="79" t="str">
        <f>HYPERLINK("https://pristavka.com/catalog/games-playstation-4/PSIV1503/")</f>
        <v>https://pristavka.com/catalog/games-playstation-4/PSIV1503/</v>
      </c>
      <c r="N177" s="71"/>
      <c r="O177" s="66" t="s">
        <v>27</v>
      </c>
      <c r="P177" s="82" t="s">
        <v>17583</v>
      </c>
      <c r="Q177" s="84"/>
      <c r="R177" s="84"/>
      <c r="S177" s="84">
        <v>8.2000000000000003E-2</v>
      </c>
      <c r="T177" s="82" t="s">
        <v>17043</v>
      </c>
      <c r="U177" s="84" t="s">
        <v>7499</v>
      </c>
      <c r="V177" s="54"/>
    </row>
    <row r="178" spans="1:22" s="11" customFormat="1" ht="12" customHeight="1" x14ac:dyDescent="0.2">
      <c r="A178" s="66" t="s">
        <v>166</v>
      </c>
      <c r="B178" s="66" t="s">
        <v>26</v>
      </c>
      <c r="C178" s="66" t="s">
        <v>16942</v>
      </c>
      <c r="D178" s="66">
        <v>222783</v>
      </c>
      <c r="E178" s="109" t="s">
        <v>17584</v>
      </c>
      <c r="F178" s="66" t="s">
        <v>17585</v>
      </c>
      <c r="G178" s="71">
        <v>0</v>
      </c>
      <c r="H178" s="73"/>
      <c r="I178" s="75">
        <v>0.2</v>
      </c>
      <c r="J178" s="77"/>
      <c r="K178" s="66"/>
      <c r="L178" s="66"/>
      <c r="M178" s="79" t="str">
        <f>HYPERLINK("https://pristavka.com/catalog/games-playstation-4/PSIV845/")</f>
        <v>https://pristavka.com/catalog/games-playstation-4/PSIV845/</v>
      </c>
      <c r="N178" s="71"/>
      <c r="O178" s="66" t="s">
        <v>27</v>
      </c>
      <c r="P178" s="82" t="s">
        <v>17586</v>
      </c>
      <c r="Q178" s="84"/>
      <c r="R178" s="84"/>
      <c r="S178" s="84">
        <v>9.7000000000000003E-2</v>
      </c>
      <c r="T178" s="82" t="s">
        <v>17587</v>
      </c>
      <c r="U178" s="84" t="s">
        <v>52</v>
      </c>
      <c r="V178" s="54"/>
    </row>
    <row r="179" spans="1:22" s="58" customFormat="1" ht="12" customHeight="1" x14ac:dyDescent="0.2">
      <c r="A179" s="86" t="s">
        <v>166</v>
      </c>
      <c r="B179" s="86" t="s">
        <v>26</v>
      </c>
      <c r="C179" s="86" t="s">
        <v>16942</v>
      </c>
      <c r="D179" s="86" t="s">
        <v>17588</v>
      </c>
      <c r="E179" s="111" t="s">
        <v>17589</v>
      </c>
      <c r="F179" s="86" t="s">
        <v>17590</v>
      </c>
      <c r="G179" s="90">
        <v>0</v>
      </c>
      <c r="H179" s="92"/>
      <c r="I179" s="94">
        <v>0.2</v>
      </c>
      <c r="J179" s="77"/>
      <c r="K179" s="86" t="s">
        <v>61</v>
      </c>
      <c r="L179" s="86"/>
      <c r="M179" s="116"/>
      <c r="N179" s="90"/>
      <c r="O179" s="86" t="s">
        <v>27</v>
      </c>
      <c r="P179" s="97" t="s">
        <v>17591</v>
      </c>
      <c r="Q179" s="99"/>
      <c r="R179" s="99"/>
      <c r="S179" s="99">
        <v>0.08</v>
      </c>
      <c r="T179" s="97" t="s">
        <v>17029</v>
      </c>
      <c r="U179" s="99" t="s">
        <v>7499</v>
      </c>
      <c r="V179" s="60"/>
    </row>
    <row r="180" spans="1:22" s="11" customFormat="1" ht="12" customHeight="1" x14ac:dyDescent="0.2">
      <c r="A180" s="66" t="s">
        <v>166</v>
      </c>
      <c r="B180" s="66" t="s">
        <v>26</v>
      </c>
      <c r="C180" s="66" t="s">
        <v>16942</v>
      </c>
      <c r="D180" s="66" t="s">
        <v>17592</v>
      </c>
      <c r="E180" s="109" t="s">
        <v>17593</v>
      </c>
      <c r="F180" s="66" t="s">
        <v>17594</v>
      </c>
      <c r="G180" s="71">
        <v>0</v>
      </c>
      <c r="H180" s="73"/>
      <c r="I180" s="75">
        <v>0.2</v>
      </c>
      <c r="J180" s="77"/>
      <c r="K180" s="66"/>
      <c r="L180" s="66"/>
      <c r="M180" s="79" t="str">
        <f>HYPERLINK("https://pristavka.com/catalog/games-playstation-4/PSIV846/")</f>
        <v>https://pristavka.com/catalog/games-playstation-4/PSIV846/</v>
      </c>
      <c r="N180" s="71"/>
      <c r="O180" s="66" t="s">
        <v>28</v>
      </c>
      <c r="P180" s="82" t="s">
        <v>17595</v>
      </c>
      <c r="Q180" s="84"/>
      <c r="R180" s="84"/>
      <c r="S180" s="84">
        <v>8.5999999999999993E-2</v>
      </c>
      <c r="T180" s="82" t="s">
        <v>17043</v>
      </c>
      <c r="U180" s="84" t="s">
        <v>177</v>
      </c>
      <c r="V180" s="54"/>
    </row>
    <row r="181" spans="1:22" s="11" customFormat="1" ht="12" customHeight="1" x14ac:dyDescent="0.2">
      <c r="A181" s="66" t="s">
        <v>166</v>
      </c>
      <c r="B181" s="66" t="s">
        <v>26</v>
      </c>
      <c r="C181" s="66" t="s">
        <v>16942</v>
      </c>
      <c r="D181" s="66" t="s">
        <v>17596</v>
      </c>
      <c r="E181" s="109" t="s">
        <v>17597</v>
      </c>
      <c r="F181" s="66" t="s">
        <v>17598</v>
      </c>
      <c r="G181" s="71">
        <v>0</v>
      </c>
      <c r="H181" s="73"/>
      <c r="I181" s="75">
        <v>0.2</v>
      </c>
      <c r="J181" s="77"/>
      <c r="K181" s="66"/>
      <c r="L181" s="66"/>
      <c r="M181" s="96"/>
      <c r="N181" s="71"/>
      <c r="O181" s="66" t="s">
        <v>27</v>
      </c>
      <c r="P181" s="82" t="s">
        <v>17599</v>
      </c>
      <c r="Q181" s="84"/>
      <c r="R181" s="84"/>
      <c r="S181" s="84">
        <v>8.1000000000000003E-2</v>
      </c>
      <c r="T181" s="82" t="s">
        <v>17038</v>
      </c>
      <c r="U181" s="84" t="s">
        <v>7499</v>
      </c>
      <c r="V181" s="54"/>
    </row>
    <row r="182" spans="1:22" s="11" customFormat="1" ht="12" customHeight="1" x14ac:dyDescent="0.2">
      <c r="A182" s="66" t="s">
        <v>166</v>
      </c>
      <c r="B182" s="66" t="s">
        <v>26</v>
      </c>
      <c r="C182" s="66" t="s">
        <v>16942</v>
      </c>
      <c r="D182" s="66" t="s">
        <v>17600</v>
      </c>
      <c r="E182" s="109" t="s">
        <v>17601</v>
      </c>
      <c r="F182" s="66" t="s">
        <v>17602</v>
      </c>
      <c r="G182" s="71">
        <v>0</v>
      </c>
      <c r="H182" s="73"/>
      <c r="I182" s="75">
        <v>0.2</v>
      </c>
      <c r="J182" s="77"/>
      <c r="K182" s="66"/>
      <c r="L182" s="66"/>
      <c r="M182" s="79" t="str">
        <f>HYPERLINK("https://pristavka.com/catalog/games-playstation-4/PSIV1504/")</f>
        <v>https://pristavka.com/catalog/games-playstation-4/PSIV1504/</v>
      </c>
      <c r="N182" s="71"/>
      <c r="O182" s="66" t="s">
        <v>27</v>
      </c>
      <c r="P182" s="82" t="s">
        <v>17603</v>
      </c>
      <c r="Q182" s="84"/>
      <c r="R182" s="84"/>
      <c r="S182" s="84">
        <v>8.7999999999999995E-2</v>
      </c>
      <c r="T182" s="82" t="s">
        <v>17038</v>
      </c>
      <c r="U182" s="84" t="s">
        <v>17008</v>
      </c>
      <c r="V182" s="54"/>
    </row>
    <row r="183" spans="1:22" s="11" customFormat="1" ht="12" customHeight="1" x14ac:dyDescent="0.2">
      <c r="A183" s="66" t="s">
        <v>166</v>
      </c>
      <c r="B183" s="66" t="s">
        <v>26</v>
      </c>
      <c r="C183" s="66" t="s">
        <v>16942</v>
      </c>
      <c r="D183" s="66" t="s">
        <v>17044</v>
      </c>
      <c r="E183" s="109" t="s">
        <v>17604</v>
      </c>
      <c r="F183" s="66" t="s">
        <v>17605</v>
      </c>
      <c r="G183" s="71">
        <v>0</v>
      </c>
      <c r="H183" s="73"/>
      <c r="I183" s="75">
        <v>0.2</v>
      </c>
      <c r="J183" s="77"/>
      <c r="K183" s="66"/>
      <c r="L183" s="66"/>
      <c r="M183" s="79" t="str">
        <f>HYPERLINK("https://pristavka.com/catalog/games-playstation-4/PSIV1526/")</f>
        <v>https://pristavka.com/catalog/games-playstation-4/PSIV1526/</v>
      </c>
      <c r="N183" s="71"/>
      <c r="O183" s="66" t="s">
        <v>27</v>
      </c>
      <c r="P183" s="82" t="s">
        <v>17606</v>
      </c>
      <c r="Q183" s="84"/>
      <c r="R183" s="84"/>
      <c r="S183" s="84">
        <v>0.1</v>
      </c>
      <c r="T183" s="82" t="s">
        <v>17043</v>
      </c>
      <c r="U183" s="84" t="s">
        <v>7499</v>
      </c>
      <c r="V183" s="54"/>
    </row>
    <row r="184" spans="1:22" s="11" customFormat="1" ht="12" customHeight="1" x14ac:dyDescent="0.2">
      <c r="A184" s="66" t="s">
        <v>166</v>
      </c>
      <c r="B184" s="66" t="s">
        <v>26</v>
      </c>
      <c r="C184" s="66" t="s">
        <v>16942</v>
      </c>
      <c r="D184" s="66" t="s">
        <v>17607</v>
      </c>
      <c r="E184" s="109" t="s">
        <v>17608</v>
      </c>
      <c r="F184" s="66" t="s">
        <v>17609</v>
      </c>
      <c r="G184" s="71">
        <v>0</v>
      </c>
      <c r="H184" s="73"/>
      <c r="I184" s="75">
        <v>0.2</v>
      </c>
      <c r="J184" s="77"/>
      <c r="K184" s="66"/>
      <c r="L184" s="66"/>
      <c r="M184" s="79" t="str">
        <f>HYPERLINK("https://pristavka.com/catalog/games-playstation-4/PSIV847/")</f>
        <v>https://pristavka.com/catalog/games-playstation-4/PSIV847/</v>
      </c>
      <c r="N184" s="71"/>
      <c r="O184" s="66" t="s">
        <v>27</v>
      </c>
      <c r="P184" s="82" t="s">
        <v>17610</v>
      </c>
      <c r="Q184" s="84"/>
      <c r="R184" s="84"/>
      <c r="S184" s="84">
        <v>8.3000000000000004E-2</v>
      </c>
      <c r="T184" s="82" t="s">
        <v>17043</v>
      </c>
      <c r="U184" s="84" t="s">
        <v>17008</v>
      </c>
      <c r="V184" s="54"/>
    </row>
    <row r="185" spans="1:22" s="11" customFormat="1" ht="12" customHeight="1" x14ac:dyDescent="0.2">
      <c r="A185" s="66" t="s">
        <v>166</v>
      </c>
      <c r="B185" s="66" t="s">
        <v>26</v>
      </c>
      <c r="C185" s="66" t="s">
        <v>16942</v>
      </c>
      <c r="D185" s="66" t="s">
        <v>17611</v>
      </c>
      <c r="E185" s="109" t="s">
        <v>17612</v>
      </c>
      <c r="F185" s="66" t="s">
        <v>17613</v>
      </c>
      <c r="G185" s="71">
        <v>10812</v>
      </c>
      <c r="H185" s="73"/>
      <c r="I185" s="75">
        <v>0.2</v>
      </c>
      <c r="J185" s="77"/>
      <c r="K185" s="66"/>
      <c r="L185" s="66"/>
      <c r="M185" s="79" t="str">
        <f>HYPERLINK("https://pristavka.com/catalog/games-playstation-4/PSIV1216/")</f>
        <v>https://pristavka.com/catalog/games-playstation-4/PSIV1216/</v>
      </c>
      <c r="N185" s="71"/>
      <c r="O185" s="66" t="s">
        <v>28</v>
      </c>
      <c r="P185" s="82" t="s">
        <v>17614</v>
      </c>
      <c r="Q185" s="84"/>
      <c r="R185" s="84"/>
      <c r="S185" s="84">
        <v>8.3000000000000004E-2</v>
      </c>
      <c r="T185" s="82" t="s">
        <v>17029</v>
      </c>
      <c r="U185" s="84" t="s">
        <v>17008</v>
      </c>
      <c r="V185" s="54"/>
    </row>
    <row r="186" spans="1:22" s="11" customFormat="1" ht="12" customHeight="1" x14ac:dyDescent="0.2">
      <c r="A186" s="66" t="s">
        <v>166</v>
      </c>
      <c r="B186" s="66" t="s">
        <v>26</v>
      </c>
      <c r="C186" s="66" t="s">
        <v>16942</v>
      </c>
      <c r="D186" s="66" t="s">
        <v>17615</v>
      </c>
      <c r="E186" s="109" t="s">
        <v>17616</v>
      </c>
      <c r="F186" s="66" t="s">
        <v>17617</v>
      </c>
      <c r="G186" s="71">
        <v>8670</v>
      </c>
      <c r="H186" s="73"/>
      <c r="I186" s="75">
        <v>0.2</v>
      </c>
      <c r="J186" s="77"/>
      <c r="K186" s="66"/>
      <c r="L186" s="66"/>
      <c r="M186" s="79" t="str">
        <f>HYPERLINK("https://pristavka.com/catalog/games-playstation-4/PSIV1100/")</f>
        <v>https://pristavka.com/catalog/games-playstation-4/PSIV1100/</v>
      </c>
      <c r="N186" s="71"/>
      <c r="O186" s="66" t="s">
        <v>27</v>
      </c>
      <c r="P186" s="82" t="s">
        <v>17618</v>
      </c>
      <c r="Q186" s="84"/>
      <c r="R186" s="84"/>
      <c r="S186" s="84">
        <v>8.5999999999999993E-2</v>
      </c>
      <c r="T186" s="82" t="s">
        <v>17043</v>
      </c>
      <c r="U186" s="84" t="s">
        <v>52</v>
      </c>
      <c r="V186" s="54"/>
    </row>
    <row r="187" spans="1:22" s="11" customFormat="1" ht="12" customHeight="1" x14ac:dyDescent="0.2">
      <c r="A187" s="66" t="s">
        <v>166</v>
      </c>
      <c r="B187" s="66" t="s">
        <v>26</v>
      </c>
      <c r="C187" s="66" t="s">
        <v>16942</v>
      </c>
      <c r="D187" s="66" t="s">
        <v>17619</v>
      </c>
      <c r="E187" s="109" t="s">
        <v>17620</v>
      </c>
      <c r="F187" s="66" t="s">
        <v>17621</v>
      </c>
      <c r="G187" s="71">
        <v>0</v>
      </c>
      <c r="H187" s="73"/>
      <c r="I187" s="75">
        <v>0.2</v>
      </c>
      <c r="J187" s="77"/>
      <c r="K187" s="66"/>
      <c r="L187" s="66"/>
      <c r="M187" s="79" t="str">
        <f>HYPERLINK("https://pristavka.com/catalog/games-playstation-4/PSIV1489/")</f>
        <v>https://pristavka.com/catalog/games-playstation-4/PSIV1489/</v>
      </c>
      <c r="N187" s="71"/>
      <c r="O187" s="66" t="s">
        <v>27</v>
      </c>
      <c r="P187" s="82" t="s">
        <v>17622</v>
      </c>
      <c r="Q187" s="84"/>
      <c r="R187" s="84"/>
      <c r="S187" s="84">
        <v>8.4000000000000005E-2</v>
      </c>
      <c r="T187" s="82" t="s">
        <v>17043</v>
      </c>
      <c r="U187" s="84"/>
      <c r="V187" s="54"/>
    </row>
    <row r="188" spans="1:22" s="11" customFormat="1" ht="12" customHeight="1" x14ac:dyDescent="0.2">
      <c r="A188" s="66" t="s">
        <v>166</v>
      </c>
      <c r="B188" s="66" t="s">
        <v>26</v>
      </c>
      <c r="C188" s="66" t="s">
        <v>16942</v>
      </c>
      <c r="D188" s="66" t="s">
        <v>17623</v>
      </c>
      <c r="E188" s="109" t="s">
        <v>17624</v>
      </c>
      <c r="F188" s="66" t="s">
        <v>17625</v>
      </c>
      <c r="G188" s="71">
        <v>0</v>
      </c>
      <c r="H188" s="73"/>
      <c r="I188" s="75">
        <v>0.2</v>
      </c>
      <c r="J188" s="77"/>
      <c r="K188" s="66"/>
      <c r="L188" s="66"/>
      <c r="M188" s="79" t="str">
        <f>HYPERLINK("https://pristavka.com/catalog/games-playstation-4/PSIV1216/")</f>
        <v>https://pristavka.com/catalog/games-playstation-4/PSIV1216/</v>
      </c>
      <c r="N188" s="71"/>
      <c r="O188" s="66" t="s">
        <v>27</v>
      </c>
      <c r="P188" s="82" t="s">
        <v>17626</v>
      </c>
      <c r="Q188" s="84"/>
      <c r="R188" s="84"/>
      <c r="S188" s="84">
        <v>8.5000000000000006E-2</v>
      </c>
      <c r="T188" s="82" t="s">
        <v>17029</v>
      </c>
      <c r="U188" s="84" t="s">
        <v>17008</v>
      </c>
      <c r="V188" s="54"/>
    </row>
    <row r="189" spans="1:22" s="11" customFormat="1" ht="12" customHeight="1" x14ac:dyDescent="0.2">
      <c r="A189" s="66" t="s">
        <v>166</v>
      </c>
      <c r="B189" s="66" t="s">
        <v>26</v>
      </c>
      <c r="C189" s="66" t="s">
        <v>16942</v>
      </c>
      <c r="D189" s="66">
        <v>223927</v>
      </c>
      <c r="E189" s="109" t="s">
        <v>17627</v>
      </c>
      <c r="F189" s="66" t="s">
        <v>17628</v>
      </c>
      <c r="G189" s="71">
        <v>0</v>
      </c>
      <c r="H189" s="73"/>
      <c r="I189" s="75">
        <v>0.2</v>
      </c>
      <c r="J189" s="77"/>
      <c r="K189" s="66"/>
      <c r="L189" s="66"/>
      <c r="M189" s="96"/>
      <c r="N189" s="71"/>
      <c r="O189" s="66" t="s">
        <v>27</v>
      </c>
      <c r="P189" s="82" t="s">
        <v>17629</v>
      </c>
      <c r="Q189" s="84"/>
      <c r="R189" s="84"/>
      <c r="S189" s="84">
        <v>8.5000000000000006E-2</v>
      </c>
      <c r="T189" s="82" t="s">
        <v>17029</v>
      </c>
      <c r="U189" s="84"/>
      <c r="V189" s="54"/>
    </row>
    <row r="190" spans="1:22" s="11" customFormat="1" ht="12" customHeight="1" x14ac:dyDescent="0.2">
      <c r="A190" s="66" t="s">
        <v>166</v>
      </c>
      <c r="B190" s="66" t="s">
        <v>26</v>
      </c>
      <c r="C190" s="66" t="s">
        <v>16942</v>
      </c>
      <c r="D190" s="66" t="s">
        <v>26</v>
      </c>
      <c r="E190" s="109" t="s">
        <v>17630</v>
      </c>
      <c r="F190" s="66" t="s">
        <v>17631</v>
      </c>
      <c r="G190" s="71">
        <v>10455</v>
      </c>
      <c r="H190" s="73"/>
      <c r="I190" s="75">
        <v>0.2</v>
      </c>
      <c r="J190" s="77"/>
      <c r="K190" s="66"/>
      <c r="L190" s="66"/>
      <c r="M190" s="96"/>
      <c r="N190" s="71"/>
      <c r="O190" s="66" t="s">
        <v>28</v>
      </c>
      <c r="P190" s="82" t="s">
        <v>17632</v>
      </c>
      <c r="Q190" s="84"/>
      <c r="R190" s="84"/>
      <c r="S190" s="84">
        <v>0.11600000000000001</v>
      </c>
      <c r="T190" s="82" t="s">
        <v>17038</v>
      </c>
      <c r="U190" s="84"/>
      <c r="V190" s="54"/>
    </row>
    <row r="191" spans="1:22" s="11" customFormat="1" ht="12" customHeight="1" x14ac:dyDescent="0.2">
      <c r="A191" s="66" t="s">
        <v>166</v>
      </c>
      <c r="B191" s="66" t="s">
        <v>26</v>
      </c>
      <c r="C191" s="66" t="s">
        <v>16942</v>
      </c>
      <c r="D191" s="66" t="s">
        <v>17633</v>
      </c>
      <c r="E191" s="109" t="s">
        <v>17634</v>
      </c>
      <c r="F191" s="66" t="s">
        <v>17635</v>
      </c>
      <c r="G191" s="71">
        <v>0</v>
      </c>
      <c r="H191" s="73"/>
      <c r="I191" s="75">
        <v>0.2</v>
      </c>
      <c r="J191" s="77"/>
      <c r="K191" s="66"/>
      <c r="L191" s="66"/>
      <c r="M191" s="79" t="str">
        <f>HYPERLINK("https://pristavka.com/catalog/games-playstation-4/PSIV1335/")</f>
        <v>https://pristavka.com/catalog/games-playstation-4/PSIV1335/</v>
      </c>
      <c r="N191" s="71"/>
      <c r="O191" s="66" t="s">
        <v>28</v>
      </c>
      <c r="P191" s="82" t="s">
        <v>17636</v>
      </c>
      <c r="Q191" s="84"/>
      <c r="R191" s="84"/>
      <c r="S191" s="84">
        <v>9.1999999999999998E-2</v>
      </c>
      <c r="T191" s="82" t="s">
        <v>17038</v>
      </c>
      <c r="U191" s="84" t="s">
        <v>17008</v>
      </c>
      <c r="V191" s="54"/>
    </row>
    <row r="192" spans="1:22" s="11" customFormat="1" ht="12" customHeight="1" x14ac:dyDescent="0.2">
      <c r="A192" s="66" t="s">
        <v>166</v>
      </c>
      <c r="B192" s="66" t="s">
        <v>26</v>
      </c>
      <c r="C192" s="66" t="s">
        <v>16942</v>
      </c>
      <c r="D192" s="66" t="s">
        <v>26</v>
      </c>
      <c r="E192" s="109" t="s">
        <v>17637</v>
      </c>
      <c r="F192" s="66" t="s">
        <v>17638</v>
      </c>
      <c r="G192" s="71">
        <v>0</v>
      </c>
      <c r="H192" s="73"/>
      <c r="I192" s="75">
        <v>0.2</v>
      </c>
      <c r="J192" s="77"/>
      <c r="K192" s="66"/>
      <c r="L192" s="66"/>
      <c r="M192" s="79" t="str">
        <f>HYPERLINK("https://pristavka.com/catalog/games-playstation-4/PSIV1341/")</f>
        <v>https://pristavka.com/catalog/games-playstation-4/PSIV1341/</v>
      </c>
      <c r="N192" s="71"/>
      <c r="O192" s="66" t="s">
        <v>27</v>
      </c>
      <c r="P192" s="82" t="s">
        <v>17639</v>
      </c>
      <c r="Q192" s="84"/>
      <c r="R192" s="84"/>
      <c r="S192" s="84">
        <v>8.2000000000000003E-2</v>
      </c>
      <c r="T192" s="82" t="s">
        <v>17029</v>
      </c>
      <c r="U192" s="84"/>
      <c r="V192" s="54"/>
    </row>
    <row r="193" spans="1:22" s="11" customFormat="1" ht="12" customHeight="1" x14ac:dyDescent="0.2">
      <c r="A193" s="66" t="s">
        <v>166</v>
      </c>
      <c r="B193" s="66" t="s">
        <v>26</v>
      </c>
      <c r="C193" s="66" t="s">
        <v>16942</v>
      </c>
      <c r="D193" s="66" t="s">
        <v>17640</v>
      </c>
      <c r="E193" s="109" t="s">
        <v>17641</v>
      </c>
      <c r="F193" s="66" t="s">
        <v>17642</v>
      </c>
      <c r="G193" s="71">
        <v>0</v>
      </c>
      <c r="H193" s="73"/>
      <c r="I193" s="75">
        <v>0.2</v>
      </c>
      <c r="J193" s="77"/>
      <c r="K193" s="66"/>
      <c r="L193" s="66"/>
      <c r="M193" s="79" t="str">
        <f>HYPERLINK("https://pristavka.com/catalog/games-playstation-4/PSIV1294/")</f>
        <v>https://pristavka.com/catalog/games-playstation-4/PSIV1294/</v>
      </c>
      <c r="N193" s="71"/>
      <c r="O193" s="66" t="s">
        <v>27</v>
      </c>
      <c r="P193" s="82" t="s">
        <v>17643</v>
      </c>
      <c r="Q193" s="84"/>
      <c r="R193" s="84"/>
      <c r="S193" s="84">
        <v>0.08</v>
      </c>
      <c r="T193" s="82" t="s">
        <v>17043</v>
      </c>
      <c r="U193" s="84" t="s">
        <v>177</v>
      </c>
      <c r="V193" s="54"/>
    </row>
    <row r="194" spans="1:22" s="11" customFormat="1" ht="12" customHeight="1" x14ac:dyDescent="0.2">
      <c r="A194" s="66" t="s">
        <v>166</v>
      </c>
      <c r="B194" s="66" t="s">
        <v>26</v>
      </c>
      <c r="C194" s="66" t="s">
        <v>16942</v>
      </c>
      <c r="D194" s="66" t="s">
        <v>17644</v>
      </c>
      <c r="E194" s="109" t="s">
        <v>17645</v>
      </c>
      <c r="F194" s="66" t="s">
        <v>17646</v>
      </c>
      <c r="G194" s="71">
        <v>0</v>
      </c>
      <c r="H194" s="73"/>
      <c r="I194" s="75">
        <v>0.2</v>
      </c>
      <c r="J194" s="77"/>
      <c r="K194" s="66"/>
      <c r="L194" s="66"/>
      <c r="M194" s="79" t="str">
        <f>HYPERLINK("https://pristavka.com/catalog/games-playstation-4/PSIV852/")</f>
        <v>https://pristavka.com/catalog/games-playstation-4/PSIV852/</v>
      </c>
      <c r="N194" s="71"/>
      <c r="O194" s="66" t="s">
        <v>27</v>
      </c>
      <c r="P194" s="82" t="s">
        <v>17647</v>
      </c>
      <c r="Q194" s="84"/>
      <c r="R194" s="84"/>
      <c r="S194" s="84">
        <v>8.5000000000000006E-2</v>
      </c>
      <c r="T194" s="82" t="s">
        <v>17043</v>
      </c>
      <c r="U194" s="84" t="s">
        <v>7499</v>
      </c>
      <c r="V194" s="54"/>
    </row>
    <row r="195" spans="1:22" s="45" customFormat="1" ht="12" customHeight="1" x14ac:dyDescent="0.2">
      <c r="A195" s="67" t="s">
        <v>166</v>
      </c>
      <c r="B195" s="67" t="s">
        <v>26</v>
      </c>
      <c r="C195" s="67" t="s">
        <v>16942</v>
      </c>
      <c r="D195" s="67" t="s">
        <v>17450</v>
      </c>
      <c r="E195" s="110" t="s">
        <v>17648</v>
      </c>
      <c r="F195" s="67" t="s">
        <v>17649</v>
      </c>
      <c r="G195" s="72">
        <v>0</v>
      </c>
      <c r="H195" s="74"/>
      <c r="I195" s="76">
        <v>0.2</v>
      </c>
      <c r="J195" s="77"/>
      <c r="K195" s="67" t="s">
        <v>129</v>
      </c>
      <c r="L195" s="67"/>
      <c r="M195" s="79" t="str">
        <f>HYPERLINK("https://pristavka.com/catalog/games-playstation-4/PSIV1505/")</f>
        <v>https://pristavka.com/catalog/games-playstation-4/PSIV1505/</v>
      </c>
      <c r="N195" s="72"/>
      <c r="O195" s="67" t="s">
        <v>27</v>
      </c>
      <c r="P195" s="83" t="s">
        <v>17650</v>
      </c>
      <c r="Q195" s="85"/>
      <c r="R195" s="85"/>
      <c r="S195" s="85">
        <v>0.182</v>
      </c>
      <c r="T195" s="83" t="s">
        <v>17651</v>
      </c>
      <c r="U195" s="85" t="s">
        <v>177</v>
      </c>
      <c r="V195" s="55"/>
    </row>
    <row r="196" spans="1:22" s="11" customFormat="1" ht="12" customHeight="1" x14ac:dyDescent="0.2">
      <c r="A196" s="66" t="s">
        <v>166</v>
      </c>
      <c r="B196" s="66" t="s">
        <v>26</v>
      </c>
      <c r="C196" s="66" t="s">
        <v>16942</v>
      </c>
      <c r="D196" s="66" t="s">
        <v>17652</v>
      </c>
      <c r="E196" s="109" t="s">
        <v>17653</v>
      </c>
      <c r="F196" s="66" t="s">
        <v>17654</v>
      </c>
      <c r="G196" s="71">
        <v>13632</v>
      </c>
      <c r="H196" s="73"/>
      <c r="I196" s="75">
        <v>0.2</v>
      </c>
      <c r="J196" s="77"/>
      <c r="K196" s="66"/>
      <c r="L196" s="66"/>
      <c r="M196" s="79" t="str">
        <f>HYPERLINK("https://pristavka.com/catalog/games-playstation-4/PSIV1262/")</f>
        <v>https://pristavka.com/catalog/games-playstation-4/PSIV1262/</v>
      </c>
      <c r="N196" s="71"/>
      <c r="O196" s="66" t="s">
        <v>27</v>
      </c>
      <c r="P196" s="82" t="s">
        <v>17655</v>
      </c>
      <c r="Q196" s="84"/>
      <c r="R196" s="84"/>
      <c r="S196" s="84">
        <v>8.6999999999999994E-2</v>
      </c>
      <c r="T196" s="82" t="s">
        <v>17029</v>
      </c>
      <c r="U196" s="84" t="s">
        <v>17008</v>
      </c>
      <c r="V196" s="54"/>
    </row>
    <row r="197" spans="1:22" s="11" customFormat="1" ht="12" customHeight="1" x14ac:dyDescent="0.2">
      <c r="A197" s="66" t="s">
        <v>166</v>
      </c>
      <c r="B197" s="66" t="s">
        <v>26</v>
      </c>
      <c r="C197" s="66" t="s">
        <v>16942</v>
      </c>
      <c r="D197" s="66" t="s">
        <v>17656</v>
      </c>
      <c r="E197" s="109" t="s">
        <v>17657</v>
      </c>
      <c r="F197" s="66" t="s">
        <v>17658</v>
      </c>
      <c r="G197" s="71">
        <v>0</v>
      </c>
      <c r="H197" s="73"/>
      <c r="I197" s="75">
        <v>0.2</v>
      </c>
      <c r="J197" s="77"/>
      <c r="K197" s="66"/>
      <c r="L197" s="66"/>
      <c r="M197" s="79" t="str">
        <f>HYPERLINK("https://pristavka.com/catalog/games-playstation-4/PSIV1442/")</f>
        <v>https://pristavka.com/catalog/games-playstation-4/PSIV1442/</v>
      </c>
      <c r="N197" s="71"/>
      <c r="O197" s="66" t="s">
        <v>27</v>
      </c>
      <c r="P197" s="82" t="s">
        <v>17659</v>
      </c>
      <c r="Q197" s="84"/>
      <c r="R197" s="84"/>
      <c r="S197" s="84">
        <v>0.09</v>
      </c>
      <c r="T197" s="82" t="s">
        <v>17043</v>
      </c>
      <c r="U197" s="84" t="s">
        <v>7499</v>
      </c>
      <c r="V197" s="54"/>
    </row>
    <row r="198" spans="1:22" s="11" customFormat="1" ht="12" customHeight="1" x14ac:dyDescent="0.2">
      <c r="A198" s="66" t="s">
        <v>166</v>
      </c>
      <c r="B198" s="66" t="s">
        <v>26</v>
      </c>
      <c r="C198" s="66" t="s">
        <v>16942</v>
      </c>
      <c r="D198" s="66">
        <v>214501</v>
      </c>
      <c r="E198" s="109" t="s">
        <v>17660</v>
      </c>
      <c r="F198" s="66" t="s">
        <v>17661</v>
      </c>
      <c r="G198" s="71">
        <v>0</v>
      </c>
      <c r="H198" s="73"/>
      <c r="I198" s="75">
        <v>0.2</v>
      </c>
      <c r="J198" s="77"/>
      <c r="K198" s="66"/>
      <c r="L198" s="66"/>
      <c r="M198" s="79" t="str">
        <f>HYPERLINK("https://pristavka.com/catalog/games-playstation-4/PSIV856/")</f>
        <v>https://pristavka.com/catalog/games-playstation-4/PSIV856/</v>
      </c>
      <c r="N198" s="71"/>
      <c r="O198" s="66" t="s">
        <v>27</v>
      </c>
      <c r="P198" s="82" t="s">
        <v>17662</v>
      </c>
      <c r="Q198" s="84"/>
      <c r="R198" s="84"/>
      <c r="S198" s="84">
        <v>8.2000000000000003E-2</v>
      </c>
      <c r="T198" s="82" t="s">
        <v>17038</v>
      </c>
      <c r="U198" s="84" t="s">
        <v>17008</v>
      </c>
      <c r="V198" s="54"/>
    </row>
    <row r="199" spans="1:22" s="11" customFormat="1" ht="12" customHeight="1" x14ac:dyDescent="0.2">
      <c r="A199" s="66" t="s">
        <v>166</v>
      </c>
      <c r="B199" s="66" t="s">
        <v>26</v>
      </c>
      <c r="C199" s="66" t="s">
        <v>16942</v>
      </c>
      <c r="D199" s="66" t="s">
        <v>17663</v>
      </c>
      <c r="E199" s="109" t="s">
        <v>17664</v>
      </c>
      <c r="F199" s="66" t="s">
        <v>17665</v>
      </c>
      <c r="G199" s="71">
        <v>0</v>
      </c>
      <c r="H199" s="73"/>
      <c r="I199" s="75">
        <v>0.2</v>
      </c>
      <c r="J199" s="77"/>
      <c r="K199" s="66"/>
      <c r="L199" s="66"/>
      <c r="M199" s="79" t="str">
        <f>HYPERLINK("https://pristavka.com/catalog/games-playstation-4/PSIV1182/")</f>
        <v>https://pristavka.com/catalog/games-playstation-4/PSIV1182/</v>
      </c>
      <c r="N199" s="71"/>
      <c r="O199" s="66" t="s">
        <v>27</v>
      </c>
      <c r="P199" s="82" t="s">
        <v>17666</v>
      </c>
      <c r="Q199" s="84"/>
      <c r="R199" s="84"/>
      <c r="S199" s="84">
        <v>8.5999999999999993E-2</v>
      </c>
      <c r="T199" s="82" t="s">
        <v>17038</v>
      </c>
      <c r="U199" s="84" t="s">
        <v>52</v>
      </c>
      <c r="V199" s="54"/>
    </row>
    <row r="200" spans="1:22" s="11" customFormat="1" ht="12" customHeight="1" x14ac:dyDescent="0.2">
      <c r="A200" s="66" t="s">
        <v>166</v>
      </c>
      <c r="B200" s="66" t="s">
        <v>26</v>
      </c>
      <c r="C200" s="66" t="s">
        <v>16942</v>
      </c>
      <c r="D200" s="66" t="s">
        <v>17667</v>
      </c>
      <c r="E200" s="109" t="s">
        <v>17668</v>
      </c>
      <c r="F200" s="66" t="s">
        <v>17669</v>
      </c>
      <c r="G200" s="71">
        <v>0</v>
      </c>
      <c r="H200" s="73"/>
      <c r="I200" s="75">
        <v>0.2</v>
      </c>
      <c r="J200" s="77"/>
      <c r="K200" s="66"/>
      <c r="L200" s="66"/>
      <c r="M200" s="79" t="str">
        <f>HYPERLINK("https://pristavka.com/catalog/games-playstation-4/PSIV1297/")</f>
        <v>https://pristavka.com/catalog/games-playstation-4/PSIV1297/</v>
      </c>
      <c r="N200" s="71"/>
      <c r="O200" s="66" t="s">
        <v>27</v>
      </c>
      <c r="P200" s="82" t="s">
        <v>17670</v>
      </c>
      <c r="Q200" s="84"/>
      <c r="R200" s="84"/>
      <c r="S200" s="84">
        <v>0.113</v>
      </c>
      <c r="T200" s="82" t="s">
        <v>17029</v>
      </c>
      <c r="U200" s="84" t="s">
        <v>52</v>
      </c>
      <c r="V200" s="54"/>
    </row>
    <row r="201" spans="1:22" s="11" customFormat="1" ht="12" customHeight="1" x14ac:dyDescent="0.2">
      <c r="A201" s="66" t="s">
        <v>166</v>
      </c>
      <c r="B201" s="66" t="s">
        <v>26</v>
      </c>
      <c r="C201" s="66" t="s">
        <v>16942</v>
      </c>
      <c r="D201" s="66" t="s">
        <v>17671</v>
      </c>
      <c r="E201" s="109" t="s">
        <v>17672</v>
      </c>
      <c r="F201" s="66" t="s">
        <v>17673</v>
      </c>
      <c r="G201" s="71">
        <v>0</v>
      </c>
      <c r="H201" s="73"/>
      <c r="I201" s="75">
        <v>0.2</v>
      </c>
      <c r="J201" s="77"/>
      <c r="K201" s="66"/>
      <c r="L201" s="66"/>
      <c r="M201" s="79" t="str">
        <f>HYPERLINK("https://pristavka.com/catalog/games-playstation-4/PSIV1302/")</f>
        <v>https://pristavka.com/catalog/games-playstation-4/PSIV1302/</v>
      </c>
      <c r="N201" s="71"/>
      <c r="O201" s="66" t="s">
        <v>27</v>
      </c>
      <c r="P201" s="82" t="s">
        <v>17674</v>
      </c>
      <c r="Q201" s="84"/>
      <c r="R201" s="84"/>
      <c r="S201" s="84">
        <v>8.1000000000000003E-2</v>
      </c>
      <c r="T201" s="82" t="s">
        <v>17675</v>
      </c>
      <c r="U201" s="84"/>
      <c r="V201" s="54"/>
    </row>
    <row r="202" spans="1:22" s="11" customFormat="1" ht="12" customHeight="1" x14ac:dyDescent="0.2">
      <c r="A202" s="66" t="s">
        <v>166</v>
      </c>
      <c r="B202" s="66" t="s">
        <v>26</v>
      </c>
      <c r="C202" s="66" t="s">
        <v>16942</v>
      </c>
      <c r="D202" s="66" t="s">
        <v>17676</v>
      </c>
      <c r="E202" s="109" t="s">
        <v>17677</v>
      </c>
      <c r="F202" s="66" t="s">
        <v>17678</v>
      </c>
      <c r="G202" s="71">
        <v>13040</v>
      </c>
      <c r="H202" s="73"/>
      <c r="I202" s="75">
        <v>0.2</v>
      </c>
      <c r="J202" s="77"/>
      <c r="K202" s="66"/>
      <c r="L202" s="66"/>
      <c r="M202" s="79" t="str">
        <f>HYPERLINK("https://pristavka.com/catalog/games-playstation-4/PSIV713/")</f>
        <v>https://pristavka.com/catalog/games-playstation-4/PSIV713/</v>
      </c>
      <c r="N202" s="71"/>
      <c r="O202" s="66" t="s">
        <v>27</v>
      </c>
      <c r="P202" s="82" t="s">
        <v>17679</v>
      </c>
      <c r="Q202" s="84"/>
      <c r="R202" s="84"/>
      <c r="S202" s="84">
        <v>8.6999999999999994E-2</v>
      </c>
      <c r="T202" s="82" t="s">
        <v>17043</v>
      </c>
      <c r="U202" s="84" t="s">
        <v>7499</v>
      </c>
      <c r="V202" s="54"/>
    </row>
    <row r="203" spans="1:22" s="11" customFormat="1" ht="12" customHeight="1" x14ac:dyDescent="0.2">
      <c r="A203" s="66" t="s">
        <v>166</v>
      </c>
      <c r="B203" s="66" t="s">
        <v>26</v>
      </c>
      <c r="C203" s="66" t="s">
        <v>16942</v>
      </c>
      <c r="D203" s="66" t="s">
        <v>17680</v>
      </c>
      <c r="E203" s="109" t="s">
        <v>17681</v>
      </c>
      <c r="F203" s="66" t="s">
        <v>17682</v>
      </c>
      <c r="G203" s="71">
        <v>0</v>
      </c>
      <c r="H203" s="73"/>
      <c r="I203" s="75">
        <v>0.2</v>
      </c>
      <c r="J203" s="77"/>
      <c r="K203" s="66"/>
      <c r="L203" s="66"/>
      <c r="M203" s="79" t="str">
        <f>HYPERLINK("https://pristavka.com/catalog/games-playstation-4/PSIV1264/")</f>
        <v>https://pristavka.com/catalog/games-playstation-4/PSIV1264/</v>
      </c>
      <c r="N203" s="71"/>
      <c r="O203" s="66" t="s">
        <v>27</v>
      </c>
      <c r="P203" s="82" t="s">
        <v>17683</v>
      </c>
      <c r="Q203" s="84"/>
      <c r="R203" s="84"/>
      <c r="S203" s="84">
        <v>0.09</v>
      </c>
      <c r="T203" s="82" t="s">
        <v>17038</v>
      </c>
      <c r="U203" s="84" t="s">
        <v>7499</v>
      </c>
      <c r="V203" s="54"/>
    </row>
    <row r="204" spans="1:22" s="11" customFormat="1" ht="12" customHeight="1" x14ac:dyDescent="0.2">
      <c r="A204" s="66" t="s">
        <v>166</v>
      </c>
      <c r="B204" s="66" t="s">
        <v>26</v>
      </c>
      <c r="C204" s="66" t="s">
        <v>16942</v>
      </c>
      <c r="D204" s="66" t="s">
        <v>26</v>
      </c>
      <c r="E204" s="109" t="s">
        <v>17684</v>
      </c>
      <c r="F204" s="66" t="s">
        <v>17685</v>
      </c>
      <c r="G204" s="71">
        <v>0</v>
      </c>
      <c r="H204" s="73"/>
      <c r="I204" s="75">
        <v>0.2</v>
      </c>
      <c r="J204" s="77"/>
      <c r="K204" s="66"/>
      <c r="L204" s="66"/>
      <c r="M204" s="79" t="str">
        <f>HYPERLINK("https://pristavka.com/catalog/games-playstation-4/PSIV1141/")</f>
        <v>https://pristavka.com/catalog/games-playstation-4/PSIV1141/</v>
      </c>
      <c r="N204" s="71"/>
      <c r="O204" s="66" t="s">
        <v>27</v>
      </c>
      <c r="P204" s="82" t="s">
        <v>17686</v>
      </c>
      <c r="Q204" s="84"/>
      <c r="R204" s="84"/>
      <c r="S204" s="84">
        <v>0.09</v>
      </c>
      <c r="T204" s="82" t="s">
        <v>17038</v>
      </c>
      <c r="U204" s="84"/>
      <c r="V204" s="54"/>
    </row>
    <row r="205" spans="1:22" s="11" customFormat="1" ht="12" customHeight="1" x14ac:dyDescent="0.2">
      <c r="A205" s="66" t="s">
        <v>166</v>
      </c>
      <c r="B205" s="66" t="s">
        <v>26</v>
      </c>
      <c r="C205" s="66" t="s">
        <v>16942</v>
      </c>
      <c r="D205" s="66" t="s">
        <v>17687</v>
      </c>
      <c r="E205" s="109" t="s">
        <v>17688</v>
      </c>
      <c r="F205" s="66" t="s">
        <v>17689</v>
      </c>
      <c r="G205" s="71">
        <v>0</v>
      </c>
      <c r="H205" s="73"/>
      <c r="I205" s="75">
        <v>0.2</v>
      </c>
      <c r="J205" s="77"/>
      <c r="K205" s="66"/>
      <c r="L205" s="66"/>
      <c r="M205" s="79" t="str">
        <f>HYPERLINK("https://pristavka.com/catalog/games-playstation-4/PSIV1299/")</f>
        <v>https://pristavka.com/catalog/games-playstation-4/PSIV1299/</v>
      </c>
      <c r="N205" s="71"/>
      <c r="O205" s="66" t="s">
        <v>28</v>
      </c>
      <c r="P205" s="82" t="s">
        <v>17690</v>
      </c>
      <c r="Q205" s="84"/>
      <c r="R205" s="84"/>
      <c r="S205" s="84">
        <v>8.5999999999999993E-2</v>
      </c>
      <c r="T205" s="82" t="s">
        <v>17024</v>
      </c>
      <c r="U205" s="84"/>
      <c r="V205" s="54"/>
    </row>
    <row r="206" spans="1:22" s="11" customFormat="1" ht="12" customHeight="1" x14ac:dyDescent="0.2">
      <c r="A206" s="66" t="s">
        <v>166</v>
      </c>
      <c r="B206" s="66" t="s">
        <v>26</v>
      </c>
      <c r="C206" s="66" t="s">
        <v>16942</v>
      </c>
      <c r="D206" s="66" t="s">
        <v>17691</v>
      </c>
      <c r="E206" s="109" t="s">
        <v>17692</v>
      </c>
      <c r="F206" s="66" t="s">
        <v>17693</v>
      </c>
      <c r="G206" s="71">
        <v>0</v>
      </c>
      <c r="H206" s="73"/>
      <c r="I206" s="75">
        <v>0.2</v>
      </c>
      <c r="J206" s="77"/>
      <c r="K206" s="66"/>
      <c r="L206" s="66"/>
      <c r="M206" s="96"/>
      <c r="N206" s="71"/>
      <c r="O206" s="66" t="s">
        <v>28</v>
      </c>
      <c r="P206" s="82" t="s">
        <v>17694</v>
      </c>
      <c r="Q206" s="84"/>
      <c r="R206" s="84"/>
      <c r="S206" s="84">
        <v>0.08</v>
      </c>
      <c r="T206" s="82" t="s">
        <v>17043</v>
      </c>
      <c r="U206" s="84"/>
      <c r="V206" s="54"/>
    </row>
    <row r="207" spans="1:22" s="11" customFormat="1" ht="12" customHeight="1" x14ac:dyDescent="0.2">
      <c r="A207" s="66" t="s">
        <v>166</v>
      </c>
      <c r="B207" s="66" t="s">
        <v>26</v>
      </c>
      <c r="C207" s="66" t="s">
        <v>16942</v>
      </c>
      <c r="D207" s="66" t="s">
        <v>26</v>
      </c>
      <c r="E207" s="109" t="s">
        <v>17695</v>
      </c>
      <c r="F207" s="66" t="s">
        <v>17696</v>
      </c>
      <c r="G207" s="71">
        <v>0</v>
      </c>
      <c r="H207" s="73"/>
      <c r="I207" s="75">
        <v>0.2</v>
      </c>
      <c r="J207" s="77"/>
      <c r="K207" s="66"/>
      <c r="L207" s="66"/>
      <c r="M207" s="96"/>
      <c r="N207" s="71"/>
      <c r="O207" s="66" t="s">
        <v>27</v>
      </c>
      <c r="P207" s="82" t="s">
        <v>17697</v>
      </c>
      <c r="Q207" s="84"/>
      <c r="R207" s="84"/>
      <c r="S207" s="84">
        <v>9.5000000000000001E-2</v>
      </c>
      <c r="T207" s="82" t="s">
        <v>17043</v>
      </c>
      <c r="U207" s="84" t="s">
        <v>177</v>
      </c>
      <c r="V207" s="54"/>
    </row>
    <row r="208" spans="1:22" s="11" customFormat="1" ht="12" customHeight="1" x14ac:dyDescent="0.2">
      <c r="A208" s="66" t="s">
        <v>57</v>
      </c>
      <c r="B208" s="66" t="s">
        <v>26</v>
      </c>
      <c r="C208" s="66" t="s">
        <v>16942</v>
      </c>
      <c r="D208" s="66" t="s">
        <v>17698</v>
      </c>
      <c r="E208" s="109" t="s">
        <v>17699</v>
      </c>
      <c r="F208" s="66" t="s">
        <v>17700</v>
      </c>
      <c r="G208" s="71">
        <v>0</v>
      </c>
      <c r="H208" s="73"/>
      <c r="I208" s="75">
        <v>0.2</v>
      </c>
      <c r="J208" s="77"/>
      <c r="K208" s="66"/>
      <c r="L208" s="66"/>
      <c r="M208" s="96"/>
      <c r="N208" s="71"/>
      <c r="O208" s="66" t="s">
        <v>27</v>
      </c>
      <c r="P208" s="82" t="s">
        <v>17701</v>
      </c>
      <c r="Q208" s="84"/>
      <c r="R208" s="84"/>
      <c r="S208" s="84">
        <v>0.08</v>
      </c>
      <c r="T208" s="82" t="s">
        <v>17038</v>
      </c>
      <c r="U208" s="84" t="s">
        <v>7499</v>
      </c>
      <c r="V208" s="54"/>
    </row>
    <row r="209" spans="1:22" s="11" customFormat="1" ht="12" customHeight="1" x14ac:dyDescent="0.2">
      <c r="A209" s="66" t="s">
        <v>57</v>
      </c>
      <c r="B209" s="66" t="s">
        <v>26</v>
      </c>
      <c r="C209" s="66" t="s">
        <v>16942</v>
      </c>
      <c r="D209" s="66" t="s">
        <v>17702</v>
      </c>
      <c r="E209" s="109" t="s">
        <v>17703</v>
      </c>
      <c r="F209" s="66" t="s">
        <v>17704</v>
      </c>
      <c r="G209" s="71">
        <v>0</v>
      </c>
      <c r="H209" s="73"/>
      <c r="I209" s="75">
        <v>0.2</v>
      </c>
      <c r="J209" s="77"/>
      <c r="K209" s="66"/>
      <c r="L209" s="66"/>
      <c r="M209" s="79" t="str">
        <f>HYPERLINK("https://pristavka.com/catalog/games-playstation-5/PSV/1471/")</f>
        <v>https://pristavka.com/catalog/games-playstation-5/PSV/1471/</v>
      </c>
      <c r="N209" s="71"/>
      <c r="O209" s="66" t="s">
        <v>28</v>
      </c>
      <c r="P209" s="82" t="s">
        <v>17705</v>
      </c>
      <c r="Q209" s="84"/>
      <c r="R209" s="84"/>
      <c r="S209" s="84">
        <v>0.18</v>
      </c>
      <c r="T209" s="82" t="s">
        <v>17033</v>
      </c>
      <c r="U209" s="84" t="s">
        <v>177</v>
      </c>
      <c r="V209" s="54"/>
    </row>
    <row r="210" spans="1:22" s="11" customFormat="1" ht="12" customHeight="1" x14ac:dyDescent="0.2">
      <c r="A210" s="66" t="s">
        <v>57</v>
      </c>
      <c r="B210" s="66" t="s">
        <v>26</v>
      </c>
      <c r="C210" s="66" t="s">
        <v>16942</v>
      </c>
      <c r="D210" s="66" t="s">
        <v>17706</v>
      </c>
      <c r="E210" s="109" t="s">
        <v>17707</v>
      </c>
      <c r="F210" s="66" t="s">
        <v>17708</v>
      </c>
      <c r="G210" s="71">
        <v>0</v>
      </c>
      <c r="H210" s="73"/>
      <c r="I210" s="75">
        <v>0.2</v>
      </c>
      <c r="J210" s="77"/>
      <c r="K210" s="66"/>
      <c r="L210" s="66"/>
      <c r="M210" s="96"/>
      <c r="N210" s="71"/>
      <c r="O210" s="66" t="s">
        <v>27</v>
      </c>
      <c r="P210" s="82" t="s">
        <v>17709</v>
      </c>
      <c r="Q210" s="84"/>
      <c r="R210" s="84"/>
      <c r="S210" s="84">
        <v>0.10299999999999999</v>
      </c>
      <c r="T210" s="82" t="s">
        <v>17710</v>
      </c>
      <c r="U210" s="84" t="s">
        <v>7499</v>
      </c>
      <c r="V210" s="54"/>
    </row>
    <row r="211" spans="1:22" s="11" customFormat="1" ht="12" customHeight="1" x14ac:dyDescent="0.2">
      <c r="A211" s="66" t="s">
        <v>57</v>
      </c>
      <c r="B211" s="66" t="s">
        <v>26</v>
      </c>
      <c r="C211" s="66" t="s">
        <v>16942</v>
      </c>
      <c r="D211" s="66" t="s">
        <v>17711</v>
      </c>
      <c r="E211" s="109" t="s">
        <v>17712</v>
      </c>
      <c r="F211" s="66" t="s">
        <v>17713</v>
      </c>
      <c r="G211" s="71">
        <v>0</v>
      </c>
      <c r="H211" s="73"/>
      <c r="I211" s="75">
        <v>0.2</v>
      </c>
      <c r="J211" s="77"/>
      <c r="K211" s="66"/>
      <c r="L211" s="66"/>
      <c r="M211" s="79" t="str">
        <f>HYPERLINK("https://pristavka.com/catalog/games-playstation-5/PSV1468/")</f>
        <v>https://pristavka.com/catalog/games-playstation-5/PSV1468/</v>
      </c>
      <c r="N211" s="71"/>
      <c r="O211" s="66" t="s">
        <v>27</v>
      </c>
      <c r="P211" s="82" t="s">
        <v>17714</v>
      </c>
      <c r="Q211" s="84"/>
      <c r="R211" s="84"/>
      <c r="S211" s="84">
        <v>0.09</v>
      </c>
      <c r="T211" s="82" t="s">
        <v>17038</v>
      </c>
      <c r="U211" s="84" t="s">
        <v>7499</v>
      </c>
      <c r="V211" s="54"/>
    </row>
    <row r="212" spans="1:22" s="11" customFormat="1" ht="12" customHeight="1" x14ac:dyDescent="0.2">
      <c r="A212" s="66" t="s">
        <v>57</v>
      </c>
      <c r="B212" s="66" t="s">
        <v>26</v>
      </c>
      <c r="C212" s="66" t="s">
        <v>16942</v>
      </c>
      <c r="D212" s="66" t="s">
        <v>17715</v>
      </c>
      <c r="E212" s="109" t="s">
        <v>17716</v>
      </c>
      <c r="F212" s="66" t="s">
        <v>17717</v>
      </c>
      <c r="G212" s="71">
        <v>0</v>
      </c>
      <c r="H212" s="73"/>
      <c r="I212" s="75">
        <v>0.2</v>
      </c>
      <c r="J212" s="77"/>
      <c r="K212" s="66"/>
      <c r="L212" s="66"/>
      <c r="M212" s="96"/>
      <c r="N212" s="71"/>
      <c r="O212" s="66" t="s">
        <v>27</v>
      </c>
      <c r="P212" s="82" t="s">
        <v>17718</v>
      </c>
      <c r="Q212" s="84"/>
      <c r="R212" s="84"/>
      <c r="S212" s="84">
        <v>9.4E-2</v>
      </c>
      <c r="T212" s="82" t="s">
        <v>17710</v>
      </c>
      <c r="U212" s="84" t="s">
        <v>7499</v>
      </c>
      <c r="V212" s="54"/>
    </row>
    <row r="213" spans="1:22" s="11" customFormat="1" ht="12" customHeight="1" x14ac:dyDescent="0.2">
      <c r="A213" s="66" t="s">
        <v>57</v>
      </c>
      <c r="B213" s="66" t="s">
        <v>26</v>
      </c>
      <c r="C213" s="66" t="s">
        <v>16942</v>
      </c>
      <c r="D213" s="66" t="s">
        <v>17719</v>
      </c>
      <c r="E213" s="109" t="s">
        <v>17720</v>
      </c>
      <c r="F213" s="66" t="s">
        <v>17721</v>
      </c>
      <c r="G213" s="71">
        <v>0</v>
      </c>
      <c r="H213" s="73"/>
      <c r="I213" s="75">
        <v>0.2</v>
      </c>
      <c r="J213" s="77"/>
      <c r="K213" s="66"/>
      <c r="L213" s="66"/>
      <c r="M213" s="79" t="str">
        <f>HYPERLINK("https://pristavka.com/catalog/games-playstation-5/PSV1464/")</f>
        <v>https://pristavka.com/catalog/games-playstation-5/PSV1464/</v>
      </c>
      <c r="N213" s="71"/>
      <c r="O213" s="66" t="s">
        <v>27</v>
      </c>
      <c r="P213" s="82" t="s">
        <v>17722</v>
      </c>
      <c r="Q213" s="84"/>
      <c r="R213" s="84"/>
      <c r="S213" s="84">
        <v>9.6000000000000002E-2</v>
      </c>
      <c r="T213" s="82" t="s">
        <v>17038</v>
      </c>
      <c r="U213" s="84" t="s">
        <v>7499</v>
      </c>
      <c r="V213" s="54"/>
    </row>
    <row r="214" spans="1:22" s="45" customFormat="1" ht="12" customHeight="1" x14ac:dyDescent="0.2">
      <c r="A214" s="67" t="s">
        <v>57</v>
      </c>
      <c r="B214" s="67" t="s">
        <v>26</v>
      </c>
      <c r="C214" s="67" t="s">
        <v>16942</v>
      </c>
      <c r="D214" s="67" t="s">
        <v>17723</v>
      </c>
      <c r="E214" s="110" t="s">
        <v>17724</v>
      </c>
      <c r="F214" s="67" t="s">
        <v>17725</v>
      </c>
      <c r="G214" s="72">
        <v>0</v>
      </c>
      <c r="H214" s="74"/>
      <c r="I214" s="76">
        <v>0.2</v>
      </c>
      <c r="J214" s="77"/>
      <c r="K214" s="67" t="s">
        <v>61</v>
      </c>
      <c r="L214" s="67"/>
      <c r="M214" s="79" t="str">
        <f>HYPERLINK("https://pristavka.com/catalog/games-playstation-5/PSV1478/")</f>
        <v>https://pristavka.com/catalog/games-playstation-5/PSV1478/</v>
      </c>
      <c r="N214" s="72"/>
      <c r="O214" s="67" t="s">
        <v>27</v>
      </c>
      <c r="P214" s="83" t="s">
        <v>17726</v>
      </c>
      <c r="Q214" s="85"/>
      <c r="R214" s="85"/>
      <c r="S214" s="85">
        <v>9.7000000000000003E-2</v>
      </c>
      <c r="T214" s="83" t="s">
        <v>17675</v>
      </c>
      <c r="U214" s="85" t="s">
        <v>17008</v>
      </c>
      <c r="V214" s="55"/>
    </row>
    <row r="215" spans="1:22" s="11" customFormat="1" ht="12" customHeight="1" x14ac:dyDescent="0.2">
      <c r="A215" s="66" t="s">
        <v>57</v>
      </c>
      <c r="B215" s="66" t="s">
        <v>26</v>
      </c>
      <c r="C215" s="66" t="s">
        <v>16942</v>
      </c>
      <c r="D215" s="66" t="s">
        <v>17727</v>
      </c>
      <c r="E215" s="109" t="s">
        <v>17728</v>
      </c>
      <c r="F215" s="66" t="s">
        <v>17729</v>
      </c>
      <c r="G215" s="71">
        <v>0</v>
      </c>
      <c r="H215" s="73"/>
      <c r="I215" s="75">
        <v>0.2</v>
      </c>
      <c r="J215" s="77"/>
      <c r="K215" s="66"/>
      <c r="L215" s="66"/>
      <c r="M215" s="79" t="str">
        <f>HYPERLINK("https://pristavka.com/catalog/games-playstation-5/PSV952/")</f>
        <v>https://pristavka.com/catalog/games-playstation-5/PSV952/</v>
      </c>
      <c r="N215" s="71"/>
      <c r="O215" s="66" t="s">
        <v>27</v>
      </c>
      <c r="P215" s="82" t="s">
        <v>17730</v>
      </c>
      <c r="Q215" s="84"/>
      <c r="R215" s="84"/>
      <c r="S215" s="84">
        <v>9.7000000000000003E-2</v>
      </c>
      <c r="T215" s="82" t="s">
        <v>17675</v>
      </c>
      <c r="U215" s="84" t="s">
        <v>7499</v>
      </c>
      <c r="V215" s="54"/>
    </row>
    <row r="216" spans="1:22" s="45" customFormat="1" ht="12" customHeight="1" x14ac:dyDescent="0.2">
      <c r="A216" s="67" t="s">
        <v>57</v>
      </c>
      <c r="B216" s="67" t="s">
        <v>26</v>
      </c>
      <c r="C216" s="67" t="s">
        <v>16942</v>
      </c>
      <c r="D216" s="67" t="s">
        <v>17731</v>
      </c>
      <c r="E216" s="110" t="s">
        <v>17732</v>
      </c>
      <c r="F216" s="67" t="s">
        <v>17733</v>
      </c>
      <c r="G216" s="72">
        <v>0</v>
      </c>
      <c r="H216" s="74"/>
      <c r="I216" s="76">
        <v>0.2</v>
      </c>
      <c r="J216" s="77"/>
      <c r="K216" s="67" t="s">
        <v>129</v>
      </c>
      <c r="L216" s="67"/>
      <c r="M216" s="79" t="str">
        <f>HYPERLINK("https://pristavka.com/catalog/games-playstation-5/PSV1454/")</f>
        <v>https://pristavka.com/catalog/games-playstation-5/PSV1454/</v>
      </c>
      <c r="N216" s="72"/>
      <c r="O216" s="67" t="s">
        <v>27</v>
      </c>
      <c r="P216" s="83" t="s">
        <v>17734</v>
      </c>
      <c r="Q216" s="85"/>
      <c r="R216" s="85"/>
      <c r="S216" s="85">
        <v>0.17299999999999999</v>
      </c>
      <c r="T216" s="83" t="s">
        <v>17116</v>
      </c>
      <c r="U216" s="85" t="s">
        <v>52</v>
      </c>
      <c r="V216" s="55"/>
    </row>
    <row r="217" spans="1:22" s="11" customFormat="1" ht="12" customHeight="1" x14ac:dyDescent="0.2">
      <c r="A217" s="66" t="s">
        <v>57</v>
      </c>
      <c r="B217" s="66" t="s">
        <v>26</v>
      </c>
      <c r="C217" s="66" t="s">
        <v>16942</v>
      </c>
      <c r="D217" s="66" t="s">
        <v>17735</v>
      </c>
      <c r="E217" s="109" t="s">
        <v>17736</v>
      </c>
      <c r="F217" s="66" t="s">
        <v>17737</v>
      </c>
      <c r="G217" s="71">
        <v>0</v>
      </c>
      <c r="H217" s="73"/>
      <c r="I217" s="75">
        <v>0.2</v>
      </c>
      <c r="J217" s="77"/>
      <c r="K217" s="66"/>
      <c r="L217" s="66"/>
      <c r="M217" s="79" t="str">
        <f>HYPERLINK("https://pristavka.com/catalog/games-playstation-4/PSV1422/")</f>
        <v>https://pristavka.com/catalog/games-playstation-4/PSV1422/</v>
      </c>
      <c r="N217" s="71"/>
      <c r="O217" s="66" t="s">
        <v>27</v>
      </c>
      <c r="P217" s="82" t="s">
        <v>17738</v>
      </c>
      <c r="Q217" s="84"/>
      <c r="R217" s="84"/>
      <c r="S217" s="84">
        <v>8.3000000000000004E-2</v>
      </c>
      <c r="T217" s="82" t="s">
        <v>17710</v>
      </c>
      <c r="U217" s="84" t="s">
        <v>7499</v>
      </c>
      <c r="V217" s="54"/>
    </row>
    <row r="218" spans="1:22" s="11" customFormat="1" ht="12" customHeight="1" x14ac:dyDescent="0.2">
      <c r="A218" s="66" t="s">
        <v>57</v>
      </c>
      <c r="B218" s="66" t="s">
        <v>26</v>
      </c>
      <c r="C218" s="66" t="s">
        <v>16942</v>
      </c>
      <c r="D218" s="66" t="s">
        <v>17739</v>
      </c>
      <c r="E218" s="109" t="s">
        <v>17740</v>
      </c>
      <c r="F218" s="66" t="s">
        <v>17741</v>
      </c>
      <c r="G218" s="71">
        <v>0</v>
      </c>
      <c r="H218" s="73"/>
      <c r="I218" s="75">
        <v>0.2</v>
      </c>
      <c r="J218" s="77"/>
      <c r="K218" s="66"/>
      <c r="L218" s="66"/>
      <c r="M218" s="79" t="str">
        <f>HYPERLINK("https://pristavka.com/catalog/games-playstation-4/PSV1500/")</f>
        <v>https://pristavka.com/catalog/games-playstation-4/PSV1500/</v>
      </c>
      <c r="N218" s="71"/>
      <c r="O218" s="66" t="s">
        <v>27</v>
      </c>
      <c r="P218" s="82" t="s">
        <v>17742</v>
      </c>
      <c r="Q218" s="84"/>
      <c r="R218" s="84"/>
      <c r="S218" s="84">
        <v>9.2999999999999999E-2</v>
      </c>
      <c r="T218" s="82" t="s">
        <v>17710</v>
      </c>
      <c r="U218" s="84" t="s">
        <v>7499</v>
      </c>
      <c r="V218" s="54"/>
    </row>
    <row r="219" spans="1:22" s="11" customFormat="1" ht="12" customHeight="1" x14ac:dyDescent="0.2">
      <c r="A219" s="66" t="s">
        <v>57</v>
      </c>
      <c r="B219" s="66" t="s">
        <v>26</v>
      </c>
      <c r="C219" s="66" t="s">
        <v>16942</v>
      </c>
      <c r="D219" s="66" t="s">
        <v>17743</v>
      </c>
      <c r="E219" s="109" t="s">
        <v>17744</v>
      </c>
      <c r="F219" s="66" t="s">
        <v>17745</v>
      </c>
      <c r="G219" s="71">
        <v>0</v>
      </c>
      <c r="H219" s="73"/>
      <c r="I219" s="75">
        <v>0.2</v>
      </c>
      <c r="J219" s="77"/>
      <c r="K219" s="66"/>
      <c r="L219" s="66"/>
      <c r="M219" s="79" t="str">
        <f>HYPERLINK("https://pristavka.com/catalog/games-playstation-5/PSV1488/")</f>
        <v>https://pristavka.com/catalog/games-playstation-5/PSV1488/</v>
      </c>
      <c r="N219" s="71"/>
      <c r="O219" s="66" t="s">
        <v>27</v>
      </c>
      <c r="P219" s="82" t="s">
        <v>17746</v>
      </c>
      <c r="Q219" s="84"/>
      <c r="R219" s="84"/>
      <c r="S219" s="84">
        <v>0.08</v>
      </c>
      <c r="T219" s="82" t="s">
        <v>17710</v>
      </c>
      <c r="U219" s="84" t="s">
        <v>7499</v>
      </c>
      <c r="V219" s="54"/>
    </row>
    <row r="220" spans="1:22" s="11" customFormat="1" ht="12" customHeight="1" x14ac:dyDescent="0.2">
      <c r="A220" s="66" t="s">
        <v>57</v>
      </c>
      <c r="B220" s="66" t="s">
        <v>26</v>
      </c>
      <c r="C220" s="66" t="s">
        <v>16942</v>
      </c>
      <c r="D220" s="66" t="s">
        <v>17747</v>
      </c>
      <c r="E220" s="109" t="s">
        <v>17748</v>
      </c>
      <c r="F220" s="66" t="s">
        <v>17749</v>
      </c>
      <c r="G220" s="71">
        <v>0</v>
      </c>
      <c r="H220" s="73"/>
      <c r="I220" s="75">
        <v>0.2</v>
      </c>
      <c r="J220" s="77"/>
      <c r="K220" s="66"/>
      <c r="L220" s="66"/>
      <c r="M220" s="79" t="str">
        <f>HYPERLINK("https://pristavka.com/catalog/games-playstation-5/PSV950/")</f>
        <v>https://pristavka.com/catalog/games-playstation-5/PSV950/</v>
      </c>
      <c r="N220" s="71"/>
      <c r="O220" s="66" t="s">
        <v>27</v>
      </c>
      <c r="P220" s="82" t="s">
        <v>17750</v>
      </c>
      <c r="Q220" s="84"/>
      <c r="R220" s="84"/>
      <c r="S220" s="84">
        <v>8.4000000000000005E-2</v>
      </c>
      <c r="T220" s="82" t="s">
        <v>17710</v>
      </c>
      <c r="U220" s="84" t="s">
        <v>7499</v>
      </c>
      <c r="V220" s="54"/>
    </row>
    <row r="221" spans="1:22" s="45" customFormat="1" ht="12" customHeight="1" x14ac:dyDescent="0.2">
      <c r="A221" s="67" t="s">
        <v>57</v>
      </c>
      <c r="B221" s="67" t="s">
        <v>26</v>
      </c>
      <c r="C221" s="67" t="s">
        <v>26</v>
      </c>
      <c r="D221" s="67" t="s">
        <v>26</v>
      </c>
      <c r="E221" s="110" t="s">
        <v>17751</v>
      </c>
      <c r="F221" s="67" t="s">
        <v>17752</v>
      </c>
      <c r="G221" s="72">
        <v>0</v>
      </c>
      <c r="H221" s="74"/>
      <c r="I221" s="76">
        <v>0.2</v>
      </c>
      <c r="J221" s="77"/>
      <c r="K221" s="67" t="s">
        <v>61</v>
      </c>
      <c r="L221" s="67"/>
      <c r="M221" s="80"/>
      <c r="N221" s="72"/>
      <c r="O221" s="67" t="s">
        <v>27</v>
      </c>
      <c r="P221" s="83" t="s">
        <v>17753</v>
      </c>
      <c r="Q221" s="85"/>
      <c r="R221" s="85"/>
      <c r="S221" s="85">
        <v>0.08</v>
      </c>
      <c r="T221" s="83" t="s">
        <v>17029</v>
      </c>
      <c r="U221" s="85"/>
      <c r="V221" s="55"/>
    </row>
    <row r="222" spans="1:22" s="11" customFormat="1" ht="12" customHeight="1" x14ac:dyDescent="0.2">
      <c r="A222" s="66" t="s">
        <v>57</v>
      </c>
      <c r="B222" s="66" t="s">
        <v>26</v>
      </c>
      <c r="C222" s="66" t="s">
        <v>16942</v>
      </c>
      <c r="D222" s="66" t="s">
        <v>17754</v>
      </c>
      <c r="E222" s="109" t="s">
        <v>17755</v>
      </c>
      <c r="F222" s="66" t="s">
        <v>17756</v>
      </c>
      <c r="G222" s="71">
        <v>0</v>
      </c>
      <c r="H222" s="73"/>
      <c r="I222" s="75">
        <v>0.2</v>
      </c>
      <c r="J222" s="77"/>
      <c r="K222" s="66"/>
      <c r="L222" s="66"/>
      <c r="M222" s="96"/>
      <c r="N222" s="71"/>
      <c r="O222" s="66" t="s">
        <v>28</v>
      </c>
      <c r="P222" s="82" t="s">
        <v>17757</v>
      </c>
      <c r="Q222" s="84"/>
      <c r="R222" s="84"/>
      <c r="S222" s="84">
        <v>8.3000000000000004E-2</v>
      </c>
      <c r="T222" s="82" t="s">
        <v>17710</v>
      </c>
      <c r="U222" s="84" t="s">
        <v>7499</v>
      </c>
      <c r="V222" s="54"/>
    </row>
    <row r="223" spans="1:22" s="11" customFormat="1" ht="12" customHeight="1" x14ac:dyDescent="0.2">
      <c r="A223" s="66" t="s">
        <v>57</v>
      </c>
      <c r="B223" s="66" t="s">
        <v>26</v>
      </c>
      <c r="C223" s="66" t="s">
        <v>16942</v>
      </c>
      <c r="D223" s="66" t="s">
        <v>17758</v>
      </c>
      <c r="E223" s="109" t="s">
        <v>17759</v>
      </c>
      <c r="F223" s="66" t="s">
        <v>17760</v>
      </c>
      <c r="G223" s="71">
        <v>0</v>
      </c>
      <c r="H223" s="73"/>
      <c r="I223" s="75">
        <v>0.2</v>
      </c>
      <c r="J223" s="77"/>
      <c r="K223" s="66"/>
      <c r="L223" s="66"/>
      <c r="M223" s="96"/>
      <c r="N223" s="71"/>
      <c r="O223" s="66" t="s">
        <v>27</v>
      </c>
      <c r="P223" s="82" t="s">
        <v>17761</v>
      </c>
      <c r="Q223" s="84"/>
      <c r="R223" s="84"/>
      <c r="S223" s="84">
        <v>8.3000000000000004E-2</v>
      </c>
      <c r="T223" s="82" t="s">
        <v>17710</v>
      </c>
      <c r="U223" s="84" t="s">
        <v>17008</v>
      </c>
      <c r="V223" s="54"/>
    </row>
    <row r="224" spans="1:22" s="11" customFormat="1" ht="12" customHeight="1" x14ac:dyDescent="0.2">
      <c r="A224" s="66" t="s">
        <v>57</v>
      </c>
      <c r="B224" s="66" t="s">
        <v>26</v>
      </c>
      <c r="C224" s="66" t="s">
        <v>16942</v>
      </c>
      <c r="D224" s="66" t="s">
        <v>17762</v>
      </c>
      <c r="E224" s="109" t="s">
        <v>17763</v>
      </c>
      <c r="F224" s="66" t="s">
        <v>17764</v>
      </c>
      <c r="G224" s="71">
        <v>0</v>
      </c>
      <c r="H224" s="73"/>
      <c r="I224" s="75">
        <v>0.2</v>
      </c>
      <c r="J224" s="77"/>
      <c r="K224" s="66"/>
      <c r="L224" s="66"/>
      <c r="M224" s="79" t="str">
        <f>HYPERLINK("https://pristavka.com/catalog/games-playstation-5/PSV950/")</f>
        <v>https://pristavka.com/catalog/games-playstation-5/PSV950/</v>
      </c>
      <c r="N224" s="71"/>
      <c r="O224" s="66" t="s">
        <v>27</v>
      </c>
      <c r="P224" s="82" t="s">
        <v>17765</v>
      </c>
      <c r="Q224" s="84"/>
      <c r="R224" s="84"/>
      <c r="S224" s="84">
        <v>8.5000000000000006E-2</v>
      </c>
      <c r="T224" s="82" t="s">
        <v>17710</v>
      </c>
      <c r="U224" s="84" t="s">
        <v>7499</v>
      </c>
      <c r="V224" s="54"/>
    </row>
    <row r="225" spans="1:22" s="11" customFormat="1" ht="12" customHeight="1" x14ac:dyDescent="0.2">
      <c r="A225" s="66" t="s">
        <v>57</v>
      </c>
      <c r="B225" s="66" t="s">
        <v>26</v>
      </c>
      <c r="C225" s="66" t="s">
        <v>16942</v>
      </c>
      <c r="D225" s="66" t="s">
        <v>17766</v>
      </c>
      <c r="E225" s="109" t="s">
        <v>17767</v>
      </c>
      <c r="F225" s="66" t="s">
        <v>17768</v>
      </c>
      <c r="G225" s="71">
        <v>0</v>
      </c>
      <c r="H225" s="73"/>
      <c r="I225" s="75">
        <v>0.2</v>
      </c>
      <c r="J225" s="77"/>
      <c r="K225" s="66"/>
      <c r="L225" s="66"/>
      <c r="M225" s="79" t="str">
        <f>HYPERLINK("https://pristavka.com/catalog/games-playstation-5/PSV943/")</f>
        <v>https://pristavka.com/catalog/games-playstation-5/PSV943/</v>
      </c>
      <c r="N225" s="71"/>
      <c r="O225" s="66" t="s">
        <v>27</v>
      </c>
      <c r="P225" s="82" t="s">
        <v>17769</v>
      </c>
      <c r="Q225" s="84"/>
      <c r="R225" s="84"/>
      <c r="S225" s="84">
        <v>8.4000000000000005E-2</v>
      </c>
      <c r="T225" s="82" t="s">
        <v>17038</v>
      </c>
      <c r="U225" s="84"/>
      <c r="V225" s="54"/>
    </row>
    <row r="226" spans="1:22" s="11" customFormat="1" ht="12" customHeight="1" x14ac:dyDescent="0.2">
      <c r="A226" s="66" t="s">
        <v>57</v>
      </c>
      <c r="B226" s="66" t="s">
        <v>26</v>
      </c>
      <c r="C226" s="66" t="s">
        <v>16942</v>
      </c>
      <c r="D226" s="66" t="s">
        <v>17770</v>
      </c>
      <c r="E226" s="109" t="s">
        <v>17771</v>
      </c>
      <c r="F226" s="66" t="s">
        <v>17772</v>
      </c>
      <c r="G226" s="71">
        <v>0</v>
      </c>
      <c r="H226" s="73"/>
      <c r="I226" s="75">
        <v>0.2</v>
      </c>
      <c r="J226" s="77"/>
      <c r="K226" s="66"/>
      <c r="L226" s="66"/>
      <c r="M226" s="79" t="str">
        <f>HYPERLINK("https://pristavka.com/catalog/games-playstation-4/PSV1417/")</f>
        <v>https://pristavka.com/catalog/games-playstation-4/PSV1417/</v>
      </c>
      <c r="N226" s="71"/>
      <c r="O226" s="66" t="s">
        <v>27</v>
      </c>
      <c r="P226" s="82" t="s">
        <v>17773</v>
      </c>
      <c r="Q226" s="84"/>
      <c r="R226" s="84"/>
      <c r="S226" s="84">
        <v>0.08</v>
      </c>
      <c r="T226" s="82" t="s">
        <v>17043</v>
      </c>
      <c r="U226" s="84"/>
      <c r="V226" s="54"/>
    </row>
    <row r="227" spans="1:22" s="11" customFormat="1" ht="12" customHeight="1" x14ac:dyDescent="0.2">
      <c r="A227" s="66" t="s">
        <v>57</v>
      </c>
      <c r="B227" s="66" t="s">
        <v>57</v>
      </c>
      <c r="C227" s="66" t="s">
        <v>16942</v>
      </c>
      <c r="D227" s="66" t="s">
        <v>26</v>
      </c>
      <c r="E227" s="109" t="s">
        <v>17774</v>
      </c>
      <c r="F227" s="66" t="s">
        <v>17775</v>
      </c>
      <c r="G227" s="71">
        <v>0</v>
      </c>
      <c r="H227" s="73"/>
      <c r="I227" s="75">
        <v>0.2</v>
      </c>
      <c r="J227" s="77"/>
      <c r="K227" s="66"/>
      <c r="L227" s="66"/>
      <c r="M227" s="79" t="str">
        <f>HYPERLINK("https://pristavka.com/catalog/games-playstation-5/PSV1499/")</f>
        <v>https://pristavka.com/catalog/games-playstation-5/PSV1499/</v>
      </c>
      <c r="N227" s="71"/>
      <c r="O227" s="66" t="s">
        <v>28</v>
      </c>
      <c r="P227" s="82" t="s">
        <v>17776</v>
      </c>
      <c r="Q227" s="84"/>
      <c r="R227" s="84" t="s">
        <v>1632</v>
      </c>
      <c r="S227" s="84">
        <v>0.09</v>
      </c>
      <c r="T227" s="82" t="s">
        <v>17675</v>
      </c>
      <c r="U227" s="84"/>
      <c r="V227" s="54"/>
    </row>
    <row r="228" spans="1:22" s="45" customFormat="1" ht="12" customHeight="1" x14ac:dyDescent="0.2">
      <c r="A228" s="67" t="s">
        <v>57</v>
      </c>
      <c r="B228" s="67" t="s">
        <v>26</v>
      </c>
      <c r="C228" s="67" t="s">
        <v>16942</v>
      </c>
      <c r="D228" s="67" t="s">
        <v>17777</v>
      </c>
      <c r="E228" s="110" t="s">
        <v>17778</v>
      </c>
      <c r="F228" s="67" t="s">
        <v>17779</v>
      </c>
      <c r="G228" s="72">
        <v>0</v>
      </c>
      <c r="H228" s="74"/>
      <c r="I228" s="76">
        <v>0.2</v>
      </c>
      <c r="J228" s="77"/>
      <c r="K228" s="67" t="s">
        <v>129</v>
      </c>
      <c r="L228" s="67"/>
      <c r="M228" s="79" t="str">
        <f>HYPERLINK("https://pristavka.com/catalog/games-playstation-5/PSV1482/")</f>
        <v>https://pristavka.com/catalog/games-playstation-5/PSV1482/</v>
      </c>
      <c r="N228" s="72"/>
      <c r="O228" s="67" t="s">
        <v>27</v>
      </c>
      <c r="P228" s="83" t="s">
        <v>17780</v>
      </c>
      <c r="Q228" s="85"/>
      <c r="R228" s="85"/>
      <c r="S228" s="85">
        <v>8.3000000000000004E-2</v>
      </c>
      <c r="T228" s="83" t="s">
        <v>17710</v>
      </c>
      <c r="U228" s="85" t="s">
        <v>52</v>
      </c>
      <c r="V228" s="55"/>
    </row>
    <row r="229" spans="1:22" s="11" customFormat="1" ht="12" customHeight="1" x14ac:dyDescent="0.2">
      <c r="A229" s="66" t="s">
        <v>57</v>
      </c>
      <c r="B229" s="66" t="s">
        <v>26</v>
      </c>
      <c r="C229" s="66" t="s">
        <v>16942</v>
      </c>
      <c r="D229" s="66">
        <v>109473</v>
      </c>
      <c r="E229" s="109" t="s">
        <v>17781</v>
      </c>
      <c r="F229" s="66" t="s">
        <v>17782</v>
      </c>
      <c r="G229" s="71">
        <v>0</v>
      </c>
      <c r="H229" s="73"/>
      <c r="I229" s="75">
        <v>0.2</v>
      </c>
      <c r="J229" s="77"/>
      <c r="K229" s="66"/>
      <c r="L229" s="66"/>
      <c r="M229" s="79" t="str">
        <f>HYPERLINK("https://pristavka.com/catalog/games-playstation-5/PSV1502/")</f>
        <v>https://pristavka.com/catalog/games-playstation-5/PSV1502/</v>
      </c>
      <c r="N229" s="71"/>
      <c r="O229" s="66" t="s">
        <v>27</v>
      </c>
      <c r="P229" s="82" t="s">
        <v>17783</v>
      </c>
      <c r="Q229" s="84"/>
      <c r="R229" s="84"/>
      <c r="S229" s="84">
        <v>8.2000000000000003E-2</v>
      </c>
      <c r="T229" s="82" t="s">
        <v>17029</v>
      </c>
      <c r="U229" s="84"/>
      <c r="V229" s="54"/>
    </row>
    <row r="230" spans="1:22" s="11" customFormat="1" ht="12" customHeight="1" x14ac:dyDescent="0.2">
      <c r="A230" s="66" t="s">
        <v>57</v>
      </c>
      <c r="B230" s="66" t="s">
        <v>26</v>
      </c>
      <c r="C230" s="66" t="s">
        <v>16942</v>
      </c>
      <c r="D230" s="66" t="s">
        <v>26</v>
      </c>
      <c r="E230" s="109" t="s">
        <v>17784</v>
      </c>
      <c r="F230" s="66" t="s">
        <v>17785</v>
      </c>
      <c r="G230" s="71">
        <v>0</v>
      </c>
      <c r="H230" s="73"/>
      <c r="I230" s="75">
        <v>0.2</v>
      </c>
      <c r="J230" s="77"/>
      <c r="K230" s="66"/>
      <c r="L230" s="66"/>
      <c r="M230" s="79" t="str">
        <f>HYPERLINK("https://pristavka.com/catalog/games-playstation-5/PSV1457/")</f>
        <v>https://pristavka.com/catalog/games-playstation-5/PSV1457/</v>
      </c>
      <c r="N230" s="71"/>
      <c r="O230" s="66" t="s">
        <v>28</v>
      </c>
      <c r="P230" s="82" t="s">
        <v>17786</v>
      </c>
      <c r="Q230" s="84"/>
      <c r="R230" s="84"/>
      <c r="S230" s="84">
        <v>0.09</v>
      </c>
      <c r="T230" s="82" t="s">
        <v>17038</v>
      </c>
      <c r="U230" s="84" t="s">
        <v>177</v>
      </c>
      <c r="V230" s="54"/>
    </row>
    <row r="231" spans="1:22" s="11" customFormat="1" ht="12" customHeight="1" x14ac:dyDescent="0.2">
      <c r="A231" s="66" t="s">
        <v>57</v>
      </c>
      <c r="B231" s="66" t="s">
        <v>26</v>
      </c>
      <c r="C231" s="66" t="s">
        <v>16942</v>
      </c>
      <c r="D231" s="66" t="s">
        <v>26</v>
      </c>
      <c r="E231" s="109" t="s">
        <v>17787</v>
      </c>
      <c r="F231" s="66" t="s">
        <v>17788</v>
      </c>
      <c r="G231" s="71">
        <v>0</v>
      </c>
      <c r="H231" s="73"/>
      <c r="I231" s="75">
        <v>0.2</v>
      </c>
      <c r="J231" s="77"/>
      <c r="K231" s="66"/>
      <c r="L231" s="66"/>
      <c r="M231" s="79" t="str">
        <f>HYPERLINK("https://pristavka.com/catalog/games-playstation-5/PSV1492/")</f>
        <v>https://pristavka.com/catalog/games-playstation-5/PSV1492/</v>
      </c>
      <c r="N231" s="71"/>
      <c r="O231" s="66" t="s">
        <v>27</v>
      </c>
      <c r="P231" s="82" t="s">
        <v>17789</v>
      </c>
      <c r="Q231" s="84"/>
      <c r="R231" s="84"/>
      <c r="S231" s="84">
        <v>0.09</v>
      </c>
      <c r="T231" s="82" t="s">
        <v>17038</v>
      </c>
      <c r="U231" s="84" t="s">
        <v>177</v>
      </c>
      <c r="V231" s="54"/>
    </row>
    <row r="232" spans="1:22" s="11" customFormat="1" ht="12" customHeight="1" x14ac:dyDescent="0.2">
      <c r="A232" s="66" t="s">
        <v>57</v>
      </c>
      <c r="B232" s="66" t="s">
        <v>26</v>
      </c>
      <c r="C232" s="66" t="s">
        <v>16942</v>
      </c>
      <c r="D232" s="66" t="s">
        <v>17790</v>
      </c>
      <c r="E232" s="109" t="s">
        <v>17791</v>
      </c>
      <c r="F232" s="66" t="s">
        <v>17792</v>
      </c>
      <c r="G232" s="71">
        <v>0</v>
      </c>
      <c r="H232" s="73"/>
      <c r="I232" s="75">
        <v>0.2</v>
      </c>
      <c r="J232" s="77"/>
      <c r="K232" s="66"/>
      <c r="L232" s="66"/>
      <c r="M232" s="79" t="str">
        <f>HYPERLINK("https://pristavka.com/catalog/games-playstation-5/PSV1428/")</f>
        <v>https://pristavka.com/catalog/games-playstation-5/PSV1428/</v>
      </c>
      <c r="N232" s="71"/>
      <c r="O232" s="66" t="s">
        <v>27</v>
      </c>
      <c r="P232" s="82" t="s">
        <v>17793</v>
      </c>
      <c r="Q232" s="84"/>
      <c r="R232" s="84"/>
      <c r="S232" s="84">
        <v>9.5000000000000001E-2</v>
      </c>
      <c r="T232" s="82" t="s">
        <v>17710</v>
      </c>
      <c r="U232" s="84" t="s">
        <v>17008</v>
      </c>
      <c r="V232" s="54"/>
    </row>
    <row r="233" spans="1:22" s="11" customFormat="1" ht="12" customHeight="1" x14ac:dyDescent="0.2">
      <c r="A233" s="66" t="s">
        <v>57</v>
      </c>
      <c r="B233" s="66" t="s">
        <v>26</v>
      </c>
      <c r="C233" s="66" t="s">
        <v>16942</v>
      </c>
      <c r="D233" s="66" t="s">
        <v>17794</v>
      </c>
      <c r="E233" s="109" t="s">
        <v>17795</v>
      </c>
      <c r="F233" s="66" t="s">
        <v>17796</v>
      </c>
      <c r="G233" s="71">
        <v>0</v>
      </c>
      <c r="H233" s="73"/>
      <c r="I233" s="75">
        <v>0.2</v>
      </c>
      <c r="J233" s="77"/>
      <c r="K233" s="66"/>
      <c r="L233" s="66"/>
      <c r="M233" s="79" t="str">
        <f>HYPERLINK("https://pristavka.com/catalog/games-playstation-5/PSV19/")</f>
        <v>https://pristavka.com/catalog/games-playstation-5/PSV19/</v>
      </c>
      <c r="N233" s="71"/>
      <c r="O233" s="66" t="s">
        <v>27</v>
      </c>
      <c r="P233" s="82" t="s">
        <v>17797</v>
      </c>
      <c r="Q233" s="84"/>
      <c r="R233" s="84"/>
      <c r="S233" s="84">
        <v>8.6999999999999994E-2</v>
      </c>
      <c r="T233" s="82" t="s">
        <v>17710</v>
      </c>
      <c r="U233" s="84" t="s">
        <v>17008</v>
      </c>
      <c r="V233" s="54"/>
    </row>
    <row r="234" spans="1:22" s="11" customFormat="1" ht="12" customHeight="1" x14ac:dyDescent="0.2">
      <c r="A234" s="66" t="s">
        <v>57</v>
      </c>
      <c r="B234" s="66" t="s">
        <v>26</v>
      </c>
      <c r="C234" s="66" t="s">
        <v>16942</v>
      </c>
      <c r="D234" s="66" t="s">
        <v>17715</v>
      </c>
      <c r="E234" s="109" t="s">
        <v>17798</v>
      </c>
      <c r="F234" s="66" t="s">
        <v>17799</v>
      </c>
      <c r="G234" s="71">
        <v>0</v>
      </c>
      <c r="H234" s="73"/>
      <c r="I234" s="75">
        <v>0.2</v>
      </c>
      <c r="J234" s="77"/>
      <c r="K234" s="66"/>
      <c r="L234" s="66"/>
      <c r="M234" s="96"/>
      <c r="N234" s="71"/>
      <c r="O234" s="66" t="s">
        <v>27</v>
      </c>
      <c r="P234" s="82" t="s">
        <v>17800</v>
      </c>
      <c r="Q234" s="84"/>
      <c r="R234" s="84"/>
      <c r="S234" s="84">
        <v>0.09</v>
      </c>
      <c r="T234" s="82" t="s">
        <v>17038</v>
      </c>
      <c r="U234" s="84" t="s">
        <v>7499</v>
      </c>
      <c r="V234" s="54"/>
    </row>
    <row r="235" spans="1:22" s="11" customFormat="1" ht="12" customHeight="1" x14ac:dyDescent="0.2">
      <c r="A235" s="66" t="s">
        <v>57</v>
      </c>
      <c r="B235" s="66" t="s">
        <v>26</v>
      </c>
      <c r="C235" s="66" t="s">
        <v>16942</v>
      </c>
      <c r="D235" s="66" t="s">
        <v>17801</v>
      </c>
      <c r="E235" s="109" t="s">
        <v>17802</v>
      </c>
      <c r="F235" s="66" t="s">
        <v>17803</v>
      </c>
      <c r="G235" s="71">
        <v>0</v>
      </c>
      <c r="H235" s="73"/>
      <c r="I235" s="75">
        <v>0.2</v>
      </c>
      <c r="J235" s="77"/>
      <c r="K235" s="66"/>
      <c r="L235" s="66"/>
      <c r="M235" s="79" t="str">
        <f>HYPERLINK("https://pristavka.com/catalog/games-playstation-5/PSV872/")</f>
        <v>https://pristavka.com/catalog/games-playstation-5/PSV872/</v>
      </c>
      <c r="N235" s="71"/>
      <c r="O235" s="66" t="s">
        <v>27</v>
      </c>
      <c r="P235" s="82" t="s">
        <v>17804</v>
      </c>
      <c r="Q235" s="84"/>
      <c r="R235" s="84"/>
      <c r="S235" s="84">
        <v>0.19</v>
      </c>
      <c r="T235" s="82" t="s">
        <v>17038</v>
      </c>
      <c r="U235" s="84" t="s">
        <v>17008</v>
      </c>
      <c r="V235" s="54"/>
    </row>
    <row r="236" spans="1:22" s="11" customFormat="1" ht="12" customHeight="1" x14ac:dyDescent="0.2">
      <c r="A236" s="66" t="s">
        <v>57</v>
      </c>
      <c r="B236" s="66" t="s">
        <v>26</v>
      </c>
      <c r="C236" s="66" t="s">
        <v>16942</v>
      </c>
      <c r="D236" s="66" t="s">
        <v>17805</v>
      </c>
      <c r="E236" s="109" t="s">
        <v>17806</v>
      </c>
      <c r="F236" s="66" t="s">
        <v>17807</v>
      </c>
      <c r="G236" s="71">
        <v>0</v>
      </c>
      <c r="H236" s="73"/>
      <c r="I236" s="75">
        <v>0.2</v>
      </c>
      <c r="J236" s="77"/>
      <c r="K236" s="66"/>
      <c r="L236" s="66"/>
      <c r="M236" s="79" t="str">
        <f>HYPERLINK("https://pristavka.com/catalog/games-playstation-5/PSV1477/")</f>
        <v>https://pristavka.com/catalog/games-playstation-5/PSV1477/</v>
      </c>
      <c r="N236" s="71"/>
      <c r="O236" s="66" t="s">
        <v>27</v>
      </c>
      <c r="P236" s="82" t="s">
        <v>17808</v>
      </c>
      <c r="Q236" s="84"/>
      <c r="R236" s="84"/>
      <c r="S236" s="84">
        <v>0.22700000000000001</v>
      </c>
      <c r="T236" s="82" t="s">
        <v>17809</v>
      </c>
      <c r="U236" s="84" t="s">
        <v>7499</v>
      </c>
      <c r="V236" s="54"/>
    </row>
    <row r="237" spans="1:22" s="11" customFormat="1" ht="12" customHeight="1" x14ac:dyDescent="0.2">
      <c r="A237" s="66" t="s">
        <v>57</v>
      </c>
      <c r="B237" s="66" t="s">
        <v>26</v>
      </c>
      <c r="C237" s="66" t="s">
        <v>16942</v>
      </c>
      <c r="D237" s="66" t="s">
        <v>17810</v>
      </c>
      <c r="E237" s="109" t="s">
        <v>17811</v>
      </c>
      <c r="F237" s="66" t="s">
        <v>17812</v>
      </c>
      <c r="G237" s="71">
        <v>0</v>
      </c>
      <c r="H237" s="73"/>
      <c r="I237" s="75">
        <v>0.2</v>
      </c>
      <c r="J237" s="77"/>
      <c r="K237" s="66"/>
      <c r="L237" s="66"/>
      <c r="M237" s="79" t="str">
        <f>HYPERLINK("https://pristavka.com/catalog/games-playstation-5/PSV1441/")</f>
        <v>https://pristavka.com/catalog/games-playstation-5/PSV1441/</v>
      </c>
      <c r="N237" s="71"/>
      <c r="O237" s="66" t="s">
        <v>27</v>
      </c>
      <c r="P237" s="82" t="s">
        <v>17813</v>
      </c>
      <c r="Q237" s="84"/>
      <c r="R237" s="84"/>
      <c r="S237" s="84">
        <v>8.2000000000000003E-2</v>
      </c>
      <c r="T237" s="82" t="s">
        <v>17710</v>
      </c>
      <c r="U237" s="84" t="s">
        <v>17008</v>
      </c>
      <c r="V237" s="54"/>
    </row>
    <row r="238" spans="1:22" s="11" customFormat="1" ht="12" customHeight="1" x14ac:dyDescent="0.2">
      <c r="A238" s="66" t="s">
        <v>57</v>
      </c>
      <c r="B238" s="66" t="s">
        <v>26</v>
      </c>
      <c r="C238" s="66" t="s">
        <v>16942</v>
      </c>
      <c r="D238" s="66" t="s">
        <v>17814</v>
      </c>
      <c r="E238" s="109" t="s">
        <v>17815</v>
      </c>
      <c r="F238" s="66" t="s">
        <v>17816</v>
      </c>
      <c r="G238" s="71">
        <v>0</v>
      </c>
      <c r="H238" s="73"/>
      <c r="I238" s="75">
        <v>0.2</v>
      </c>
      <c r="J238" s="77"/>
      <c r="K238" s="66"/>
      <c r="L238" s="66"/>
      <c r="M238" s="79" t="str">
        <f>HYPERLINK("https://pristavka.com/catalog/games-playstation-5/PSV1463/")</f>
        <v>https://pristavka.com/catalog/games-playstation-5/PSV1463/</v>
      </c>
      <c r="N238" s="71"/>
      <c r="O238" s="66" t="s">
        <v>28</v>
      </c>
      <c r="P238" s="82" t="s">
        <v>17817</v>
      </c>
      <c r="Q238" s="84"/>
      <c r="R238" s="84"/>
      <c r="S238" s="84">
        <v>8.7999999999999995E-2</v>
      </c>
      <c r="T238" s="82" t="s">
        <v>17038</v>
      </c>
      <c r="U238" s="84" t="s">
        <v>7499</v>
      </c>
      <c r="V238" s="54"/>
    </row>
    <row r="239" spans="1:22" s="11" customFormat="1" ht="12" customHeight="1" x14ac:dyDescent="0.2">
      <c r="A239" s="66" t="s">
        <v>57</v>
      </c>
      <c r="B239" s="66" t="s">
        <v>26</v>
      </c>
      <c r="C239" s="66" t="s">
        <v>16942</v>
      </c>
      <c r="D239" s="66" t="s">
        <v>17818</v>
      </c>
      <c r="E239" s="109" t="s">
        <v>17819</v>
      </c>
      <c r="F239" s="66" t="s">
        <v>17820</v>
      </c>
      <c r="G239" s="71">
        <v>0</v>
      </c>
      <c r="H239" s="73"/>
      <c r="I239" s="75">
        <v>0.2</v>
      </c>
      <c r="J239" s="77"/>
      <c r="K239" s="66"/>
      <c r="L239" s="66"/>
      <c r="M239" s="79" t="str">
        <f>HYPERLINK("https://pristavka.com/catalog/games-playstation-5/PSV1472/")</f>
        <v>https://pristavka.com/catalog/games-playstation-5/PSV1472/</v>
      </c>
      <c r="N239" s="71"/>
      <c r="O239" s="66" t="s">
        <v>27</v>
      </c>
      <c r="P239" s="82" t="s">
        <v>17821</v>
      </c>
      <c r="Q239" s="84"/>
      <c r="R239" s="84"/>
      <c r="S239" s="84">
        <v>8.7999999999999995E-2</v>
      </c>
      <c r="T239" s="82" t="s">
        <v>17710</v>
      </c>
      <c r="U239" s="84" t="s">
        <v>177</v>
      </c>
      <c r="V239" s="54"/>
    </row>
    <row r="240" spans="1:22" s="11" customFormat="1" ht="12" customHeight="1" x14ac:dyDescent="0.2">
      <c r="A240" s="66" t="s">
        <v>57</v>
      </c>
      <c r="B240" s="66" t="s">
        <v>26</v>
      </c>
      <c r="C240" s="66" t="s">
        <v>16942</v>
      </c>
      <c r="D240" s="66" t="s">
        <v>17822</v>
      </c>
      <c r="E240" s="109" t="s">
        <v>17823</v>
      </c>
      <c r="F240" s="66" t="s">
        <v>17824</v>
      </c>
      <c r="G240" s="71">
        <v>29625</v>
      </c>
      <c r="H240" s="73"/>
      <c r="I240" s="75">
        <v>0.2</v>
      </c>
      <c r="J240" s="77"/>
      <c r="K240" s="66"/>
      <c r="L240" s="66"/>
      <c r="M240" s="79" t="str">
        <f>HYPERLINK("https://pristavka.com/catalog/games-playstation-5/PSV955/")</f>
        <v>https://pristavka.com/catalog/games-playstation-5/PSV955/</v>
      </c>
      <c r="N240" s="71"/>
      <c r="O240" s="66" t="s">
        <v>27</v>
      </c>
      <c r="P240" s="82" t="s">
        <v>17825</v>
      </c>
      <c r="Q240" s="84"/>
      <c r="R240" s="84"/>
      <c r="S240" s="84">
        <v>9.6000000000000002E-2</v>
      </c>
      <c r="T240" s="82" t="s">
        <v>17710</v>
      </c>
      <c r="U240" s="84" t="s">
        <v>7499</v>
      </c>
      <c r="V240" s="54"/>
    </row>
    <row r="241" spans="1:22" s="45" customFormat="1" ht="12" customHeight="1" x14ac:dyDescent="0.2">
      <c r="A241" s="67" t="s">
        <v>57</v>
      </c>
      <c r="B241" s="67" t="s">
        <v>26</v>
      </c>
      <c r="C241" s="67" t="s">
        <v>16942</v>
      </c>
      <c r="D241" s="67" t="s">
        <v>17826</v>
      </c>
      <c r="E241" s="110" t="s">
        <v>17827</v>
      </c>
      <c r="F241" s="67" t="s">
        <v>17828</v>
      </c>
      <c r="G241" s="72">
        <v>0</v>
      </c>
      <c r="H241" s="74"/>
      <c r="I241" s="76">
        <v>0.2</v>
      </c>
      <c r="J241" s="77"/>
      <c r="K241" s="67" t="s">
        <v>129</v>
      </c>
      <c r="L241" s="67"/>
      <c r="M241" s="79" t="str">
        <f>HYPERLINK("https://pristavka.com/catalog/games-playstation-5/PSV1455/")</f>
        <v>https://pristavka.com/catalog/games-playstation-5/PSV1455/</v>
      </c>
      <c r="N241" s="72"/>
      <c r="O241" s="67" t="s">
        <v>27</v>
      </c>
      <c r="P241" s="83" t="s">
        <v>17829</v>
      </c>
      <c r="Q241" s="85"/>
      <c r="R241" s="85"/>
      <c r="S241" s="85">
        <v>0.17</v>
      </c>
      <c r="T241" s="83" t="s">
        <v>17651</v>
      </c>
      <c r="U241" s="85" t="s">
        <v>52</v>
      </c>
      <c r="V241" s="55"/>
    </row>
    <row r="242" spans="1:22" s="11" customFormat="1" ht="12" customHeight="1" x14ac:dyDescent="0.2">
      <c r="A242" s="66" t="s">
        <v>57</v>
      </c>
      <c r="B242" s="66" t="s">
        <v>26</v>
      </c>
      <c r="C242" s="66" t="s">
        <v>16942</v>
      </c>
      <c r="D242" s="66" t="s">
        <v>26</v>
      </c>
      <c r="E242" s="109" t="s">
        <v>17830</v>
      </c>
      <c r="F242" s="66" t="s">
        <v>17831</v>
      </c>
      <c r="G242" s="71">
        <v>0</v>
      </c>
      <c r="H242" s="73"/>
      <c r="I242" s="75">
        <v>0.2</v>
      </c>
      <c r="J242" s="77"/>
      <c r="K242" s="66"/>
      <c r="L242" s="66"/>
      <c r="M242" s="79" t="str">
        <f>HYPERLINK("https://pristavka.com/catalog/games-playstation-5/PSV1472/")</f>
        <v>https://pristavka.com/catalog/games-playstation-5/PSV1472/</v>
      </c>
      <c r="N242" s="71"/>
      <c r="O242" s="66" t="s">
        <v>27</v>
      </c>
      <c r="P242" s="82" t="s">
        <v>17832</v>
      </c>
      <c r="Q242" s="84"/>
      <c r="R242" s="84"/>
      <c r="S242" s="84">
        <v>0.09</v>
      </c>
      <c r="T242" s="82" t="s">
        <v>17038</v>
      </c>
      <c r="U242" s="84" t="s">
        <v>7499</v>
      </c>
      <c r="V242" s="54"/>
    </row>
    <row r="243" spans="1:22" s="11" customFormat="1" ht="12" customHeight="1" x14ac:dyDescent="0.2">
      <c r="A243" s="66" t="s">
        <v>57</v>
      </c>
      <c r="B243" s="66" t="s">
        <v>26</v>
      </c>
      <c r="C243" s="66" t="s">
        <v>16942</v>
      </c>
      <c r="D243" s="66" t="s">
        <v>17833</v>
      </c>
      <c r="E243" s="109" t="s">
        <v>17834</v>
      </c>
      <c r="F243" s="66" t="s">
        <v>17835</v>
      </c>
      <c r="G243" s="71">
        <v>0</v>
      </c>
      <c r="H243" s="73"/>
      <c r="I243" s="75">
        <v>0.2</v>
      </c>
      <c r="J243" s="77"/>
      <c r="K243" s="66"/>
      <c r="L243" s="66"/>
      <c r="M243" s="79" t="str">
        <f>HYPERLINK("https://pristavka.com/catalog/games-playstation-5/PSV871/")</f>
        <v>https://pristavka.com/catalog/games-playstation-5/PSV871/</v>
      </c>
      <c r="N243" s="71"/>
      <c r="O243" s="66" t="s">
        <v>28</v>
      </c>
      <c r="P243" s="82" t="s">
        <v>17836</v>
      </c>
      <c r="Q243" s="84"/>
      <c r="R243" s="84"/>
      <c r="S243" s="84">
        <v>8.5000000000000006E-2</v>
      </c>
      <c r="T243" s="82" t="s">
        <v>17029</v>
      </c>
      <c r="U243" s="84" t="s">
        <v>7499</v>
      </c>
      <c r="V243" s="54"/>
    </row>
    <row r="244" spans="1:22" s="11" customFormat="1" ht="12" customHeight="1" x14ac:dyDescent="0.2">
      <c r="A244" s="66" t="s">
        <v>57</v>
      </c>
      <c r="B244" s="66" t="s">
        <v>26</v>
      </c>
      <c r="C244" s="66" t="s">
        <v>16942</v>
      </c>
      <c r="D244" s="66" t="s">
        <v>17837</v>
      </c>
      <c r="E244" s="109" t="s">
        <v>17838</v>
      </c>
      <c r="F244" s="66" t="s">
        <v>17839</v>
      </c>
      <c r="G244" s="71">
        <v>28560</v>
      </c>
      <c r="H244" s="73"/>
      <c r="I244" s="75">
        <v>0.2</v>
      </c>
      <c r="J244" s="77"/>
      <c r="K244" s="66"/>
      <c r="L244" s="66"/>
      <c r="M244" s="79" t="str">
        <f>HYPERLINK("https://pristavka.com/catalog/games-playstation-5/PSV931/")</f>
        <v>https://pristavka.com/catalog/games-playstation-5/PSV931/</v>
      </c>
      <c r="N244" s="71"/>
      <c r="O244" s="66" t="s">
        <v>27</v>
      </c>
      <c r="P244" s="82" t="s">
        <v>17840</v>
      </c>
      <c r="Q244" s="84"/>
      <c r="R244" s="84"/>
      <c r="S244" s="84">
        <v>8.3000000000000004E-2</v>
      </c>
      <c r="T244" s="82" t="s">
        <v>17710</v>
      </c>
      <c r="U244" s="84" t="s">
        <v>7499</v>
      </c>
      <c r="V244" s="54"/>
    </row>
    <row r="245" spans="1:22" s="11" customFormat="1" ht="12" customHeight="1" x14ac:dyDescent="0.2">
      <c r="A245" s="66" t="s">
        <v>57</v>
      </c>
      <c r="B245" s="66" t="s">
        <v>26</v>
      </c>
      <c r="C245" s="66" t="s">
        <v>16942</v>
      </c>
      <c r="D245" s="66" t="s">
        <v>17841</v>
      </c>
      <c r="E245" s="109" t="s">
        <v>17842</v>
      </c>
      <c r="F245" s="66" t="s">
        <v>17843</v>
      </c>
      <c r="G245" s="71">
        <v>0</v>
      </c>
      <c r="H245" s="73"/>
      <c r="I245" s="75">
        <v>0.2</v>
      </c>
      <c r="J245" s="77"/>
      <c r="K245" s="66"/>
      <c r="L245" s="66"/>
      <c r="M245" s="79" t="str">
        <f>HYPERLINK("https://pristavka.com/catalog/games-playstation-5/PSV921/")</f>
        <v>https://pristavka.com/catalog/games-playstation-5/PSV921/</v>
      </c>
      <c r="N245" s="71"/>
      <c r="O245" s="66" t="s">
        <v>27</v>
      </c>
      <c r="P245" s="82" t="s">
        <v>17844</v>
      </c>
      <c r="Q245" s="84"/>
      <c r="R245" s="84"/>
      <c r="S245" s="84">
        <v>8.3000000000000004E-2</v>
      </c>
      <c r="T245" s="82" t="s">
        <v>17710</v>
      </c>
      <c r="U245" s="84" t="s">
        <v>7499</v>
      </c>
      <c r="V245" s="54"/>
    </row>
    <row r="246" spans="1:22" s="45" customFormat="1" ht="12" customHeight="1" x14ac:dyDescent="0.2">
      <c r="A246" s="67" t="s">
        <v>57</v>
      </c>
      <c r="B246" s="67" t="s">
        <v>26</v>
      </c>
      <c r="C246" s="67" t="s">
        <v>16942</v>
      </c>
      <c r="D246" s="67" t="s">
        <v>17845</v>
      </c>
      <c r="E246" s="110" t="s">
        <v>17846</v>
      </c>
      <c r="F246" s="67" t="s">
        <v>17847</v>
      </c>
      <c r="G246" s="72">
        <v>0</v>
      </c>
      <c r="H246" s="74"/>
      <c r="I246" s="76">
        <v>0.2</v>
      </c>
      <c r="J246" s="77"/>
      <c r="K246" s="67" t="s">
        <v>129</v>
      </c>
      <c r="L246" s="67"/>
      <c r="M246" s="79" t="str">
        <f>HYPERLINK("https://pristavka.com/catalog/games-playstation-5/PSV1489/")</f>
        <v>https://pristavka.com/catalog/games-playstation-5/PSV1489/</v>
      </c>
      <c r="N246" s="72"/>
      <c r="O246" s="67" t="s">
        <v>27</v>
      </c>
      <c r="P246" s="83" t="s">
        <v>17848</v>
      </c>
      <c r="Q246" s="85"/>
      <c r="R246" s="85"/>
      <c r="S246" s="85">
        <v>0.08</v>
      </c>
      <c r="T246" s="83" t="s">
        <v>17038</v>
      </c>
      <c r="U246" s="85" t="s">
        <v>7499</v>
      </c>
      <c r="V246" s="55"/>
    </row>
    <row r="247" spans="1:22" s="11" customFormat="1" ht="12" customHeight="1" x14ac:dyDescent="0.2">
      <c r="A247" s="66" t="s">
        <v>57</v>
      </c>
      <c r="B247" s="66" t="s">
        <v>26</v>
      </c>
      <c r="C247" s="66" t="s">
        <v>16942</v>
      </c>
      <c r="D247" s="66" t="s">
        <v>17849</v>
      </c>
      <c r="E247" s="109" t="s">
        <v>17850</v>
      </c>
      <c r="F247" s="66" t="s">
        <v>17851</v>
      </c>
      <c r="G247" s="71">
        <v>0</v>
      </c>
      <c r="H247" s="73"/>
      <c r="I247" s="75">
        <v>0.2</v>
      </c>
      <c r="J247" s="77"/>
      <c r="K247" s="66"/>
      <c r="L247" s="66"/>
      <c r="M247" s="79" t="str">
        <f>HYPERLINK("https://pristavka.com/catalog/games-playstation-5/PSV874/")</f>
        <v>https://pristavka.com/catalog/games-playstation-5/PSV874/</v>
      </c>
      <c r="N247" s="71"/>
      <c r="O247" s="66" t="s">
        <v>27</v>
      </c>
      <c r="P247" s="82" t="s">
        <v>17852</v>
      </c>
      <c r="Q247" s="84"/>
      <c r="R247" s="84"/>
      <c r="S247" s="84">
        <v>8.2000000000000003E-2</v>
      </c>
      <c r="T247" s="82" t="s">
        <v>17710</v>
      </c>
      <c r="U247" s="84" t="s">
        <v>7499</v>
      </c>
      <c r="V247" s="54"/>
    </row>
    <row r="248" spans="1:22" s="11" customFormat="1" ht="12" customHeight="1" x14ac:dyDescent="0.2">
      <c r="A248" s="66" t="s">
        <v>57</v>
      </c>
      <c r="B248" s="66" t="s">
        <v>26</v>
      </c>
      <c r="C248" s="66" t="s">
        <v>16942</v>
      </c>
      <c r="D248" s="66" t="s">
        <v>17853</v>
      </c>
      <c r="E248" s="109" t="s">
        <v>17854</v>
      </c>
      <c r="F248" s="66" t="s">
        <v>17855</v>
      </c>
      <c r="G248" s="71">
        <v>0</v>
      </c>
      <c r="H248" s="73"/>
      <c r="I248" s="75">
        <v>0.2</v>
      </c>
      <c r="J248" s="77"/>
      <c r="K248" s="66"/>
      <c r="L248" s="66"/>
      <c r="M248" s="79" t="str">
        <f>HYPERLINK("https://pristavka.com/catalog/games-playstation-5/PSV922/")</f>
        <v>https://pristavka.com/catalog/games-playstation-5/PSV922/</v>
      </c>
      <c r="N248" s="71"/>
      <c r="O248" s="66" t="s">
        <v>27</v>
      </c>
      <c r="P248" s="82" t="s">
        <v>17856</v>
      </c>
      <c r="Q248" s="84"/>
      <c r="R248" s="84"/>
      <c r="S248" s="84">
        <v>8.2000000000000003E-2</v>
      </c>
      <c r="T248" s="82" t="s">
        <v>17710</v>
      </c>
      <c r="U248" s="84" t="s">
        <v>17008</v>
      </c>
      <c r="V248" s="54"/>
    </row>
    <row r="249" spans="1:22" s="11" customFormat="1" ht="12" customHeight="1" x14ac:dyDescent="0.2">
      <c r="A249" s="66" t="s">
        <v>57</v>
      </c>
      <c r="B249" s="66" t="s">
        <v>26</v>
      </c>
      <c r="C249" s="66" t="s">
        <v>16942</v>
      </c>
      <c r="D249" s="66" t="s">
        <v>17857</v>
      </c>
      <c r="E249" s="109" t="s">
        <v>17858</v>
      </c>
      <c r="F249" s="66" t="s">
        <v>17859</v>
      </c>
      <c r="G249" s="71">
        <v>0</v>
      </c>
      <c r="H249" s="73"/>
      <c r="I249" s="75">
        <v>0.2</v>
      </c>
      <c r="J249" s="77"/>
      <c r="K249" s="66"/>
      <c r="L249" s="66"/>
      <c r="M249" s="79" t="str">
        <f>HYPERLINK("https://pristavka.com/catalog/games-playstation-5/PSV1501/")</f>
        <v>https://pristavka.com/catalog/games-playstation-5/PSV1501/</v>
      </c>
      <c r="N249" s="71"/>
      <c r="O249" s="66" t="s">
        <v>27</v>
      </c>
      <c r="P249" s="82" t="s">
        <v>17860</v>
      </c>
      <c r="Q249" s="84"/>
      <c r="R249" s="84"/>
      <c r="S249" s="84">
        <v>7.9000000000000001E-2</v>
      </c>
      <c r="T249" s="82" t="s">
        <v>17675</v>
      </c>
      <c r="U249" s="84"/>
      <c r="V249" s="54"/>
    </row>
    <row r="250" spans="1:22" s="11" customFormat="1" ht="12" customHeight="1" x14ac:dyDescent="0.2">
      <c r="A250" s="66" t="s">
        <v>57</v>
      </c>
      <c r="B250" s="66" t="s">
        <v>26</v>
      </c>
      <c r="C250" s="66" t="s">
        <v>16942</v>
      </c>
      <c r="D250" s="66" t="s">
        <v>17861</v>
      </c>
      <c r="E250" s="109" t="s">
        <v>17862</v>
      </c>
      <c r="F250" s="66" t="s">
        <v>17863</v>
      </c>
      <c r="G250" s="71">
        <v>0</v>
      </c>
      <c r="H250" s="73"/>
      <c r="I250" s="75">
        <v>0.2</v>
      </c>
      <c r="J250" s="77"/>
      <c r="K250" s="66"/>
      <c r="L250" s="66"/>
      <c r="M250" s="79" t="str">
        <f>HYPERLINK("https://pristavka.com/catalog/games-playstation-5/PSV1431/")</f>
        <v>https://pristavka.com/catalog/games-playstation-5/PSV1431/</v>
      </c>
      <c r="N250" s="71"/>
      <c r="O250" s="66" t="s">
        <v>27</v>
      </c>
      <c r="P250" s="82" t="s">
        <v>17864</v>
      </c>
      <c r="Q250" s="84"/>
      <c r="R250" s="84"/>
      <c r="S250" s="84">
        <v>0.09</v>
      </c>
      <c r="T250" s="82" t="s">
        <v>17038</v>
      </c>
      <c r="U250" s="84" t="s">
        <v>7499</v>
      </c>
      <c r="V250" s="54"/>
    </row>
    <row r="251" spans="1:22" s="11" customFormat="1" ht="12" customHeight="1" x14ac:dyDescent="0.2">
      <c r="A251" s="66" t="s">
        <v>57</v>
      </c>
      <c r="B251" s="66" t="s">
        <v>26</v>
      </c>
      <c r="C251" s="66" t="s">
        <v>16942</v>
      </c>
      <c r="D251" s="66" t="s">
        <v>17865</v>
      </c>
      <c r="E251" s="109" t="s">
        <v>17866</v>
      </c>
      <c r="F251" s="66" t="s">
        <v>17867</v>
      </c>
      <c r="G251" s="71">
        <v>0</v>
      </c>
      <c r="H251" s="73"/>
      <c r="I251" s="75">
        <v>0.2</v>
      </c>
      <c r="J251" s="77"/>
      <c r="K251" s="66"/>
      <c r="L251" s="66"/>
      <c r="M251" s="79" t="str">
        <f>HYPERLINK("https://pristavka.com/catalog/games-playstation-5/PSV1426/")</f>
        <v>https://pristavka.com/catalog/games-playstation-5/PSV1426/</v>
      </c>
      <c r="N251" s="71"/>
      <c r="O251" s="66" t="s">
        <v>27</v>
      </c>
      <c r="P251" s="82" t="s">
        <v>17868</v>
      </c>
      <c r="Q251" s="84"/>
      <c r="R251" s="84"/>
      <c r="S251" s="84">
        <v>7.9000000000000001E-2</v>
      </c>
      <c r="T251" s="82" t="s">
        <v>17710</v>
      </c>
      <c r="U251" s="84" t="s">
        <v>177</v>
      </c>
      <c r="V251" s="54"/>
    </row>
    <row r="252" spans="1:22" s="11" customFormat="1" ht="12" customHeight="1" x14ac:dyDescent="0.2">
      <c r="A252" s="66" t="s">
        <v>57</v>
      </c>
      <c r="B252" s="66" t="s">
        <v>26</v>
      </c>
      <c r="C252" s="66" t="s">
        <v>16942</v>
      </c>
      <c r="D252" s="66" t="s">
        <v>17869</v>
      </c>
      <c r="E252" s="109" t="s">
        <v>17870</v>
      </c>
      <c r="F252" s="66" t="s">
        <v>17871</v>
      </c>
      <c r="G252" s="71">
        <v>0</v>
      </c>
      <c r="H252" s="73"/>
      <c r="I252" s="75">
        <v>0.2</v>
      </c>
      <c r="J252" s="77"/>
      <c r="K252" s="66"/>
      <c r="L252" s="66"/>
      <c r="M252" s="79" t="str">
        <f>HYPERLINK("https://pristavka.com/catalog/games-playstation-5/PSV954/")</f>
        <v>https://pristavka.com/catalog/games-playstation-5/PSV954/</v>
      </c>
      <c r="N252" s="71"/>
      <c r="O252" s="66" t="s">
        <v>27</v>
      </c>
      <c r="P252" s="82" t="s">
        <v>17872</v>
      </c>
      <c r="Q252" s="84"/>
      <c r="R252" s="84"/>
      <c r="S252" s="84">
        <v>8.6999999999999994E-2</v>
      </c>
      <c r="T252" s="82" t="s">
        <v>17710</v>
      </c>
      <c r="U252" s="84" t="s">
        <v>52</v>
      </c>
      <c r="V252" s="54"/>
    </row>
    <row r="253" spans="1:22" s="11" customFormat="1" ht="12" customHeight="1" x14ac:dyDescent="0.2">
      <c r="A253" s="66" t="s">
        <v>57</v>
      </c>
      <c r="B253" s="66" t="s">
        <v>26</v>
      </c>
      <c r="C253" s="66" t="s">
        <v>16942</v>
      </c>
      <c r="D253" s="66" t="s">
        <v>17873</v>
      </c>
      <c r="E253" s="109" t="s">
        <v>17874</v>
      </c>
      <c r="F253" s="66" t="s">
        <v>17875</v>
      </c>
      <c r="G253" s="71">
        <v>0</v>
      </c>
      <c r="H253" s="73"/>
      <c r="I253" s="75">
        <v>0.2</v>
      </c>
      <c r="J253" s="77"/>
      <c r="K253" s="66"/>
      <c r="L253" s="66"/>
      <c r="M253" s="79" t="str">
        <f>HYPERLINK("https://pristavka.com/catalog/games-playstation-5/PSV1435/")</f>
        <v>https://pristavka.com/catalog/games-playstation-5/PSV1435/</v>
      </c>
      <c r="N253" s="71"/>
      <c r="O253" s="66" t="s">
        <v>27</v>
      </c>
      <c r="P253" s="82" t="s">
        <v>17876</v>
      </c>
      <c r="Q253" s="84"/>
      <c r="R253" s="84"/>
      <c r="S253" s="84">
        <v>0.09</v>
      </c>
      <c r="T253" s="82" t="s">
        <v>17038</v>
      </c>
      <c r="U253" s="84" t="s">
        <v>7499</v>
      </c>
      <c r="V253" s="54"/>
    </row>
    <row r="254" spans="1:22" s="11" customFormat="1" ht="12" customHeight="1" x14ac:dyDescent="0.2">
      <c r="A254" s="66" t="s">
        <v>57</v>
      </c>
      <c r="B254" s="66" t="s">
        <v>26</v>
      </c>
      <c r="C254" s="66" t="s">
        <v>16942</v>
      </c>
      <c r="D254" s="66" t="s">
        <v>17877</v>
      </c>
      <c r="E254" s="109" t="s">
        <v>17878</v>
      </c>
      <c r="F254" s="66" t="s">
        <v>17879</v>
      </c>
      <c r="G254" s="71">
        <v>0</v>
      </c>
      <c r="H254" s="73"/>
      <c r="I254" s="75">
        <v>0.2</v>
      </c>
      <c r="J254" s="77"/>
      <c r="K254" s="66"/>
      <c r="L254" s="66"/>
      <c r="M254" s="79" t="str">
        <f>HYPERLINK("https://pristavka.com/catalog/games-playstation-5/PSV1491/")</f>
        <v>https://pristavka.com/catalog/games-playstation-5/PSV1491/</v>
      </c>
      <c r="N254" s="71"/>
      <c r="O254" s="66" t="s">
        <v>27</v>
      </c>
      <c r="P254" s="82" t="s">
        <v>17880</v>
      </c>
      <c r="Q254" s="84"/>
      <c r="R254" s="84"/>
      <c r="S254" s="84">
        <v>6.5000000000000002E-2</v>
      </c>
      <c r="T254" s="82" t="s">
        <v>17675</v>
      </c>
      <c r="U254" s="84" t="s">
        <v>17008</v>
      </c>
      <c r="V254" s="54"/>
    </row>
    <row r="255" spans="1:22" s="11" customFormat="1" ht="12" customHeight="1" x14ac:dyDescent="0.2">
      <c r="A255" s="66" t="s">
        <v>57</v>
      </c>
      <c r="B255" s="66" t="s">
        <v>26</v>
      </c>
      <c r="C255" s="66" t="s">
        <v>16942</v>
      </c>
      <c r="D255" s="66" t="s">
        <v>17747</v>
      </c>
      <c r="E255" s="109" t="s">
        <v>17881</v>
      </c>
      <c r="F255" s="66" t="s">
        <v>17882</v>
      </c>
      <c r="G255" s="71">
        <v>0</v>
      </c>
      <c r="H255" s="73"/>
      <c r="I255" s="75">
        <v>0.2</v>
      </c>
      <c r="J255" s="77"/>
      <c r="K255" s="66"/>
      <c r="L255" s="66"/>
      <c r="M255" s="79" t="str">
        <f>HYPERLINK("https://pristavka.com/catalog/games-playstation-5/PSV1504/")</f>
        <v>https://pristavka.com/catalog/games-playstation-5/PSV1504/</v>
      </c>
      <c r="N255" s="71"/>
      <c r="O255" s="66" t="s">
        <v>27</v>
      </c>
      <c r="P255" s="82" t="s">
        <v>17883</v>
      </c>
      <c r="Q255" s="84"/>
      <c r="R255" s="84"/>
      <c r="S255" s="84">
        <v>8.2000000000000003E-2</v>
      </c>
      <c r="T255" s="82" t="s">
        <v>17710</v>
      </c>
      <c r="U255" s="84" t="s">
        <v>7499</v>
      </c>
      <c r="V255" s="54"/>
    </row>
    <row r="256" spans="1:22" s="11" customFormat="1" ht="12" customHeight="1" x14ac:dyDescent="0.2">
      <c r="A256" s="66" t="s">
        <v>57</v>
      </c>
      <c r="B256" s="66" t="s">
        <v>26</v>
      </c>
      <c r="C256" s="66" t="s">
        <v>16942</v>
      </c>
      <c r="D256" s="66" t="s">
        <v>17884</v>
      </c>
      <c r="E256" s="109" t="s">
        <v>17885</v>
      </c>
      <c r="F256" s="66" t="s">
        <v>17886</v>
      </c>
      <c r="G256" s="71">
        <v>0</v>
      </c>
      <c r="H256" s="73"/>
      <c r="I256" s="75">
        <v>0.2</v>
      </c>
      <c r="J256" s="77"/>
      <c r="K256" s="66"/>
      <c r="L256" s="66"/>
      <c r="M256" s="79" t="str">
        <f>HYPERLINK("https://pristavka.com/catalog/games-playstation-5/PSV948/")</f>
        <v>https://pristavka.com/catalog/games-playstation-5/PSV948/</v>
      </c>
      <c r="N256" s="71"/>
      <c r="O256" s="66" t="s">
        <v>27</v>
      </c>
      <c r="P256" s="82" t="s">
        <v>17887</v>
      </c>
      <c r="Q256" s="84"/>
      <c r="R256" s="84"/>
      <c r="S256" s="84">
        <v>7.9000000000000001E-2</v>
      </c>
      <c r="T256" s="82" t="s">
        <v>17710</v>
      </c>
      <c r="U256" s="84" t="s">
        <v>7499</v>
      </c>
      <c r="V256" s="54"/>
    </row>
    <row r="257" spans="1:22" s="11" customFormat="1" ht="12" customHeight="1" x14ac:dyDescent="0.2">
      <c r="A257" s="66" t="s">
        <v>57</v>
      </c>
      <c r="B257" s="66" t="s">
        <v>26</v>
      </c>
      <c r="C257" s="66" t="s">
        <v>16942</v>
      </c>
      <c r="D257" s="66" t="s">
        <v>17888</v>
      </c>
      <c r="E257" s="109" t="s">
        <v>17889</v>
      </c>
      <c r="F257" s="66" t="s">
        <v>17890</v>
      </c>
      <c r="G257" s="71">
        <v>0</v>
      </c>
      <c r="H257" s="73"/>
      <c r="I257" s="75">
        <v>0.2</v>
      </c>
      <c r="J257" s="77"/>
      <c r="K257" s="66"/>
      <c r="L257" s="66"/>
      <c r="M257" s="79" t="str">
        <f>HYPERLINK("https://pristavka.com/catalog/games-playstation-5/PSV1448/")</f>
        <v>https://pristavka.com/catalog/games-playstation-5/PSV1448/</v>
      </c>
      <c r="N257" s="71"/>
      <c r="O257" s="66" t="s">
        <v>27</v>
      </c>
      <c r="P257" s="82" t="s">
        <v>17891</v>
      </c>
      <c r="Q257" s="84"/>
      <c r="R257" s="84"/>
      <c r="S257" s="84">
        <v>0.09</v>
      </c>
      <c r="T257" s="82" t="s">
        <v>17038</v>
      </c>
      <c r="U257" s="84" t="s">
        <v>17008</v>
      </c>
      <c r="V257" s="54"/>
    </row>
    <row r="258" spans="1:22" s="11" customFormat="1" ht="12" customHeight="1" x14ac:dyDescent="0.2">
      <c r="A258" s="66" t="s">
        <v>57</v>
      </c>
      <c r="B258" s="66" t="s">
        <v>26</v>
      </c>
      <c r="C258" s="66" t="s">
        <v>16942</v>
      </c>
      <c r="D258" s="66" t="s">
        <v>17892</v>
      </c>
      <c r="E258" s="109" t="s">
        <v>17893</v>
      </c>
      <c r="F258" s="66" t="s">
        <v>17894</v>
      </c>
      <c r="G258" s="71">
        <v>0</v>
      </c>
      <c r="H258" s="73"/>
      <c r="I258" s="75">
        <v>0.2</v>
      </c>
      <c r="J258" s="77"/>
      <c r="K258" s="66"/>
      <c r="L258" s="66"/>
      <c r="M258" s="79" t="str">
        <f>HYPERLINK("https://pristavka.com/catalog/games-playstation-5/PSV948/")</f>
        <v>https://pristavka.com/catalog/games-playstation-5/PSV948/</v>
      </c>
      <c r="N258" s="71"/>
      <c r="O258" s="66" t="s">
        <v>27</v>
      </c>
      <c r="P258" s="82" t="s">
        <v>17895</v>
      </c>
      <c r="Q258" s="84"/>
      <c r="R258" s="84"/>
      <c r="S258" s="84">
        <v>8.4000000000000005E-2</v>
      </c>
      <c r="T258" s="82" t="s">
        <v>17038</v>
      </c>
      <c r="U258" s="84" t="s">
        <v>7499</v>
      </c>
      <c r="V258" s="54"/>
    </row>
    <row r="259" spans="1:22" s="11" customFormat="1" ht="12" customHeight="1" x14ac:dyDescent="0.2">
      <c r="A259" s="66" t="s">
        <v>57</v>
      </c>
      <c r="B259" s="66" t="s">
        <v>26</v>
      </c>
      <c r="C259" s="66" t="s">
        <v>16942</v>
      </c>
      <c r="D259" s="66" t="s">
        <v>17896</v>
      </c>
      <c r="E259" s="109" t="s">
        <v>17897</v>
      </c>
      <c r="F259" s="66" t="s">
        <v>17898</v>
      </c>
      <c r="G259" s="71">
        <v>0</v>
      </c>
      <c r="H259" s="73"/>
      <c r="I259" s="75">
        <v>0.2</v>
      </c>
      <c r="J259" s="77"/>
      <c r="K259" s="66"/>
      <c r="L259" s="66"/>
      <c r="M259" s="79" t="str">
        <f>HYPERLINK("https://pristavka.com/catalog/games-playstation-5/PSV1411/")</f>
        <v>https://pristavka.com/catalog/games-playstation-5/PSV1411/</v>
      </c>
      <c r="N259" s="71"/>
      <c r="O259" s="66" t="s">
        <v>27</v>
      </c>
      <c r="P259" s="82" t="s">
        <v>17899</v>
      </c>
      <c r="Q259" s="84"/>
      <c r="R259" s="84"/>
      <c r="S259" s="84">
        <v>9.1999999999999998E-2</v>
      </c>
      <c r="T259" s="82" t="s">
        <v>17675</v>
      </c>
      <c r="U259" s="84" t="s">
        <v>7499</v>
      </c>
      <c r="V259" s="54"/>
    </row>
    <row r="260" spans="1:22" s="11" customFormat="1" ht="12" customHeight="1" x14ac:dyDescent="0.2">
      <c r="A260" s="66" t="s">
        <v>57</v>
      </c>
      <c r="B260" s="66" t="s">
        <v>26</v>
      </c>
      <c r="C260" s="66" t="s">
        <v>16942</v>
      </c>
      <c r="D260" s="66" t="s">
        <v>17900</v>
      </c>
      <c r="E260" s="109" t="s">
        <v>17901</v>
      </c>
      <c r="F260" s="66" t="s">
        <v>17902</v>
      </c>
      <c r="G260" s="71">
        <v>0</v>
      </c>
      <c r="H260" s="73"/>
      <c r="I260" s="75">
        <v>0.2</v>
      </c>
      <c r="J260" s="77"/>
      <c r="K260" s="66"/>
      <c r="L260" s="66"/>
      <c r="M260" s="79" t="str">
        <f>HYPERLINK("https://pristavka.com/catalog/games-playstation-5/PSV874/")</f>
        <v>https://pristavka.com/catalog/games-playstation-5/PSV874/</v>
      </c>
      <c r="N260" s="71"/>
      <c r="O260" s="66" t="s">
        <v>27</v>
      </c>
      <c r="P260" s="82" t="s">
        <v>17903</v>
      </c>
      <c r="Q260" s="84"/>
      <c r="R260" s="84"/>
      <c r="S260" s="84">
        <v>8.4000000000000005E-2</v>
      </c>
      <c r="T260" s="82" t="s">
        <v>17038</v>
      </c>
      <c r="U260" s="84" t="s">
        <v>7499</v>
      </c>
      <c r="V260" s="54"/>
    </row>
    <row r="261" spans="1:22" s="45" customFormat="1" ht="12" customHeight="1" x14ac:dyDescent="0.2">
      <c r="A261" s="67" t="s">
        <v>57</v>
      </c>
      <c r="B261" s="67" t="s">
        <v>26</v>
      </c>
      <c r="C261" s="67" t="s">
        <v>16942</v>
      </c>
      <c r="D261" s="67" t="s">
        <v>17904</v>
      </c>
      <c r="E261" s="110" t="s">
        <v>17905</v>
      </c>
      <c r="F261" s="67" t="s">
        <v>17906</v>
      </c>
      <c r="G261" s="72">
        <v>0</v>
      </c>
      <c r="H261" s="74"/>
      <c r="I261" s="76">
        <v>0.2</v>
      </c>
      <c r="J261" s="77"/>
      <c r="K261" s="67" t="s">
        <v>61</v>
      </c>
      <c r="L261" s="67"/>
      <c r="M261" s="80"/>
      <c r="N261" s="72"/>
      <c r="O261" s="67" t="s">
        <v>27</v>
      </c>
      <c r="P261" s="83" t="s">
        <v>17907</v>
      </c>
      <c r="Q261" s="85"/>
      <c r="R261" s="85"/>
      <c r="S261" s="85">
        <v>8.8999999999999996E-2</v>
      </c>
      <c r="T261" s="83" t="s">
        <v>17675</v>
      </c>
      <c r="U261" s="85" t="s">
        <v>7499</v>
      </c>
      <c r="V261" s="55"/>
    </row>
    <row r="262" spans="1:22" s="11" customFormat="1" ht="12" customHeight="1" x14ac:dyDescent="0.2">
      <c r="A262" s="66" t="s">
        <v>57</v>
      </c>
      <c r="B262" s="66" t="s">
        <v>26</v>
      </c>
      <c r="C262" s="66" t="s">
        <v>16942</v>
      </c>
      <c r="D262" s="66" t="s">
        <v>26</v>
      </c>
      <c r="E262" s="109" t="s">
        <v>17908</v>
      </c>
      <c r="F262" s="66" t="s">
        <v>17909</v>
      </c>
      <c r="G262" s="71">
        <v>0</v>
      </c>
      <c r="H262" s="73"/>
      <c r="I262" s="75">
        <v>0.2</v>
      </c>
      <c r="J262" s="77"/>
      <c r="K262" s="66"/>
      <c r="L262" s="66"/>
      <c r="M262" s="79" t="str">
        <f>HYPERLINK("https://pristavka.com/catalog/games-playstation-5/PSV1486/")</f>
        <v>https://pristavka.com/catalog/games-playstation-5/PSV1486/</v>
      </c>
      <c r="N262" s="71"/>
      <c r="O262" s="66" t="s">
        <v>27</v>
      </c>
      <c r="P262" s="82" t="s">
        <v>17910</v>
      </c>
      <c r="Q262" s="84"/>
      <c r="R262" s="84"/>
      <c r="S262" s="84">
        <v>0.09</v>
      </c>
      <c r="T262" s="82" t="s">
        <v>17038</v>
      </c>
      <c r="U262" s="84" t="s">
        <v>177</v>
      </c>
      <c r="V262" s="54"/>
    </row>
    <row r="263" spans="1:22" s="11" customFormat="1" ht="12" customHeight="1" x14ac:dyDescent="0.2">
      <c r="A263" s="66" t="s">
        <v>57</v>
      </c>
      <c r="B263" s="66" t="s">
        <v>26</v>
      </c>
      <c r="C263" s="66" t="s">
        <v>16942</v>
      </c>
      <c r="D263" s="66" t="s">
        <v>17911</v>
      </c>
      <c r="E263" s="109" t="s">
        <v>17912</v>
      </c>
      <c r="F263" s="66" t="s">
        <v>17913</v>
      </c>
      <c r="G263" s="71">
        <v>0</v>
      </c>
      <c r="H263" s="73"/>
      <c r="I263" s="75">
        <v>0.2</v>
      </c>
      <c r="J263" s="77"/>
      <c r="K263" s="66"/>
      <c r="L263" s="66"/>
      <c r="M263" s="79" t="str">
        <f>HYPERLINK("https://pristavka.com/catalog/games-playstation-5/PSV950/")</f>
        <v>https://pristavka.com/catalog/games-playstation-5/PSV950/</v>
      </c>
      <c r="N263" s="71"/>
      <c r="O263" s="66" t="s">
        <v>27</v>
      </c>
      <c r="P263" s="82" t="s">
        <v>17914</v>
      </c>
      <c r="Q263" s="84"/>
      <c r="R263" s="84"/>
      <c r="S263" s="84">
        <v>8.5000000000000006E-2</v>
      </c>
      <c r="T263" s="82" t="s">
        <v>17710</v>
      </c>
      <c r="U263" s="84" t="s">
        <v>7499</v>
      </c>
      <c r="V263" s="54"/>
    </row>
    <row r="264" spans="1:22" s="11" customFormat="1" ht="12" customHeight="1" x14ac:dyDescent="0.2">
      <c r="A264" s="66" t="s">
        <v>57</v>
      </c>
      <c r="B264" s="66" t="s">
        <v>26</v>
      </c>
      <c r="C264" s="66" t="s">
        <v>16942</v>
      </c>
      <c r="D264" s="66" t="s">
        <v>17915</v>
      </c>
      <c r="E264" s="109" t="s">
        <v>17916</v>
      </c>
      <c r="F264" s="66" t="s">
        <v>17917</v>
      </c>
      <c r="G264" s="71">
        <v>0</v>
      </c>
      <c r="H264" s="73"/>
      <c r="I264" s="75">
        <v>0.2</v>
      </c>
      <c r="J264" s="77"/>
      <c r="K264" s="66"/>
      <c r="L264" s="66"/>
      <c r="M264" s="79" t="str">
        <f>HYPERLINK("https://pristavka.com/catalog/games-playstation-5/PSV1411/")</f>
        <v>https://pristavka.com/catalog/games-playstation-5/PSV1411/</v>
      </c>
      <c r="N264" s="71"/>
      <c r="O264" s="66" t="s">
        <v>27</v>
      </c>
      <c r="P264" s="82" t="s">
        <v>17918</v>
      </c>
      <c r="Q264" s="84"/>
      <c r="R264" s="84"/>
      <c r="S264" s="84">
        <v>0.09</v>
      </c>
      <c r="T264" s="82" t="s">
        <v>17038</v>
      </c>
      <c r="U264" s="84" t="s">
        <v>7499</v>
      </c>
      <c r="V264" s="54"/>
    </row>
    <row r="265" spans="1:22" s="11" customFormat="1" ht="12" customHeight="1" x14ac:dyDescent="0.2">
      <c r="A265" s="66" t="s">
        <v>57</v>
      </c>
      <c r="B265" s="66" t="s">
        <v>26</v>
      </c>
      <c r="C265" s="66" t="s">
        <v>16942</v>
      </c>
      <c r="D265" s="66" t="s">
        <v>17919</v>
      </c>
      <c r="E265" s="109" t="s">
        <v>17920</v>
      </c>
      <c r="F265" s="66" t="s">
        <v>17921</v>
      </c>
      <c r="G265" s="71">
        <v>0</v>
      </c>
      <c r="H265" s="73"/>
      <c r="I265" s="75">
        <v>0.2</v>
      </c>
      <c r="J265" s="77"/>
      <c r="K265" s="66"/>
      <c r="L265" s="66"/>
      <c r="M265" s="79" t="str">
        <f>HYPERLINK("https://pristavka.com/catalog/games-playstation-5/PSV1479/")</f>
        <v>https://pristavka.com/catalog/games-playstation-5/PSV1479/</v>
      </c>
      <c r="N265" s="71"/>
      <c r="O265" s="66" t="s">
        <v>27</v>
      </c>
      <c r="P265" s="82" t="s">
        <v>17922</v>
      </c>
      <c r="Q265" s="84"/>
      <c r="R265" s="84"/>
      <c r="S265" s="84">
        <v>0.09</v>
      </c>
      <c r="T265" s="82" t="s">
        <v>17024</v>
      </c>
      <c r="U265" s="84" t="s">
        <v>17008</v>
      </c>
      <c r="V265" s="54"/>
    </row>
    <row r="266" spans="1:22" s="11" customFormat="1" ht="12" customHeight="1" x14ac:dyDescent="0.2">
      <c r="A266" s="66" t="s">
        <v>57</v>
      </c>
      <c r="B266" s="66" t="s">
        <v>26</v>
      </c>
      <c r="C266" s="66" t="s">
        <v>16942</v>
      </c>
      <c r="D266" s="66" t="s">
        <v>17923</v>
      </c>
      <c r="E266" s="109" t="s">
        <v>17924</v>
      </c>
      <c r="F266" s="66" t="s">
        <v>17925</v>
      </c>
      <c r="G266" s="71">
        <v>0</v>
      </c>
      <c r="H266" s="73"/>
      <c r="I266" s="75">
        <v>0.2</v>
      </c>
      <c r="J266" s="77"/>
      <c r="K266" s="66"/>
      <c r="L266" s="66"/>
      <c r="M266" s="79" t="str">
        <f>HYPERLINK("https://pristavka.com/catalog/games-playstation-5/PSV892/")</f>
        <v>https://pristavka.com/catalog/games-playstation-5/PSV892/</v>
      </c>
      <c r="N266" s="71"/>
      <c r="O266" s="66" t="s">
        <v>27</v>
      </c>
      <c r="P266" s="82" t="s">
        <v>17926</v>
      </c>
      <c r="Q266" s="84"/>
      <c r="R266" s="84"/>
      <c r="S266" s="84">
        <v>8.1000000000000003E-2</v>
      </c>
      <c r="T266" s="82" t="s">
        <v>17710</v>
      </c>
      <c r="U266" s="84" t="s">
        <v>7499</v>
      </c>
      <c r="V266" s="54"/>
    </row>
    <row r="267" spans="1:22" s="45" customFormat="1" ht="12" customHeight="1" x14ac:dyDescent="0.2">
      <c r="A267" s="67" t="s">
        <v>57</v>
      </c>
      <c r="B267" s="67" t="s">
        <v>26</v>
      </c>
      <c r="C267" s="67" t="s">
        <v>16942</v>
      </c>
      <c r="D267" s="67" t="s">
        <v>17927</v>
      </c>
      <c r="E267" s="110" t="s">
        <v>17928</v>
      </c>
      <c r="F267" s="67" t="s">
        <v>17929</v>
      </c>
      <c r="G267" s="72">
        <v>0</v>
      </c>
      <c r="H267" s="74"/>
      <c r="I267" s="76">
        <v>0.2</v>
      </c>
      <c r="J267" s="77"/>
      <c r="K267" s="67" t="s">
        <v>129</v>
      </c>
      <c r="L267" s="67"/>
      <c r="M267" s="79" t="str">
        <f>HYPERLINK("https://pristavka.com/catalog/games-playstation-5/PSV1413/")</f>
        <v>https://pristavka.com/catalog/games-playstation-5/PSV1413/</v>
      </c>
      <c r="N267" s="72"/>
      <c r="O267" s="67" t="s">
        <v>28</v>
      </c>
      <c r="P267" s="83" t="s">
        <v>17930</v>
      </c>
      <c r="Q267" s="85"/>
      <c r="R267" s="85"/>
      <c r="S267" s="85">
        <v>0.09</v>
      </c>
      <c r="T267" s="83" t="s">
        <v>17038</v>
      </c>
      <c r="U267" s="85" t="s">
        <v>7499</v>
      </c>
      <c r="V267" s="55"/>
    </row>
    <row r="268" spans="1:22" s="11" customFormat="1" ht="12" customHeight="1" x14ac:dyDescent="0.2">
      <c r="A268" s="66" t="s">
        <v>57</v>
      </c>
      <c r="B268" s="66" t="s">
        <v>26</v>
      </c>
      <c r="C268" s="66" t="s">
        <v>16942</v>
      </c>
      <c r="D268" s="66" t="s">
        <v>17931</v>
      </c>
      <c r="E268" s="109" t="s">
        <v>17932</v>
      </c>
      <c r="F268" s="66" t="s">
        <v>17933</v>
      </c>
      <c r="G268" s="71">
        <v>0</v>
      </c>
      <c r="H268" s="73"/>
      <c r="I268" s="75">
        <v>0.2</v>
      </c>
      <c r="J268" s="77"/>
      <c r="K268" s="66"/>
      <c r="L268" s="66"/>
      <c r="M268" s="79" t="str">
        <f>HYPERLINK("https://pristavka.com/catalog/games-playstation-5/PSV1503/")</f>
        <v>https://pristavka.com/catalog/games-playstation-5/PSV1503/</v>
      </c>
      <c r="N268" s="71"/>
      <c r="O268" s="66" t="s">
        <v>28</v>
      </c>
      <c r="P268" s="82" t="s">
        <v>17934</v>
      </c>
      <c r="Q268" s="84"/>
      <c r="R268" s="84"/>
      <c r="S268" s="84">
        <v>7.9000000000000001E-2</v>
      </c>
      <c r="T268" s="82" t="s">
        <v>17710</v>
      </c>
      <c r="U268" s="84"/>
      <c r="V268" s="54"/>
    </row>
    <row r="269" spans="1:22" s="11" customFormat="1" ht="12" customHeight="1" x14ac:dyDescent="0.2">
      <c r="A269" s="66" t="s">
        <v>57</v>
      </c>
      <c r="B269" s="66" t="s">
        <v>26</v>
      </c>
      <c r="C269" s="66" t="s">
        <v>16942</v>
      </c>
      <c r="D269" s="66" t="s">
        <v>17931</v>
      </c>
      <c r="E269" s="109" t="s">
        <v>17935</v>
      </c>
      <c r="F269" s="66" t="s">
        <v>17936</v>
      </c>
      <c r="G269" s="71">
        <v>0</v>
      </c>
      <c r="H269" s="73"/>
      <c r="I269" s="75">
        <v>0.2</v>
      </c>
      <c r="J269" s="77"/>
      <c r="K269" s="66"/>
      <c r="L269" s="66"/>
      <c r="M269" s="79" t="str">
        <f>HYPERLINK("https://pristavka.com/catalog/games-playstation-5/PSV1414/")</f>
        <v>https://pristavka.com/catalog/games-playstation-5/PSV1414/</v>
      </c>
      <c r="N269" s="71"/>
      <c r="O269" s="66" t="s">
        <v>27</v>
      </c>
      <c r="P269" s="82" t="s">
        <v>17937</v>
      </c>
      <c r="Q269" s="84"/>
      <c r="R269" s="84"/>
      <c r="S269" s="84">
        <v>0.08</v>
      </c>
      <c r="T269" s="82" t="s">
        <v>17186</v>
      </c>
      <c r="U269" s="84"/>
      <c r="V269" s="54"/>
    </row>
    <row r="270" spans="1:22" s="11" customFormat="1" ht="12" customHeight="1" x14ac:dyDescent="0.2">
      <c r="A270" s="66" t="s">
        <v>57</v>
      </c>
      <c r="B270" s="66" t="s">
        <v>26</v>
      </c>
      <c r="C270" s="66" t="s">
        <v>16942</v>
      </c>
      <c r="D270" s="66" t="s">
        <v>17938</v>
      </c>
      <c r="E270" s="109" t="s">
        <v>17939</v>
      </c>
      <c r="F270" s="66" t="s">
        <v>17940</v>
      </c>
      <c r="G270" s="71">
        <v>0</v>
      </c>
      <c r="H270" s="73"/>
      <c r="I270" s="75">
        <v>0.2</v>
      </c>
      <c r="J270" s="77"/>
      <c r="K270" s="66"/>
      <c r="L270" s="66"/>
      <c r="M270" s="79" t="str">
        <f>HYPERLINK("https://pristavka.com/catalog/games-playstation-5/PSV1435/")</f>
        <v>https://pristavka.com/catalog/games-playstation-5/PSV1435/</v>
      </c>
      <c r="N270" s="71"/>
      <c r="O270" s="66" t="s">
        <v>27</v>
      </c>
      <c r="P270" s="82" t="s">
        <v>17941</v>
      </c>
      <c r="Q270" s="84"/>
      <c r="R270" s="84"/>
      <c r="S270" s="84">
        <v>9.2999999999999999E-2</v>
      </c>
      <c r="T270" s="82" t="s">
        <v>17710</v>
      </c>
      <c r="U270" s="84" t="s">
        <v>17008</v>
      </c>
      <c r="V270" s="54"/>
    </row>
    <row r="271" spans="1:22" s="11" customFormat="1" ht="12" customHeight="1" x14ac:dyDescent="0.2">
      <c r="A271" s="66" t="s">
        <v>57</v>
      </c>
      <c r="B271" s="66" t="s">
        <v>26</v>
      </c>
      <c r="C271" s="66" t="s">
        <v>16942</v>
      </c>
      <c r="D271" s="66" t="s">
        <v>17942</v>
      </c>
      <c r="E271" s="109" t="s">
        <v>17943</v>
      </c>
      <c r="F271" s="66" t="s">
        <v>17944</v>
      </c>
      <c r="G271" s="71">
        <v>0</v>
      </c>
      <c r="H271" s="73"/>
      <c r="I271" s="75">
        <v>0.2</v>
      </c>
      <c r="J271" s="77"/>
      <c r="K271" s="66"/>
      <c r="L271" s="66"/>
      <c r="M271" s="79" t="str">
        <f>HYPERLINK("https://pristavka.com/catalog/games-playstation-5/PSV928/")</f>
        <v>https://pristavka.com/catalog/games-playstation-5/PSV928/</v>
      </c>
      <c r="N271" s="71"/>
      <c r="O271" s="66" t="s">
        <v>27</v>
      </c>
      <c r="P271" s="82" t="s">
        <v>17945</v>
      </c>
      <c r="Q271" s="84"/>
      <c r="R271" s="84"/>
      <c r="S271" s="84">
        <v>8.2000000000000003E-2</v>
      </c>
      <c r="T271" s="82" t="s">
        <v>17038</v>
      </c>
      <c r="U271" s="84" t="s">
        <v>52</v>
      </c>
      <c r="V271" s="54"/>
    </row>
    <row r="272" spans="1:22" s="11" customFormat="1" ht="12" customHeight="1" x14ac:dyDescent="0.2">
      <c r="A272" s="66" t="s">
        <v>57</v>
      </c>
      <c r="B272" s="66" t="s">
        <v>26</v>
      </c>
      <c r="C272" s="66" t="s">
        <v>16942</v>
      </c>
      <c r="D272" s="66" t="s">
        <v>17946</v>
      </c>
      <c r="E272" s="109" t="s">
        <v>17947</v>
      </c>
      <c r="F272" s="66" t="s">
        <v>17948</v>
      </c>
      <c r="G272" s="71">
        <v>0</v>
      </c>
      <c r="H272" s="73"/>
      <c r="I272" s="75">
        <v>0.2</v>
      </c>
      <c r="J272" s="77"/>
      <c r="K272" s="66"/>
      <c r="L272" s="66"/>
      <c r="M272" s="96"/>
      <c r="N272" s="71"/>
      <c r="O272" s="66" t="s">
        <v>28</v>
      </c>
      <c r="P272" s="82" t="s">
        <v>17949</v>
      </c>
      <c r="Q272" s="84"/>
      <c r="R272" s="84"/>
      <c r="S272" s="84">
        <v>8.5000000000000006E-2</v>
      </c>
      <c r="T272" s="82" t="s">
        <v>17038</v>
      </c>
      <c r="U272" s="84" t="s">
        <v>7499</v>
      </c>
      <c r="V272" s="54"/>
    </row>
    <row r="273" spans="1:22" s="11" customFormat="1" ht="12" customHeight="1" x14ac:dyDescent="0.2">
      <c r="A273" s="66" t="s">
        <v>57</v>
      </c>
      <c r="B273" s="66" t="s">
        <v>26</v>
      </c>
      <c r="C273" s="66" t="s">
        <v>16942</v>
      </c>
      <c r="D273" s="66" t="s">
        <v>17950</v>
      </c>
      <c r="E273" s="109" t="s">
        <v>17951</v>
      </c>
      <c r="F273" s="66" t="s">
        <v>17952</v>
      </c>
      <c r="G273" s="71">
        <v>0</v>
      </c>
      <c r="H273" s="73"/>
      <c r="I273" s="75">
        <v>0.2</v>
      </c>
      <c r="J273" s="77"/>
      <c r="K273" s="66"/>
      <c r="L273" s="66"/>
      <c r="M273" s="79" t="str">
        <f>HYPERLINK("https://pristavka.com/catalog/games-playstation-5/PSV1466/")</f>
        <v>https://pristavka.com/catalog/games-playstation-5/PSV1466/</v>
      </c>
      <c r="N273" s="71"/>
      <c r="O273" s="66" t="s">
        <v>27</v>
      </c>
      <c r="P273" s="82" t="s">
        <v>17953</v>
      </c>
      <c r="Q273" s="84"/>
      <c r="R273" s="84"/>
      <c r="S273" s="84">
        <v>8.3000000000000004E-2</v>
      </c>
      <c r="T273" s="82" t="s">
        <v>17675</v>
      </c>
      <c r="U273" s="84" t="s">
        <v>17008</v>
      </c>
      <c r="V273" s="54"/>
    </row>
    <row r="274" spans="1:22" s="45" customFormat="1" ht="12" customHeight="1" x14ac:dyDescent="0.2">
      <c r="A274" s="67" t="s">
        <v>57</v>
      </c>
      <c r="B274" s="67" t="s">
        <v>26</v>
      </c>
      <c r="C274" s="67" t="s">
        <v>16942</v>
      </c>
      <c r="D274" s="67" t="s">
        <v>17950</v>
      </c>
      <c r="E274" s="110" t="s">
        <v>17954</v>
      </c>
      <c r="F274" s="67" t="s">
        <v>17955</v>
      </c>
      <c r="G274" s="72">
        <v>0</v>
      </c>
      <c r="H274" s="74"/>
      <c r="I274" s="76">
        <v>0.2</v>
      </c>
      <c r="J274" s="77"/>
      <c r="K274" s="67" t="s">
        <v>129</v>
      </c>
      <c r="L274" s="67"/>
      <c r="M274" s="79" t="str">
        <f>HYPERLINK("https://pristavka.com/catalog/games-playstation-5/PSV1458/")</f>
        <v>https://pristavka.com/catalog/games-playstation-5/PSV1458/</v>
      </c>
      <c r="N274" s="72"/>
      <c r="O274" s="67" t="s">
        <v>28</v>
      </c>
      <c r="P274" s="83" t="s">
        <v>17956</v>
      </c>
      <c r="Q274" s="85"/>
      <c r="R274" s="85"/>
      <c r="S274" s="85">
        <v>8.3000000000000004E-2</v>
      </c>
      <c r="T274" s="83" t="s">
        <v>17710</v>
      </c>
      <c r="U274" s="85" t="s">
        <v>17008</v>
      </c>
      <c r="V274" s="55"/>
    </row>
    <row r="275" spans="1:22" s="45" customFormat="1" ht="12" customHeight="1" x14ac:dyDescent="0.2">
      <c r="A275" s="67" t="s">
        <v>57</v>
      </c>
      <c r="B275" s="67" t="s">
        <v>26</v>
      </c>
      <c r="C275" s="67" t="s">
        <v>16942</v>
      </c>
      <c r="D275" s="67" t="s">
        <v>17957</v>
      </c>
      <c r="E275" s="110" t="s">
        <v>17958</v>
      </c>
      <c r="F275" s="67" t="s">
        <v>17959</v>
      </c>
      <c r="G275" s="72">
        <v>0</v>
      </c>
      <c r="H275" s="74"/>
      <c r="I275" s="76">
        <v>0.2</v>
      </c>
      <c r="J275" s="77"/>
      <c r="K275" s="67" t="s">
        <v>129</v>
      </c>
      <c r="L275" s="67"/>
      <c r="M275" s="79" t="str">
        <f>HYPERLINK("https://pristavka.com/catalog/games-playstation-5/PSV1458/")</f>
        <v>https://pristavka.com/catalog/games-playstation-5/PSV1458/</v>
      </c>
      <c r="N275" s="72"/>
      <c r="O275" s="67" t="s">
        <v>28</v>
      </c>
      <c r="P275" s="83" t="s">
        <v>17960</v>
      </c>
      <c r="Q275" s="85"/>
      <c r="R275" s="85"/>
      <c r="S275" s="85">
        <v>8.4000000000000005E-2</v>
      </c>
      <c r="T275" s="83" t="s">
        <v>17961</v>
      </c>
      <c r="U275" s="85" t="s">
        <v>17008</v>
      </c>
      <c r="V275" s="55"/>
    </row>
    <row r="276" spans="1:22" s="11" customFormat="1" ht="12" customHeight="1" x14ac:dyDescent="0.2">
      <c r="A276" s="66" t="s">
        <v>57</v>
      </c>
      <c r="B276" s="66" t="s">
        <v>26</v>
      </c>
      <c r="C276" s="66" t="s">
        <v>16942</v>
      </c>
      <c r="D276" s="66" t="s">
        <v>17957</v>
      </c>
      <c r="E276" s="109" t="s">
        <v>17962</v>
      </c>
      <c r="F276" s="66" t="s">
        <v>17963</v>
      </c>
      <c r="G276" s="71">
        <v>11934</v>
      </c>
      <c r="H276" s="73"/>
      <c r="I276" s="75">
        <v>0.2</v>
      </c>
      <c r="J276" s="77"/>
      <c r="K276" s="66"/>
      <c r="L276" s="66"/>
      <c r="M276" s="79" t="str">
        <f>HYPERLINK("https://pristavka.com/catalog/games-playstation-5/PSV876/")</f>
        <v>https://pristavka.com/catalog/games-playstation-5/PSV876/</v>
      </c>
      <c r="N276" s="71"/>
      <c r="O276" s="66" t="s">
        <v>27</v>
      </c>
      <c r="P276" s="82" t="s">
        <v>17964</v>
      </c>
      <c r="Q276" s="84"/>
      <c r="R276" s="84"/>
      <c r="S276" s="84">
        <v>0.08</v>
      </c>
      <c r="T276" s="82" t="s">
        <v>17043</v>
      </c>
      <c r="U276" s="84" t="s">
        <v>7499</v>
      </c>
      <c r="V276" s="54"/>
    </row>
    <row r="277" spans="1:22" s="11" customFormat="1" ht="12" customHeight="1" x14ac:dyDescent="0.2">
      <c r="A277" s="66" t="s">
        <v>57</v>
      </c>
      <c r="B277" s="66" t="s">
        <v>26</v>
      </c>
      <c r="C277" s="66" t="s">
        <v>16942</v>
      </c>
      <c r="D277" s="66" t="s">
        <v>17965</v>
      </c>
      <c r="E277" s="109" t="s">
        <v>17966</v>
      </c>
      <c r="F277" s="66" t="s">
        <v>17967</v>
      </c>
      <c r="G277" s="71">
        <v>0</v>
      </c>
      <c r="H277" s="73"/>
      <c r="I277" s="75">
        <v>0.2</v>
      </c>
      <c r="J277" s="77"/>
      <c r="K277" s="66"/>
      <c r="L277" s="66"/>
      <c r="M277" s="96"/>
      <c r="N277" s="71"/>
      <c r="O277" s="66" t="s">
        <v>27</v>
      </c>
      <c r="P277" s="82" t="s">
        <v>17968</v>
      </c>
      <c r="Q277" s="84"/>
      <c r="R277" s="84"/>
      <c r="S277" s="84">
        <v>0.08</v>
      </c>
      <c r="T277" s="82" t="s">
        <v>17710</v>
      </c>
      <c r="U277" s="84" t="s">
        <v>52</v>
      </c>
      <c r="V277" s="54"/>
    </row>
    <row r="278" spans="1:22" s="45" customFormat="1" ht="12" customHeight="1" x14ac:dyDescent="0.2">
      <c r="A278" s="67" t="s">
        <v>57</v>
      </c>
      <c r="B278" s="67" t="s">
        <v>26</v>
      </c>
      <c r="C278" s="67" t="s">
        <v>16942</v>
      </c>
      <c r="D278" s="67" t="s">
        <v>17723</v>
      </c>
      <c r="E278" s="110" t="s">
        <v>17969</v>
      </c>
      <c r="F278" s="67" t="s">
        <v>17970</v>
      </c>
      <c r="G278" s="72">
        <v>0</v>
      </c>
      <c r="H278" s="74"/>
      <c r="I278" s="76">
        <v>0.2</v>
      </c>
      <c r="J278" s="77"/>
      <c r="K278" s="67" t="s">
        <v>129</v>
      </c>
      <c r="L278" s="67"/>
      <c r="M278" s="79" t="str">
        <f>HYPERLINK("https://pristavka.com/catalog/games-playstation-5/PSV1413/")</f>
        <v>https://pristavka.com/catalog/games-playstation-5/PSV1413/</v>
      </c>
      <c r="N278" s="72"/>
      <c r="O278" s="67" t="s">
        <v>27</v>
      </c>
      <c r="P278" s="83" t="s">
        <v>17971</v>
      </c>
      <c r="Q278" s="85"/>
      <c r="R278" s="85"/>
      <c r="S278" s="85">
        <v>8.6999999999999994E-2</v>
      </c>
      <c r="T278" s="83" t="s">
        <v>17710</v>
      </c>
      <c r="U278" s="85"/>
      <c r="V278" s="55"/>
    </row>
    <row r="279" spans="1:22" s="11" customFormat="1" ht="12" customHeight="1" x14ac:dyDescent="0.2">
      <c r="A279" s="66" t="s">
        <v>57</v>
      </c>
      <c r="B279" s="66" t="s">
        <v>26</v>
      </c>
      <c r="C279" s="66" t="s">
        <v>16942</v>
      </c>
      <c r="D279" s="66" t="s">
        <v>17972</v>
      </c>
      <c r="E279" s="109" t="s">
        <v>17973</v>
      </c>
      <c r="F279" s="66" t="s">
        <v>17974</v>
      </c>
      <c r="G279" s="71">
        <v>0</v>
      </c>
      <c r="H279" s="73"/>
      <c r="I279" s="75">
        <v>0.2</v>
      </c>
      <c r="J279" s="77"/>
      <c r="K279" s="66"/>
      <c r="L279" s="66"/>
      <c r="M279" s="96"/>
      <c r="N279" s="71"/>
      <c r="O279" s="66" t="s">
        <v>27</v>
      </c>
      <c r="P279" s="82" t="s">
        <v>17975</v>
      </c>
      <c r="Q279" s="84"/>
      <c r="R279" s="84"/>
      <c r="S279" s="84">
        <v>0.08</v>
      </c>
      <c r="T279" s="82" t="s">
        <v>17587</v>
      </c>
      <c r="U279" s="84" t="s">
        <v>7499</v>
      </c>
      <c r="V279" s="54"/>
    </row>
    <row r="280" spans="1:22" s="11" customFormat="1" ht="12" customHeight="1" x14ac:dyDescent="0.2">
      <c r="A280" s="66" t="s">
        <v>57</v>
      </c>
      <c r="B280" s="66" t="s">
        <v>26</v>
      </c>
      <c r="C280" s="66" t="s">
        <v>16942</v>
      </c>
      <c r="D280" s="66" t="s">
        <v>17976</v>
      </c>
      <c r="E280" s="109" t="s">
        <v>17977</v>
      </c>
      <c r="F280" s="66" t="s">
        <v>17978</v>
      </c>
      <c r="G280" s="71">
        <v>0</v>
      </c>
      <c r="H280" s="73"/>
      <c r="I280" s="75">
        <v>0.2</v>
      </c>
      <c r="J280" s="77"/>
      <c r="K280" s="66"/>
      <c r="L280" s="66"/>
      <c r="M280" s="96"/>
      <c r="N280" s="71"/>
      <c r="O280" s="66" t="s">
        <v>27</v>
      </c>
      <c r="P280" s="82" t="s">
        <v>17979</v>
      </c>
      <c r="Q280" s="84"/>
      <c r="R280" s="84"/>
      <c r="S280" s="84">
        <v>8.3000000000000004E-2</v>
      </c>
      <c r="T280" s="82" t="s">
        <v>17029</v>
      </c>
      <c r="U280" s="84" t="s">
        <v>7499</v>
      </c>
      <c r="V280" s="54"/>
    </row>
    <row r="281" spans="1:22" s="45" customFormat="1" ht="12" customHeight="1" x14ac:dyDescent="0.2">
      <c r="A281" s="67" t="s">
        <v>57</v>
      </c>
      <c r="B281" s="67" t="s">
        <v>26</v>
      </c>
      <c r="C281" s="67" t="s">
        <v>16942</v>
      </c>
      <c r="D281" s="67" t="s">
        <v>17980</v>
      </c>
      <c r="E281" s="110" t="s">
        <v>17981</v>
      </c>
      <c r="F281" s="67" t="s">
        <v>17982</v>
      </c>
      <c r="G281" s="72">
        <v>0</v>
      </c>
      <c r="H281" s="74"/>
      <c r="I281" s="76">
        <v>0.2</v>
      </c>
      <c r="J281" s="77"/>
      <c r="K281" s="67" t="s">
        <v>129</v>
      </c>
      <c r="L281" s="67"/>
      <c r="M281" s="79" t="str">
        <f>HYPERLINK("https://pristavka.com/catalog/games-playstation-5/PSV1490/")</f>
        <v>https://pristavka.com/catalog/games-playstation-5/PSV1490/</v>
      </c>
      <c r="N281" s="72"/>
      <c r="O281" s="67" t="s">
        <v>27</v>
      </c>
      <c r="P281" s="83" t="s">
        <v>17983</v>
      </c>
      <c r="Q281" s="85"/>
      <c r="R281" s="85"/>
      <c r="S281" s="85">
        <v>7.8E-2</v>
      </c>
      <c r="T281" s="83" t="s">
        <v>17038</v>
      </c>
      <c r="U281" s="85" t="s">
        <v>7499</v>
      </c>
      <c r="V281" s="55"/>
    </row>
    <row r="282" spans="1:22" s="11" customFormat="1" ht="12" customHeight="1" x14ac:dyDescent="0.2">
      <c r="A282" s="66" t="s">
        <v>57</v>
      </c>
      <c r="B282" s="66" t="s">
        <v>26</v>
      </c>
      <c r="C282" s="66" t="s">
        <v>16942</v>
      </c>
      <c r="D282" s="66" t="s">
        <v>17984</v>
      </c>
      <c r="E282" s="109" t="s">
        <v>17985</v>
      </c>
      <c r="F282" s="66" t="s">
        <v>17986</v>
      </c>
      <c r="G282" s="71">
        <v>0</v>
      </c>
      <c r="H282" s="73"/>
      <c r="I282" s="75">
        <v>0.2</v>
      </c>
      <c r="J282" s="77"/>
      <c r="K282" s="66"/>
      <c r="L282" s="66"/>
      <c r="M282" s="79" t="str">
        <f>HYPERLINK("https://pristavka.com/catalog/games-playstation-5/PSV952/")</f>
        <v>https://pristavka.com/catalog/games-playstation-5/PSV952/</v>
      </c>
      <c r="N282" s="71"/>
      <c r="O282" s="66" t="s">
        <v>27</v>
      </c>
      <c r="P282" s="82" t="s">
        <v>17987</v>
      </c>
      <c r="Q282" s="84"/>
      <c r="R282" s="84"/>
      <c r="S282" s="84">
        <v>0.09</v>
      </c>
      <c r="T282" s="82" t="s">
        <v>17038</v>
      </c>
      <c r="U282" s="84" t="s">
        <v>7499</v>
      </c>
      <c r="V282" s="54"/>
    </row>
    <row r="283" spans="1:22" s="11" customFormat="1" ht="12" customHeight="1" x14ac:dyDescent="0.2">
      <c r="A283" s="66" t="s">
        <v>57</v>
      </c>
      <c r="B283" s="66" t="s">
        <v>26</v>
      </c>
      <c r="C283" s="66" t="s">
        <v>16942</v>
      </c>
      <c r="D283" s="66" t="s">
        <v>17988</v>
      </c>
      <c r="E283" s="109" t="s">
        <v>17989</v>
      </c>
      <c r="F283" s="66" t="s">
        <v>17990</v>
      </c>
      <c r="G283" s="71">
        <v>0</v>
      </c>
      <c r="H283" s="73"/>
      <c r="I283" s="75">
        <v>0.2</v>
      </c>
      <c r="J283" s="77"/>
      <c r="K283" s="66"/>
      <c r="L283" s="66"/>
      <c r="M283" s="96"/>
      <c r="N283" s="71"/>
      <c r="O283" s="66" t="s">
        <v>28</v>
      </c>
      <c r="P283" s="82" t="s">
        <v>17991</v>
      </c>
      <c r="Q283" s="84"/>
      <c r="R283" s="84"/>
      <c r="S283" s="84">
        <v>0.08</v>
      </c>
      <c r="T283" s="82" t="s">
        <v>17038</v>
      </c>
      <c r="U283" s="84" t="s">
        <v>7499</v>
      </c>
      <c r="V283" s="54"/>
    </row>
    <row r="284" spans="1:22" s="11" customFormat="1" ht="12" customHeight="1" x14ac:dyDescent="0.2">
      <c r="A284" s="66" t="s">
        <v>57</v>
      </c>
      <c r="B284" s="66" t="s">
        <v>26</v>
      </c>
      <c r="C284" s="66" t="s">
        <v>16942</v>
      </c>
      <c r="D284" s="66" t="s">
        <v>17992</v>
      </c>
      <c r="E284" s="109" t="s">
        <v>17993</v>
      </c>
      <c r="F284" s="66" t="s">
        <v>17994</v>
      </c>
      <c r="G284" s="71">
        <v>0</v>
      </c>
      <c r="H284" s="73"/>
      <c r="I284" s="75">
        <v>0.2</v>
      </c>
      <c r="J284" s="77"/>
      <c r="K284" s="66"/>
      <c r="L284" s="66"/>
      <c r="M284" s="79" t="str">
        <f>HYPERLINK("https://pristavka.com/catalog/games-playstation-5/PSV908/")</f>
        <v>https://pristavka.com/catalog/games-playstation-5/PSV908/</v>
      </c>
      <c r="N284" s="71"/>
      <c r="O284" s="66" t="s">
        <v>27</v>
      </c>
      <c r="P284" s="82" t="s">
        <v>17995</v>
      </c>
      <c r="Q284" s="84"/>
      <c r="R284" s="84"/>
      <c r="S284" s="84">
        <v>0.08</v>
      </c>
      <c r="T284" s="82" t="s">
        <v>17710</v>
      </c>
      <c r="U284" s="84"/>
      <c r="V284" s="54"/>
    </row>
    <row r="285" spans="1:22" s="45" customFormat="1" ht="12" customHeight="1" x14ac:dyDescent="0.2">
      <c r="A285" s="67" t="s">
        <v>57</v>
      </c>
      <c r="B285" s="67" t="s">
        <v>26</v>
      </c>
      <c r="C285" s="67" t="s">
        <v>16942</v>
      </c>
      <c r="D285" s="67" t="s">
        <v>17996</v>
      </c>
      <c r="E285" s="110" t="s">
        <v>17997</v>
      </c>
      <c r="F285" s="67" t="s">
        <v>17998</v>
      </c>
      <c r="G285" s="72">
        <v>0</v>
      </c>
      <c r="H285" s="74"/>
      <c r="I285" s="76">
        <v>0.2</v>
      </c>
      <c r="J285" s="77"/>
      <c r="K285" s="67" t="s">
        <v>129</v>
      </c>
      <c r="L285" s="67"/>
      <c r="M285" s="79" t="str">
        <f>HYPERLINK("https://pristavka.com/catalog/games-playstation-5/PSV1454/")</f>
        <v>https://pristavka.com/catalog/games-playstation-5/PSV1454/</v>
      </c>
      <c r="N285" s="72"/>
      <c r="O285" s="67" t="s">
        <v>27</v>
      </c>
      <c r="P285" s="83" t="s">
        <v>17999</v>
      </c>
      <c r="Q285" s="85"/>
      <c r="R285" s="85"/>
      <c r="S285" s="85">
        <v>0.09</v>
      </c>
      <c r="T285" s="83" t="s">
        <v>17038</v>
      </c>
      <c r="U285" s="85" t="s">
        <v>17008</v>
      </c>
      <c r="V285" s="55"/>
    </row>
    <row r="286" spans="1:22" s="45" customFormat="1" ht="12" customHeight="1" x14ac:dyDescent="0.2">
      <c r="A286" s="67" t="s">
        <v>57</v>
      </c>
      <c r="B286" s="67" t="s">
        <v>26</v>
      </c>
      <c r="C286" s="67" t="s">
        <v>16942</v>
      </c>
      <c r="D286" s="67" t="s">
        <v>18000</v>
      </c>
      <c r="E286" s="110" t="s">
        <v>18001</v>
      </c>
      <c r="F286" s="67" t="s">
        <v>18002</v>
      </c>
      <c r="G286" s="72">
        <v>0</v>
      </c>
      <c r="H286" s="74"/>
      <c r="I286" s="76">
        <v>0.2</v>
      </c>
      <c r="J286" s="77"/>
      <c r="K286" s="67" t="s">
        <v>129</v>
      </c>
      <c r="L286" s="67"/>
      <c r="M286" s="79" t="str">
        <f>HYPERLINK("https://pristavka.com/catalog/games-playstation-5/PSV1439/")</f>
        <v>https://pristavka.com/catalog/games-playstation-5/PSV1439/</v>
      </c>
      <c r="N286" s="72"/>
      <c r="O286" s="67" t="s">
        <v>27</v>
      </c>
      <c r="P286" s="83" t="s">
        <v>18003</v>
      </c>
      <c r="Q286" s="85"/>
      <c r="R286" s="85"/>
      <c r="S286" s="85">
        <v>8.3000000000000004E-2</v>
      </c>
      <c r="T286" s="83" t="s">
        <v>17710</v>
      </c>
      <c r="U286" s="85" t="s">
        <v>52</v>
      </c>
      <c r="V286" s="55"/>
    </row>
    <row r="287" spans="1:22" s="11" customFormat="1" ht="12" customHeight="1" x14ac:dyDescent="0.2">
      <c r="A287" s="66" t="s">
        <v>57</v>
      </c>
      <c r="B287" s="66" t="s">
        <v>26</v>
      </c>
      <c r="C287" s="66" t="s">
        <v>16942</v>
      </c>
      <c r="D287" s="66" t="s">
        <v>18004</v>
      </c>
      <c r="E287" s="109" t="s">
        <v>18005</v>
      </c>
      <c r="F287" s="66" t="s">
        <v>18006</v>
      </c>
      <c r="G287" s="71">
        <v>0</v>
      </c>
      <c r="H287" s="73"/>
      <c r="I287" s="75">
        <v>0.2</v>
      </c>
      <c r="J287" s="77"/>
      <c r="K287" s="66"/>
      <c r="L287" s="66"/>
      <c r="M287" s="79" t="str">
        <f>HYPERLINK("https://pristavka.com/catalog/games-playstation-5/PSV1475/")</f>
        <v>https://pristavka.com/catalog/games-playstation-5/PSV1475/</v>
      </c>
      <c r="N287" s="71"/>
      <c r="O287" s="66" t="s">
        <v>27</v>
      </c>
      <c r="P287" s="82" t="s">
        <v>18007</v>
      </c>
      <c r="Q287" s="84"/>
      <c r="R287" s="84"/>
      <c r="S287" s="84">
        <v>0.104</v>
      </c>
      <c r="T287" s="82" t="s">
        <v>17710</v>
      </c>
      <c r="U287" s="84" t="s">
        <v>7499</v>
      </c>
      <c r="V287" s="54"/>
    </row>
    <row r="288" spans="1:22" s="11" customFormat="1" ht="12" customHeight="1" x14ac:dyDescent="0.2">
      <c r="A288" s="66" t="s">
        <v>57</v>
      </c>
      <c r="B288" s="66" t="s">
        <v>26</v>
      </c>
      <c r="C288" s="66" t="s">
        <v>16942</v>
      </c>
      <c r="D288" s="66" t="s">
        <v>18008</v>
      </c>
      <c r="E288" s="109" t="s">
        <v>18009</v>
      </c>
      <c r="F288" s="66" t="s">
        <v>18010</v>
      </c>
      <c r="G288" s="71">
        <v>0</v>
      </c>
      <c r="H288" s="73"/>
      <c r="I288" s="75">
        <v>0.2</v>
      </c>
      <c r="J288" s="77"/>
      <c r="K288" s="66"/>
      <c r="L288" s="66"/>
      <c r="M288" s="79" t="str">
        <f>HYPERLINK("https://pristavka.com/catalog/games-playstation-5/PSV1485/")</f>
        <v>https://pristavka.com/catalog/games-playstation-5/PSV1485/</v>
      </c>
      <c r="N288" s="71"/>
      <c r="O288" s="66" t="s">
        <v>27</v>
      </c>
      <c r="P288" s="82" t="s">
        <v>18011</v>
      </c>
      <c r="Q288" s="84"/>
      <c r="R288" s="84"/>
      <c r="S288" s="84">
        <v>0.08</v>
      </c>
      <c r="T288" s="82" t="s">
        <v>17038</v>
      </c>
      <c r="U288" s="84" t="s">
        <v>7499</v>
      </c>
      <c r="V288" s="54"/>
    </row>
    <row r="289" spans="1:22" s="11" customFormat="1" ht="12" customHeight="1" x14ac:dyDescent="0.2">
      <c r="A289" s="66" t="s">
        <v>57</v>
      </c>
      <c r="B289" s="66" t="s">
        <v>26</v>
      </c>
      <c r="C289" s="66" t="s">
        <v>16942</v>
      </c>
      <c r="D289" s="66" t="s">
        <v>18012</v>
      </c>
      <c r="E289" s="109" t="s">
        <v>18013</v>
      </c>
      <c r="F289" s="66" t="s">
        <v>18014</v>
      </c>
      <c r="G289" s="71">
        <v>0</v>
      </c>
      <c r="H289" s="73"/>
      <c r="I289" s="75">
        <v>0.2</v>
      </c>
      <c r="J289" s="77"/>
      <c r="K289" s="66"/>
      <c r="L289" s="66"/>
      <c r="M289" s="79" t="str">
        <f>HYPERLINK("https://pristavka.com/catalog/games-playstation-5/PSV1415/")</f>
        <v>https://pristavka.com/catalog/games-playstation-5/PSV1415/</v>
      </c>
      <c r="N289" s="71"/>
      <c r="O289" s="66" t="s">
        <v>27</v>
      </c>
      <c r="P289" s="82" t="s">
        <v>18015</v>
      </c>
      <c r="Q289" s="84"/>
      <c r="R289" s="84"/>
      <c r="S289" s="84">
        <v>8.2000000000000003E-2</v>
      </c>
      <c r="T289" s="82" t="s">
        <v>17038</v>
      </c>
      <c r="U289" s="84" t="s">
        <v>7499</v>
      </c>
      <c r="V289" s="54"/>
    </row>
    <row r="290" spans="1:22" s="11" customFormat="1" ht="12" customHeight="1" x14ac:dyDescent="0.2">
      <c r="A290" s="66" t="s">
        <v>57</v>
      </c>
      <c r="B290" s="66" t="s">
        <v>26</v>
      </c>
      <c r="C290" s="66" t="s">
        <v>16942</v>
      </c>
      <c r="D290" s="66" t="s">
        <v>26</v>
      </c>
      <c r="E290" s="109" t="s">
        <v>18016</v>
      </c>
      <c r="F290" s="66" t="s">
        <v>18017</v>
      </c>
      <c r="G290" s="71">
        <v>0</v>
      </c>
      <c r="H290" s="73"/>
      <c r="I290" s="75">
        <v>0.2</v>
      </c>
      <c r="J290" s="77"/>
      <c r="K290" s="66"/>
      <c r="L290" s="66"/>
      <c r="M290" s="79" t="str">
        <f>HYPERLINK("https://pristavka.com/catalog/games-playstation-5/PSV1484/")</f>
        <v>https://pristavka.com/catalog/games-playstation-5/PSV1484/</v>
      </c>
      <c r="N290" s="71"/>
      <c r="O290" s="66" t="s">
        <v>27</v>
      </c>
      <c r="P290" s="82" t="s">
        <v>18018</v>
      </c>
      <c r="Q290" s="84"/>
      <c r="R290" s="84"/>
      <c r="S290" s="84">
        <v>0.09</v>
      </c>
      <c r="T290" s="82" t="s">
        <v>17029</v>
      </c>
      <c r="U290" s="84" t="s">
        <v>7499</v>
      </c>
      <c r="V290" s="54"/>
    </row>
    <row r="291" spans="1:22" s="11" customFormat="1" ht="12" customHeight="1" x14ac:dyDescent="0.2">
      <c r="A291" s="66" t="s">
        <v>57</v>
      </c>
      <c r="B291" s="66" t="s">
        <v>26</v>
      </c>
      <c r="C291" s="66" t="s">
        <v>16942</v>
      </c>
      <c r="D291" s="66" t="s">
        <v>18019</v>
      </c>
      <c r="E291" s="109" t="s">
        <v>18020</v>
      </c>
      <c r="F291" s="66" t="s">
        <v>18021</v>
      </c>
      <c r="G291" s="71">
        <v>0</v>
      </c>
      <c r="H291" s="73"/>
      <c r="I291" s="75">
        <v>0.2</v>
      </c>
      <c r="J291" s="77"/>
      <c r="K291" s="66"/>
      <c r="L291" s="66"/>
      <c r="M291" s="79" t="str">
        <f>HYPERLINK("https://pristavka.com/catalog/games-playstation-4/PSV1445/")</f>
        <v>https://pristavka.com/catalog/games-playstation-4/PSV1445/</v>
      </c>
      <c r="N291" s="71"/>
      <c r="O291" s="66" t="s">
        <v>27</v>
      </c>
      <c r="P291" s="82" t="s">
        <v>18022</v>
      </c>
      <c r="Q291" s="84"/>
      <c r="R291" s="84"/>
      <c r="S291" s="84">
        <v>8.5999999999999993E-2</v>
      </c>
      <c r="T291" s="82" t="s">
        <v>17038</v>
      </c>
      <c r="U291" s="84" t="s">
        <v>17008</v>
      </c>
      <c r="V291" s="54"/>
    </row>
    <row r="292" spans="1:22" s="11" customFormat="1" ht="12" customHeight="1" x14ac:dyDescent="0.2">
      <c r="A292" s="66" t="s">
        <v>57</v>
      </c>
      <c r="B292" s="66" t="s">
        <v>26</v>
      </c>
      <c r="C292" s="66" t="s">
        <v>16942</v>
      </c>
      <c r="D292" s="66" t="s">
        <v>18023</v>
      </c>
      <c r="E292" s="109" t="s">
        <v>18024</v>
      </c>
      <c r="F292" s="66" t="s">
        <v>18025</v>
      </c>
      <c r="G292" s="71">
        <v>0</v>
      </c>
      <c r="H292" s="73"/>
      <c r="I292" s="75">
        <v>0.2</v>
      </c>
      <c r="J292" s="77"/>
      <c r="K292" s="66"/>
      <c r="L292" s="66"/>
      <c r="M292" s="79" t="str">
        <f>HYPERLINK("https://pristavka.com/catalog/games-playstation-5/PSV1419/")</f>
        <v>https://pristavka.com/catalog/games-playstation-5/PSV1419/</v>
      </c>
      <c r="N292" s="71"/>
      <c r="O292" s="66" t="s">
        <v>27</v>
      </c>
      <c r="P292" s="82" t="s">
        <v>18026</v>
      </c>
      <c r="Q292" s="84"/>
      <c r="R292" s="84"/>
      <c r="S292" s="84">
        <v>0.1</v>
      </c>
      <c r="T292" s="82" t="s">
        <v>17710</v>
      </c>
      <c r="U292" s="84" t="s">
        <v>52</v>
      </c>
      <c r="V292" s="54"/>
    </row>
    <row r="293" spans="1:22" s="11" customFormat="1" ht="12" customHeight="1" x14ac:dyDescent="0.2">
      <c r="A293" s="66" t="s">
        <v>57</v>
      </c>
      <c r="B293" s="66" t="s">
        <v>26</v>
      </c>
      <c r="C293" s="66" t="s">
        <v>16942</v>
      </c>
      <c r="D293" s="66" t="s">
        <v>26</v>
      </c>
      <c r="E293" s="109" t="s">
        <v>18027</v>
      </c>
      <c r="F293" s="66" t="s">
        <v>18028</v>
      </c>
      <c r="G293" s="71">
        <v>0</v>
      </c>
      <c r="H293" s="73"/>
      <c r="I293" s="75">
        <v>0.2</v>
      </c>
      <c r="J293" s="77"/>
      <c r="K293" s="66"/>
      <c r="L293" s="66"/>
      <c r="M293" s="79" t="str">
        <f>HYPERLINK("https://pristavka.com/catalog/games-playstation-5/PSV893/")</f>
        <v>https://pristavka.com/catalog/games-playstation-5/PSV893/</v>
      </c>
      <c r="N293" s="71"/>
      <c r="O293" s="66" t="s">
        <v>28</v>
      </c>
      <c r="P293" s="82" t="s">
        <v>18029</v>
      </c>
      <c r="Q293" s="84"/>
      <c r="R293" s="84"/>
      <c r="S293" s="84">
        <v>0.09</v>
      </c>
      <c r="T293" s="82" t="s">
        <v>17038</v>
      </c>
      <c r="U293" s="84"/>
      <c r="V293" s="54"/>
    </row>
    <row r="294" spans="1:22" s="11" customFormat="1" ht="12" customHeight="1" x14ac:dyDescent="0.2">
      <c r="A294" s="66" t="s">
        <v>57</v>
      </c>
      <c r="B294" s="66" t="s">
        <v>26</v>
      </c>
      <c r="C294" s="66" t="s">
        <v>16942</v>
      </c>
      <c r="D294" s="66" t="s">
        <v>18030</v>
      </c>
      <c r="E294" s="109" t="s">
        <v>18031</v>
      </c>
      <c r="F294" s="66" t="s">
        <v>18032</v>
      </c>
      <c r="G294" s="71">
        <v>0</v>
      </c>
      <c r="H294" s="73"/>
      <c r="I294" s="75">
        <v>0.2</v>
      </c>
      <c r="J294" s="77"/>
      <c r="K294" s="66"/>
      <c r="L294" s="66"/>
      <c r="M294" s="79" t="str">
        <f>HYPERLINK("https://pristavka.com/catalog/games-playstation-5/PSV940/")</f>
        <v>https://pristavka.com/catalog/games-playstation-5/PSV940/</v>
      </c>
      <c r="N294" s="71"/>
      <c r="O294" s="66" t="s">
        <v>27</v>
      </c>
      <c r="P294" s="82" t="s">
        <v>18033</v>
      </c>
      <c r="Q294" s="84"/>
      <c r="R294" s="84"/>
      <c r="S294" s="84">
        <v>8.3000000000000004E-2</v>
      </c>
      <c r="T294" s="82" t="s">
        <v>17675</v>
      </c>
      <c r="U294" s="84"/>
      <c r="V294" s="54"/>
    </row>
    <row r="295" spans="1:22" s="11" customFormat="1" ht="12" customHeight="1" x14ac:dyDescent="0.2">
      <c r="A295" s="66" t="s">
        <v>57</v>
      </c>
      <c r="B295" s="66" t="s">
        <v>26</v>
      </c>
      <c r="C295" s="66" t="s">
        <v>16942</v>
      </c>
      <c r="D295" s="66" t="s">
        <v>18034</v>
      </c>
      <c r="E295" s="109" t="s">
        <v>18035</v>
      </c>
      <c r="F295" s="66" t="s">
        <v>18036</v>
      </c>
      <c r="G295" s="71">
        <v>0</v>
      </c>
      <c r="H295" s="73"/>
      <c r="I295" s="75">
        <v>0.2</v>
      </c>
      <c r="J295" s="77"/>
      <c r="K295" s="66"/>
      <c r="L295" s="66"/>
      <c r="M295" s="79" t="str">
        <f>HYPERLINK("https://pristavka.com/catalog/games-playstation-5/PSV1491/")</f>
        <v>https://pristavka.com/catalog/games-playstation-5/PSV1491/</v>
      </c>
      <c r="N295" s="71"/>
      <c r="O295" s="66" t="s">
        <v>27</v>
      </c>
      <c r="P295" s="82" t="s">
        <v>18037</v>
      </c>
      <c r="Q295" s="84"/>
      <c r="R295" s="84"/>
      <c r="S295" s="84">
        <v>0.08</v>
      </c>
      <c r="T295" s="82" t="s">
        <v>17038</v>
      </c>
      <c r="U295" s="84" t="s">
        <v>17008</v>
      </c>
      <c r="V295" s="54"/>
    </row>
    <row r="296" spans="1:22" s="11" customFormat="1" ht="12" customHeight="1" x14ac:dyDescent="0.2">
      <c r="A296" s="66" t="s">
        <v>57</v>
      </c>
      <c r="B296" s="66" t="s">
        <v>26</v>
      </c>
      <c r="C296" s="66" t="s">
        <v>16942</v>
      </c>
      <c r="D296" s="66" t="s">
        <v>18038</v>
      </c>
      <c r="E296" s="109" t="s">
        <v>18039</v>
      </c>
      <c r="F296" s="66" t="s">
        <v>18040</v>
      </c>
      <c r="G296" s="71">
        <v>0</v>
      </c>
      <c r="H296" s="73"/>
      <c r="I296" s="75">
        <v>0.2</v>
      </c>
      <c r="J296" s="77"/>
      <c r="K296" s="66"/>
      <c r="L296" s="66"/>
      <c r="M296" s="79" t="str">
        <f>HYPERLINK("https://pristavka.com/catalog/games-playstation-5/PSV1442/")</f>
        <v>https://pristavka.com/catalog/games-playstation-5/PSV1442/</v>
      </c>
      <c r="N296" s="71"/>
      <c r="O296" s="66" t="s">
        <v>28</v>
      </c>
      <c r="P296" s="82" t="s">
        <v>18041</v>
      </c>
      <c r="Q296" s="84"/>
      <c r="R296" s="84"/>
      <c r="S296" s="84">
        <v>9.6000000000000002E-2</v>
      </c>
      <c r="T296" s="82" t="s">
        <v>17675</v>
      </c>
      <c r="U296" s="84" t="s">
        <v>7499</v>
      </c>
      <c r="V296" s="54"/>
    </row>
    <row r="297" spans="1:22" s="11" customFormat="1" ht="12" customHeight="1" x14ac:dyDescent="0.2">
      <c r="A297" s="66" t="s">
        <v>57</v>
      </c>
      <c r="B297" s="66" t="s">
        <v>26</v>
      </c>
      <c r="C297" s="66" t="s">
        <v>16942</v>
      </c>
      <c r="D297" s="66" t="s">
        <v>18042</v>
      </c>
      <c r="E297" s="109" t="s">
        <v>18043</v>
      </c>
      <c r="F297" s="66" t="s">
        <v>18044</v>
      </c>
      <c r="G297" s="71">
        <v>0</v>
      </c>
      <c r="H297" s="73"/>
      <c r="I297" s="75">
        <v>0.2</v>
      </c>
      <c r="J297" s="77"/>
      <c r="K297" s="66"/>
      <c r="L297" s="66"/>
      <c r="M297" s="79" t="str">
        <f>HYPERLINK("https://pristavka.com/catalog/games-playstation-5/PSV1444/")</f>
        <v>https://pristavka.com/catalog/games-playstation-5/PSV1444/</v>
      </c>
      <c r="N297" s="71"/>
      <c r="O297" s="66" t="s">
        <v>27</v>
      </c>
      <c r="P297" s="82" t="s">
        <v>18045</v>
      </c>
      <c r="Q297" s="84"/>
      <c r="R297" s="84"/>
      <c r="S297" s="84">
        <v>8.2000000000000003E-2</v>
      </c>
      <c r="T297" s="82" t="s">
        <v>17038</v>
      </c>
      <c r="U297" s="84" t="s">
        <v>7499</v>
      </c>
      <c r="V297" s="54"/>
    </row>
    <row r="298" spans="1:22" s="11" customFormat="1" ht="12" customHeight="1" x14ac:dyDescent="0.2">
      <c r="A298" s="66" t="s">
        <v>57</v>
      </c>
      <c r="B298" s="66" t="s">
        <v>26</v>
      </c>
      <c r="C298" s="66" t="s">
        <v>16942</v>
      </c>
      <c r="D298" s="66" t="s">
        <v>18046</v>
      </c>
      <c r="E298" s="109" t="s">
        <v>18047</v>
      </c>
      <c r="F298" s="66" t="s">
        <v>18048</v>
      </c>
      <c r="G298" s="71">
        <v>0</v>
      </c>
      <c r="H298" s="73"/>
      <c r="I298" s="75">
        <v>0.2</v>
      </c>
      <c r="J298" s="77"/>
      <c r="K298" s="66"/>
      <c r="L298" s="66"/>
      <c r="M298" s="79" t="str">
        <f>HYPERLINK("https://pristavka.com/catalog/games-playstation-5/PSV1452/")</f>
        <v>https://pristavka.com/catalog/games-playstation-5/PSV1452/</v>
      </c>
      <c r="N298" s="71"/>
      <c r="O298" s="66" t="s">
        <v>27</v>
      </c>
      <c r="P298" s="82" t="s">
        <v>18049</v>
      </c>
      <c r="Q298" s="84"/>
      <c r="R298" s="84"/>
      <c r="S298" s="84">
        <v>8.3000000000000004E-2</v>
      </c>
      <c r="T298" s="82" t="s">
        <v>17710</v>
      </c>
      <c r="U298" s="84" t="s">
        <v>7499</v>
      </c>
      <c r="V298" s="54"/>
    </row>
    <row r="299" spans="1:22" s="11" customFormat="1" ht="12" customHeight="1" x14ac:dyDescent="0.2">
      <c r="A299" s="66" t="s">
        <v>57</v>
      </c>
      <c r="B299" s="66" t="s">
        <v>26</v>
      </c>
      <c r="C299" s="66" t="s">
        <v>16942</v>
      </c>
      <c r="D299" s="66" t="s">
        <v>18050</v>
      </c>
      <c r="E299" s="109" t="s">
        <v>18051</v>
      </c>
      <c r="F299" s="66" t="s">
        <v>18052</v>
      </c>
      <c r="G299" s="71">
        <v>0</v>
      </c>
      <c r="H299" s="73"/>
      <c r="I299" s="75">
        <v>0.2</v>
      </c>
      <c r="J299" s="77"/>
      <c r="K299" s="66"/>
      <c r="L299" s="66"/>
      <c r="M299" s="79" t="str">
        <f>HYPERLINK("https://pristavka.com/catalog/games-playstation-5/PSV1410/")</f>
        <v>https://pristavka.com/catalog/games-playstation-5/PSV1410/</v>
      </c>
      <c r="N299" s="71"/>
      <c r="O299" s="66" t="s">
        <v>27</v>
      </c>
      <c r="P299" s="82" t="s">
        <v>18053</v>
      </c>
      <c r="Q299" s="84"/>
      <c r="R299" s="84"/>
      <c r="S299" s="84">
        <v>8.2000000000000003E-2</v>
      </c>
      <c r="T299" s="82" t="s">
        <v>17675</v>
      </c>
      <c r="U299" s="84" t="s">
        <v>7499</v>
      </c>
      <c r="V299" s="54"/>
    </row>
    <row r="300" spans="1:22" s="11" customFormat="1" ht="12" customHeight="1" x14ac:dyDescent="0.2">
      <c r="A300" s="66" t="s">
        <v>57</v>
      </c>
      <c r="B300" s="66" t="s">
        <v>26</v>
      </c>
      <c r="C300" s="66" t="s">
        <v>16942</v>
      </c>
      <c r="D300" s="66" t="s">
        <v>18054</v>
      </c>
      <c r="E300" s="109" t="s">
        <v>18055</v>
      </c>
      <c r="F300" s="66" t="s">
        <v>18056</v>
      </c>
      <c r="G300" s="71">
        <v>0</v>
      </c>
      <c r="H300" s="73"/>
      <c r="I300" s="75">
        <v>0.2</v>
      </c>
      <c r="J300" s="77"/>
      <c r="K300" s="66"/>
      <c r="L300" s="66"/>
      <c r="M300" s="79" t="str">
        <f>HYPERLINK("https://pristavka.com/catalog/games-playstation-5/PSV1497/")</f>
        <v>https://pristavka.com/catalog/games-playstation-5/PSV1497/</v>
      </c>
      <c r="N300" s="71"/>
      <c r="O300" s="66" t="s">
        <v>28</v>
      </c>
      <c r="P300" s="82" t="s">
        <v>18057</v>
      </c>
      <c r="Q300" s="84"/>
      <c r="R300" s="84"/>
      <c r="S300" s="84">
        <v>8.8999999999999996E-2</v>
      </c>
      <c r="T300" s="82" t="s">
        <v>17961</v>
      </c>
      <c r="U300" s="84" t="s">
        <v>7499</v>
      </c>
      <c r="V300" s="54"/>
    </row>
    <row r="301" spans="1:22" s="11" customFormat="1" ht="12" customHeight="1" x14ac:dyDescent="0.2">
      <c r="A301" s="66" t="s">
        <v>57</v>
      </c>
      <c r="B301" s="66" t="s">
        <v>26</v>
      </c>
      <c r="C301" s="66" t="s">
        <v>16942</v>
      </c>
      <c r="D301" s="66" t="s">
        <v>26</v>
      </c>
      <c r="E301" s="109" t="s">
        <v>18058</v>
      </c>
      <c r="F301" s="66" t="s">
        <v>18059</v>
      </c>
      <c r="G301" s="71">
        <v>10812</v>
      </c>
      <c r="H301" s="73"/>
      <c r="I301" s="75">
        <v>0.2</v>
      </c>
      <c r="J301" s="77"/>
      <c r="K301" s="66"/>
      <c r="L301" s="66"/>
      <c r="M301" s="79" t="str">
        <f>HYPERLINK("https://pristavka.com/catalog/games-playstation-5/PSV949/")</f>
        <v>https://pristavka.com/catalog/games-playstation-5/PSV949/</v>
      </c>
      <c r="N301" s="71"/>
      <c r="O301" s="66" t="s">
        <v>27</v>
      </c>
      <c r="P301" s="82" t="s">
        <v>18060</v>
      </c>
      <c r="Q301" s="84"/>
      <c r="R301" s="84"/>
      <c r="S301" s="84">
        <v>8.4000000000000005E-2</v>
      </c>
      <c r="T301" s="82" t="s">
        <v>17710</v>
      </c>
      <c r="U301" s="84" t="s">
        <v>7499</v>
      </c>
      <c r="V301" s="54"/>
    </row>
    <row r="302" spans="1:22" s="11" customFormat="1" ht="12" customHeight="1" x14ac:dyDescent="0.2">
      <c r="A302" s="66" t="s">
        <v>57</v>
      </c>
      <c r="B302" s="66" t="s">
        <v>26</v>
      </c>
      <c r="C302" s="66" t="s">
        <v>16942</v>
      </c>
      <c r="D302" s="66" t="s">
        <v>18061</v>
      </c>
      <c r="E302" s="109" t="s">
        <v>18062</v>
      </c>
      <c r="F302" s="66" t="s">
        <v>18063</v>
      </c>
      <c r="G302" s="71">
        <v>0</v>
      </c>
      <c r="H302" s="73"/>
      <c r="I302" s="75">
        <v>0.2</v>
      </c>
      <c r="J302" s="77"/>
      <c r="K302" s="66"/>
      <c r="L302" s="66"/>
      <c r="M302" s="79" t="str">
        <f>HYPERLINK("https://pristavka.com/catalog/games-playstation-5/PSV1450/")</f>
        <v>https://pristavka.com/catalog/games-playstation-5/PSV1450/</v>
      </c>
      <c r="N302" s="71"/>
      <c r="O302" s="66" t="s">
        <v>27</v>
      </c>
      <c r="P302" s="82" t="s">
        <v>18064</v>
      </c>
      <c r="Q302" s="84"/>
      <c r="R302" s="84"/>
      <c r="S302" s="84">
        <v>0.08</v>
      </c>
      <c r="T302" s="82" t="s">
        <v>17710</v>
      </c>
      <c r="U302" s="84" t="s">
        <v>177</v>
      </c>
      <c r="V302" s="54"/>
    </row>
    <row r="303" spans="1:22" s="11" customFormat="1" ht="12" customHeight="1" x14ac:dyDescent="0.2">
      <c r="A303" s="66" t="s">
        <v>57</v>
      </c>
      <c r="B303" s="66" t="s">
        <v>26</v>
      </c>
      <c r="C303" s="66" t="s">
        <v>16942</v>
      </c>
      <c r="D303" s="66" t="s">
        <v>18065</v>
      </c>
      <c r="E303" s="109" t="s">
        <v>18066</v>
      </c>
      <c r="F303" s="66" t="s">
        <v>18067</v>
      </c>
      <c r="G303" s="71">
        <v>0</v>
      </c>
      <c r="H303" s="73"/>
      <c r="I303" s="75">
        <v>0.2</v>
      </c>
      <c r="J303" s="77"/>
      <c r="K303" s="66"/>
      <c r="L303" s="66"/>
      <c r="M303" s="79" t="str">
        <f>HYPERLINK("https://pristavka.com/catalog/games-playstation-5/PSV1450/")</f>
        <v>https://pristavka.com/catalog/games-playstation-5/PSV1450/</v>
      </c>
      <c r="N303" s="71"/>
      <c r="O303" s="66" t="s">
        <v>28</v>
      </c>
      <c r="P303" s="82" t="s">
        <v>18068</v>
      </c>
      <c r="Q303" s="84"/>
      <c r="R303" s="84"/>
      <c r="S303" s="84">
        <v>8.3000000000000004E-2</v>
      </c>
      <c r="T303" s="82" t="s">
        <v>17675</v>
      </c>
      <c r="U303" s="84" t="s">
        <v>177</v>
      </c>
      <c r="V303" s="54"/>
    </row>
    <row r="304" spans="1:22" s="11" customFormat="1" ht="12" customHeight="1" x14ac:dyDescent="0.2">
      <c r="A304" s="66" t="s">
        <v>57</v>
      </c>
      <c r="B304" s="66" t="s">
        <v>26</v>
      </c>
      <c r="C304" s="66" t="s">
        <v>16942</v>
      </c>
      <c r="D304" s="66" t="s">
        <v>18069</v>
      </c>
      <c r="E304" s="109" t="s">
        <v>18070</v>
      </c>
      <c r="F304" s="66" t="s">
        <v>18071</v>
      </c>
      <c r="G304" s="71">
        <v>0</v>
      </c>
      <c r="H304" s="73"/>
      <c r="I304" s="75">
        <v>0.2</v>
      </c>
      <c r="J304" s="77"/>
      <c r="K304" s="66"/>
      <c r="L304" s="66"/>
      <c r="M304" s="79" t="str">
        <f>HYPERLINK("https://pristavka.com/catalog/games-playstation-5/PSV884/")</f>
        <v>https://pristavka.com/catalog/games-playstation-5/PSV884/</v>
      </c>
      <c r="N304" s="71"/>
      <c r="O304" s="66" t="s">
        <v>27</v>
      </c>
      <c r="P304" s="82" t="s">
        <v>18072</v>
      </c>
      <c r="Q304" s="84"/>
      <c r="R304" s="84"/>
      <c r="S304" s="84">
        <v>8.4000000000000005E-2</v>
      </c>
      <c r="T304" s="82" t="s">
        <v>17038</v>
      </c>
      <c r="U304" s="84" t="s">
        <v>7499</v>
      </c>
      <c r="V304" s="54"/>
    </row>
    <row r="305" spans="1:22" s="11" customFormat="1" ht="12" customHeight="1" x14ac:dyDescent="0.2">
      <c r="A305" s="66" t="s">
        <v>57</v>
      </c>
      <c r="B305" s="66" t="s">
        <v>26</v>
      </c>
      <c r="C305" s="66" t="s">
        <v>16942</v>
      </c>
      <c r="D305" s="66" t="s">
        <v>18073</v>
      </c>
      <c r="E305" s="109" t="s">
        <v>18074</v>
      </c>
      <c r="F305" s="66" t="s">
        <v>18075</v>
      </c>
      <c r="G305" s="71">
        <v>0</v>
      </c>
      <c r="H305" s="73"/>
      <c r="I305" s="75">
        <v>0.2</v>
      </c>
      <c r="J305" s="77"/>
      <c r="K305" s="66"/>
      <c r="L305" s="66"/>
      <c r="M305" s="79" t="str">
        <f>HYPERLINK("https://pristavka.com/catalog/games-playstation-5/PSV1452/")</f>
        <v>https://pristavka.com/catalog/games-playstation-5/PSV1452/</v>
      </c>
      <c r="N305" s="71"/>
      <c r="O305" s="66" t="s">
        <v>27</v>
      </c>
      <c r="P305" s="82" t="s">
        <v>18076</v>
      </c>
      <c r="Q305" s="84"/>
      <c r="R305" s="84"/>
      <c r="S305" s="84">
        <v>0.08</v>
      </c>
      <c r="T305" s="82" t="s">
        <v>17029</v>
      </c>
      <c r="U305" s="84" t="s">
        <v>7499</v>
      </c>
      <c r="V305" s="54"/>
    </row>
    <row r="306" spans="1:22" s="11" customFormat="1" ht="12" customHeight="1" x14ac:dyDescent="0.2">
      <c r="A306" s="66" t="s">
        <v>57</v>
      </c>
      <c r="B306" s="66" t="s">
        <v>26</v>
      </c>
      <c r="C306" s="66" t="s">
        <v>16942</v>
      </c>
      <c r="D306" s="66" t="s">
        <v>18077</v>
      </c>
      <c r="E306" s="109" t="s">
        <v>18078</v>
      </c>
      <c r="F306" s="66" t="s">
        <v>18079</v>
      </c>
      <c r="G306" s="71">
        <v>0</v>
      </c>
      <c r="H306" s="73"/>
      <c r="I306" s="75">
        <v>0.2</v>
      </c>
      <c r="J306" s="77"/>
      <c r="K306" s="66"/>
      <c r="L306" s="66"/>
      <c r="M306" s="79" t="str">
        <f>HYPERLINK("https://pristavka.com/catalog/games-playstation-5/PSV950/")</f>
        <v>https://pristavka.com/catalog/games-playstation-5/PSV950/</v>
      </c>
      <c r="N306" s="71"/>
      <c r="O306" s="66" t="s">
        <v>27</v>
      </c>
      <c r="P306" s="82" t="s">
        <v>18080</v>
      </c>
      <c r="Q306" s="84"/>
      <c r="R306" s="84"/>
      <c r="S306" s="84">
        <v>9.4E-2</v>
      </c>
      <c r="T306" s="82" t="s">
        <v>17710</v>
      </c>
      <c r="U306" s="84" t="s">
        <v>7499</v>
      </c>
      <c r="V306" s="54"/>
    </row>
    <row r="307" spans="1:22" s="11" customFormat="1" ht="12" customHeight="1" x14ac:dyDescent="0.2">
      <c r="A307" s="66" t="s">
        <v>57</v>
      </c>
      <c r="B307" s="66" t="s">
        <v>26</v>
      </c>
      <c r="C307" s="66" t="s">
        <v>16942</v>
      </c>
      <c r="D307" s="66" t="s">
        <v>18081</v>
      </c>
      <c r="E307" s="109" t="s">
        <v>18082</v>
      </c>
      <c r="F307" s="66" t="s">
        <v>18083</v>
      </c>
      <c r="G307" s="71">
        <v>20150</v>
      </c>
      <c r="H307" s="73"/>
      <c r="I307" s="75">
        <v>0.2</v>
      </c>
      <c r="J307" s="77"/>
      <c r="K307" s="66"/>
      <c r="L307" s="66"/>
      <c r="M307" s="79" t="str">
        <f>HYPERLINK("https://pristavka.com/catalog/games-playstation-5/PSV913/")</f>
        <v>https://pristavka.com/catalog/games-playstation-5/PSV913/</v>
      </c>
      <c r="N307" s="71"/>
      <c r="O307" s="66" t="s">
        <v>27</v>
      </c>
      <c r="P307" s="82" t="s">
        <v>18084</v>
      </c>
      <c r="Q307" s="84"/>
      <c r="R307" s="84"/>
      <c r="S307" s="84">
        <v>8.3000000000000004E-2</v>
      </c>
      <c r="T307" s="82" t="s">
        <v>17675</v>
      </c>
      <c r="U307" s="84" t="s">
        <v>17008</v>
      </c>
      <c r="V307" s="54"/>
    </row>
    <row r="308" spans="1:22" s="45" customFormat="1" ht="12" customHeight="1" x14ac:dyDescent="0.2">
      <c r="A308" s="67" t="s">
        <v>57</v>
      </c>
      <c r="B308" s="67" t="s">
        <v>26</v>
      </c>
      <c r="C308" s="67" t="s">
        <v>16942</v>
      </c>
      <c r="D308" s="67" t="s">
        <v>18085</v>
      </c>
      <c r="E308" s="110" t="s">
        <v>18086</v>
      </c>
      <c r="F308" s="67" t="s">
        <v>18087</v>
      </c>
      <c r="G308" s="72">
        <v>0</v>
      </c>
      <c r="H308" s="74"/>
      <c r="I308" s="76">
        <v>0.2</v>
      </c>
      <c r="J308" s="77"/>
      <c r="K308" s="67" t="s">
        <v>129</v>
      </c>
      <c r="L308" s="67"/>
      <c r="M308" s="79" t="str">
        <f>HYPERLINK("https://pristavka.com/catalog/games-playstation-5/PSV1459/")</f>
        <v>https://pristavka.com/catalog/games-playstation-5/PSV1459/</v>
      </c>
      <c r="N308" s="72"/>
      <c r="O308" s="67" t="s">
        <v>27</v>
      </c>
      <c r="P308" s="83" t="s">
        <v>18088</v>
      </c>
      <c r="Q308" s="85"/>
      <c r="R308" s="85"/>
      <c r="S308" s="85">
        <v>8.4000000000000005E-2</v>
      </c>
      <c r="T308" s="83" t="s">
        <v>17038</v>
      </c>
      <c r="U308" s="85" t="s">
        <v>17008</v>
      </c>
      <c r="V308" s="55"/>
    </row>
    <row r="309" spans="1:22" s="11" customFormat="1" ht="12" customHeight="1" x14ac:dyDescent="0.2">
      <c r="A309" s="66" t="s">
        <v>57</v>
      </c>
      <c r="B309" s="66" t="s">
        <v>26</v>
      </c>
      <c r="C309" s="66" t="s">
        <v>16942</v>
      </c>
      <c r="D309" s="66" t="s">
        <v>18089</v>
      </c>
      <c r="E309" s="109" t="s">
        <v>18090</v>
      </c>
      <c r="F309" s="66" t="s">
        <v>18091</v>
      </c>
      <c r="G309" s="71">
        <v>0</v>
      </c>
      <c r="H309" s="73"/>
      <c r="I309" s="75">
        <v>0.2</v>
      </c>
      <c r="J309" s="77"/>
      <c r="K309" s="66"/>
      <c r="L309" s="66"/>
      <c r="M309" s="79" t="str">
        <f>HYPERLINK("https://pristavka.com/catalog/games-playstation-5/PSV948/")</f>
        <v>https://pristavka.com/catalog/games-playstation-5/PSV948/</v>
      </c>
      <c r="N309" s="71"/>
      <c r="O309" s="66" t="s">
        <v>27</v>
      </c>
      <c r="P309" s="82" t="s">
        <v>18092</v>
      </c>
      <c r="Q309" s="84"/>
      <c r="R309" s="84"/>
      <c r="S309" s="84">
        <v>0.09</v>
      </c>
      <c r="T309" s="82" t="s">
        <v>17038</v>
      </c>
      <c r="U309" s="84" t="s">
        <v>7499</v>
      </c>
      <c r="V309" s="54"/>
    </row>
    <row r="310" spans="1:22" s="64" customFormat="1" ht="12" customHeight="1" x14ac:dyDescent="0.2">
      <c r="A310" s="108" t="s">
        <v>18093</v>
      </c>
      <c r="B310" s="108" t="s">
        <v>26</v>
      </c>
      <c r="C310" s="108" t="s">
        <v>16942</v>
      </c>
      <c r="D310" s="108" t="s">
        <v>26</v>
      </c>
      <c r="E310" s="112" t="s">
        <v>18094</v>
      </c>
      <c r="F310" s="108" t="s">
        <v>18095</v>
      </c>
      <c r="G310" s="113">
        <v>6747</v>
      </c>
      <c r="H310" s="114"/>
      <c r="I310" s="115">
        <v>0.2</v>
      </c>
      <c r="J310" s="77"/>
      <c r="K310" s="108" t="s">
        <v>18096</v>
      </c>
      <c r="L310" s="108"/>
      <c r="M310" s="79" t="str">
        <f>HYPERLINK("https://pristavka.com/catalog/games-xbox-one/XOne385/")</f>
        <v>https://pristavka.com/catalog/games-xbox-one/XOne385/</v>
      </c>
      <c r="N310" s="113"/>
      <c r="O310" s="108" t="s">
        <v>28</v>
      </c>
      <c r="P310" s="117" t="s">
        <v>18097</v>
      </c>
      <c r="Q310" s="118"/>
      <c r="R310" s="118"/>
      <c r="S310" s="118">
        <v>7.5999999999999998E-2</v>
      </c>
      <c r="T310" s="117" t="s">
        <v>18098</v>
      </c>
      <c r="U310" s="118" t="s">
        <v>7499</v>
      </c>
      <c r="V310" s="65"/>
    </row>
    <row r="311" spans="1:22" s="11" customFormat="1" ht="12" customHeight="1" x14ac:dyDescent="0.2">
      <c r="A311" s="66" t="s">
        <v>18093</v>
      </c>
      <c r="B311" s="66" t="s">
        <v>26</v>
      </c>
      <c r="C311" s="66" t="s">
        <v>16942</v>
      </c>
      <c r="D311" s="66" t="s">
        <v>26</v>
      </c>
      <c r="E311" s="109" t="s">
        <v>18099</v>
      </c>
      <c r="F311" s="66" t="s">
        <v>18100</v>
      </c>
      <c r="G311" s="71">
        <v>0</v>
      </c>
      <c r="H311" s="73"/>
      <c r="I311" s="75">
        <v>0.2</v>
      </c>
      <c r="J311" s="77"/>
      <c r="K311" s="66"/>
      <c r="L311" s="66"/>
      <c r="M311" s="79" t="str">
        <f>HYPERLINK("https://pristavka.com/catalog/games-xbox-one/XOne641/")</f>
        <v>https://pristavka.com/catalog/games-xbox-one/XOne641/</v>
      </c>
      <c r="N311" s="71"/>
      <c r="O311" s="66" t="s">
        <v>27</v>
      </c>
      <c r="P311" s="82" t="s">
        <v>18101</v>
      </c>
      <c r="Q311" s="84"/>
      <c r="R311" s="84"/>
      <c r="S311" s="84">
        <v>7.0999999999999994E-2</v>
      </c>
      <c r="T311" s="82" t="s">
        <v>18102</v>
      </c>
      <c r="U311" s="84"/>
      <c r="V311" s="54"/>
    </row>
    <row r="312" spans="1:22" s="11" customFormat="1" ht="12" customHeight="1" x14ac:dyDescent="0.2">
      <c r="A312" s="66" t="s">
        <v>18093</v>
      </c>
      <c r="B312" s="66" t="s">
        <v>26</v>
      </c>
      <c r="C312" s="66" t="s">
        <v>16942</v>
      </c>
      <c r="D312" s="66" t="s">
        <v>26</v>
      </c>
      <c r="E312" s="109" t="s">
        <v>18103</v>
      </c>
      <c r="F312" s="66" t="s">
        <v>18104</v>
      </c>
      <c r="G312" s="71">
        <v>0</v>
      </c>
      <c r="H312" s="73"/>
      <c r="I312" s="75">
        <v>0.2</v>
      </c>
      <c r="J312" s="77"/>
      <c r="K312" s="66"/>
      <c r="L312" s="66"/>
      <c r="M312" s="79" t="str">
        <f>HYPERLINK("https://pristavka.com/catalog/games-xbox-one/XOne468/")</f>
        <v>https://pristavka.com/catalog/games-xbox-one/XOne468/</v>
      </c>
      <c r="N312" s="71"/>
      <c r="O312" s="66" t="s">
        <v>27</v>
      </c>
      <c r="P312" s="82" t="s">
        <v>18105</v>
      </c>
      <c r="Q312" s="84"/>
      <c r="R312" s="84"/>
      <c r="S312" s="84">
        <v>7.8E-2</v>
      </c>
      <c r="T312" s="82" t="s">
        <v>18102</v>
      </c>
      <c r="U312" s="84" t="s">
        <v>177</v>
      </c>
      <c r="V312" s="54"/>
    </row>
    <row r="313" spans="1:22" s="11" customFormat="1" ht="12" customHeight="1" x14ac:dyDescent="0.2">
      <c r="A313" s="66" t="s">
        <v>18093</v>
      </c>
      <c r="B313" s="66" t="s">
        <v>26</v>
      </c>
      <c r="C313" s="66" t="s">
        <v>16942</v>
      </c>
      <c r="D313" s="66" t="s">
        <v>26</v>
      </c>
      <c r="E313" s="109" t="s">
        <v>18106</v>
      </c>
      <c r="F313" s="66" t="s">
        <v>18107</v>
      </c>
      <c r="G313" s="71">
        <v>0</v>
      </c>
      <c r="H313" s="73"/>
      <c r="I313" s="75">
        <v>0.2</v>
      </c>
      <c r="J313" s="77"/>
      <c r="K313" s="66"/>
      <c r="L313" s="66"/>
      <c r="M313" s="96"/>
      <c r="N313" s="71"/>
      <c r="O313" s="66" t="s">
        <v>27</v>
      </c>
      <c r="P313" s="82" t="s">
        <v>18108</v>
      </c>
      <c r="Q313" s="84"/>
      <c r="R313" s="84"/>
      <c r="S313" s="84">
        <v>7.4999999999999997E-2</v>
      </c>
      <c r="T313" s="82" t="s">
        <v>18109</v>
      </c>
      <c r="U313" s="84" t="s">
        <v>177</v>
      </c>
      <c r="V313" s="54"/>
    </row>
    <row r="314" spans="1:22" s="11" customFormat="1" ht="12" customHeight="1" x14ac:dyDescent="0.2">
      <c r="A314" s="66" t="s">
        <v>18093</v>
      </c>
      <c r="B314" s="66" t="s">
        <v>26</v>
      </c>
      <c r="C314" s="66" t="s">
        <v>16942</v>
      </c>
      <c r="D314" s="66">
        <v>1015738</v>
      </c>
      <c r="E314" s="109" t="s">
        <v>18110</v>
      </c>
      <c r="F314" s="66" t="s">
        <v>18111</v>
      </c>
      <c r="G314" s="71">
        <v>0</v>
      </c>
      <c r="H314" s="73"/>
      <c r="I314" s="75">
        <v>0.2</v>
      </c>
      <c r="J314" s="77"/>
      <c r="K314" s="66"/>
      <c r="L314" s="66"/>
      <c r="M314" s="79" t="str">
        <f>HYPERLINK("https://pristavka.com/catalog/games-xbox-one/XOne441/")</f>
        <v>https://pristavka.com/catalog/games-xbox-one/XOne441/</v>
      </c>
      <c r="N314" s="71"/>
      <c r="O314" s="66" t="s">
        <v>27</v>
      </c>
      <c r="P314" s="82" t="s">
        <v>18112</v>
      </c>
      <c r="Q314" s="84"/>
      <c r="R314" s="84"/>
      <c r="S314" s="84">
        <v>7.0999999999999994E-2</v>
      </c>
      <c r="T314" s="82" t="s">
        <v>18102</v>
      </c>
      <c r="U314" s="84" t="s">
        <v>17008</v>
      </c>
      <c r="V314" s="54"/>
    </row>
    <row r="315" spans="1:22" s="11" customFormat="1" ht="12" customHeight="1" x14ac:dyDescent="0.2">
      <c r="A315" s="66" t="s">
        <v>18093</v>
      </c>
      <c r="B315" s="66" t="s">
        <v>26</v>
      </c>
      <c r="C315" s="66" t="s">
        <v>16942</v>
      </c>
      <c r="D315" s="66" t="s">
        <v>26</v>
      </c>
      <c r="E315" s="109" t="s">
        <v>18113</v>
      </c>
      <c r="F315" s="66" t="s">
        <v>18114</v>
      </c>
      <c r="G315" s="71">
        <v>0</v>
      </c>
      <c r="H315" s="73"/>
      <c r="I315" s="75">
        <v>0.2</v>
      </c>
      <c r="J315" s="77"/>
      <c r="K315" s="66"/>
      <c r="L315" s="66"/>
      <c r="M315" s="79" t="str">
        <f>HYPERLINK("https://pristavka.com/catalog/games-xbox-one/XOne638/")</f>
        <v>https://pristavka.com/catalog/games-xbox-one/XOne638/</v>
      </c>
      <c r="N315" s="71"/>
      <c r="O315" s="66" t="s">
        <v>27</v>
      </c>
      <c r="P315" s="82" t="s">
        <v>18115</v>
      </c>
      <c r="Q315" s="84"/>
      <c r="R315" s="84"/>
      <c r="S315" s="84">
        <v>7.2999999999999995E-2</v>
      </c>
      <c r="T315" s="82" t="s">
        <v>18098</v>
      </c>
      <c r="U315" s="84" t="s">
        <v>52</v>
      </c>
      <c r="V315" s="54"/>
    </row>
    <row r="316" spans="1:22" s="11" customFormat="1" ht="12" customHeight="1" x14ac:dyDescent="0.2">
      <c r="A316" s="66" t="s">
        <v>18093</v>
      </c>
      <c r="B316" s="66" t="s">
        <v>26</v>
      </c>
      <c r="C316" s="66" t="s">
        <v>16942</v>
      </c>
      <c r="D316" s="66">
        <v>230951</v>
      </c>
      <c r="E316" s="109" t="s">
        <v>18116</v>
      </c>
      <c r="F316" s="66" t="s">
        <v>18117</v>
      </c>
      <c r="G316" s="71">
        <v>0</v>
      </c>
      <c r="H316" s="73"/>
      <c r="I316" s="75">
        <v>0.2</v>
      </c>
      <c r="J316" s="77"/>
      <c r="K316" s="66"/>
      <c r="L316" s="66"/>
      <c r="M316" s="79" t="str">
        <f>HYPERLINK("https://pristavka.com/catalog/games-xbox-one/XOne459/")</f>
        <v>https://pristavka.com/catalog/games-xbox-one/XOne459/</v>
      </c>
      <c r="N316" s="71"/>
      <c r="O316" s="66" t="s">
        <v>27</v>
      </c>
      <c r="P316" s="82" t="s">
        <v>18118</v>
      </c>
      <c r="Q316" s="84"/>
      <c r="R316" s="84"/>
      <c r="S316" s="84">
        <v>0.124</v>
      </c>
      <c r="T316" s="82" t="s">
        <v>18119</v>
      </c>
      <c r="U316" s="84" t="s">
        <v>7499</v>
      </c>
      <c r="V316" s="54"/>
    </row>
    <row r="317" spans="1:22" s="11" customFormat="1" ht="12" customHeight="1" x14ac:dyDescent="0.2">
      <c r="A317" s="66" t="s">
        <v>18093</v>
      </c>
      <c r="B317" s="66" t="s">
        <v>26</v>
      </c>
      <c r="C317" s="66" t="s">
        <v>16942</v>
      </c>
      <c r="D317" s="66" t="s">
        <v>26</v>
      </c>
      <c r="E317" s="109" t="s">
        <v>18120</v>
      </c>
      <c r="F317" s="66" t="s">
        <v>18121</v>
      </c>
      <c r="G317" s="71">
        <v>0</v>
      </c>
      <c r="H317" s="73"/>
      <c r="I317" s="75">
        <v>0.2</v>
      </c>
      <c r="J317" s="77"/>
      <c r="K317" s="66"/>
      <c r="L317" s="66"/>
      <c r="M317" s="79" t="str">
        <f>HYPERLINK("https://pristavka.com/catalog/games-xbox-one/XOne459/")</f>
        <v>https://pristavka.com/catalog/games-xbox-one/XOne459/</v>
      </c>
      <c r="N317" s="71"/>
      <c r="O317" s="66" t="s">
        <v>27</v>
      </c>
      <c r="P317" s="82" t="s">
        <v>18122</v>
      </c>
      <c r="Q317" s="84"/>
      <c r="R317" s="84"/>
      <c r="S317" s="84">
        <v>7.4999999999999997E-2</v>
      </c>
      <c r="T317" s="82" t="s">
        <v>18098</v>
      </c>
      <c r="U317" s="84" t="s">
        <v>7499</v>
      </c>
      <c r="V317" s="54"/>
    </row>
    <row r="318" spans="1:22" s="11" customFormat="1" ht="12" customHeight="1" x14ac:dyDescent="0.2">
      <c r="A318" s="66" t="s">
        <v>18093</v>
      </c>
      <c r="B318" s="66" t="s">
        <v>26</v>
      </c>
      <c r="C318" s="66" t="s">
        <v>16942</v>
      </c>
      <c r="D318" s="66" t="s">
        <v>26</v>
      </c>
      <c r="E318" s="109" t="s">
        <v>18123</v>
      </c>
      <c r="F318" s="66" t="s">
        <v>18124</v>
      </c>
      <c r="G318" s="71">
        <v>0</v>
      </c>
      <c r="H318" s="73"/>
      <c r="I318" s="75">
        <v>0.2</v>
      </c>
      <c r="J318" s="77"/>
      <c r="K318" s="66"/>
      <c r="L318" s="66"/>
      <c r="M318" s="79" t="str">
        <f>HYPERLINK("https://pristavka.com/catalog/games-xbox-one/XOne601/")</f>
        <v>https://pristavka.com/catalog/games-xbox-one/XOne601/</v>
      </c>
      <c r="N318" s="71"/>
      <c r="O318" s="66" t="s">
        <v>27</v>
      </c>
      <c r="P318" s="82" t="s">
        <v>18125</v>
      </c>
      <c r="Q318" s="84"/>
      <c r="R318" s="84"/>
      <c r="S318" s="84">
        <v>7.8E-2</v>
      </c>
      <c r="T318" s="82" t="s">
        <v>18098</v>
      </c>
      <c r="U318" s="84" t="s">
        <v>7499</v>
      </c>
      <c r="V318" s="54"/>
    </row>
    <row r="319" spans="1:22" s="11" customFormat="1" ht="12" customHeight="1" x14ac:dyDescent="0.2">
      <c r="A319" s="66" t="s">
        <v>18093</v>
      </c>
      <c r="B319" s="66" t="s">
        <v>26</v>
      </c>
      <c r="C319" s="66" t="s">
        <v>16942</v>
      </c>
      <c r="D319" s="66" t="s">
        <v>26</v>
      </c>
      <c r="E319" s="109" t="s">
        <v>18126</v>
      </c>
      <c r="F319" s="66" t="s">
        <v>18127</v>
      </c>
      <c r="G319" s="71">
        <v>0</v>
      </c>
      <c r="H319" s="73"/>
      <c r="I319" s="75">
        <v>0.2</v>
      </c>
      <c r="J319" s="77"/>
      <c r="K319" s="66"/>
      <c r="L319" s="66"/>
      <c r="M319" s="79" t="str">
        <f>HYPERLINK("https://pristavka.com/catalog/games-xbox-one/XOne543/")</f>
        <v>https://pristavka.com/catalog/games-xbox-one/XOne543/</v>
      </c>
      <c r="N319" s="71"/>
      <c r="O319" s="66" t="s">
        <v>27</v>
      </c>
      <c r="P319" s="82" t="s">
        <v>18128</v>
      </c>
      <c r="Q319" s="84"/>
      <c r="R319" s="84"/>
      <c r="S319" s="84">
        <v>7.8E-2</v>
      </c>
      <c r="T319" s="82" t="s">
        <v>18102</v>
      </c>
      <c r="U319" s="84"/>
      <c r="V319" s="54"/>
    </row>
    <row r="320" spans="1:22" s="11" customFormat="1" ht="12" customHeight="1" x14ac:dyDescent="0.2">
      <c r="A320" s="66" t="s">
        <v>18129</v>
      </c>
      <c r="B320" s="66" t="s">
        <v>26</v>
      </c>
      <c r="C320" s="66" t="s">
        <v>16942</v>
      </c>
      <c r="D320" s="66" t="s">
        <v>26</v>
      </c>
      <c r="E320" s="109" t="s">
        <v>18130</v>
      </c>
      <c r="F320" s="66" t="s">
        <v>18131</v>
      </c>
      <c r="G320" s="71">
        <v>0</v>
      </c>
      <c r="H320" s="73"/>
      <c r="I320" s="75">
        <v>0.2</v>
      </c>
      <c r="J320" s="77"/>
      <c r="K320" s="66"/>
      <c r="L320" s="66"/>
      <c r="M320" s="79" t="str">
        <f>HYPERLINK("https://pristavka.com/catalog/games-xbox-X/XbX8/")</f>
        <v>https://pristavka.com/catalog/games-xbox-X/XbX8/</v>
      </c>
      <c r="N320" s="71"/>
      <c r="O320" s="66" t="s">
        <v>28</v>
      </c>
      <c r="P320" s="82" t="s">
        <v>18132</v>
      </c>
      <c r="Q320" s="84"/>
      <c r="R320" s="84"/>
      <c r="S320" s="84">
        <v>0.08</v>
      </c>
      <c r="T320" s="82" t="s">
        <v>18119</v>
      </c>
      <c r="U320" s="84" t="s">
        <v>7499</v>
      </c>
      <c r="V320" s="54"/>
    </row>
    <row r="321" spans="1:22" s="11" customFormat="1" ht="12" customHeight="1" x14ac:dyDescent="0.2">
      <c r="A321" s="66" t="s">
        <v>18129</v>
      </c>
      <c r="B321" s="66" t="s">
        <v>26</v>
      </c>
      <c r="C321" s="66" t="s">
        <v>16942</v>
      </c>
      <c r="D321" s="66" t="s">
        <v>26</v>
      </c>
      <c r="E321" s="109" t="s">
        <v>18133</v>
      </c>
      <c r="F321" s="66" t="s">
        <v>18134</v>
      </c>
      <c r="G321" s="71">
        <v>0</v>
      </c>
      <c r="H321" s="73"/>
      <c r="I321" s="75">
        <v>0.2</v>
      </c>
      <c r="J321" s="77"/>
      <c r="K321" s="66"/>
      <c r="L321" s="66"/>
      <c r="M321" s="79" t="str">
        <f>HYPERLINK("https://pristavka.com/catalog/games-xbox-X/XbX645/")</f>
        <v>https://pristavka.com/catalog/games-xbox-X/XbX645/</v>
      </c>
      <c r="N321" s="71"/>
      <c r="O321" s="66" t="s">
        <v>27</v>
      </c>
      <c r="P321" s="82" t="s">
        <v>18135</v>
      </c>
      <c r="Q321" s="84"/>
      <c r="R321" s="84"/>
      <c r="S321" s="84">
        <v>7.0000000000000007E-2</v>
      </c>
      <c r="T321" s="82" t="s">
        <v>18098</v>
      </c>
      <c r="U321" s="84" t="s">
        <v>7499</v>
      </c>
      <c r="V321" s="54"/>
    </row>
    <row r="322" spans="1:22" s="45" customFormat="1" ht="12" customHeight="1" x14ac:dyDescent="0.2">
      <c r="A322" s="67" t="s">
        <v>18129</v>
      </c>
      <c r="B322" s="67" t="s">
        <v>26</v>
      </c>
      <c r="C322" s="67" t="s">
        <v>16942</v>
      </c>
      <c r="D322" s="67" t="s">
        <v>26</v>
      </c>
      <c r="E322" s="110" t="s">
        <v>18136</v>
      </c>
      <c r="F322" s="67" t="s">
        <v>18137</v>
      </c>
      <c r="G322" s="72">
        <v>0</v>
      </c>
      <c r="H322" s="74"/>
      <c r="I322" s="76">
        <v>0.2</v>
      </c>
      <c r="J322" s="77"/>
      <c r="K322" s="67" t="s">
        <v>129</v>
      </c>
      <c r="L322" s="67"/>
      <c r="M322" s="79" t="str">
        <f>HYPERLINK("https://pristavka.com/catalog/games-xbox-X/XbX643/")</f>
        <v>https://pristavka.com/catalog/games-xbox-X/XbX643/</v>
      </c>
      <c r="N322" s="72"/>
      <c r="O322" s="67" t="s">
        <v>28</v>
      </c>
      <c r="P322" s="83" t="s">
        <v>18138</v>
      </c>
      <c r="Q322" s="85"/>
      <c r="R322" s="85"/>
      <c r="S322" s="85">
        <v>7.2999999999999995E-2</v>
      </c>
      <c r="T322" s="83" t="s">
        <v>18109</v>
      </c>
      <c r="U322" s="85" t="s">
        <v>177</v>
      </c>
      <c r="V322" s="55"/>
    </row>
    <row r="323" spans="1:22" s="11" customFormat="1" ht="12" customHeight="1" x14ac:dyDescent="0.2">
      <c r="A323" s="66" t="s">
        <v>18129</v>
      </c>
      <c r="B323" s="66" t="s">
        <v>26</v>
      </c>
      <c r="C323" s="66" t="s">
        <v>16942</v>
      </c>
      <c r="D323" s="66" t="s">
        <v>26</v>
      </c>
      <c r="E323" s="109" t="s">
        <v>18139</v>
      </c>
      <c r="F323" s="66" t="s">
        <v>18140</v>
      </c>
      <c r="G323" s="71">
        <v>0</v>
      </c>
      <c r="H323" s="73"/>
      <c r="I323" s="75">
        <v>0.2</v>
      </c>
      <c r="J323" s="77"/>
      <c r="K323" s="66"/>
      <c r="L323" s="66"/>
      <c r="M323" s="79" t="str">
        <f>HYPERLINK("https://pristavka.com/catalog/games-xbox-X/XbX37/")</f>
        <v>https://pristavka.com/catalog/games-xbox-X/XbX37/</v>
      </c>
      <c r="N323" s="71"/>
      <c r="O323" s="66" t="s">
        <v>27</v>
      </c>
      <c r="P323" s="82" t="s">
        <v>18141</v>
      </c>
      <c r="Q323" s="84"/>
      <c r="R323" s="84"/>
      <c r="S323" s="84">
        <v>7.0999999999999994E-2</v>
      </c>
      <c r="T323" s="82" t="s">
        <v>18102</v>
      </c>
      <c r="U323" s="84" t="s">
        <v>7499</v>
      </c>
      <c r="V323" s="54"/>
    </row>
    <row r="324" spans="1:22" s="11" customFormat="1" ht="12" customHeight="1" x14ac:dyDescent="0.2">
      <c r="A324" s="66" t="s">
        <v>18129</v>
      </c>
      <c r="B324" s="66" t="s">
        <v>26</v>
      </c>
      <c r="C324" s="66" t="s">
        <v>16942</v>
      </c>
      <c r="D324" s="66" t="s">
        <v>26</v>
      </c>
      <c r="E324" s="109" t="s">
        <v>18142</v>
      </c>
      <c r="F324" s="66" t="s">
        <v>18143</v>
      </c>
      <c r="G324" s="71">
        <v>0</v>
      </c>
      <c r="H324" s="73"/>
      <c r="I324" s="75">
        <v>0.2</v>
      </c>
      <c r="J324" s="77"/>
      <c r="K324" s="66"/>
      <c r="L324" s="66"/>
      <c r="M324" s="79" t="str">
        <f>HYPERLINK("https://pristavka.com/catalog/games-xbox-X/XbX36/")</f>
        <v>https://pristavka.com/catalog/games-xbox-X/XbX36/</v>
      </c>
      <c r="N324" s="71"/>
      <c r="O324" s="66" t="s">
        <v>27</v>
      </c>
      <c r="P324" s="82" t="s">
        <v>18144</v>
      </c>
      <c r="Q324" s="84"/>
      <c r="R324" s="84"/>
      <c r="S324" s="84">
        <v>7.5999999999999998E-2</v>
      </c>
      <c r="T324" s="82" t="s">
        <v>18098</v>
      </c>
      <c r="U324" s="84" t="s">
        <v>7499</v>
      </c>
      <c r="V324" s="54"/>
    </row>
    <row r="325" spans="1:22" s="45" customFormat="1" ht="12" customHeight="1" x14ac:dyDescent="0.2">
      <c r="A325" s="67" t="s">
        <v>18129</v>
      </c>
      <c r="B325" s="67" t="s">
        <v>26</v>
      </c>
      <c r="C325" s="67" t="s">
        <v>16942</v>
      </c>
      <c r="D325" s="67" t="s">
        <v>26</v>
      </c>
      <c r="E325" s="110" t="s">
        <v>18145</v>
      </c>
      <c r="F325" s="67" t="s">
        <v>18146</v>
      </c>
      <c r="G325" s="72">
        <v>0</v>
      </c>
      <c r="H325" s="74"/>
      <c r="I325" s="76">
        <v>0.2</v>
      </c>
      <c r="J325" s="77"/>
      <c r="K325" s="67" t="s">
        <v>129</v>
      </c>
      <c r="L325" s="67"/>
      <c r="M325" s="79" t="str">
        <f>HYPERLINK("https://pristavka.com/catalog/games-xbox-X/XbX642/")</f>
        <v>https://pristavka.com/catalog/games-xbox-X/XbX642/</v>
      </c>
      <c r="N325" s="72"/>
      <c r="O325" s="67" t="s">
        <v>28</v>
      </c>
      <c r="P325" s="83" t="s">
        <v>18147</v>
      </c>
      <c r="Q325" s="85"/>
      <c r="R325" s="85"/>
      <c r="S325" s="85">
        <v>0.17</v>
      </c>
      <c r="T325" s="83" t="s">
        <v>18148</v>
      </c>
      <c r="U325" s="85" t="s">
        <v>52</v>
      </c>
      <c r="V325" s="55"/>
    </row>
    <row r="326" spans="1:22" s="11" customFormat="1" ht="12" customHeight="1" x14ac:dyDescent="0.2">
      <c r="A326" s="66" t="s">
        <v>18129</v>
      </c>
      <c r="B326" s="66" t="s">
        <v>26</v>
      </c>
      <c r="C326" s="66" t="s">
        <v>16942</v>
      </c>
      <c r="D326" s="66" t="s">
        <v>26</v>
      </c>
      <c r="E326" s="109" t="s">
        <v>18149</v>
      </c>
      <c r="F326" s="66" t="s">
        <v>18150</v>
      </c>
      <c r="G326" s="71">
        <v>0</v>
      </c>
      <c r="H326" s="73"/>
      <c r="I326" s="75">
        <v>0.2</v>
      </c>
      <c r="J326" s="77"/>
      <c r="K326" s="66"/>
      <c r="L326" s="66"/>
      <c r="M326" s="79" t="str">
        <f>HYPERLINK("https://pristavka.com/catalog/games-xbox-X/XbX637/")</f>
        <v>https://pristavka.com/catalog/games-xbox-X/XbX637/</v>
      </c>
      <c r="N326" s="71"/>
      <c r="O326" s="66" t="s">
        <v>27</v>
      </c>
      <c r="P326" s="82" t="s">
        <v>18151</v>
      </c>
      <c r="Q326" s="84"/>
      <c r="R326" s="84"/>
      <c r="S326" s="84">
        <v>7.4999999999999997E-2</v>
      </c>
      <c r="T326" s="82" t="s">
        <v>18098</v>
      </c>
      <c r="U326" s="84" t="s">
        <v>17008</v>
      </c>
      <c r="V326" s="54"/>
    </row>
    <row r="327" spans="1:22" s="11" customFormat="1" ht="12" customHeight="1" x14ac:dyDescent="0.2">
      <c r="A327" s="66" t="s">
        <v>18129</v>
      </c>
      <c r="B327" s="66" t="s">
        <v>26</v>
      </c>
      <c r="C327" s="66" t="s">
        <v>16942</v>
      </c>
      <c r="D327" s="66" t="s">
        <v>26</v>
      </c>
      <c r="E327" s="109" t="s">
        <v>18152</v>
      </c>
      <c r="F327" s="66" t="s">
        <v>18153</v>
      </c>
      <c r="G327" s="71">
        <v>0</v>
      </c>
      <c r="H327" s="73"/>
      <c r="I327" s="75">
        <v>0.2</v>
      </c>
      <c r="J327" s="77"/>
      <c r="K327" s="66"/>
      <c r="L327" s="66"/>
      <c r="M327" s="79" t="str">
        <f>HYPERLINK("https://pristavka.com/catalog/games-xbox-X/XbX33/")</f>
        <v>https://pristavka.com/catalog/games-xbox-X/XbX33/</v>
      </c>
      <c r="N327" s="71"/>
      <c r="O327" s="66" t="s">
        <v>28</v>
      </c>
      <c r="P327" s="82" t="s">
        <v>18154</v>
      </c>
      <c r="Q327" s="84"/>
      <c r="R327" s="84"/>
      <c r="S327" s="84">
        <v>8.7999999999999995E-2</v>
      </c>
      <c r="T327" s="82" t="s">
        <v>18098</v>
      </c>
      <c r="U327" s="84" t="s">
        <v>7499</v>
      </c>
      <c r="V327" s="54"/>
    </row>
    <row r="328" spans="1:22" s="45" customFormat="1" ht="12" customHeight="1" x14ac:dyDescent="0.2">
      <c r="A328" s="67" t="s">
        <v>18129</v>
      </c>
      <c r="B328" s="67" t="s">
        <v>26</v>
      </c>
      <c r="C328" s="67" t="s">
        <v>16942</v>
      </c>
      <c r="D328" s="67" t="s">
        <v>26</v>
      </c>
      <c r="E328" s="110" t="s">
        <v>18155</v>
      </c>
      <c r="F328" s="67" t="s">
        <v>18156</v>
      </c>
      <c r="G328" s="72">
        <v>0</v>
      </c>
      <c r="H328" s="74"/>
      <c r="I328" s="76">
        <v>0.2</v>
      </c>
      <c r="J328" s="77"/>
      <c r="K328" s="67" t="s">
        <v>129</v>
      </c>
      <c r="L328" s="67"/>
      <c r="M328" s="79" t="str">
        <f>HYPERLINK("https://pristavka.com/catalog/games-xbox-X/XbX650/")</f>
        <v>https://pristavka.com/catalog/games-xbox-X/XbX650/</v>
      </c>
      <c r="N328" s="72"/>
      <c r="O328" s="67" t="s">
        <v>27</v>
      </c>
      <c r="P328" s="83" t="s">
        <v>18157</v>
      </c>
      <c r="Q328" s="85"/>
      <c r="R328" s="85"/>
      <c r="S328" s="85">
        <v>7.4999999999999997E-2</v>
      </c>
      <c r="T328" s="83" t="s">
        <v>18098</v>
      </c>
      <c r="U328" s="85" t="s">
        <v>177</v>
      </c>
      <c r="V328" s="55"/>
    </row>
    <row r="329" spans="1:22" s="11" customFormat="1" ht="12" customHeight="1" x14ac:dyDescent="0.2">
      <c r="A329" s="66" t="s">
        <v>18129</v>
      </c>
      <c r="B329" s="66" t="s">
        <v>26</v>
      </c>
      <c r="C329" s="66" t="s">
        <v>16942</v>
      </c>
      <c r="D329" s="66" t="s">
        <v>26</v>
      </c>
      <c r="E329" s="109" t="s">
        <v>18158</v>
      </c>
      <c r="F329" s="66" t="s">
        <v>18159</v>
      </c>
      <c r="G329" s="71">
        <v>0</v>
      </c>
      <c r="H329" s="73"/>
      <c r="I329" s="75">
        <v>0.2</v>
      </c>
      <c r="J329" s="77"/>
      <c r="K329" s="66"/>
      <c r="L329" s="66"/>
      <c r="M329" s="79" t="str">
        <f>HYPERLINK("https://pristavka.com/catalog/games-xbox-X/XbX647/")</f>
        <v>https://pristavka.com/catalog/games-xbox-X/XbX647/</v>
      </c>
      <c r="N329" s="71"/>
      <c r="O329" s="66" t="s">
        <v>28</v>
      </c>
      <c r="P329" s="82" t="s">
        <v>18160</v>
      </c>
      <c r="Q329" s="84"/>
      <c r="R329" s="84"/>
      <c r="S329" s="84">
        <v>8.6999999999999994E-2</v>
      </c>
      <c r="T329" s="82" t="s">
        <v>18109</v>
      </c>
      <c r="U329" s="84" t="s">
        <v>17008</v>
      </c>
      <c r="V329" s="54"/>
    </row>
    <row r="330" spans="1:22" s="11" customFormat="1" ht="12" customHeight="1" x14ac:dyDescent="0.2">
      <c r="A330" s="66" t="s">
        <v>18129</v>
      </c>
      <c r="B330" s="66" t="s">
        <v>26</v>
      </c>
      <c r="C330" s="66" t="s">
        <v>16942</v>
      </c>
      <c r="D330" s="66" t="s">
        <v>26</v>
      </c>
      <c r="E330" s="109" t="s">
        <v>18161</v>
      </c>
      <c r="F330" s="66" t="s">
        <v>18162</v>
      </c>
      <c r="G330" s="71">
        <v>0</v>
      </c>
      <c r="H330" s="73"/>
      <c r="I330" s="75">
        <v>0.2</v>
      </c>
      <c r="J330" s="77"/>
      <c r="K330" s="66"/>
      <c r="L330" s="66"/>
      <c r="M330" s="79" t="str">
        <f>HYPERLINK("https://pristavka.com/catalog/games-xbox-X/XbX32/")</f>
        <v>https://pristavka.com/catalog/games-xbox-X/XbX32/</v>
      </c>
      <c r="N330" s="71"/>
      <c r="O330" s="66" t="s">
        <v>28</v>
      </c>
      <c r="P330" s="82" t="s">
        <v>18163</v>
      </c>
      <c r="Q330" s="84"/>
      <c r="R330" s="84"/>
      <c r="S330" s="84">
        <v>9.2999999999999999E-2</v>
      </c>
      <c r="T330" s="82" t="s">
        <v>18102</v>
      </c>
      <c r="U330" s="84" t="s">
        <v>7499</v>
      </c>
      <c r="V330" s="54"/>
    </row>
    <row r="331" spans="1:22" s="11" customFormat="1" ht="12" customHeight="1" x14ac:dyDescent="0.2">
      <c r="A331" s="66" t="s">
        <v>18129</v>
      </c>
      <c r="B331" s="66" t="s">
        <v>26</v>
      </c>
      <c r="C331" s="66" t="s">
        <v>16942</v>
      </c>
      <c r="D331" s="66" t="s">
        <v>26</v>
      </c>
      <c r="E331" s="109" t="s">
        <v>18164</v>
      </c>
      <c r="F331" s="66" t="s">
        <v>18165</v>
      </c>
      <c r="G331" s="71">
        <v>0</v>
      </c>
      <c r="H331" s="73"/>
      <c r="I331" s="75">
        <v>0.2</v>
      </c>
      <c r="J331" s="77"/>
      <c r="K331" s="66"/>
      <c r="L331" s="66"/>
      <c r="M331" s="79" t="str">
        <f>HYPERLINK("https://pristavka.com/catalog/games-xbox-X/XbX648/")</f>
        <v>https://pristavka.com/catalog/games-xbox-X/XbX648/</v>
      </c>
      <c r="N331" s="71"/>
      <c r="O331" s="66" t="s">
        <v>27</v>
      </c>
      <c r="P331" s="82" t="s">
        <v>18166</v>
      </c>
      <c r="Q331" s="84"/>
      <c r="R331" s="84"/>
      <c r="S331" s="84">
        <v>7.0000000000000007E-2</v>
      </c>
      <c r="T331" s="82" t="s">
        <v>18098</v>
      </c>
      <c r="U331" s="84" t="s">
        <v>7499</v>
      </c>
      <c r="V331" s="54"/>
    </row>
    <row r="332" spans="1:22" s="11" customFormat="1" ht="12" customHeight="1" x14ac:dyDescent="0.2">
      <c r="A332" s="66" t="s">
        <v>18129</v>
      </c>
      <c r="B332" s="66" t="s">
        <v>26</v>
      </c>
      <c r="C332" s="66" t="s">
        <v>16942</v>
      </c>
      <c r="D332" s="66" t="s">
        <v>26</v>
      </c>
      <c r="E332" s="109" t="s">
        <v>18167</v>
      </c>
      <c r="F332" s="66" t="s">
        <v>18168</v>
      </c>
      <c r="G332" s="71">
        <v>0</v>
      </c>
      <c r="H332" s="73"/>
      <c r="I332" s="75">
        <v>0.2</v>
      </c>
      <c r="J332" s="77"/>
      <c r="K332" s="66"/>
      <c r="L332" s="66"/>
      <c r="M332" s="79" t="str">
        <f>HYPERLINK("https://pristavka.com/catalog/games-xbox-X/XbX647/")</f>
        <v>https://pristavka.com/catalog/games-xbox-X/XbX647/</v>
      </c>
      <c r="N332" s="71"/>
      <c r="O332" s="66" t="s">
        <v>27</v>
      </c>
      <c r="P332" s="82" t="s">
        <v>18169</v>
      </c>
      <c r="Q332" s="84"/>
      <c r="R332" s="84"/>
      <c r="S332" s="84">
        <v>7.0999999999999994E-2</v>
      </c>
      <c r="T332" s="82" t="s">
        <v>18098</v>
      </c>
      <c r="U332" s="84" t="s">
        <v>17008</v>
      </c>
      <c r="V332" s="54"/>
    </row>
    <row r="333" spans="1:22" s="45" customFormat="1" ht="12" customHeight="1" x14ac:dyDescent="0.2">
      <c r="A333" s="67" t="s">
        <v>18129</v>
      </c>
      <c r="B333" s="67" t="s">
        <v>26</v>
      </c>
      <c r="C333" s="67" t="s">
        <v>16942</v>
      </c>
      <c r="D333" s="67" t="s">
        <v>26</v>
      </c>
      <c r="E333" s="110" t="s">
        <v>18170</v>
      </c>
      <c r="F333" s="67" t="s">
        <v>18171</v>
      </c>
      <c r="G333" s="72">
        <v>0</v>
      </c>
      <c r="H333" s="74"/>
      <c r="I333" s="76">
        <v>0.2</v>
      </c>
      <c r="J333" s="77"/>
      <c r="K333" s="67" t="s">
        <v>129</v>
      </c>
      <c r="L333" s="67"/>
      <c r="M333" s="79" t="str">
        <f>HYPERLINK("https://pristavka.com/catalog/games-xbox-X/XbX650/")</f>
        <v>https://pristavka.com/catalog/games-xbox-X/XbX650/</v>
      </c>
      <c r="N333" s="72"/>
      <c r="O333" s="67" t="s">
        <v>27</v>
      </c>
      <c r="P333" s="83" t="s">
        <v>18172</v>
      </c>
      <c r="Q333" s="85"/>
      <c r="R333" s="85"/>
      <c r="S333" s="85">
        <v>7.4999999999999997E-2</v>
      </c>
      <c r="T333" s="83" t="s">
        <v>18098</v>
      </c>
      <c r="U333" s="85" t="s">
        <v>177</v>
      </c>
      <c r="V333" s="55"/>
    </row>
    <row r="334" spans="1:22" s="45" customFormat="1" ht="12" customHeight="1" x14ac:dyDescent="0.2">
      <c r="A334" s="67" t="s">
        <v>18129</v>
      </c>
      <c r="B334" s="67" t="s">
        <v>26</v>
      </c>
      <c r="C334" s="67" t="s">
        <v>16942</v>
      </c>
      <c r="D334" s="67" t="s">
        <v>26</v>
      </c>
      <c r="E334" s="110" t="s">
        <v>18173</v>
      </c>
      <c r="F334" s="67" t="s">
        <v>18174</v>
      </c>
      <c r="G334" s="72">
        <v>0</v>
      </c>
      <c r="H334" s="74"/>
      <c r="I334" s="76">
        <v>0.2</v>
      </c>
      <c r="J334" s="77"/>
      <c r="K334" s="67" t="s">
        <v>61</v>
      </c>
      <c r="L334" s="67"/>
      <c r="M334" s="79" t="str">
        <f>HYPERLINK("https://pristavka.com/catalog/games-xbox-X/XbX650/")</f>
        <v>https://pristavka.com/catalog/games-xbox-X/XbX650/</v>
      </c>
      <c r="N334" s="72"/>
      <c r="O334" s="67" t="s">
        <v>27</v>
      </c>
      <c r="P334" s="83" t="s">
        <v>18175</v>
      </c>
      <c r="Q334" s="85"/>
      <c r="R334" s="85"/>
      <c r="S334" s="85">
        <v>7.4999999999999997E-2</v>
      </c>
      <c r="T334" s="83" t="s">
        <v>18098</v>
      </c>
      <c r="U334" s="85" t="s">
        <v>177</v>
      </c>
      <c r="V334" s="55"/>
    </row>
    <row r="336" spans="1:22" x14ac:dyDescent="0.2">
      <c r="A336" s="2" t="s">
        <v>14</v>
      </c>
      <c r="B336" s="2"/>
      <c r="C336" s="2"/>
      <c r="D336" s="2"/>
      <c r="E336" s="2"/>
      <c r="F336" s="2"/>
      <c r="G336" s="2"/>
      <c r="H336" s="2"/>
      <c r="I336" s="47"/>
      <c r="J336" s="47"/>
      <c r="K336" s="47"/>
      <c r="L336" s="47"/>
      <c r="M336" s="47"/>
      <c r="N336" s="47"/>
      <c r="O336" s="47"/>
    </row>
    <row r="337" spans="1:15" x14ac:dyDescent="0.2">
      <c r="A337" s="2" t="s">
        <v>12</v>
      </c>
      <c r="B337" s="2"/>
      <c r="C337" s="2"/>
      <c r="D337" s="2"/>
      <c r="E337" s="2"/>
      <c r="F337" s="2"/>
      <c r="G337" s="2"/>
      <c r="H337" s="2"/>
      <c r="I337" s="47"/>
      <c r="J337" s="47"/>
      <c r="K337" s="47"/>
      <c r="L337" s="47"/>
      <c r="M337" s="47"/>
      <c r="N337" s="47"/>
      <c r="O337" s="47"/>
    </row>
    <row r="338" spans="1:15" x14ac:dyDescent="0.2">
      <c r="A338" s="2" t="s">
        <v>13</v>
      </c>
      <c r="B338" s="2"/>
      <c r="C338" s="2"/>
      <c r="D338" s="2"/>
      <c r="E338" s="2"/>
      <c r="F338" s="2"/>
      <c r="G338" s="2"/>
      <c r="H338" s="2"/>
      <c r="I338" s="47"/>
      <c r="J338" s="47"/>
      <c r="K338" s="47"/>
      <c r="L338" s="47"/>
      <c r="M338" s="47"/>
      <c r="N338" s="47"/>
      <c r="O338" s="47"/>
    </row>
    <row r="339" spans="1:15" x14ac:dyDescent="0.2">
      <c r="A339" s="2" t="s">
        <v>159</v>
      </c>
      <c r="B339" s="2"/>
      <c r="C339" s="2"/>
      <c r="D339" s="2"/>
      <c r="E339" s="2"/>
      <c r="F339" s="2"/>
      <c r="G339" s="2"/>
      <c r="H339" s="2"/>
      <c r="I339" s="47"/>
      <c r="J339" s="47"/>
      <c r="K339" s="47"/>
      <c r="L339" s="47"/>
      <c r="M339" s="47"/>
      <c r="N339" s="47"/>
      <c r="O339" s="47"/>
    </row>
    <row r="340" spans="1:15" x14ac:dyDescent="0.2">
      <c r="A340" s="2" t="s">
        <v>9</v>
      </c>
      <c r="B340" s="2"/>
      <c r="C340" s="2"/>
      <c r="D340" s="2"/>
      <c r="E340" s="2"/>
      <c r="F340" s="2"/>
      <c r="G340" s="2"/>
      <c r="H340" s="2"/>
      <c r="I340" s="47"/>
      <c r="J340" s="47"/>
      <c r="K340" s="47"/>
      <c r="L340" s="47"/>
      <c r="M340" s="47"/>
      <c r="N340" s="47"/>
      <c r="O340" s="47"/>
    </row>
    <row r="341" spans="1:15" x14ac:dyDescent="0.2">
      <c r="A341" s="2"/>
      <c r="B341" s="2"/>
      <c r="C341" s="2"/>
      <c r="D341" s="2"/>
      <c r="E341" s="2"/>
      <c r="F341" s="2"/>
      <c r="G341" s="2"/>
      <c r="H341" s="2"/>
      <c r="I341" s="47"/>
      <c r="J341" s="47"/>
      <c r="K341" s="47"/>
      <c r="L341" s="47"/>
      <c r="M341" s="47"/>
      <c r="N341" s="47"/>
      <c r="O341" s="47"/>
    </row>
    <row r="342" spans="1:15" x14ac:dyDescent="0.2">
      <c r="A342" s="2"/>
      <c r="B342" s="2"/>
      <c r="C342" s="2"/>
      <c r="D342" s="2"/>
      <c r="E342" s="2"/>
      <c r="F342" s="2"/>
      <c r="G342" s="2"/>
      <c r="H342" s="2"/>
      <c r="I342" s="47"/>
      <c r="J342" s="47"/>
      <c r="K342" s="47"/>
      <c r="L342" s="47"/>
      <c r="M342" s="47"/>
      <c r="N342" s="47"/>
      <c r="O342" s="47"/>
    </row>
    <row r="343" spans="1:15" x14ac:dyDescent="0.2">
      <c r="A343" s="2"/>
      <c r="B343" s="2"/>
      <c r="C343" s="2"/>
      <c r="D343" s="2"/>
      <c r="E343" s="2"/>
      <c r="F343" s="2"/>
      <c r="G343" s="2"/>
      <c r="H343" s="2"/>
      <c r="I343" s="47"/>
      <c r="J343" s="47"/>
      <c r="K343" s="47"/>
      <c r="L343" s="47"/>
      <c r="M343" s="47"/>
      <c r="N343" s="47"/>
      <c r="O343" s="47"/>
    </row>
  </sheetData>
  <autoFilter ref="A8:O334" xr:uid="{00000000-0009-0000-0000-000004000000}"/>
  <mergeCells count="1">
    <mergeCell ref="A4:D4"/>
  </mergeCells>
  <pageMargins left="0.23622047244094491" right="0.15748031496062992" top="0.23622047244094491" bottom="0.23622047244094491" header="0.15748031496062992" footer="0.15748031496062992"/>
  <pageSetup paperSize="9" scale="75" fitToHeight="0" orientation="landscape" r:id="rId1"/>
  <drawing r:id="rId2"/>
  <legacyDrawing r:id="rId3"/>
  <mc:AlternateContent xmlns:mc="http://schemas.openxmlformats.org/markup-compatibility/2006">
    <mc:Choice Requires="x14">
      <controls>
        <mc:AlternateContent xmlns:mc="http://schemas.openxmlformats.org/markup-compatibility/2006">
          <mc:Choice Requires="x14">
            <control shapeId="3076" r:id="rId4" name="Button 4">
              <controlPr locked="0" defaultSize="0" autoFill="0" autoPict="0" macro="[0]!Clear">
                <anchor moveWithCells="1" sizeWithCells="1">
                  <from>
                    <xdr:col>6</xdr:col>
                    <xdr:colOff>30480</xdr:colOff>
                    <xdr:row>0</xdr:row>
                    <xdr:rowOff>99060</xdr:rowOff>
                  </from>
                  <to>
                    <xdr:col>7</xdr:col>
                    <xdr:colOff>502920</xdr:colOff>
                    <xdr:row>2</xdr:row>
                    <xdr:rowOff>99060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077" r:id="rId5" name="Button 5">
              <controlPr locked="0" defaultSize="0" autoFill="0" autoPict="0" macro="[0]!Clear">
                <anchor moveWithCells="1" sizeWithCells="1">
                  <from>
                    <xdr:col>6</xdr:col>
                    <xdr:colOff>30480</xdr:colOff>
                    <xdr:row>0</xdr:row>
                    <xdr:rowOff>99060</xdr:rowOff>
                  </from>
                  <to>
                    <xdr:col>7</xdr:col>
                    <xdr:colOff>502920</xdr:colOff>
                    <xdr:row>2</xdr:row>
                    <xdr:rowOff>99060</xdr:rowOff>
                  </to>
                </anchor>
              </controlPr>
            </control>
          </mc:Choice>
        </mc:AlternateContent>
        <mc:AlternateContent xmlns:mc="http://schemas.openxmlformats.org/markup-compatibility/2006">
          <mc:Choice Requires="x14">
            <control shapeId="3078" r:id="rId6" name="Button 6">
              <controlPr locked="0" defaultSize="0" autoFill="0" autoPict="0" macro="[0]!Clear">
                <anchor moveWithCells="1" sizeWithCells="1">
                  <from>
                    <xdr:col>6</xdr:col>
                    <xdr:colOff>30480</xdr:colOff>
                    <xdr:row>0</xdr:row>
                    <xdr:rowOff>99060</xdr:rowOff>
                  </from>
                  <to>
                    <xdr:col>7</xdr:col>
                    <xdr:colOff>502920</xdr:colOff>
                    <xdr:row>2</xdr:row>
                    <xdr:rowOff>99060</xdr:rowOff>
                  </to>
                </anchor>
              </controlPr>
            </control>
          </mc:Choice>
        </mc:AlternateContent>
      </controls>
    </mc:Choice>
  </mc:AlternateContent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Листы</vt:lpstr>
      </vt:variant>
      <vt:variant>
        <vt:i4>4</vt:i4>
      </vt:variant>
    </vt:vector>
  </HeadingPairs>
  <TitlesOfParts>
    <vt:vector size="4" baseType="lpstr">
      <vt:lpstr>Приставки</vt:lpstr>
      <vt:lpstr>Аксессуары</vt:lpstr>
      <vt:lpstr>Игрушки</vt:lpstr>
      <vt:lpstr>Игры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A.Artemchuk</dc:creator>
  <cp:lastModifiedBy>Владислав Семенов</cp:lastModifiedBy>
  <cp:lastPrinted>2013-09-03T10:48:25Z</cp:lastPrinted>
  <dcterms:created xsi:type="dcterms:W3CDTF">2013-07-16T12:53:35Z</dcterms:created>
  <dcterms:modified xsi:type="dcterms:W3CDTF">2025-08-05T07:36:14Z</dcterms:modified>
</cp:coreProperties>
</file>